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nnections.xml" ContentType="application/vnd.openxmlformats-officedocument.spreadsheetml.connection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Finance Department\Budget Files\FY 2024-25\Budget Prep\"/>
    </mc:Choice>
  </mc:AlternateContent>
  <xr:revisionPtr revIDLastSave="0" documentId="13_ncr:1_{62297FBF-9510-4CE6-807D-0C85B7196D5D}" xr6:coauthVersionLast="47" xr6:coauthVersionMax="47" xr10:uidLastSave="{00000000-0000-0000-0000-000000000000}"/>
  <bookViews>
    <workbookView xWindow="-108" yWindow="-108" windowWidth="23256" windowHeight="12456" tabRatio="793" firstSheet="1" activeTab="4" xr2:uid="{00000000-000D-0000-FFFF-FFFF00000000}"/>
  </bookViews>
  <sheets>
    <sheet name="Dispatch &amp; Detention" sheetId="41" state="hidden" r:id="rId1"/>
    <sheet name="Market Study" sheetId="42" r:id="rId2"/>
    <sheet name="Prop Budget Summary" sheetId="28" r:id="rId3"/>
    <sheet name="Prop Budget Calc" sheetId="1" r:id="rId4"/>
    <sheet name="Proposed Step Plans" sheetId="49" r:id="rId5"/>
    <sheet name="Current Step Plans" sheetId="48" r:id="rId6"/>
    <sheet name="Base Pay Report" sheetId="44" r:id="rId7"/>
    <sheet name="Employee Enrollments" sheetId="51" r:id="rId8"/>
    <sheet name="Deduction Valuation" sheetId="46" r:id="rId9"/>
    <sheet name="Health Insurance" sheetId="39" r:id="rId10"/>
    <sheet name="Scenarios" sheetId="9" r:id="rId11"/>
    <sheet name="WKCMP" sheetId="5" r:id="rId12"/>
    <sheet name="YTD Personnel" sheetId="35" r:id="rId13"/>
    <sheet name="YEP Personnel Calc" sheetId="34" r:id="rId14"/>
    <sheet name="YEP Summaries" sheetId="36" r:id="rId15"/>
    <sheet name="PR Calendar" sheetId="37" r:id="rId16"/>
  </sheets>
  <externalReferences>
    <externalReference r:id="rId17"/>
    <externalReference r:id="rId18"/>
  </externalReferences>
  <definedNames>
    <definedName name="__bookmark_1" localSheetId="7">'Employee Enrollments'!$A$1:$AM$798</definedName>
    <definedName name="__bookmark_1">#REF!</definedName>
    <definedName name="_xlnm._FilterDatabase" localSheetId="6" hidden="1">'Base Pay Report'!$H$2:$X$508</definedName>
    <definedName name="_xlnm._FilterDatabase" localSheetId="8" hidden="1">'Deduction Valuation'!$A$1:$H$7423</definedName>
    <definedName name="_xlnm._FilterDatabase" localSheetId="7" hidden="1">'Employee Enrollments'!$A$1:$AM$797</definedName>
    <definedName name="_xlnm._FilterDatabase" localSheetId="1" hidden="1">'Market Study'!$C$4:$D$75</definedName>
    <definedName name="_xlnm._FilterDatabase" localSheetId="3" hidden="1">'Prop Budget Calc'!$A$5:$BG$130</definedName>
    <definedName name="_Key1" localSheetId="3" hidden="1">'Prop Budget Calc'!$C$28:$C$31</definedName>
    <definedName name="_Key2" localSheetId="3" hidden="1">'Prop Budget Calc'!$C$28:$C$31</definedName>
    <definedName name="_Order1" localSheetId="3" hidden="1">255</definedName>
    <definedName name="_Order2" localSheetId="3" hidden="1">255</definedName>
    <definedName name="_Sort" localSheetId="3" hidden="1">'Prop Budget Calc'!$B$29:$H$43</definedName>
    <definedName name="_Toc198016995" localSheetId="3">'Prop Budget Calc'!#REF!</definedName>
    <definedName name="_Toc40243440" localSheetId="3">'Prop Budget Calc'!#REF!</definedName>
    <definedName name="FICA_MAX" localSheetId="4">'Prop Budget Calc'!#REF!</definedName>
    <definedName name="FICA_MAX">'Prop Budget Calc'!#REF!</definedName>
    <definedName name="FICA_RATE" localSheetId="4">'Prop Budget Calc'!#REF!</definedName>
    <definedName name="FICA_RATE">'Prop Budget Calc'!#REF!</definedName>
    <definedName name="Medicare_Rate" localSheetId="4">'Prop Budget Calc'!#REF!</definedName>
    <definedName name="Medicare_Rate">'Prop Budget Calc'!#REF!</definedName>
    <definedName name="OASDI_MAX" localSheetId="4">'Prop Budget Calc'!#REF!</definedName>
    <definedName name="OASDI_MAX">'Prop Budget Calc'!#REF!</definedName>
    <definedName name="OASDI_Rate" localSheetId="4">'Prop Budget Calc'!#REF!</definedName>
    <definedName name="OASDI_Rate">'Prop Budget Calc'!#REF!</definedName>
    <definedName name="Pay_Plan_curr" localSheetId="4">#REF!</definedName>
    <definedName name="Pay_Plan_curr">#REF!</definedName>
    <definedName name="Pay_Plan_next" localSheetId="4">#REF!</definedName>
    <definedName name="Pay_Plan_next">#REF!</definedName>
    <definedName name="_xlnm.Print_Area" localSheetId="3">'Prop Budget Calc'!$B$2:$BG$135</definedName>
    <definedName name="_xlnm.Print_Area" localSheetId="10">Scenarios!$A$1:$H$149</definedName>
    <definedName name="_xlnm.Print_Area" localSheetId="11">WKCMP!$A$1:$G$15</definedName>
    <definedName name="Print_Area_MI">'Prop Budget Calc'!$B$21:$D$43</definedName>
    <definedName name="_xlnm.Print_Titles" localSheetId="3">'Prop Budget Calc'!$5:$5</definedName>
    <definedName name="_xlnm.Print_Titles" localSheetId="10">Scenarios!$1:$3</definedName>
    <definedName name="Print_Titles_MI">'Prop Budget Calc'!$5:$5</definedName>
    <definedName name="TMRS_Composite" localSheetId="4">'Prop Budget Calc'!#REF!</definedName>
    <definedName name="TMRS_Composite">'Prop Budget Calc'!#REF!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76" i="34" l="1"/>
  <c r="C9" i="1"/>
  <c r="C26" i="1"/>
  <c r="C35" i="1"/>
  <c r="C37" i="1"/>
  <c r="C49" i="1"/>
  <c r="C50" i="1"/>
  <c r="C51" i="1"/>
  <c r="C62" i="1"/>
  <c r="AL2" i="34"/>
  <c r="AG2" i="34"/>
  <c r="A2" i="35"/>
  <c r="C692" i="35"/>
  <c r="B692" i="35"/>
  <c r="B72" i="35"/>
  <c r="C72" i="35"/>
  <c r="B73" i="35"/>
  <c r="C73" i="35"/>
  <c r="B74" i="35"/>
  <c r="C74" i="35"/>
  <c r="B75" i="35"/>
  <c r="C75" i="35"/>
  <c r="B76" i="35"/>
  <c r="C76" i="35"/>
  <c r="B77" i="35"/>
  <c r="C77" i="35"/>
  <c r="B78" i="35"/>
  <c r="C78" i="35"/>
  <c r="B79" i="35"/>
  <c r="C79" i="35"/>
  <c r="B80" i="35"/>
  <c r="C80" i="35"/>
  <c r="B81" i="35"/>
  <c r="C81" i="35"/>
  <c r="B82" i="35"/>
  <c r="C82" i="35"/>
  <c r="B83" i="35"/>
  <c r="C83" i="35"/>
  <c r="B84" i="35"/>
  <c r="C84" i="35"/>
  <c r="B85" i="35"/>
  <c r="C85" i="35"/>
  <c r="B86" i="35"/>
  <c r="C86" i="35"/>
  <c r="B87" i="35"/>
  <c r="C87" i="35"/>
  <c r="B88" i="35"/>
  <c r="C88" i="35"/>
  <c r="B89" i="35"/>
  <c r="C89" i="35"/>
  <c r="B90" i="35"/>
  <c r="C90" i="35"/>
  <c r="B91" i="35"/>
  <c r="C91" i="35"/>
  <c r="B92" i="35"/>
  <c r="C92" i="35"/>
  <c r="B93" i="35"/>
  <c r="C93" i="35"/>
  <c r="B94" i="35"/>
  <c r="C94" i="35"/>
  <c r="B95" i="35"/>
  <c r="C95" i="35"/>
  <c r="B96" i="35"/>
  <c r="C96" i="35"/>
  <c r="B97" i="35"/>
  <c r="C97" i="35"/>
  <c r="B98" i="35"/>
  <c r="C98" i="35"/>
  <c r="B99" i="35"/>
  <c r="C99" i="35"/>
  <c r="B100" i="35"/>
  <c r="C100" i="35"/>
  <c r="B101" i="35"/>
  <c r="C101" i="35"/>
  <c r="B102" i="35"/>
  <c r="C102" i="35"/>
  <c r="B103" i="35"/>
  <c r="C103" i="35"/>
  <c r="B104" i="35"/>
  <c r="C104" i="35"/>
  <c r="B105" i="35"/>
  <c r="C105" i="35"/>
  <c r="B106" i="35"/>
  <c r="C106" i="35"/>
  <c r="B107" i="35"/>
  <c r="C107" i="35"/>
  <c r="B108" i="35"/>
  <c r="C108" i="35"/>
  <c r="B109" i="35"/>
  <c r="C109" i="35"/>
  <c r="B110" i="35"/>
  <c r="C110" i="35"/>
  <c r="B111" i="35"/>
  <c r="C111" i="35"/>
  <c r="B112" i="35"/>
  <c r="C112" i="35"/>
  <c r="B113" i="35"/>
  <c r="C113" i="35"/>
  <c r="B114" i="35"/>
  <c r="C114" i="35"/>
  <c r="B115" i="35"/>
  <c r="C115" i="35"/>
  <c r="B116" i="35"/>
  <c r="C116" i="35"/>
  <c r="B117" i="35"/>
  <c r="C117" i="35"/>
  <c r="B118" i="35"/>
  <c r="C118" i="35"/>
  <c r="B119" i="35"/>
  <c r="C119" i="35"/>
  <c r="B120" i="35"/>
  <c r="C120" i="35"/>
  <c r="B121" i="35"/>
  <c r="C121" i="35"/>
  <c r="B122" i="35"/>
  <c r="C122" i="35"/>
  <c r="B123" i="35"/>
  <c r="C123" i="35"/>
  <c r="B124" i="35"/>
  <c r="C124" i="35"/>
  <c r="B125" i="35"/>
  <c r="C125" i="35"/>
  <c r="B126" i="35"/>
  <c r="C126" i="35"/>
  <c r="B127" i="35"/>
  <c r="C127" i="35"/>
  <c r="B128" i="35"/>
  <c r="C128" i="35"/>
  <c r="B129" i="35"/>
  <c r="C129" i="35"/>
  <c r="B130" i="35"/>
  <c r="C130" i="35"/>
  <c r="B131" i="35"/>
  <c r="C131" i="35"/>
  <c r="B132" i="35"/>
  <c r="C132" i="35"/>
  <c r="B133" i="35"/>
  <c r="C133" i="35"/>
  <c r="B134" i="35"/>
  <c r="C134" i="35"/>
  <c r="B135" i="35"/>
  <c r="C135" i="35"/>
  <c r="B136" i="35"/>
  <c r="C136" i="35"/>
  <c r="B137" i="35"/>
  <c r="C137" i="35"/>
  <c r="B138" i="35"/>
  <c r="C138" i="35"/>
  <c r="B139" i="35"/>
  <c r="C139" i="35"/>
  <c r="B140" i="35"/>
  <c r="C140" i="35"/>
  <c r="B141" i="35"/>
  <c r="C141" i="35"/>
  <c r="B142" i="35"/>
  <c r="C142" i="35"/>
  <c r="B143" i="35"/>
  <c r="C143" i="35"/>
  <c r="B144" i="35"/>
  <c r="C144" i="35"/>
  <c r="B145" i="35"/>
  <c r="C145" i="35"/>
  <c r="B146" i="35"/>
  <c r="C146" i="35"/>
  <c r="B147" i="35"/>
  <c r="C147" i="35"/>
  <c r="B148" i="35"/>
  <c r="C148" i="35"/>
  <c r="B149" i="35"/>
  <c r="C149" i="35"/>
  <c r="B150" i="35"/>
  <c r="C150" i="35"/>
  <c r="B151" i="35"/>
  <c r="C151" i="35"/>
  <c r="B152" i="35"/>
  <c r="C152" i="35"/>
  <c r="B153" i="35"/>
  <c r="C153" i="35"/>
  <c r="B154" i="35"/>
  <c r="C154" i="35"/>
  <c r="B155" i="35"/>
  <c r="C155" i="35"/>
  <c r="B156" i="35"/>
  <c r="C156" i="35"/>
  <c r="B157" i="35"/>
  <c r="C157" i="35"/>
  <c r="B158" i="35"/>
  <c r="C158" i="35"/>
  <c r="B159" i="35"/>
  <c r="C159" i="35"/>
  <c r="B160" i="35"/>
  <c r="C160" i="35"/>
  <c r="B161" i="35"/>
  <c r="C161" i="35"/>
  <c r="B162" i="35"/>
  <c r="C162" i="35"/>
  <c r="B163" i="35"/>
  <c r="C163" i="35"/>
  <c r="B164" i="35"/>
  <c r="C164" i="35"/>
  <c r="B165" i="35"/>
  <c r="C165" i="35"/>
  <c r="B166" i="35"/>
  <c r="C166" i="35"/>
  <c r="B167" i="35"/>
  <c r="C167" i="35"/>
  <c r="B168" i="35"/>
  <c r="C168" i="35"/>
  <c r="B169" i="35"/>
  <c r="C169" i="35"/>
  <c r="B170" i="35"/>
  <c r="C170" i="35"/>
  <c r="B171" i="35"/>
  <c r="C171" i="35"/>
  <c r="B172" i="35"/>
  <c r="C172" i="35"/>
  <c r="B173" i="35"/>
  <c r="C173" i="35"/>
  <c r="B174" i="35"/>
  <c r="C174" i="35"/>
  <c r="B175" i="35"/>
  <c r="C175" i="35"/>
  <c r="B176" i="35"/>
  <c r="C176" i="35"/>
  <c r="B177" i="35"/>
  <c r="C177" i="35"/>
  <c r="B178" i="35"/>
  <c r="C178" i="35"/>
  <c r="B179" i="35"/>
  <c r="C179" i="35"/>
  <c r="B180" i="35"/>
  <c r="C180" i="35"/>
  <c r="B181" i="35"/>
  <c r="C181" i="35"/>
  <c r="B182" i="35"/>
  <c r="C182" i="35"/>
  <c r="B183" i="35"/>
  <c r="C183" i="35"/>
  <c r="B184" i="35"/>
  <c r="C184" i="35"/>
  <c r="B185" i="35"/>
  <c r="C185" i="35"/>
  <c r="B186" i="35"/>
  <c r="C186" i="35"/>
  <c r="B187" i="35"/>
  <c r="C187" i="35"/>
  <c r="B188" i="35"/>
  <c r="C188" i="35"/>
  <c r="B189" i="35"/>
  <c r="C189" i="35"/>
  <c r="B190" i="35"/>
  <c r="C190" i="35"/>
  <c r="B191" i="35"/>
  <c r="C191" i="35"/>
  <c r="B192" i="35"/>
  <c r="C192" i="35"/>
  <c r="B193" i="35"/>
  <c r="C193" i="35"/>
  <c r="B194" i="35"/>
  <c r="C194" i="35"/>
  <c r="B195" i="35"/>
  <c r="C195" i="35"/>
  <c r="B196" i="35"/>
  <c r="C196" i="35"/>
  <c r="B197" i="35"/>
  <c r="C197" i="35"/>
  <c r="B198" i="35"/>
  <c r="C198" i="35"/>
  <c r="B199" i="35"/>
  <c r="C199" i="35"/>
  <c r="B200" i="35"/>
  <c r="C200" i="35"/>
  <c r="B201" i="35"/>
  <c r="C201" i="35"/>
  <c r="B202" i="35"/>
  <c r="C202" i="35"/>
  <c r="B203" i="35"/>
  <c r="C203" i="35"/>
  <c r="B204" i="35"/>
  <c r="C204" i="35"/>
  <c r="B205" i="35"/>
  <c r="C205" i="35"/>
  <c r="B206" i="35"/>
  <c r="C206" i="35"/>
  <c r="B207" i="35"/>
  <c r="C207" i="35"/>
  <c r="B208" i="35"/>
  <c r="C208" i="35"/>
  <c r="B209" i="35"/>
  <c r="C209" i="35"/>
  <c r="B210" i="35"/>
  <c r="C210" i="35"/>
  <c r="B211" i="35"/>
  <c r="C211" i="35"/>
  <c r="B212" i="35"/>
  <c r="C212" i="35"/>
  <c r="B213" i="35"/>
  <c r="C213" i="35"/>
  <c r="B214" i="35"/>
  <c r="C214" i="35"/>
  <c r="B215" i="35"/>
  <c r="C215" i="35"/>
  <c r="B216" i="35"/>
  <c r="C216" i="35"/>
  <c r="B217" i="35"/>
  <c r="C217" i="35"/>
  <c r="B218" i="35"/>
  <c r="C218" i="35"/>
  <c r="B219" i="35"/>
  <c r="C219" i="35"/>
  <c r="B220" i="35"/>
  <c r="C220" i="35"/>
  <c r="B221" i="35"/>
  <c r="C221" i="35"/>
  <c r="B222" i="35"/>
  <c r="C222" i="35"/>
  <c r="B223" i="35"/>
  <c r="C223" i="35"/>
  <c r="B224" i="35"/>
  <c r="C224" i="35"/>
  <c r="B225" i="35"/>
  <c r="C225" i="35"/>
  <c r="B226" i="35"/>
  <c r="C226" i="35"/>
  <c r="B227" i="35"/>
  <c r="C227" i="35"/>
  <c r="B228" i="35"/>
  <c r="C228" i="35"/>
  <c r="B229" i="35"/>
  <c r="C229" i="35"/>
  <c r="B230" i="35"/>
  <c r="C230" i="35"/>
  <c r="B231" i="35"/>
  <c r="C231" i="35"/>
  <c r="B232" i="35"/>
  <c r="C232" i="35"/>
  <c r="B233" i="35"/>
  <c r="C233" i="35"/>
  <c r="B234" i="35"/>
  <c r="C234" i="35"/>
  <c r="B235" i="35"/>
  <c r="C235" i="35"/>
  <c r="B236" i="35"/>
  <c r="C236" i="35"/>
  <c r="B237" i="35"/>
  <c r="C237" i="35"/>
  <c r="B238" i="35"/>
  <c r="C238" i="35"/>
  <c r="B239" i="35"/>
  <c r="C239" i="35"/>
  <c r="B240" i="35"/>
  <c r="C240" i="35"/>
  <c r="B241" i="35"/>
  <c r="C241" i="35"/>
  <c r="B242" i="35"/>
  <c r="C242" i="35"/>
  <c r="B243" i="35"/>
  <c r="C243" i="35"/>
  <c r="B244" i="35"/>
  <c r="C244" i="35"/>
  <c r="B245" i="35"/>
  <c r="C245" i="35"/>
  <c r="B246" i="35"/>
  <c r="C246" i="35"/>
  <c r="B247" i="35"/>
  <c r="C247" i="35"/>
  <c r="B248" i="35"/>
  <c r="C248" i="35"/>
  <c r="B249" i="35"/>
  <c r="C249" i="35"/>
  <c r="B250" i="35"/>
  <c r="C250" i="35"/>
  <c r="B251" i="35"/>
  <c r="C251" i="35"/>
  <c r="B252" i="35"/>
  <c r="C252" i="35"/>
  <c r="B253" i="35"/>
  <c r="C253" i="35"/>
  <c r="B254" i="35"/>
  <c r="C254" i="35"/>
  <c r="B255" i="35"/>
  <c r="C255" i="35"/>
  <c r="B256" i="35"/>
  <c r="C256" i="35"/>
  <c r="B257" i="35"/>
  <c r="C257" i="35"/>
  <c r="B258" i="35"/>
  <c r="C258" i="35"/>
  <c r="B259" i="35"/>
  <c r="C259" i="35"/>
  <c r="B260" i="35"/>
  <c r="C260" i="35"/>
  <c r="B261" i="35"/>
  <c r="C261" i="35"/>
  <c r="B262" i="35"/>
  <c r="C262" i="35"/>
  <c r="B263" i="35"/>
  <c r="C263" i="35"/>
  <c r="B264" i="35"/>
  <c r="C264" i="35"/>
  <c r="B265" i="35"/>
  <c r="C265" i="35"/>
  <c r="B266" i="35"/>
  <c r="C266" i="35"/>
  <c r="B267" i="35"/>
  <c r="C267" i="35"/>
  <c r="B268" i="35"/>
  <c r="C268" i="35"/>
  <c r="B269" i="35"/>
  <c r="C269" i="35"/>
  <c r="B270" i="35"/>
  <c r="C270" i="35"/>
  <c r="B271" i="35"/>
  <c r="C271" i="35"/>
  <c r="B272" i="35"/>
  <c r="C272" i="35"/>
  <c r="B273" i="35"/>
  <c r="C273" i="35"/>
  <c r="B274" i="35"/>
  <c r="C274" i="35"/>
  <c r="B275" i="35"/>
  <c r="C275" i="35"/>
  <c r="B276" i="35"/>
  <c r="C276" i="35"/>
  <c r="B277" i="35"/>
  <c r="C277" i="35"/>
  <c r="B278" i="35"/>
  <c r="C278" i="35"/>
  <c r="B279" i="35"/>
  <c r="C279" i="35"/>
  <c r="B280" i="35"/>
  <c r="C280" i="35"/>
  <c r="B281" i="35"/>
  <c r="C281" i="35"/>
  <c r="B282" i="35"/>
  <c r="C282" i="35"/>
  <c r="B283" i="35"/>
  <c r="C283" i="35"/>
  <c r="B284" i="35"/>
  <c r="C284" i="35"/>
  <c r="B285" i="35"/>
  <c r="C285" i="35"/>
  <c r="B286" i="35"/>
  <c r="C286" i="35"/>
  <c r="B287" i="35"/>
  <c r="C287" i="35"/>
  <c r="B288" i="35"/>
  <c r="C288" i="35"/>
  <c r="B289" i="35"/>
  <c r="C289" i="35"/>
  <c r="B290" i="35"/>
  <c r="C290" i="35"/>
  <c r="B291" i="35"/>
  <c r="C291" i="35"/>
  <c r="B292" i="35"/>
  <c r="C292" i="35"/>
  <c r="B293" i="35"/>
  <c r="C293" i="35"/>
  <c r="B294" i="35"/>
  <c r="C294" i="35"/>
  <c r="B295" i="35"/>
  <c r="C295" i="35"/>
  <c r="B296" i="35"/>
  <c r="C296" i="35"/>
  <c r="B297" i="35"/>
  <c r="C297" i="35"/>
  <c r="B298" i="35"/>
  <c r="C298" i="35"/>
  <c r="B299" i="35"/>
  <c r="C299" i="35"/>
  <c r="B300" i="35"/>
  <c r="C300" i="35"/>
  <c r="B301" i="35"/>
  <c r="C301" i="35"/>
  <c r="B302" i="35"/>
  <c r="C302" i="35"/>
  <c r="B303" i="35"/>
  <c r="C303" i="35"/>
  <c r="B304" i="35"/>
  <c r="C304" i="35"/>
  <c r="B305" i="35"/>
  <c r="C305" i="35"/>
  <c r="B306" i="35"/>
  <c r="C306" i="35"/>
  <c r="B307" i="35"/>
  <c r="C307" i="35"/>
  <c r="B308" i="35"/>
  <c r="C308" i="35"/>
  <c r="B309" i="35"/>
  <c r="C309" i="35"/>
  <c r="B310" i="35"/>
  <c r="C310" i="35"/>
  <c r="B311" i="35"/>
  <c r="C311" i="35"/>
  <c r="B312" i="35"/>
  <c r="C312" i="35"/>
  <c r="B313" i="35"/>
  <c r="C313" i="35"/>
  <c r="B314" i="35"/>
  <c r="C314" i="35"/>
  <c r="B315" i="35"/>
  <c r="C315" i="35"/>
  <c r="B316" i="35"/>
  <c r="C316" i="35"/>
  <c r="B317" i="35"/>
  <c r="C317" i="35"/>
  <c r="B318" i="35"/>
  <c r="C318" i="35"/>
  <c r="B319" i="35"/>
  <c r="C319" i="35"/>
  <c r="B320" i="35"/>
  <c r="C320" i="35"/>
  <c r="B321" i="35"/>
  <c r="C321" i="35"/>
  <c r="B322" i="35"/>
  <c r="C322" i="35"/>
  <c r="B323" i="35"/>
  <c r="C323" i="35"/>
  <c r="B324" i="35"/>
  <c r="C324" i="35"/>
  <c r="B325" i="35"/>
  <c r="C325" i="35"/>
  <c r="B326" i="35"/>
  <c r="C326" i="35"/>
  <c r="B327" i="35"/>
  <c r="C327" i="35"/>
  <c r="B328" i="35"/>
  <c r="C328" i="35"/>
  <c r="B329" i="35"/>
  <c r="C329" i="35"/>
  <c r="B330" i="35"/>
  <c r="C330" i="35"/>
  <c r="B331" i="35"/>
  <c r="C331" i="35"/>
  <c r="B332" i="35"/>
  <c r="C332" i="35"/>
  <c r="B333" i="35"/>
  <c r="C333" i="35"/>
  <c r="B334" i="35"/>
  <c r="C334" i="35"/>
  <c r="B335" i="35"/>
  <c r="C335" i="35"/>
  <c r="B336" i="35"/>
  <c r="C336" i="35"/>
  <c r="B337" i="35"/>
  <c r="C337" i="35"/>
  <c r="B338" i="35"/>
  <c r="C338" i="35"/>
  <c r="B339" i="35"/>
  <c r="C339" i="35"/>
  <c r="B340" i="35"/>
  <c r="C340" i="35"/>
  <c r="B341" i="35"/>
  <c r="C341" i="35"/>
  <c r="B342" i="35"/>
  <c r="C342" i="35"/>
  <c r="B343" i="35"/>
  <c r="C343" i="35"/>
  <c r="B344" i="35"/>
  <c r="C344" i="35"/>
  <c r="B345" i="35"/>
  <c r="C345" i="35"/>
  <c r="B346" i="35"/>
  <c r="C346" i="35"/>
  <c r="B347" i="35"/>
  <c r="C347" i="35"/>
  <c r="B348" i="35"/>
  <c r="C348" i="35"/>
  <c r="B349" i="35"/>
  <c r="C349" i="35"/>
  <c r="B350" i="35"/>
  <c r="C350" i="35"/>
  <c r="B351" i="35"/>
  <c r="C351" i="35"/>
  <c r="B352" i="35"/>
  <c r="C352" i="35"/>
  <c r="B353" i="35"/>
  <c r="C353" i="35"/>
  <c r="B354" i="35"/>
  <c r="C354" i="35"/>
  <c r="B355" i="35"/>
  <c r="C355" i="35"/>
  <c r="B356" i="35"/>
  <c r="C356" i="35"/>
  <c r="B357" i="35"/>
  <c r="C357" i="35"/>
  <c r="B358" i="35"/>
  <c r="C358" i="35"/>
  <c r="B359" i="35"/>
  <c r="C359" i="35"/>
  <c r="B360" i="35"/>
  <c r="C360" i="35"/>
  <c r="B361" i="35"/>
  <c r="C361" i="35"/>
  <c r="B362" i="35"/>
  <c r="C362" i="35"/>
  <c r="B363" i="35"/>
  <c r="C363" i="35"/>
  <c r="B364" i="35"/>
  <c r="C364" i="35"/>
  <c r="B365" i="35"/>
  <c r="C365" i="35"/>
  <c r="B366" i="35"/>
  <c r="C366" i="35"/>
  <c r="B367" i="35"/>
  <c r="C367" i="35"/>
  <c r="B368" i="35"/>
  <c r="C368" i="35"/>
  <c r="B369" i="35"/>
  <c r="C369" i="35"/>
  <c r="B370" i="35"/>
  <c r="C370" i="35"/>
  <c r="B371" i="35"/>
  <c r="C371" i="35"/>
  <c r="B372" i="35"/>
  <c r="C372" i="35"/>
  <c r="B373" i="35"/>
  <c r="C373" i="35"/>
  <c r="B374" i="35"/>
  <c r="C374" i="35"/>
  <c r="B375" i="35"/>
  <c r="C375" i="35"/>
  <c r="B376" i="35"/>
  <c r="C376" i="35"/>
  <c r="B377" i="35"/>
  <c r="C377" i="35"/>
  <c r="B378" i="35"/>
  <c r="C378" i="35"/>
  <c r="B379" i="35"/>
  <c r="C379" i="35"/>
  <c r="B380" i="35"/>
  <c r="C380" i="35"/>
  <c r="B381" i="35"/>
  <c r="C381" i="35"/>
  <c r="B382" i="35"/>
  <c r="C382" i="35"/>
  <c r="B383" i="35"/>
  <c r="C383" i="35"/>
  <c r="B384" i="35"/>
  <c r="C384" i="35"/>
  <c r="B385" i="35"/>
  <c r="C385" i="35"/>
  <c r="B386" i="35"/>
  <c r="C386" i="35"/>
  <c r="B387" i="35"/>
  <c r="C387" i="35"/>
  <c r="B388" i="35"/>
  <c r="C388" i="35"/>
  <c r="B389" i="35"/>
  <c r="C389" i="35"/>
  <c r="B390" i="35"/>
  <c r="C390" i="35"/>
  <c r="B391" i="35"/>
  <c r="C391" i="35"/>
  <c r="B392" i="35"/>
  <c r="C392" i="35"/>
  <c r="B393" i="35"/>
  <c r="C393" i="35"/>
  <c r="B394" i="35"/>
  <c r="C394" i="35"/>
  <c r="B395" i="35"/>
  <c r="C395" i="35"/>
  <c r="B396" i="35"/>
  <c r="C396" i="35"/>
  <c r="B397" i="35"/>
  <c r="C397" i="35"/>
  <c r="B398" i="35"/>
  <c r="C398" i="35"/>
  <c r="B399" i="35"/>
  <c r="C399" i="35"/>
  <c r="B400" i="35"/>
  <c r="C400" i="35"/>
  <c r="B401" i="35"/>
  <c r="C401" i="35"/>
  <c r="B402" i="35"/>
  <c r="C402" i="35"/>
  <c r="B403" i="35"/>
  <c r="C403" i="35"/>
  <c r="B404" i="35"/>
  <c r="C404" i="35"/>
  <c r="B405" i="35"/>
  <c r="C405" i="35"/>
  <c r="B406" i="35"/>
  <c r="C406" i="35"/>
  <c r="B407" i="35"/>
  <c r="C407" i="35"/>
  <c r="B408" i="35"/>
  <c r="C408" i="35"/>
  <c r="B409" i="35"/>
  <c r="C409" i="35"/>
  <c r="B410" i="35"/>
  <c r="C410" i="35"/>
  <c r="B411" i="35"/>
  <c r="C411" i="35"/>
  <c r="B412" i="35"/>
  <c r="C412" i="35"/>
  <c r="B413" i="35"/>
  <c r="C413" i="35"/>
  <c r="B414" i="35"/>
  <c r="C414" i="35"/>
  <c r="B415" i="35"/>
  <c r="C415" i="35"/>
  <c r="B416" i="35"/>
  <c r="C416" i="35"/>
  <c r="B417" i="35"/>
  <c r="C417" i="35"/>
  <c r="B418" i="35"/>
  <c r="C418" i="35"/>
  <c r="B419" i="35"/>
  <c r="C419" i="35"/>
  <c r="B420" i="35"/>
  <c r="C420" i="35"/>
  <c r="B421" i="35"/>
  <c r="C421" i="35"/>
  <c r="B422" i="35"/>
  <c r="C422" i="35"/>
  <c r="B423" i="35"/>
  <c r="C423" i="35"/>
  <c r="B424" i="35"/>
  <c r="C424" i="35"/>
  <c r="B425" i="35"/>
  <c r="C425" i="35"/>
  <c r="B426" i="35"/>
  <c r="C426" i="35"/>
  <c r="B427" i="35"/>
  <c r="C427" i="35"/>
  <c r="B428" i="35"/>
  <c r="C428" i="35"/>
  <c r="B429" i="35"/>
  <c r="C429" i="35"/>
  <c r="B430" i="35"/>
  <c r="C430" i="35"/>
  <c r="B431" i="35"/>
  <c r="C431" i="35"/>
  <c r="B432" i="35"/>
  <c r="C432" i="35"/>
  <c r="B433" i="35"/>
  <c r="C433" i="35"/>
  <c r="B434" i="35"/>
  <c r="C434" i="35"/>
  <c r="B435" i="35"/>
  <c r="C435" i="35"/>
  <c r="B436" i="35"/>
  <c r="C436" i="35"/>
  <c r="B437" i="35"/>
  <c r="C437" i="35"/>
  <c r="B438" i="35"/>
  <c r="C438" i="35"/>
  <c r="B439" i="35"/>
  <c r="C439" i="35"/>
  <c r="B440" i="35"/>
  <c r="C440" i="35"/>
  <c r="B441" i="35"/>
  <c r="C441" i="35"/>
  <c r="B442" i="35"/>
  <c r="C442" i="35"/>
  <c r="B443" i="35"/>
  <c r="C443" i="35"/>
  <c r="B444" i="35"/>
  <c r="C444" i="35"/>
  <c r="B445" i="35"/>
  <c r="C445" i="35"/>
  <c r="B446" i="35"/>
  <c r="C446" i="35"/>
  <c r="B447" i="35"/>
  <c r="C447" i="35"/>
  <c r="B448" i="35"/>
  <c r="C448" i="35"/>
  <c r="B449" i="35"/>
  <c r="C449" i="35"/>
  <c r="B450" i="35"/>
  <c r="C450" i="35"/>
  <c r="B451" i="35"/>
  <c r="C451" i="35"/>
  <c r="B452" i="35"/>
  <c r="C452" i="35"/>
  <c r="B453" i="35"/>
  <c r="C453" i="35"/>
  <c r="B454" i="35"/>
  <c r="C454" i="35"/>
  <c r="B455" i="35"/>
  <c r="C455" i="35"/>
  <c r="B456" i="35"/>
  <c r="C456" i="35"/>
  <c r="B457" i="35"/>
  <c r="C457" i="35"/>
  <c r="B458" i="35"/>
  <c r="C458" i="35"/>
  <c r="B459" i="35"/>
  <c r="C459" i="35"/>
  <c r="B460" i="35"/>
  <c r="C460" i="35"/>
  <c r="B461" i="35"/>
  <c r="C461" i="35"/>
  <c r="B462" i="35"/>
  <c r="C462" i="35"/>
  <c r="B463" i="35"/>
  <c r="C463" i="35"/>
  <c r="B464" i="35"/>
  <c r="C464" i="35"/>
  <c r="B465" i="35"/>
  <c r="C465" i="35"/>
  <c r="B466" i="35"/>
  <c r="C466" i="35"/>
  <c r="B467" i="35"/>
  <c r="C467" i="35"/>
  <c r="B468" i="35"/>
  <c r="C468" i="35"/>
  <c r="B469" i="35"/>
  <c r="C469" i="35"/>
  <c r="B470" i="35"/>
  <c r="C470" i="35"/>
  <c r="B471" i="35"/>
  <c r="C471" i="35"/>
  <c r="B472" i="35"/>
  <c r="C472" i="35"/>
  <c r="B473" i="35"/>
  <c r="C473" i="35"/>
  <c r="B474" i="35"/>
  <c r="C474" i="35"/>
  <c r="B475" i="35"/>
  <c r="C475" i="35"/>
  <c r="B476" i="35"/>
  <c r="C476" i="35"/>
  <c r="B477" i="35"/>
  <c r="C477" i="35"/>
  <c r="B478" i="35"/>
  <c r="C478" i="35"/>
  <c r="B479" i="35"/>
  <c r="C479" i="35"/>
  <c r="B480" i="35"/>
  <c r="C480" i="35"/>
  <c r="B481" i="35"/>
  <c r="C481" i="35"/>
  <c r="B482" i="35"/>
  <c r="C482" i="35"/>
  <c r="B483" i="35"/>
  <c r="C483" i="35"/>
  <c r="B484" i="35"/>
  <c r="C484" i="35"/>
  <c r="B485" i="35"/>
  <c r="C485" i="35"/>
  <c r="B486" i="35"/>
  <c r="C486" i="35"/>
  <c r="B487" i="35"/>
  <c r="C487" i="35"/>
  <c r="B488" i="35"/>
  <c r="C488" i="35"/>
  <c r="B489" i="35"/>
  <c r="C489" i="35"/>
  <c r="B490" i="35"/>
  <c r="C490" i="35"/>
  <c r="B491" i="35"/>
  <c r="C491" i="35"/>
  <c r="B492" i="35"/>
  <c r="C492" i="35"/>
  <c r="B493" i="35"/>
  <c r="C493" i="35"/>
  <c r="B494" i="35"/>
  <c r="C494" i="35"/>
  <c r="B495" i="35"/>
  <c r="C495" i="35"/>
  <c r="B496" i="35"/>
  <c r="C496" i="35"/>
  <c r="B497" i="35"/>
  <c r="C497" i="35"/>
  <c r="B498" i="35"/>
  <c r="C498" i="35"/>
  <c r="B499" i="35"/>
  <c r="C499" i="35"/>
  <c r="B500" i="35"/>
  <c r="C500" i="35"/>
  <c r="B501" i="35"/>
  <c r="C501" i="35"/>
  <c r="B502" i="35"/>
  <c r="C502" i="35"/>
  <c r="B503" i="35"/>
  <c r="C503" i="35"/>
  <c r="B504" i="35"/>
  <c r="C504" i="35"/>
  <c r="B505" i="35"/>
  <c r="C505" i="35"/>
  <c r="B506" i="35"/>
  <c r="C506" i="35"/>
  <c r="B507" i="35"/>
  <c r="C507" i="35"/>
  <c r="B508" i="35"/>
  <c r="C508" i="35"/>
  <c r="B509" i="35"/>
  <c r="C509" i="35"/>
  <c r="B510" i="35"/>
  <c r="C510" i="35"/>
  <c r="B511" i="35"/>
  <c r="C511" i="35"/>
  <c r="B512" i="35"/>
  <c r="C512" i="35"/>
  <c r="B513" i="35"/>
  <c r="C513" i="35"/>
  <c r="B514" i="35"/>
  <c r="C514" i="35"/>
  <c r="B515" i="35"/>
  <c r="C515" i="35"/>
  <c r="B516" i="35"/>
  <c r="C516" i="35"/>
  <c r="B517" i="35"/>
  <c r="C517" i="35"/>
  <c r="B518" i="35"/>
  <c r="C518" i="35"/>
  <c r="B519" i="35"/>
  <c r="C519" i="35"/>
  <c r="B520" i="35"/>
  <c r="C520" i="35"/>
  <c r="B521" i="35"/>
  <c r="C521" i="35"/>
  <c r="B522" i="35"/>
  <c r="C522" i="35"/>
  <c r="B523" i="35"/>
  <c r="C523" i="35"/>
  <c r="B524" i="35"/>
  <c r="C524" i="35"/>
  <c r="B525" i="35"/>
  <c r="C525" i="35"/>
  <c r="B526" i="35"/>
  <c r="C526" i="35"/>
  <c r="B527" i="35"/>
  <c r="C527" i="35"/>
  <c r="B528" i="35"/>
  <c r="C528" i="35"/>
  <c r="B529" i="35"/>
  <c r="C529" i="35"/>
  <c r="B530" i="35"/>
  <c r="C530" i="35"/>
  <c r="B531" i="35"/>
  <c r="C531" i="35"/>
  <c r="B532" i="35"/>
  <c r="C532" i="35"/>
  <c r="B533" i="35"/>
  <c r="C533" i="35"/>
  <c r="B534" i="35"/>
  <c r="C534" i="35"/>
  <c r="B535" i="35"/>
  <c r="C535" i="35"/>
  <c r="B536" i="35"/>
  <c r="C536" i="35"/>
  <c r="B537" i="35"/>
  <c r="C537" i="35"/>
  <c r="B538" i="35"/>
  <c r="C538" i="35"/>
  <c r="B539" i="35"/>
  <c r="C539" i="35"/>
  <c r="B540" i="35"/>
  <c r="C540" i="35"/>
  <c r="B541" i="35"/>
  <c r="C541" i="35"/>
  <c r="B542" i="35"/>
  <c r="C542" i="35"/>
  <c r="B543" i="35"/>
  <c r="C543" i="35"/>
  <c r="B544" i="35"/>
  <c r="C544" i="35"/>
  <c r="B545" i="35"/>
  <c r="C545" i="35"/>
  <c r="B546" i="35"/>
  <c r="C546" i="35"/>
  <c r="B547" i="35"/>
  <c r="C547" i="35"/>
  <c r="B548" i="35"/>
  <c r="C548" i="35"/>
  <c r="B549" i="35"/>
  <c r="C549" i="35"/>
  <c r="B550" i="35"/>
  <c r="C550" i="35"/>
  <c r="B551" i="35"/>
  <c r="C551" i="35"/>
  <c r="B552" i="35"/>
  <c r="C552" i="35"/>
  <c r="B553" i="35"/>
  <c r="C553" i="35"/>
  <c r="B554" i="35"/>
  <c r="C554" i="35"/>
  <c r="B555" i="35"/>
  <c r="C555" i="35"/>
  <c r="B556" i="35"/>
  <c r="C556" i="35"/>
  <c r="B557" i="35"/>
  <c r="C557" i="35"/>
  <c r="B558" i="35"/>
  <c r="C558" i="35"/>
  <c r="B559" i="35"/>
  <c r="C559" i="35"/>
  <c r="B560" i="35"/>
  <c r="C560" i="35"/>
  <c r="B561" i="35"/>
  <c r="C561" i="35"/>
  <c r="B562" i="35"/>
  <c r="C562" i="35"/>
  <c r="B563" i="35"/>
  <c r="C563" i="35"/>
  <c r="B564" i="35"/>
  <c r="C564" i="35"/>
  <c r="B565" i="35"/>
  <c r="C565" i="35"/>
  <c r="B566" i="35"/>
  <c r="C566" i="35"/>
  <c r="B567" i="35"/>
  <c r="C567" i="35"/>
  <c r="B568" i="35"/>
  <c r="C568" i="35"/>
  <c r="B569" i="35"/>
  <c r="C569" i="35"/>
  <c r="B570" i="35"/>
  <c r="C570" i="35"/>
  <c r="B571" i="35"/>
  <c r="C571" i="35"/>
  <c r="B572" i="35"/>
  <c r="C572" i="35"/>
  <c r="B573" i="35"/>
  <c r="C573" i="35"/>
  <c r="B574" i="35"/>
  <c r="C574" i="35"/>
  <c r="B575" i="35"/>
  <c r="C575" i="35"/>
  <c r="B576" i="35"/>
  <c r="C576" i="35"/>
  <c r="B577" i="35"/>
  <c r="C577" i="35"/>
  <c r="B578" i="35"/>
  <c r="C578" i="35"/>
  <c r="B579" i="35"/>
  <c r="C579" i="35"/>
  <c r="B580" i="35"/>
  <c r="C580" i="35"/>
  <c r="B581" i="35"/>
  <c r="C581" i="35"/>
  <c r="B582" i="35"/>
  <c r="C582" i="35"/>
  <c r="B583" i="35"/>
  <c r="C583" i="35"/>
  <c r="B584" i="35"/>
  <c r="C584" i="35"/>
  <c r="B585" i="35"/>
  <c r="C585" i="35"/>
  <c r="B586" i="35"/>
  <c r="C586" i="35"/>
  <c r="B587" i="35"/>
  <c r="C587" i="35"/>
  <c r="B588" i="35"/>
  <c r="C588" i="35"/>
  <c r="B589" i="35"/>
  <c r="C589" i="35"/>
  <c r="B590" i="35"/>
  <c r="C590" i="35"/>
  <c r="B591" i="35"/>
  <c r="C591" i="35"/>
  <c r="B592" i="35"/>
  <c r="C592" i="35"/>
  <c r="B593" i="35"/>
  <c r="C593" i="35"/>
  <c r="B594" i="35"/>
  <c r="C594" i="35"/>
  <c r="B595" i="35"/>
  <c r="C595" i="35"/>
  <c r="B596" i="35"/>
  <c r="C596" i="35"/>
  <c r="B597" i="35"/>
  <c r="C597" i="35"/>
  <c r="B598" i="35"/>
  <c r="C598" i="35"/>
  <c r="B599" i="35"/>
  <c r="C599" i="35"/>
  <c r="B600" i="35"/>
  <c r="C600" i="35"/>
  <c r="B601" i="35"/>
  <c r="C601" i="35"/>
  <c r="B602" i="35"/>
  <c r="C602" i="35"/>
  <c r="B603" i="35"/>
  <c r="C603" i="35"/>
  <c r="B604" i="35"/>
  <c r="C604" i="35"/>
  <c r="B605" i="35"/>
  <c r="C605" i="35"/>
  <c r="B606" i="35"/>
  <c r="C606" i="35"/>
  <c r="B607" i="35"/>
  <c r="C607" i="35"/>
  <c r="B608" i="35"/>
  <c r="C608" i="35"/>
  <c r="B609" i="35"/>
  <c r="C609" i="35"/>
  <c r="B610" i="35"/>
  <c r="C610" i="35"/>
  <c r="B611" i="35"/>
  <c r="C611" i="35"/>
  <c r="B612" i="35"/>
  <c r="C612" i="35"/>
  <c r="B613" i="35"/>
  <c r="C613" i="35"/>
  <c r="B614" i="35"/>
  <c r="C614" i="35"/>
  <c r="B615" i="35"/>
  <c r="C615" i="35"/>
  <c r="B616" i="35"/>
  <c r="C616" i="35"/>
  <c r="B617" i="35"/>
  <c r="C617" i="35"/>
  <c r="B618" i="35"/>
  <c r="C618" i="35"/>
  <c r="B619" i="35"/>
  <c r="C619" i="35"/>
  <c r="B620" i="35"/>
  <c r="C620" i="35"/>
  <c r="B621" i="35"/>
  <c r="C621" i="35"/>
  <c r="B622" i="35"/>
  <c r="C622" i="35"/>
  <c r="B623" i="35"/>
  <c r="C623" i="35"/>
  <c r="B624" i="35"/>
  <c r="C624" i="35"/>
  <c r="B625" i="35"/>
  <c r="C625" i="35"/>
  <c r="B626" i="35"/>
  <c r="C626" i="35"/>
  <c r="B627" i="35"/>
  <c r="C627" i="35"/>
  <c r="B628" i="35"/>
  <c r="C628" i="35"/>
  <c r="B629" i="35"/>
  <c r="C629" i="35"/>
  <c r="B630" i="35"/>
  <c r="C630" i="35"/>
  <c r="B631" i="35"/>
  <c r="C631" i="35"/>
  <c r="B632" i="35"/>
  <c r="C632" i="35"/>
  <c r="B633" i="35"/>
  <c r="C633" i="35"/>
  <c r="B634" i="35"/>
  <c r="C634" i="35"/>
  <c r="B635" i="35"/>
  <c r="C635" i="35"/>
  <c r="B636" i="35"/>
  <c r="C636" i="35"/>
  <c r="B637" i="35"/>
  <c r="C637" i="35"/>
  <c r="B638" i="35"/>
  <c r="C638" i="35"/>
  <c r="B639" i="35"/>
  <c r="C639" i="35"/>
  <c r="B640" i="35"/>
  <c r="C640" i="35"/>
  <c r="B641" i="35"/>
  <c r="C641" i="35"/>
  <c r="B642" i="35"/>
  <c r="C642" i="35"/>
  <c r="B643" i="35"/>
  <c r="C643" i="35"/>
  <c r="B644" i="35"/>
  <c r="C644" i="35"/>
  <c r="B645" i="35"/>
  <c r="C645" i="35"/>
  <c r="B646" i="35"/>
  <c r="C646" i="35"/>
  <c r="B647" i="35"/>
  <c r="C647" i="35"/>
  <c r="B648" i="35"/>
  <c r="C648" i="35"/>
  <c r="B649" i="35"/>
  <c r="C649" i="35"/>
  <c r="B650" i="35"/>
  <c r="C650" i="35"/>
  <c r="B651" i="35"/>
  <c r="C651" i="35"/>
  <c r="B652" i="35"/>
  <c r="C652" i="35"/>
  <c r="B653" i="35"/>
  <c r="C653" i="35"/>
  <c r="B654" i="35"/>
  <c r="C654" i="35"/>
  <c r="B655" i="35"/>
  <c r="C655" i="35"/>
  <c r="B656" i="35"/>
  <c r="C656" i="35"/>
  <c r="B657" i="35"/>
  <c r="C657" i="35"/>
  <c r="B658" i="35"/>
  <c r="C658" i="35"/>
  <c r="B659" i="35"/>
  <c r="C659" i="35"/>
  <c r="B660" i="35"/>
  <c r="C660" i="35"/>
  <c r="B661" i="35"/>
  <c r="C661" i="35"/>
  <c r="B662" i="35"/>
  <c r="C662" i="35"/>
  <c r="B663" i="35"/>
  <c r="C663" i="35"/>
  <c r="B664" i="35"/>
  <c r="C664" i="35"/>
  <c r="B665" i="35"/>
  <c r="C665" i="35"/>
  <c r="B666" i="35"/>
  <c r="C666" i="35"/>
  <c r="B667" i="35"/>
  <c r="C667" i="35"/>
  <c r="B668" i="35"/>
  <c r="C668" i="35"/>
  <c r="B669" i="35"/>
  <c r="C669" i="35"/>
  <c r="B670" i="35"/>
  <c r="C670" i="35"/>
  <c r="B671" i="35"/>
  <c r="C671" i="35"/>
  <c r="B672" i="35"/>
  <c r="C672" i="35"/>
  <c r="B673" i="35"/>
  <c r="C673" i="35"/>
  <c r="B674" i="35"/>
  <c r="C674" i="35"/>
  <c r="B675" i="35"/>
  <c r="C675" i="35"/>
  <c r="B676" i="35"/>
  <c r="C676" i="35"/>
  <c r="B677" i="35"/>
  <c r="C677" i="35"/>
  <c r="B678" i="35"/>
  <c r="C678" i="35"/>
  <c r="B679" i="35"/>
  <c r="C679" i="35"/>
  <c r="B680" i="35"/>
  <c r="C680" i="35"/>
  <c r="B681" i="35"/>
  <c r="C681" i="35"/>
  <c r="B682" i="35"/>
  <c r="C682" i="35"/>
  <c r="B683" i="35"/>
  <c r="C683" i="35"/>
  <c r="B684" i="35"/>
  <c r="C684" i="35"/>
  <c r="B685" i="35"/>
  <c r="C685" i="35"/>
  <c r="B686" i="35"/>
  <c r="C686" i="35"/>
  <c r="B687" i="35"/>
  <c r="C687" i="35"/>
  <c r="B688" i="35"/>
  <c r="C688" i="35"/>
  <c r="B689" i="35"/>
  <c r="C689" i="35"/>
  <c r="B690" i="35"/>
  <c r="C690" i="35"/>
  <c r="B691" i="35"/>
  <c r="C691" i="35"/>
  <c r="B693" i="35"/>
  <c r="C693" i="35"/>
  <c r="B694" i="35"/>
  <c r="C694" i="35"/>
  <c r="B695" i="35"/>
  <c r="C695" i="35"/>
  <c r="B696" i="35"/>
  <c r="C696" i="35"/>
  <c r="B697" i="35"/>
  <c r="C697" i="35"/>
  <c r="B698" i="35"/>
  <c r="C698" i="35"/>
  <c r="B699" i="35"/>
  <c r="C699" i="35"/>
  <c r="B700" i="35"/>
  <c r="C700" i="35"/>
  <c r="B701" i="35"/>
  <c r="C701" i="35"/>
  <c r="B702" i="35"/>
  <c r="C702" i="35"/>
  <c r="B703" i="35"/>
  <c r="C703" i="35"/>
  <c r="B704" i="35"/>
  <c r="C704" i="35"/>
  <c r="B705" i="35"/>
  <c r="C705" i="35"/>
  <c r="B706" i="35"/>
  <c r="C706" i="35"/>
  <c r="B707" i="35"/>
  <c r="C707" i="35"/>
  <c r="B708" i="35"/>
  <c r="C708" i="35"/>
  <c r="B709" i="35"/>
  <c r="C709" i="35"/>
  <c r="B710" i="35"/>
  <c r="C710" i="35"/>
  <c r="B711" i="35"/>
  <c r="C711" i="35"/>
  <c r="B712" i="35"/>
  <c r="C712" i="35"/>
  <c r="B713" i="35"/>
  <c r="C713" i="35"/>
  <c r="B714" i="35"/>
  <c r="C714" i="35"/>
  <c r="B715" i="35"/>
  <c r="C715" i="35"/>
  <c r="B716" i="35"/>
  <c r="C716" i="35"/>
  <c r="B717" i="35"/>
  <c r="C717" i="35"/>
  <c r="B718" i="35"/>
  <c r="C718" i="35"/>
  <c r="B719" i="35"/>
  <c r="C719" i="35"/>
  <c r="B720" i="35"/>
  <c r="C720" i="35"/>
  <c r="B721" i="35"/>
  <c r="C721" i="35"/>
  <c r="B722" i="35"/>
  <c r="C722" i="35"/>
  <c r="B723" i="35"/>
  <c r="C723" i="35"/>
  <c r="B724" i="35"/>
  <c r="C724" i="35"/>
  <c r="B725" i="35"/>
  <c r="C725" i="35"/>
  <c r="B726" i="35"/>
  <c r="C726" i="35"/>
  <c r="B727" i="35"/>
  <c r="C727" i="35"/>
  <c r="B728" i="35"/>
  <c r="C728" i="35"/>
  <c r="B729" i="35"/>
  <c r="C729" i="35"/>
  <c r="B730" i="35"/>
  <c r="C730" i="35"/>
  <c r="B731" i="35"/>
  <c r="C731" i="35"/>
  <c r="B732" i="35"/>
  <c r="C732" i="35"/>
  <c r="B733" i="35"/>
  <c r="C733" i="35"/>
  <c r="B734" i="35"/>
  <c r="C734" i="35"/>
  <c r="B735" i="35"/>
  <c r="C735" i="35"/>
  <c r="B736" i="35"/>
  <c r="C736" i="35"/>
  <c r="B737" i="35"/>
  <c r="C737" i="35"/>
  <c r="B738" i="35"/>
  <c r="C738" i="35"/>
  <c r="B739" i="35"/>
  <c r="C739" i="35"/>
  <c r="B740" i="35"/>
  <c r="C740" i="35"/>
  <c r="B741" i="35"/>
  <c r="C741" i="35"/>
  <c r="B742" i="35"/>
  <c r="C742" i="35"/>
  <c r="B743" i="35"/>
  <c r="C743" i="35"/>
  <c r="B744" i="35"/>
  <c r="C744" i="35"/>
  <c r="B745" i="35"/>
  <c r="C745" i="35"/>
  <c r="B746" i="35"/>
  <c r="C746" i="35"/>
  <c r="B747" i="35"/>
  <c r="C747" i="35"/>
  <c r="B748" i="35"/>
  <c r="C748" i="35"/>
  <c r="B749" i="35"/>
  <c r="C749" i="35"/>
  <c r="B750" i="35"/>
  <c r="C750" i="35"/>
  <c r="B751" i="35"/>
  <c r="C751" i="35"/>
  <c r="B752" i="35"/>
  <c r="C752" i="35"/>
  <c r="B753" i="35"/>
  <c r="C753" i="35"/>
  <c r="B754" i="35"/>
  <c r="C754" i="35"/>
  <c r="B755" i="35"/>
  <c r="C755" i="35"/>
  <c r="B756" i="35"/>
  <c r="C756" i="35"/>
  <c r="B757" i="35"/>
  <c r="C757" i="35"/>
  <c r="B758" i="35"/>
  <c r="C758" i="35"/>
  <c r="B759" i="35"/>
  <c r="C759" i="35"/>
  <c r="B760" i="35"/>
  <c r="C760" i="35"/>
  <c r="B761" i="35"/>
  <c r="C761" i="35"/>
  <c r="B762" i="35"/>
  <c r="C762" i="35"/>
  <c r="B763" i="35"/>
  <c r="C763" i="35"/>
  <c r="B764" i="35"/>
  <c r="C764" i="35"/>
  <c r="B765" i="35"/>
  <c r="C765" i="35"/>
  <c r="B766" i="35"/>
  <c r="C766" i="35"/>
  <c r="B767" i="35"/>
  <c r="C767" i="35"/>
  <c r="B768" i="35"/>
  <c r="C768" i="35"/>
  <c r="B769" i="35"/>
  <c r="C769" i="35"/>
  <c r="B770" i="35"/>
  <c r="C770" i="35"/>
  <c r="B771" i="35"/>
  <c r="C771" i="35"/>
  <c r="B772" i="35"/>
  <c r="C772" i="35"/>
  <c r="B773" i="35"/>
  <c r="C773" i="35"/>
  <c r="B774" i="35"/>
  <c r="C774" i="35"/>
  <c r="B775" i="35"/>
  <c r="C775" i="35"/>
  <c r="B776" i="35"/>
  <c r="C776" i="35"/>
  <c r="B777" i="35"/>
  <c r="C777" i="35"/>
  <c r="B778" i="35"/>
  <c r="C778" i="35"/>
  <c r="B779" i="35"/>
  <c r="C779" i="35"/>
  <c r="B780" i="35"/>
  <c r="C780" i="35"/>
  <c r="B781" i="35"/>
  <c r="C781" i="35"/>
  <c r="B782" i="35"/>
  <c r="C782" i="35"/>
  <c r="B783" i="35"/>
  <c r="C783" i="35"/>
  <c r="B784" i="35"/>
  <c r="C784" i="35"/>
  <c r="B785" i="35"/>
  <c r="C785" i="35"/>
  <c r="B786" i="35"/>
  <c r="C786" i="35"/>
  <c r="B787" i="35"/>
  <c r="C787" i="35"/>
  <c r="B788" i="35"/>
  <c r="C788" i="35"/>
  <c r="B789" i="35"/>
  <c r="C789" i="35"/>
  <c r="B790" i="35"/>
  <c r="C790" i="35"/>
  <c r="B791" i="35"/>
  <c r="C791" i="35"/>
  <c r="B792" i="35"/>
  <c r="C792" i="35"/>
  <c r="B793" i="35"/>
  <c r="C793" i="35"/>
  <c r="B794" i="35"/>
  <c r="C794" i="35"/>
  <c r="B795" i="35"/>
  <c r="C795" i="35"/>
  <c r="B796" i="35"/>
  <c r="C796" i="35"/>
  <c r="B797" i="35"/>
  <c r="C797" i="35"/>
  <c r="B798" i="35"/>
  <c r="C798" i="35"/>
  <c r="B799" i="35"/>
  <c r="C799" i="35"/>
  <c r="B800" i="35"/>
  <c r="C800" i="35"/>
  <c r="B801" i="35"/>
  <c r="C801" i="35"/>
  <c r="B802" i="35"/>
  <c r="C802" i="35"/>
  <c r="B803" i="35"/>
  <c r="C803" i="35"/>
  <c r="B804" i="35"/>
  <c r="C804" i="35"/>
  <c r="B805" i="35"/>
  <c r="C805" i="35"/>
  <c r="B806" i="35"/>
  <c r="C806" i="35"/>
  <c r="B807" i="35"/>
  <c r="C807" i="35"/>
  <c r="B808" i="35"/>
  <c r="C808" i="35"/>
  <c r="B809" i="35"/>
  <c r="C809" i="35"/>
  <c r="B810" i="35"/>
  <c r="C810" i="35"/>
  <c r="B811" i="35"/>
  <c r="C811" i="35"/>
  <c r="B812" i="35"/>
  <c r="C812" i="35"/>
  <c r="B813" i="35"/>
  <c r="C813" i="35"/>
  <c r="B814" i="35"/>
  <c r="C814" i="35"/>
  <c r="B815" i="35"/>
  <c r="C815" i="35"/>
  <c r="B816" i="35"/>
  <c r="C816" i="35"/>
  <c r="B817" i="35"/>
  <c r="C817" i="35"/>
  <c r="B818" i="35"/>
  <c r="C818" i="35"/>
  <c r="B819" i="35"/>
  <c r="C819" i="35"/>
  <c r="B820" i="35"/>
  <c r="C820" i="35"/>
  <c r="B821" i="35"/>
  <c r="C821" i="35"/>
  <c r="B822" i="35"/>
  <c r="C822" i="35"/>
  <c r="B823" i="35"/>
  <c r="C823" i="35"/>
  <c r="B824" i="35"/>
  <c r="C824" i="35"/>
  <c r="B825" i="35"/>
  <c r="C825" i="35"/>
  <c r="B826" i="35"/>
  <c r="C826" i="35"/>
  <c r="B827" i="35"/>
  <c r="C827" i="35"/>
  <c r="B828" i="35"/>
  <c r="C828" i="35"/>
  <c r="B829" i="35"/>
  <c r="C829" i="35"/>
  <c r="B830" i="35"/>
  <c r="C830" i="35"/>
  <c r="B831" i="35"/>
  <c r="C831" i="35"/>
  <c r="B832" i="35"/>
  <c r="C832" i="35"/>
  <c r="B833" i="35"/>
  <c r="C833" i="35"/>
  <c r="B834" i="35"/>
  <c r="C834" i="35"/>
  <c r="B835" i="35"/>
  <c r="C835" i="35"/>
  <c r="B836" i="35"/>
  <c r="C836" i="35"/>
  <c r="B837" i="35"/>
  <c r="C837" i="35"/>
  <c r="B838" i="35"/>
  <c r="C838" i="35"/>
  <c r="B839" i="35"/>
  <c r="C839" i="35"/>
  <c r="B840" i="35"/>
  <c r="C840" i="35"/>
  <c r="B841" i="35"/>
  <c r="C841" i="35"/>
  <c r="B842" i="35"/>
  <c r="C842" i="35"/>
  <c r="B843" i="35"/>
  <c r="C843" i="35"/>
  <c r="B844" i="35"/>
  <c r="C844" i="35"/>
  <c r="B845" i="35"/>
  <c r="C845" i="35"/>
  <c r="B846" i="35"/>
  <c r="C846" i="35"/>
  <c r="B847" i="35"/>
  <c r="C847" i="35"/>
  <c r="B848" i="35"/>
  <c r="C848" i="35"/>
  <c r="B849" i="35"/>
  <c r="C849" i="35"/>
  <c r="B850" i="35"/>
  <c r="C850" i="35"/>
  <c r="B851" i="35"/>
  <c r="C851" i="35"/>
  <c r="B852" i="35"/>
  <c r="C852" i="35"/>
  <c r="B853" i="35"/>
  <c r="C853" i="35"/>
  <c r="B854" i="35"/>
  <c r="C854" i="35"/>
  <c r="B855" i="35"/>
  <c r="C855" i="35"/>
  <c r="B856" i="35"/>
  <c r="C856" i="35"/>
  <c r="B857" i="35"/>
  <c r="C857" i="35"/>
  <c r="B858" i="35"/>
  <c r="C858" i="35"/>
  <c r="B859" i="35"/>
  <c r="C859" i="35"/>
  <c r="B860" i="35"/>
  <c r="C860" i="35"/>
  <c r="B861" i="35"/>
  <c r="C861" i="35"/>
  <c r="B862" i="35"/>
  <c r="C862" i="35"/>
  <c r="B863" i="35"/>
  <c r="C863" i="35"/>
  <c r="B864" i="35"/>
  <c r="C864" i="35"/>
  <c r="B865" i="35"/>
  <c r="C865" i="35"/>
  <c r="B866" i="35"/>
  <c r="C866" i="35"/>
  <c r="B867" i="35"/>
  <c r="C867" i="35"/>
  <c r="B868" i="35"/>
  <c r="C868" i="35"/>
  <c r="B869" i="35"/>
  <c r="C869" i="35"/>
  <c r="B870" i="35"/>
  <c r="C870" i="35"/>
  <c r="B871" i="35"/>
  <c r="C871" i="35"/>
  <c r="B872" i="35"/>
  <c r="C872" i="35"/>
  <c r="B873" i="35"/>
  <c r="C873" i="35"/>
  <c r="B874" i="35"/>
  <c r="C874" i="35"/>
  <c r="B875" i="35"/>
  <c r="C875" i="35"/>
  <c r="B876" i="35"/>
  <c r="C876" i="35"/>
  <c r="B877" i="35"/>
  <c r="C877" i="35"/>
  <c r="B878" i="35"/>
  <c r="C878" i="35"/>
  <c r="B879" i="35"/>
  <c r="C879" i="35"/>
  <c r="B880" i="35"/>
  <c r="C880" i="35"/>
  <c r="B881" i="35"/>
  <c r="C881" i="35"/>
  <c r="B882" i="35"/>
  <c r="C882" i="35"/>
  <c r="B883" i="35"/>
  <c r="C883" i="35"/>
  <c r="B884" i="35"/>
  <c r="C884" i="35"/>
  <c r="B885" i="35"/>
  <c r="C885" i="35"/>
  <c r="B886" i="35"/>
  <c r="C886" i="35"/>
  <c r="B887" i="35"/>
  <c r="C887" i="35"/>
  <c r="B888" i="35"/>
  <c r="C888" i="35"/>
  <c r="B889" i="35"/>
  <c r="C889" i="35"/>
  <c r="B890" i="35"/>
  <c r="C890" i="35"/>
  <c r="B891" i="35"/>
  <c r="C891" i="35"/>
  <c r="B892" i="35"/>
  <c r="C892" i="35"/>
  <c r="B893" i="35"/>
  <c r="C893" i="35"/>
  <c r="B894" i="35"/>
  <c r="C894" i="35"/>
  <c r="B895" i="35"/>
  <c r="C895" i="35"/>
  <c r="B896" i="35"/>
  <c r="C896" i="35"/>
  <c r="B897" i="35"/>
  <c r="C897" i="35"/>
  <c r="B898" i="35"/>
  <c r="C898" i="35"/>
  <c r="B899" i="35"/>
  <c r="C899" i="35"/>
  <c r="B900" i="35"/>
  <c r="C900" i="35"/>
  <c r="B901" i="35"/>
  <c r="C901" i="35"/>
  <c r="B902" i="35"/>
  <c r="C902" i="35"/>
  <c r="B903" i="35"/>
  <c r="C903" i="35"/>
  <c r="B904" i="35"/>
  <c r="C904" i="35"/>
  <c r="B905" i="35"/>
  <c r="C905" i="35"/>
  <c r="B906" i="35"/>
  <c r="C906" i="35"/>
  <c r="B907" i="35"/>
  <c r="C907" i="35"/>
  <c r="B908" i="35"/>
  <c r="C908" i="35"/>
  <c r="B909" i="35"/>
  <c r="C909" i="35"/>
  <c r="B910" i="35"/>
  <c r="C910" i="35"/>
  <c r="B911" i="35"/>
  <c r="C911" i="35"/>
  <c r="B912" i="35"/>
  <c r="C912" i="35"/>
  <c r="B913" i="35"/>
  <c r="C913" i="35"/>
  <c r="B914" i="35"/>
  <c r="C914" i="35"/>
  <c r="B915" i="35"/>
  <c r="C915" i="35"/>
  <c r="B916" i="35"/>
  <c r="C916" i="35"/>
  <c r="B917" i="35"/>
  <c r="C917" i="35"/>
  <c r="B918" i="35"/>
  <c r="C918" i="35"/>
  <c r="B919" i="35"/>
  <c r="C919" i="35"/>
  <c r="B920" i="35"/>
  <c r="C920" i="35"/>
  <c r="B921" i="35"/>
  <c r="C921" i="35"/>
  <c r="B922" i="35"/>
  <c r="C922" i="35"/>
  <c r="B923" i="35"/>
  <c r="C923" i="35"/>
  <c r="B924" i="35"/>
  <c r="C924" i="35"/>
  <c r="B925" i="35"/>
  <c r="C925" i="35"/>
  <c r="B926" i="35"/>
  <c r="C926" i="35"/>
  <c r="B927" i="35"/>
  <c r="C927" i="35"/>
  <c r="B928" i="35"/>
  <c r="C928" i="35"/>
  <c r="B929" i="35"/>
  <c r="C929" i="35"/>
  <c r="B930" i="35"/>
  <c r="C930" i="35"/>
  <c r="B931" i="35"/>
  <c r="C931" i="35"/>
  <c r="B932" i="35"/>
  <c r="C932" i="35"/>
  <c r="B933" i="35"/>
  <c r="C933" i="35"/>
  <c r="B934" i="35"/>
  <c r="C934" i="35"/>
  <c r="B935" i="35"/>
  <c r="C935" i="35"/>
  <c r="B936" i="35"/>
  <c r="C936" i="35"/>
  <c r="B937" i="35"/>
  <c r="C937" i="35"/>
  <c r="B938" i="35"/>
  <c r="C938" i="35"/>
  <c r="B939" i="35"/>
  <c r="C939" i="35"/>
  <c r="B940" i="35"/>
  <c r="C940" i="35"/>
  <c r="B941" i="35"/>
  <c r="C941" i="35"/>
  <c r="B942" i="35"/>
  <c r="C942" i="35"/>
  <c r="B943" i="35"/>
  <c r="C943" i="35"/>
  <c r="B944" i="35"/>
  <c r="C944" i="35"/>
  <c r="B945" i="35"/>
  <c r="C945" i="35"/>
  <c r="B946" i="35"/>
  <c r="C946" i="35"/>
  <c r="B947" i="35"/>
  <c r="C947" i="35"/>
  <c r="B948" i="35"/>
  <c r="C948" i="35"/>
  <c r="B949" i="35"/>
  <c r="C949" i="35"/>
  <c r="B950" i="35"/>
  <c r="C950" i="35"/>
  <c r="B951" i="35"/>
  <c r="C951" i="35"/>
  <c r="B952" i="35"/>
  <c r="C952" i="35"/>
  <c r="B953" i="35"/>
  <c r="C953" i="35"/>
  <c r="B954" i="35"/>
  <c r="C954" i="35"/>
  <c r="B955" i="35"/>
  <c r="C955" i="35"/>
  <c r="B956" i="35"/>
  <c r="C956" i="35"/>
  <c r="B957" i="35"/>
  <c r="C957" i="35"/>
  <c r="B958" i="35"/>
  <c r="C958" i="35"/>
  <c r="B959" i="35"/>
  <c r="C959" i="35"/>
  <c r="B960" i="35"/>
  <c r="C960" i="35"/>
  <c r="B961" i="35"/>
  <c r="C961" i="35"/>
  <c r="B962" i="35"/>
  <c r="C962" i="35"/>
  <c r="B963" i="35"/>
  <c r="C963" i="35"/>
  <c r="B964" i="35"/>
  <c r="C964" i="35"/>
  <c r="B965" i="35"/>
  <c r="C965" i="35"/>
  <c r="B966" i="35"/>
  <c r="C966" i="35"/>
  <c r="B967" i="35"/>
  <c r="C967" i="35"/>
  <c r="B968" i="35"/>
  <c r="C968" i="35"/>
  <c r="B969" i="35"/>
  <c r="C969" i="35"/>
  <c r="B970" i="35"/>
  <c r="C970" i="35"/>
  <c r="B971" i="35"/>
  <c r="C971" i="35"/>
  <c r="B972" i="35"/>
  <c r="C972" i="35"/>
  <c r="B973" i="35"/>
  <c r="C973" i="35"/>
  <c r="B974" i="35"/>
  <c r="C974" i="35"/>
  <c r="B975" i="35"/>
  <c r="C975" i="35"/>
  <c r="B976" i="35"/>
  <c r="C976" i="35"/>
  <c r="B977" i="35"/>
  <c r="C977" i="35"/>
  <c r="B978" i="35"/>
  <c r="C978" i="35"/>
  <c r="B979" i="35"/>
  <c r="C979" i="35"/>
  <c r="B980" i="35"/>
  <c r="C980" i="35"/>
  <c r="B981" i="35"/>
  <c r="C981" i="35"/>
  <c r="B982" i="35"/>
  <c r="C982" i="35"/>
  <c r="B983" i="35"/>
  <c r="C983" i="35"/>
  <c r="B984" i="35"/>
  <c r="C984" i="35"/>
  <c r="B985" i="35"/>
  <c r="C985" i="35"/>
  <c r="B986" i="35"/>
  <c r="C986" i="35"/>
  <c r="B987" i="35"/>
  <c r="C987" i="35"/>
  <c r="B988" i="35"/>
  <c r="C988" i="35"/>
  <c r="B989" i="35"/>
  <c r="C989" i="35"/>
  <c r="B990" i="35"/>
  <c r="C990" i="35"/>
  <c r="B991" i="35"/>
  <c r="C991" i="35"/>
  <c r="B992" i="35"/>
  <c r="C992" i="35"/>
  <c r="B993" i="35"/>
  <c r="C993" i="35"/>
  <c r="B994" i="35"/>
  <c r="C994" i="35"/>
  <c r="B995" i="35"/>
  <c r="C995" i="35"/>
  <c r="B996" i="35"/>
  <c r="C996" i="35"/>
  <c r="B997" i="35"/>
  <c r="C997" i="35"/>
  <c r="B998" i="35"/>
  <c r="C998" i="35"/>
  <c r="B999" i="35"/>
  <c r="C999" i="35"/>
  <c r="B1000" i="35"/>
  <c r="C1000" i="35"/>
  <c r="B1001" i="35"/>
  <c r="C1001" i="35"/>
  <c r="B1002" i="35"/>
  <c r="C1002" i="35"/>
  <c r="B1003" i="35"/>
  <c r="C1003" i="35"/>
  <c r="B1004" i="35"/>
  <c r="C1004" i="35"/>
  <c r="B1005" i="35"/>
  <c r="C1005" i="35"/>
  <c r="B1006" i="35"/>
  <c r="C1006" i="35"/>
  <c r="B1007" i="35"/>
  <c r="C1007" i="35"/>
  <c r="B1008" i="35"/>
  <c r="C1008" i="35"/>
  <c r="B1009" i="35"/>
  <c r="C1009" i="35"/>
  <c r="B1010" i="35"/>
  <c r="C1010" i="35"/>
  <c r="B1011" i="35"/>
  <c r="C1011" i="35"/>
  <c r="B1012" i="35"/>
  <c r="C1012" i="35"/>
  <c r="B1013" i="35"/>
  <c r="C1013" i="35"/>
  <c r="B1014" i="35"/>
  <c r="C1014" i="35"/>
  <c r="B1015" i="35"/>
  <c r="C1015" i="35"/>
  <c r="B1016" i="35"/>
  <c r="C1016" i="35"/>
  <c r="B1017" i="35"/>
  <c r="C1017" i="35"/>
  <c r="B1018" i="35"/>
  <c r="C1018" i="35"/>
  <c r="B1019" i="35"/>
  <c r="C1019" i="35"/>
  <c r="B1020" i="35"/>
  <c r="C1020" i="35"/>
  <c r="B1021" i="35"/>
  <c r="C1021" i="35"/>
  <c r="B1022" i="35"/>
  <c r="C1022" i="35"/>
  <c r="B1023" i="35"/>
  <c r="C1023" i="35"/>
  <c r="B1024" i="35"/>
  <c r="C1024" i="35"/>
  <c r="B1025" i="35"/>
  <c r="C1025" i="35"/>
  <c r="B1026" i="35"/>
  <c r="C1026" i="35"/>
  <c r="B1027" i="35"/>
  <c r="C1027" i="35"/>
  <c r="B1028" i="35"/>
  <c r="C1028" i="35"/>
  <c r="B1029" i="35"/>
  <c r="C1029" i="35"/>
  <c r="B1030" i="35"/>
  <c r="C1030" i="35"/>
  <c r="B1031" i="35"/>
  <c r="C1031" i="35"/>
  <c r="B1032" i="35"/>
  <c r="C1032" i="35"/>
  <c r="B1033" i="35"/>
  <c r="C1033" i="35"/>
  <c r="B1034" i="35"/>
  <c r="C1034" i="35"/>
  <c r="B1035" i="35"/>
  <c r="C1035" i="35"/>
  <c r="B1036" i="35"/>
  <c r="C1036" i="35"/>
  <c r="B1037" i="35"/>
  <c r="C1037" i="35"/>
  <c r="B1038" i="35"/>
  <c r="C1038" i="35"/>
  <c r="B1039" i="35"/>
  <c r="C1039" i="35"/>
  <c r="B1040" i="35"/>
  <c r="C1040" i="35"/>
  <c r="B1041" i="35"/>
  <c r="C1041" i="35"/>
  <c r="B1042" i="35"/>
  <c r="C1042" i="35"/>
  <c r="B1043" i="35"/>
  <c r="C1043" i="35"/>
  <c r="B1044" i="35"/>
  <c r="C1044" i="35"/>
  <c r="B1045" i="35"/>
  <c r="C1045" i="35"/>
  <c r="B1046" i="35"/>
  <c r="C1046" i="35"/>
  <c r="B1047" i="35"/>
  <c r="C1047" i="35"/>
  <c r="B1048" i="35"/>
  <c r="C1048" i="35"/>
  <c r="B1049" i="35"/>
  <c r="C1049" i="35"/>
  <c r="B1050" i="35"/>
  <c r="C1050" i="35"/>
  <c r="B1051" i="35"/>
  <c r="C1051" i="35"/>
  <c r="B1052" i="35"/>
  <c r="C1052" i="35"/>
  <c r="B1053" i="35"/>
  <c r="C1053" i="35"/>
  <c r="B1054" i="35"/>
  <c r="C1054" i="35"/>
  <c r="B1055" i="35"/>
  <c r="C1055" i="35"/>
  <c r="B1056" i="35"/>
  <c r="C1056" i="35"/>
  <c r="B1057" i="35"/>
  <c r="C1057" i="35"/>
  <c r="B1058" i="35"/>
  <c r="C1058" i="35"/>
  <c r="B1059" i="35"/>
  <c r="C1059" i="35"/>
  <c r="B1060" i="35"/>
  <c r="C1060" i="35"/>
  <c r="B1061" i="35"/>
  <c r="C1061" i="35"/>
  <c r="B1062" i="35"/>
  <c r="C1062" i="35"/>
  <c r="B1063" i="35"/>
  <c r="C1063" i="35"/>
  <c r="B1064" i="35"/>
  <c r="C1064" i="35"/>
  <c r="B1065" i="35"/>
  <c r="C1065" i="35"/>
  <c r="B1066" i="35"/>
  <c r="C1066" i="35"/>
  <c r="B1067" i="35"/>
  <c r="C1067" i="35"/>
  <c r="B1068" i="35"/>
  <c r="C1068" i="35"/>
  <c r="B1069" i="35"/>
  <c r="C1069" i="35"/>
  <c r="B1070" i="35"/>
  <c r="C1070" i="35"/>
  <c r="B1071" i="35"/>
  <c r="C1071" i="35"/>
  <c r="B1072" i="35"/>
  <c r="C1072" i="35"/>
  <c r="B1073" i="35"/>
  <c r="C1073" i="35"/>
  <c r="B1074" i="35"/>
  <c r="C1074" i="35"/>
  <c r="B1075" i="35"/>
  <c r="C1075" i="35"/>
  <c r="B1076" i="35"/>
  <c r="C1076" i="35"/>
  <c r="B1077" i="35"/>
  <c r="C1077" i="35"/>
  <c r="B1078" i="35"/>
  <c r="C1078" i="35"/>
  <c r="B1079" i="35"/>
  <c r="C1079" i="35"/>
  <c r="B1080" i="35"/>
  <c r="C1080" i="35"/>
  <c r="B1081" i="35"/>
  <c r="C1081" i="35"/>
  <c r="B1082" i="35"/>
  <c r="C1082" i="35"/>
  <c r="B1083" i="35"/>
  <c r="C1083" i="35"/>
  <c r="B1084" i="35"/>
  <c r="C1084" i="35"/>
  <c r="B1085" i="35"/>
  <c r="C1085" i="35"/>
  <c r="B1086" i="35"/>
  <c r="C1086" i="35"/>
  <c r="B1087" i="35"/>
  <c r="C1087" i="35"/>
  <c r="B1088" i="35"/>
  <c r="C1088" i="35"/>
  <c r="B1089" i="35"/>
  <c r="C1089" i="35"/>
  <c r="B1090" i="35"/>
  <c r="C1090" i="35"/>
  <c r="B1091" i="35"/>
  <c r="C1091" i="35"/>
  <c r="B1092" i="35"/>
  <c r="C1092" i="35"/>
  <c r="B1093" i="35"/>
  <c r="C1093" i="35"/>
  <c r="B1094" i="35"/>
  <c r="C1094" i="35"/>
  <c r="B1095" i="35"/>
  <c r="C1095" i="35"/>
  <c r="B1096" i="35"/>
  <c r="C1096" i="35"/>
  <c r="B1097" i="35"/>
  <c r="C1097" i="35"/>
  <c r="B1098" i="35"/>
  <c r="C1098" i="35"/>
  <c r="B1099" i="35"/>
  <c r="C1099" i="35"/>
  <c r="B1100" i="35"/>
  <c r="C1100" i="35"/>
  <c r="B1101" i="35"/>
  <c r="C1101" i="35"/>
  <c r="B1102" i="35"/>
  <c r="C1102" i="35"/>
  <c r="B1103" i="35"/>
  <c r="C1103" i="35"/>
  <c r="B1104" i="35"/>
  <c r="C1104" i="35"/>
  <c r="B1105" i="35"/>
  <c r="C1105" i="35"/>
  <c r="B1106" i="35"/>
  <c r="C1106" i="35"/>
  <c r="B1107" i="35"/>
  <c r="C1107" i="35"/>
  <c r="B1108" i="35"/>
  <c r="C1108" i="35"/>
  <c r="B1109" i="35"/>
  <c r="C1109" i="35"/>
  <c r="B1110" i="35"/>
  <c r="C1110" i="35"/>
  <c r="B1111" i="35"/>
  <c r="C1111" i="35"/>
  <c r="B1112" i="35"/>
  <c r="C1112" i="35"/>
  <c r="B1113" i="35"/>
  <c r="C1113" i="35"/>
  <c r="B1114" i="35"/>
  <c r="C1114" i="35"/>
  <c r="B1115" i="35"/>
  <c r="C1115" i="35"/>
  <c r="B1116" i="35"/>
  <c r="C1116" i="35"/>
  <c r="B1117" i="35"/>
  <c r="C1117" i="35"/>
  <c r="B1118" i="35"/>
  <c r="C1118" i="35"/>
  <c r="B1119" i="35"/>
  <c r="C1119" i="35"/>
  <c r="B1120" i="35"/>
  <c r="C1120" i="35"/>
  <c r="B1121" i="35"/>
  <c r="C1121" i="35"/>
  <c r="B1122" i="35"/>
  <c r="C1122" i="35"/>
  <c r="B1123" i="35"/>
  <c r="C1123" i="35"/>
  <c r="B1124" i="35"/>
  <c r="C1124" i="35"/>
  <c r="B1125" i="35"/>
  <c r="C1125" i="35"/>
  <c r="B1126" i="35"/>
  <c r="C1126" i="35"/>
  <c r="B1127" i="35"/>
  <c r="C1127" i="35"/>
  <c r="B1128" i="35"/>
  <c r="C1128" i="35"/>
  <c r="B1129" i="35"/>
  <c r="C1129" i="35"/>
  <c r="B1130" i="35"/>
  <c r="C1130" i="35"/>
  <c r="B1131" i="35"/>
  <c r="C1131" i="35"/>
  <c r="B1132" i="35"/>
  <c r="C1132" i="35"/>
  <c r="B1133" i="35"/>
  <c r="C1133" i="35"/>
  <c r="B1134" i="35"/>
  <c r="C1134" i="35"/>
  <c r="B1135" i="35"/>
  <c r="C1135" i="35"/>
  <c r="B1136" i="35"/>
  <c r="C1136" i="35"/>
  <c r="B1137" i="35"/>
  <c r="C1137" i="35"/>
  <c r="B1138" i="35"/>
  <c r="C1138" i="35"/>
  <c r="B1139" i="35"/>
  <c r="C1139" i="35"/>
  <c r="B1140" i="35"/>
  <c r="C1140" i="35"/>
  <c r="B1141" i="35"/>
  <c r="C1141" i="35"/>
  <c r="B1142" i="35"/>
  <c r="C1142" i="35"/>
  <c r="B1143" i="35"/>
  <c r="C1143" i="35"/>
  <c r="B1144" i="35"/>
  <c r="C1144" i="35"/>
  <c r="B1145" i="35"/>
  <c r="C1145" i="35"/>
  <c r="B1146" i="35"/>
  <c r="C1146" i="35"/>
  <c r="B1147" i="35"/>
  <c r="C1147" i="35"/>
  <c r="B1148" i="35"/>
  <c r="C1148" i="35"/>
  <c r="B1149" i="35"/>
  <c r="C1149" i="35"/>
  <c r="B1150" i="35"/>
  <c r="C1150" i="35"/>
  <c r="B1151" i="35"/>
  <c r="C1151" i="35"/>
  <c r="B1152" i="35"/>
  <c r="C1152" i="35"/>
  <c r="B1153" i="35"/>
  <c r="C1153" i="35"/>
  <c r="B1154" i="35"/>
  <c r="C1154" i="35"/>
  <c r="B1155" i="35"/>
  <c r="C1155" i="35"/>
  <c r="B1156" i="35"/>
  <c r="C1156" i="35"/>
  <c r="B1157" i="35"/>
  <c r="C1157" i="35"/>
  <c r="B1158" i="35"/>
  <c r="C1158" i="35"/>
  <c r="B1159" i="35"/>
  <c r="C1159" i="35"/>
  <c r="B1160" i="35"/>
  <c r="C1160" i="35"/>
  <c r="B1161" i="35"/>
  <c r="C1161" i="35"/>
  <c r="B1162" i="35"/>
  <c r="C1162" i="35"/>
  <c r="B1163" i="35"/>
  <c r="C1163" i="35"/>
  <c r="B1164" i="35"/>
  <c r="C1164" i="35"/>
  <c r="B1165" i="35"/>
  <c r="C1165" i="35"/>
  <c r="B1166" i="35"/>
  <c r="C1166" i="35"/>
  <c r="B1167" i="35"/>
  <c r="C1167" i="35"/>
  <c r="B1168" i="35"/>
  <c r="C1168" i="35"/>
  <c r="B1169" i="35"/>
  <c r="C1169" i="35"/>
  <c r="B1170" i="35"/>
  <c r="C1170" i="35"/>
  <c r="B1171" i="35"/>
  <c r="C1171" i="35"/>
  <c r="B1172" i="35"/>
  <c r="C1172" i="35"/>
  <c r="B1173" i="35"/>
  <c r="C1173" i="35"/>
  <c r="B1174" i="35"/>
  <c r="C1174" i="35"/>
  <c r="B1175" i="35"/>
  <c r="C1175" i="35"/>
  <c r="B1176" i="35"/>
  <c r="C1176" i="35"/>
  <c r="B1177" i="35"/>
  <c r="C1177" i="35"/>
  <c r="B1178" i="35"/>
  <c r="C1178" i="35"/>
  <c r="B1179" i="35"/>
  <c r="C1179" i="35"/>
  <c r="B1180" i="35"/>
  <c r="C1180" i="35"/>
  <c r="B1181" i="35"/>
  <c r="C1181" i="35"/>
  <c r="B1182" i="35"/>
  <c r="C1182" i="35"/>
  <c r="B1183" i="35"/>
  <c r="C1183" i="35"/>
  <c r="B1184" i="35"/>
  <c r="C1184" i="35"/>
  <c r="B1185" i="35"/>
  <c r="C1185" i="35"/>
  <c r="B1186" i="35"/>
  <c r="C1186" i="35"/>
  <c r="B1187" i="35"/>
  <c r="C1187" i="35"/>
  <c r="B1188" i="35"/>
  <c r="C1188" i="35"/>
  <c r="B1189" i="35"/>
  <c r="C1189" i="35"/>
  <c r="B1190" i="35"/>
  <c r="C1190" i="35"/>
  <c r="B1191" i="35"/>
  <c r="C1191" i="35"/>
  <c r="B1192" i="35"/>
  <c r="C1192" i="35"/>
  <c r="B1193" i="35"/>
  <c r="C1193" i="35"/>
  <c r="B1194" i="35"/>
  <c r="C1194" i="35"/>
  <c r="B1195" i="35"/>
  <c r="C1195" i="35"/>
  <c r="B1196" i="35"/>
  <c r="C1196" i="35"/>
  <c r="B1197" i="35"/>
  <c r="C1197" i="35"/>
  <c r="B1198" i="35"/>
  <c r="C1198" i="35"/>
  <c r="B1199" i="35"/>
  <c r="C1199" i="35"/>
  <c r="B1200" i="35"/>
  <c r="C1200" i="35"/>
  <c r="B1201" i="35"/>
  <c r="C1201" i="35"/>
  <c r="B1202" i="35"/>
  <c r="C1202" i="35"/>
  <c r="B1203" i="35"/>
  <c r="C1203" i="35"/>
  <c r="B1204" i="35"/>
  <c r="C1204" i="35"/>
  <c r="B1205" i="35"/>
  <c r="C1205" i="35"/>
  <c r="B1206" i="35"/>
  <c r="C1206" i="35"/>
  <c r="B1207" i="35"/>
  <c r="C1207" i="35"/>
  <c r="B1208" i="35"/>
  <c r="C1208" i="35"/>
  <c r="B1209" i="35"/>
  <c r="C1209" i="35"/>
  <c r="B1210" i="35"/>
  <c r="C1210" i="35"/>
  <c r="B1211" i="35"/>
  <c r="C1211" i="35"/>
  <c r="B1212" i="35"/>
  <c r="C1212" i="35"/>
  <c r="B1213" i="35"/>
  <c r="C1213" i="35"/>
  <c r="B1214" i="35"/>
  <c r="C1214" i="35"/>
  <c r="B1215" i="35"/>
  <c r="C1215" i="35"/>
  <c r="B1216" i="35"/>
  <c r="C1216" i="35"/>
  <c r="B1217" i="35"/>
  <c r="C1217" i="35"/>
  <c r="B1218" i="35"/>
  <c r="C1218" i="35"/>
  <c r="F14" i="42"/>
  <c r="G14" i="42" s="1"/>
  <c r="J17" i="42"/>
  <c r="J16" i="42"/>
  <c r="J15" i="42"/>
  <c r="J13" i="42"/>
  <c r="J12" i="42"/>
  <c r="F13" i="42"/>
  <c r="K94" i="9"/>
  <c r="J92" i="9"/>
  <c r="J91" i="9"/>
  <c r="J90" i="9"/>
  <c r="J89" i="9"/>
  <c r="C36" i="49"/>
  <c r="C55" i="49"/>
  <c r="C54" i="49"/>
  <c r="C51" i="49"/>
  <c r="C50" i="49"/>
  <c r="C65" i="49"/>
  <c r="A66" i="49"/>
  <c r="C66" i="49" s="1"/>
  <c r="I13" i="42"/>
  <c r="I16" i="9" l="1"/>
  <c r="L22" i="9"/>
  <c r="L20" i="9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4" i="1"/>
  <c r="BK13" i="1"/>
  <c r="BK12" i="1"/>
  <c r="BK11" i="1"/>
  <c r="BK10" i="1"/>
  <c r="BK9" i="1"/>
  <c r="BK8" i="1"/>
  <c r="BK7" i="1"/>
  <c r="BK6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G16" i="42" l="1"/>
  <c r="G15" i="42"/>
  <c r="G13" i="42"/>
  <c r="G17" i="42"/>
  <c r="H518" i="44"/>
  <c r="D551" i="44"/>
  <c r="C551" i="44"/>
  <c r="B551" i="44"/>
  <c r="E551" i="44" s="1"/>
  <c r="G12" i="42"/>
  <c r="G11" i="42"/>
  <c r="G10" i="42"/>
  <c r="G9" i="42"/>
  <c r="G6" i="42"/>
  <c r="H8" i="9" l="1"/>
  <c r="B76" i="34"/>
  <c r="C76" i="34"/>
  <c r="D76" i="34"/>
  <c r="F76" i="34"/>
  <c r="K76" i="34"/>
  <c r="L76" i="34"/>
  <c r="M76" i="34" s="1"/>
  <c r="P76" i="34"/>
  <c r="Q76" i="34"/>
  <c r="B77" i="34"/>
  <c r="C77" i="34"/>
  <c r="D77" i="34"/>
  <c r="F77" i="34"/>
  <c r="K77" i="34"/>
  <c r="L77" i="34"/>
  <c r="M77" i="34"/>
  <c r="P77" i="34"/>
  <c r="Q77" i="34"/>
  <c r="B78" i="34"/>
  <c r="C78" i="34"/>
  <c r="D78" i="34"/>
  <c r="F78" i="34"/>
  <c r="K78" i="34"/>
  <c r="L78" i="34"/>
  <c r="M78" i="34" s="1"/>
  <c r="P78" i="34"/>
  <c r="Q78" i="34"/>
  <c r="B79" i="34"/>
  <c r="C79" i="34"/>
  <c r="D79" i="34"/>
  <c r="F79" i="34"/>
  <c r="K79" i="34"/>
  <c r="L79" i="34"/>
  <c r="M79" i="34" s="1"/>
  <c r="P79" i="34"/>
  <c r="Q79" i="34"/>
  <c r="B80" i="34"/>
  <c r="C80" i="34"/>
  <c r="D80" i="34"/>
  <c r="F80" i="34"/>
  <c r="K80" i="34"/>
  <c r="L80" i="34"/>
  <c r="M80" i="34" s="1"/>
  <c r="P80" i="34"/>
  <c r="Q80" i="34"/>
  <c r="B81" i="34"/>
  <c r="C81" i="34"/>
  <c r="D81" i="34"/>
  <c r="F81" i="34"/>
  <c r="K81" i="34"/>
  <c r="P81" i="34"/>
  <c r="Q81" i="34"/>
  <c r="B82" i="34"/>
  <c r="C82" i="34"/>
  <c r="D82" i="34"/>
  <c r="F82" i="34"/>
  <c r="K82" i="34"/>
  <c r="L82" i="34"/>
  <c r="M82" i="34" s="1"/>
  <c r="P82" i="34"/>
  <c r="Q82" i="34"/>
  <c r="B83" i="34"/>
  <c r="C83" i="34"/>
  <c r="D83" i="34"/>
  <c r="F83" i="34"/>
  <c r="K83" i="34"/>
  <c r="L83" i="34"/>
  <c r="P83" i="34"/>
  <c r="Q83" i="34"/>
  <c r="B84" i="34"/>
  <c r="C84" i="34"/>
  <c r="D84" i="34"/>
  <c r="F84" i="34"/>
  <c r="K84" i="34"/>
  <c r="L84" i="34"/>
  <c r="M84" i="34" s="1"/>
  <c r="P84" i="34"/>
  <c r="Q84" i="34"/>
  <c r="B85" i="34"/>
  <c r="C85" i="34"/>
  <c r="D85" i="34"/>
  <c r="F85" i="34"/>
  <c r="K85" i="34"/>
  <c r="L85" i="34"/>
  <c r="P85" i="34"/>
  <c r="Q85" i="34"/>
  <c r="B86" i="34"/>
  <c r="C86" i="34"/>
  <c r="D86" i="34"/>
  <c r="F86" i="34"/>
  <c r="K86" i="34"/>
  <c r="P86" i="34"/>
  <c r="Q86" i="34"/>
  <c r="B87" i="34"/>
  <c r="C87" i="34"/>
  <c r="D87" i="34"/>
  <c r="F87" i="34"/>
  <c r="K87" i="34"/>
  <c r="L87" i="34"/>
  <c r="M87" i="34" s="1"/>
  <c r="P87" i="34"/>
  <c r="Q87" i="34"/>
  <c r="B88" i="34"/>
  <c r="C88" i="34"/>
  <c r="D88" i="34"/>
  <c r="F88" i="34"/>
  <c r="K88" i="34"/>
  <c r="L88" i="34"/>
  <c r="M88" i="34" s="1"/>
  <c r="P88" i="34"/>
  <c r="Q88" i="34"/>
  <c r="B89" i="34"/>
  <c r="C89" i="34"/>
  <c r="D89" i="34"/>
  <c r="F89" i="34"/>
  <c r="K89" i="34"/>
  <c r="L89" i="34"/>
  <c r="M89" i="34" s="1"/>
  <c r="P89" i="34"/>
  <c r="Q89" i="34"/>
  <c r="B90" i="34"/>
  <c r="C90" i="34"/>
  <c r="D90" i="34"/>
  <c r="F90" i="34"/>
  <c r="K90" i="34"/>
  <c r="L90" i="34"/>
  <c r="M90" i="34" s="1"/>
  <c r="P90" i="34"/>
  <c r="Q90" i="34"/>
  <c r="B91" i="34"/>
  <c r="C91" i="34"/>
  <c r="D91" i="34"/>
  <c r="F91" i="34"/>
  <c r="K91" i="34"/>
  <c r="L91" i="34"/>
  <c r="M91" i="34" s="1"/>
  <c r="P91" i="34"/>
  <c r="Q91" i="34"/>
  <c r="B92" i="34"/>
  <c r="C92" i="34"/>
  <c r="D92" i="34"/>
  <c r="F92" i="34"/>
  <c r="K92" i="34"/>
  <c r="L92" i="34"/>
  <c r="M92" i="34" s="1"/>
  <c r="P92" i="34"/>
  <c r="Q92" i="34"/>
  <c r="B93" i="34"/>
  <c r="C93" i="34"/>
  <c r="D93" i="34"/>
  <c r="F93" i="34"/>
  <c r="K93" i="34"/>
  <c r="L93" i="34"/>
  <c r="M93" i="34" s="1"/>
  <c r="P93" i="34"/>
  <c r="Q93" i="34"/>
  <c r="B94" i="34"/>
  <c r="C94" i="34"/>
  <c r="D94" i="34"/>
  <c r="F94" i="34"/>
  <c r="K94" i="34"/>
  <c r="L94" i="34"/>
  <c r="M94" i="34" s="1"/>
  <c r="P94" i="34"/>
  <c r="Q94" i="34"/>
  <c r="B95" i="34"/>
  <c r="C95" i="34"/>
  <c r="D95" i="34"/>
  <c r="F95" i="34"/>
  <c r="K95" i="34"/>
  <c r="L95" i="34"/>
  <c r="M95" i="34" s="1"/>
  <c r="P95" i="34"/>
  <c r="Q95" i="34"/>
  <c r="B96" i="34"/>
  <c r="C96" i="34"/>
  <c r="D96" i="34"/>
  <c r="F96" i="34"/>
  <c r="K96" i="34"/>
  <c r="L96" i="34"/>
  <c r="P96" i="34"/>
  <c r="Q96" i="34"/>
  <c r="B97" i="34"/>
  <c r="C97" i="34"/>
  <c r="D97" i="34"/>
  <c r="F97" i="34"/>
  <c r="K97" i="34"/>
  <c r="L97" i="34"/>
  <c r="M97" i="34" s="1"/>
  <c r="P97" i="34"/>
  <c r="Q97" i="34"/>
  <c r="B98" i="34"/>
  <c r="C98" i="34"/>
  <c r="D98" i="34"/>
  <c r="F98" i="34"/>
  <c r="K98" i="34"/>
  <c r="L98" i="34"/>
  <c r="M98" i="34" s="1"/>
  <c r="P98" i="34"/>
  <c r="Q98" i="34"/>
  <c r="B99" i="34"/>
  <c r="C99" i="34"/>
  <c r="D99" i="34"/>
  <c r="F99" i="34"/>
  <c r="K99" i="34"/>
  <c r="L99" i="34"/>
  <c r="M99" i="34" s="1"/>
  <c r="P99" i="34"/>
  <c r="Q99" i="34"/>
  <c r="I386" i="46"/>
  <c r="G386" i="46"/>
  <c r="I385" i="46"/>
  <c r="AG294" i="51"/>
  <c r="AE294" i="51"/>
  <c r="AB294" i="51"/>
  <c r="AG293" i="51"/>
  <c r="AE293" i="51"/>
  <c r="AB293" i="51"/>
  <c r="AG292" i="51"/>
  <c r="AE292" i="51"/>
  <c r="AB292" i="51"/>
  <c r="AG342" i="51"/>
  <c r="AE342" i="51"/>
  <c r="AB342" i="51"/>
  <c r="AG341" i="51"/>
  <c r="AE341" i="51"/>
  <c r="AB341" i="51"/>
  <c r="AG340" i="51"/>
  <c r="AE340" i="51"/>
  <c r="AB340" i="51"/>
  <c r="AG166" i="51"/>
  <c r="AE166" i="51"/>
  <c r="AB166" i="51"/>
  <c r="AG165" i="51"/>
  <c r="AE165" i="51"/>
  <c r="AB165" i="51"/>
  <c r="AG164" i="51"/>
  <c r="AE164" i="51"/>
  <c r="AB164" i="51"/>
  <c r="AG785" i="51"/>
  <c r="AE785" i="51"/>
  <c r="AB785" i="51"/>
  <c r="AG784" i="51"/>
  <c r="AE784" i="51"/>
  <c r="AB784" i="51"/>
  <c r="AG783" i="51"/>
  <c r="AE783" i="51"/>
  <c r="AB783" i="51"/>
  <c r="AG782" i="51"/>
  <c r="AE782" i="51"/>
  <c r="AB782" i="51"/>
  <c r="AG781" i="51"/>
  <c r="AE781" i="51"/>
  <c r="AB781" i="51"/>
  <c r="AG780" i="51"/>
  <c r="AE780" i="51"/>
  <c r="AB780" i="51"/>
  <c r="AG779" i="51"/>
  <c r="AE779" i="51"/>
  <c r="AB779" i="51"/>
  <c r="AG778" i="51"/>
  <c r="AE778" i="51"/>
  <c r="AB778" i="51"/>
  <c r="AG777" i="51"/>
  <c r="AE777" i="51"/>
  <c r="AB777" i="51"/>
  <c r="AG776" i="51"/>
  <c r="AE776" i="51"/>
  <c r="AB776" i="51"/>
  <c r="AG775" i="51"/>
  <c r="AE775" i="51"/>
  <c r="AB775" i="51"/>
  <c r="AG774" i="51"/>
  <c r="AE774" i="51"/>
  <c r="AB774" i="51"/>
  <c r="AG773" i="51"/>
  <c r="AE773" i="51"/>
  <c r="AB773" i="51"/>
  <c r="AG772" i="51"/>
  <c r="AE772" i="51"/>
  <c r="AB772" i="51"/>
  <c r="AG771" i="51"/>
  <c r="AE771" i="51"/>
  <c r="AB771" i="51"/>
  <c r="AG770" i="51"/>
  <c r="AE770" i="51"/>
  <c r="AB770" i="51"/>
  <c r="AG769" i="51"/>
  <c r="AE769" i="51"/>
  <c r="AB769" i="51"/>
  <c r="AG768" i="51"/>
  <c r="AE768" i="51"/>
  <c r="AB768" i="51"/>
  <c r="AG767" i="51"/>
  <c r="AE767" i="51"/>
  <c r="AB767" i="51"/>
  <c r="AG766" i="51"/>
  <c r="AE766" i="51"/>
  <c r="AB766" i="51"/>
  <c r="AG765" i="51"/>
  <c r="AE765" i="51"/>
  <c r="AB765" i="51"/>
  <c r="AG764" i="51"/>
  <c r="AE764" i="51"/>
  <c r="AB764" i="51"/>
  <c r="AG763" i="51"/>
  <c r="AE763" i="51"/>
  <c r="AB763" i="51"/>
  <c r="AG762" i="51"/>
  <c r="AE762" i="51"/>
  <c r="AB762" i="51"/>
  <c r="AG761" i="51"/>
  <c r="AE761" i="51"/>
  <c r="AB761" i="51"/>
  <c r="AG760" i="51"/>
  <c r="AE760" i="51"/>
  <c r="AB760" i="51"/>
  <c r="AG759" i="51"/>
  <c r="AE759" i="51"/>
  <c r="AB759" i="51"/>
  <c r="AG758" i="51"/>
  <c r="AE758" i="51"/>
  <c r="AB758" i="51"/>
  <c r="AG757" i="51"/>
  <c r="AE757" i="51"/>
  <c r="AB757" i="51"/>
  <c r="AG756" i="51"/>
  <c r="AE756" i="51"/>
  <c r="AB756" i="51"/>
  <c r="AG755" i="51"/>
  <c r="AE755" i="51"/>
  <c r="AB755" i="51"/>
  <c r="AG754" i="51"/>
  <c r="AE754" i="51"/>
  <c r="AB754" i="51"/>
  <c r="AG753" i="51"/>
  <c r="AE753" i="51"/>
  <c r="AB753" i="51"/>
  <c r="AG752" i="51"/>
  <c r="AE752" i="51"/>
  <c r="AB752" i="51"/>
  <c r="AG751" i="51"/>
  <c r="AE751" i="51"/>
  <c r="AB751" i="51"/>
  <c r="AG750" i="51"/>
  <c r="AE750" i="51"/>
  <c r="AB750" i="51"/>
  <c r="AG749" i="51"/>
  <c r="AE749" i="51"/>
  <c r="AB749" i="51"/>
  <c r="AG748" i="51"/>
  <c r="AE748" i="51"/>
  <c r="AB748" i="51"/>
  <c r="AG747" i="51"/>
  <c r="AE747" i="51"/>
  <c r="AB747" i="51"/>
  <c r="AG746" i="51"/>
  <c r="AE746" i="51"/>
  <c r="AB746" i="51"/>
  <c r="AG745" i="51"/>
  <c r="AE745" i="51"/>
  <c r="AB745" i="51"/>
  <c r="AG744" i="51"/>
  <c r="AE744" i="51"/>
  <c r="AB744" i="51"/>
  <c r="AG743" i="51"/>
  <c r="AE743" i="51"/>
  <c r="AB743" i="51"/>
  <c r="AG742" i="51"/>
  <c r="AE742" i="51"/>
  <c r="AB742" i="51"/>
  <c r="AG741" i="51"/>
  <c r="AE741" i="51"/>
  <c r="AB741" i="51"/>
  <c r="AG740" i="51"/>
  <c r="AE740" i="51"/>
  <c r="AB740" i="51"/>
  <c r="AG739" i="51"/>
  <c r="AE739" i="51"/>
  <c r="AB739" i="51"/>
  <c r="AG738" i="51"/>
  <c r="AE738" i="51"/>
  <c r="AB738" i="51"/>
  <c r="AG737" i="51"/>
  <c r="AE737" i="51"/>
  <c r="AB737" i="51"/>
  <c r="AG736" i="51"/>
  <c r="AE736" i="51"/>
  <c r="AB736" i="51"/>
  <c r="AG735" i="51"/>
  <c r="AE735" i="51"/>
  <c r="AB735" i="51"/>
  <c r="AG734" i="51"/>
  <c r="AE734" i="51"/>
  <c r="AB734" i="51"/>
  <c r="AG733" i="51"/>
  <c r="AE733" i="51"/>
  <c r="AB733" i="51"/>
  <c r="AG732" i="51"/>
  <c r="AE732" i="51"/>
  <c r="AB732" i="51"/>
  <c r="AG731" i="51"/>
  <c r="AE731" i="51"/>
  <c r="AB731" i="51"/>
  <c r="AG730" i="51"/>
  <c r="AE730" i="51"/>
  <c r="AB730" i="51"/>
  <c r="AG729" i="51"/>
  <c r="AE729" i="51"/>
  <c r="AB729" i="51"/>
  <c r="AG728" i="51"/>
  <c r="AE728" i="51"/>
  <c r="AB728" i="51"/>
  <c r="AG727" i="51"/>
  <c r="AE727" i="51"/>
  <c r="AB727" i="51"/>
  <c r="AG726" i="51"/>
  <c r="AE726" i="51"/>
  <c r="AB726" i="51"/>
  <c r="AG725" i="51"/>
  <c r="AE725" i="51"/>
  <c r="AB725" i="51"/>
  <c r="AG724" i="51"/>
  <c r="AE724" i="51"/>
  <c r="AB724" i="51"/>
  <c r="AG723" i="51"/>
  <c r="AE723" i="51"/>
  <c r="AB723" i="51"/>
  <c r="AG722" i="51"/>
  <c r="AE722" i="51"/>
  <c r="AB722" i="51"/>
  <c r="AG721" i="51"/>
  <c r="AE721" i="51"/>
  <c r="AB721" i="51"/>
  <c r="AG720" i="51"/>
  <c r="AE720" i="51"/>
  <c r="AB720" i="51"/>
  <c r="AG719" i="51"/>
  <c r="AE719" i="51"/>
  <c r="AB719" i="51"/>
  <c r="AG718" i="51"/>
  <c r="AE718" i="51"/>
  <c r="AB718" i="51"/>
  <c r="AG717" i="51"/>
  <c r="AE717" i="51"/>
  <c r="AB717" i="51"/>
  <c r="AG716" i="51"/>
  <c r="AE716" i="51"/>
  <c r="AB716" i="51"/>
  <c r="AG715" i="51"/>
  <c r="AE715" i="51"/>
  <c r="AB715" i="51"/>
  <c r="AG714" i="51"/>
  <c r="AE714" i="51"/>
  <c r="AB714" i="51"/>
  <c r="AG713" i="51"/>
  <c r="AE713" i="51"/>
  <c r="AB713" i="51"/>
  <c r="AG712" i="51"/>
  <c r="AE712" i="51"/>
  <c r="AB712" i="51"/>
  <c r="AG711" i="51"/>
  <c r="AE711" i="51"/>
  <c r="AB711" i="51"/>
  <c r="AG710" i="51"/>
  <c r="AE710" i="51"/>
  <c r="AB710" i="51"/>
  <c r="AG709" i="51"/>
  <c r="AE709" i="51"/>
  <c r="AB709" i="51"/>
  <c r="AG708" i="51"/>
  <c r="AE708" i="51"/>
  <c r="AB708" i="51"/>
  <c r="AG707" i="51"/>
  <c r="AE707" i="51"/>
  <c r="AB707" i="51"/>
  <c r="AG706" i="51"/>
  <c r="AE706" i="51"/>
  <c r="AB706" i="51"/>
  <c r="AG705" i="51"/>
  <c r="AE705" i="51"/>
  <c r="AB705" i="51"/>
  <c r="AG704" i="51"/>
  <c r="AE704" i="51"/>
  <c r="AB704" i="51"/>
  <c r="AG703" i="51"/>
  <c r="AE703" i="51"/>
  <c r="AB703" i="51"/>
  <c r="AG702" i="51"/>
  <c r="AE702" i="51"/>
  <c r="AB702" i="51"/>
  <c r="AG701" i="51"/>
  <c r="AE701" i="51"/>
  <c r="AB701" i="51"/>
  <c r="AG700" i="51"/>
  <c r="AE700" i="51"/>
  <c r="AB700" i="51"/>
  <c r="AG699" i="51"/>
  <c r="AE699" i="51"/>
  <c r="AB699" i="51"/>
  <c r="AG698" i="51"/>
  <c r="AE698" i="51"/>
  <c r="AB698" i="51"/>
  <c r="AG697" i="51"/>
  <c r="AE697" i="51"/>
  <c r="AB697" i="51"/>
  <c r="AG696" i="51"/>
  <c r="AE696" i="51"/>
  <c r="AB696" i="51"/>
  <c r="AG695" i="51"/>
  <c r="AE695" i="51"/>
  <c r="AB695" i="51"/>
  <c r="AG694" i="51"/>
  <c r="AE694" i="51"/>
  <c r="AB694" i="51"/>
  <c r="AG693" i="51"/>
  <c r="AE693" i="51"/>
  <c r="AB693" i="51"/>
  <c r="AG692" i="51"/>
  <c r="AE692" i="51"/>
  <c r="AB692" i="51"/>
  <c r="AG691" i="51"/>
  <c r="AE691" i="51"/>
  <c r="AB691" i="51"/>
  <c r="AG690" i="51"/>
  <c r="AE690" i="51"/>
  <c r="AB690" i="51"/>
  <c r="AG689" i="51"/>
  <c r="AE689" i="51"/>
  <c r="AB689" i="51"/>
  <c r="AG688" i="51"/>
  <c r="AE688" i="51"/>
  <c r="AB688" i="51"/>
  <c r="AG687" i="51"/>
  <c r="AE687" i="51"/>
  <c r="AB687" i="51"/>
  <c r="AG686" i="51"/>
  <c r="AE686" i="51"/>
  <c r="AB686" i="51"/>
  <c r="AG685" i="51"/>
  <c r="AE685" i="51"/>
  <c r="AB685" i="51"/>
  <c r="AG684" i="51"/>
  <c r="AE684" i="51"/>
  <c r="AB684" i="51"/>
  <c r="AG683" i="51"/>
  <c r="AE683" i="51"/>
  <c r="AB683" i="51"/>
  <c r="AG682" i="51"/>
  <c r="AE682" i="51"/>
  <c r="AB682" i="51"/>
  <c r="AG681" i="51"/>
  <c r="AE681" i="51"/>
  <c r="AB681" i="51"/>
  <c r="AG680" i="51"/>
  <c r="AE680" i="51"/>
  <c r="AB680" i="51"/>
  <c r="AG679" i="51"/>
  <c r="AE679" i="51"/>
  <c r="AB679" i="51"/>
  <c r="AG678" i="51"/>
  <c r="AE678" i="51"/>
  <c r="AB678" i="51"/>
  <c r="AG677" i="51"/>
  <c r="AE677" i="51"/>
  <c r="AB677" i="51"/>
  <c r="AG676" i="51"/>
  <c r="AE676" i="51"/>
  <c r="AB676" i="51"/>
  <c r="AG675" i="51"/>
  <c r="AE675" i="51"/>
  <c r="AB675" i="51"/>
  <c r="AG674" i="51"/>
  <c r="AE674" i="51"/>
  <c r="AB674" i="51"/>
  <c r="AG673" i="51"/>
  <c r="AE673" i="51"/>
  <c r="AB673" i="51"/>
  <c r="AG672" i="51"/>
  <c r="AE672" i="51"/>
  <c r="AB672" i="51"/>
  <c r="AG671" i="51"/>
  <c r="AE671" i="51"/>
  <c r="AB671" i="51"/>
  <c r="AG670" i="51"/>
  <c r="AE670" i="51"/>
  <c r="AB670" i="51"/>
  <c r="AG669" i="51"/>
  <c r="AE669" i="51"/>
  <c r="AB669" i="51"/>
  <c r="AG668" i="51"/>
  <c r="AE668" i="51"/>
  <c r="AB668" i="51"/>
  <c r="AG667" i="51"/>
  <c r="AE667" i="51"/>
  <c r="AB667" i="51"/>
  <c r="AG666" i="51"/>
  <c r="AE666" i="51"/>
  <c r="AB666" i="51"/>
  <c r="AG665" i="51"/>
  <c r="AE665" i="51"/>
  <c r="AB665" i="51"/>
  <c r="AG664" i="51"/>
  <c r="AE664" i="51"/>
  <c r="AB664" i="51"/>
  <c r="AG663" i="51"/>
  <c r="AE663" i="51"/>
  <c r="AB663" i="51"/>
  <c r="AG662" i="51"/>
  <c r="AE662" i="51"/>
  <c r="AB662" i="51"/>
  <c r="AG661" i="51"/>
  <c r="AE661" i="51"/>
  <c r="AB661" i="51"/>
  <c r="AG660" i="51"/>
  <c r="AE660" i="51"/>
  <c r="AB660" i="51"/>
  <c r="AG659" i="51"/>
  <c r="AE659" i="51"/>
  <c r="AB659" i="51"/>
  <c r="AG658" i="51"/>
  <c r="AE658" i="51"/>
  <c r="AB658" i="51"/>
  <c r="AG657" i="51"/>
  <c r="AE657" i="51"/>
  <c r="AB657" i="51"/>
  <c r="AG656" i="51"/>
  <c r="AE656" i="51"/>
  <c r="AB656" i="51"/>
  <c r="AG655" i="51"/>
  <c r="AE655" i="51"/>
  <c r="AB655" i="51"/>
  <c r="AG654" i="51"/>
  <c r="AE654" i="51"/>
  <c r="AB654" i="51"/>
  <c r="AG653" i="51"/>
  <c r="AE653" i="51"/>
  <c r="AB653" i="51"/>
  <c r="AG652" i="51"/>
  <c r="AE652" i="51"/>
  <c r="AB652" i="51"/>
  <c r="AG651" i="51"/>
  <c r="AE651" i="51"/>
  <c r="AB651" i="51"/>
  <c r="AG650" i="51"/>
  <c r="AE650" i="51"/>
  <c r="AB650" i="51"/>
  <c r="AG649" i="51"/>
  <c r="AE649" i="51"/>
  <c r="AB649" i="51"/>
  <c r="AG648" i="51"/>
  <c r="AE648" i="51"/>
  <c r="AB648" i="51"/>
  <c r="AG647" i="51"/>
  <c r="AE647" i="51"/>
  <c r="AB647" i="51"/>
  <c r="AG646" i="51"/>
  <c r="AE646" i="51"/>
  <c r="AB646" i="51"/>
  <c r="AG645" i="51"/>
  <c r="AE645" i="51"/>
  <c r="AB645" i="51"/>
  <c r="AG644" i="51"/>
  <c r="AE644" i="51"/>
  <c r="AB644" i="51"/>
  <c r="AG643" i="51"/>
  <c r="AE643" i="51"/>
  <c r="AB643" i="51"/>
  <c r="AG642" i="51"/>
  <c r="AE642" i="51"/>
  <c r="AB642" i="51"/>
  <c r="AG641" i="51"/>
  <c r="AE641" i="51"/>
  <c r="AB641" i="51"/>
  <c r="AG640" i="51"/>
  <c r="AE640" i="51"/>
  <c r="AB640" i="51"/>
  <c r="AG639" i="51"/>
  <c r="AE639" i="51"/>
  <c r="AB639" i="51"/>
  <c r="AG638" i="51"/>
  <c r="AE638" i="51"/>
  <c r="AB638" i="51"/>
  <c r="AG637" i="51"/>
  <c r="AE637" i="51"/>
  <c r="AB637" i="51"/>
  <c r="AG636" i="51"/>
  <c r="AE636" i="51"/>
  <c r="AB636" i="51"/>
  <c r="AG635" i="51"/>
  <c r="AE635" i="51"/>
  <c r="AB635" i="51"/>
  <c r="AG634" i="51"/>
  <c r="AE634" i="51"/>
  <c r="AB634" i="51"/>
  <c r="AG633" i="51"/>
  <c r="AE633" i="51"/>
  <c r="AB633" i="51"/>
  <c r="AG632" i="51"/>
  <c r="AE632" i="51"/>
  <c r="AB632" i="51"/>
  <c r="AG631" i="51"/>
  <c r="AE631" i="51"/>
  <c r="AB631" i="51"/>
  <c r="AG630" i="51"/>
  <c r="AE630" i="51"/>
  <c r="AB630" i="51"/>
  <c r="AG629" i="51"/>
  <c r="AE629" i="51"/>
  <c r="AB629" i="51"/>
  <c r="AG628" i="51"/>
  <c r="AE628" i="51"/>
  <c r="AB628" i="51"/>
  <c r="AG627" i="51"/>
  <c r="AE627" i="51"/>
  <c r="AB627" i="51"/>
  <c r="AG626" i="51"/>
  <c r="AE626" i="51"/>
  <c r="AB626" i="51"/>
  <c r="AG625" i="51"/>
  <c r="AE625" i="51"/>
  <c r="AB625" i="51"/>
  <c r="AG624" i="51"/>
  <c r="AE624" i="51"/>
  <c r="AB624" i="51"/>
  <c r="AG623" i="51"/>
  <c r="AE623" i="51"/>
  <c r="AB623" i="51"/>
  <c r="AG622" i="51"/>
  <c r="AE622" i="51"/>
  <c r="AB622" i="51"/>
  <c r="AG621" i="51"/>
  <c r="AE621" i="51"/>
  <c r="AB621" i="51"/>
  <c r="AG620" i="51"/>
  <c r="AE620" i="51"/>
  <c r="AB620" i="51"/>
  <c r="AG619" i="51"/>
  <c r="AE619" i="51"/>
  <c r="AB619" i="51"/>
  <c r="AG618" i="51"/>
  <c r="AE618" i="51"/>
  <c r="AB618" i="51"/>
  <c r="AG617" i="51"/>
  <c r="AE617" i="51"/>
  <c r="AB617" i="51"/>
  <c r="AG616" i="51"/>
  <c r="AE616" i="51"/>
  <c r="AB616" i="51"/>
  <c r="AG615" i="51"/>
  <c r="AE615" i="51"/>
  <c r="AB615" i="51"/>
  <c r="AG614" i="51"/>
  <c r="AE614" i="51"/>
  <c r="AB614" i="51"/>
  <c r="AG613" i="51"/>
  <c r="AE613" i="51"/>
  <c r="AB613" i="51"/>
  <c r="AG612" i="51"/>
  <c r="AE612" i="51"/>
  <c r="AB612" i="51"/>
  <c r="AG611" i="51"/>
  <c r="AE611" i="51"/>
  <c r="AB611" i="51"/>
  <c r="AG610" i="51"/>
  <c r="AE610" i="51"/>
  <c r="AB610" i="51"/>
  <c r="AG609" i="51"/>
  <c r="AE609" i="51"/>
  <c r="AB609" i="51"/>
  <c r="AG608" i="51"/>
  <c r="AE608" i="51"/>
  <c r="AB608" i="51"/>
  <c r="AG607" i="51"/>
  <c r="AE607" i="51"/>
  <c r="AB607" i="51"/>
  <c r="AG606" i="51"/>
  <c r="AE606" i="51"/>
  <c r="AB606" i="51"/>
  <c r="AG605" i="51"/>
  <c r="AE605" i="51"/>
  <c r="AB605" i="51"/>
  <c r="AG604" i="51"/>
  <c r="AE604" i="51"/>
  <c r="AB604" i="51"/>
  <c r="AG603" i="51"/>
  <c r="AE603" i="51"/>
  <c r="AB603" i="51"/>
  <c r="AG602" i="51"/>
  <c r="AE602" i="51"/>
  <c r="AB602" i="51"/>
  <c r="AG601" i="51"/>
  <c r="AE601" i="51"/>
  <c r="AB601" i="51"/>
  <c r="AG600" i="51"/>
  <c r="AE600" i="51"/>
  <c r="AB600" i="51"/>
  <c r="AG599" i="51"/>
  <c r="AE599" i="51"/>
  <c r="AB599" i="51"/>
  <c r="AG598" i="51"/>
  <c r="AE598" i="51"/>
  <c r="AB598" i="51"/>
  <c r="AG597" i="51"/>
  <c r="AE597" i="51"/>
  <c r="AB597" i="51"/>
  <c r="AG596" i="51"/>
  <c r="AE596" i="51"/>
  <c r="AB596" i="51"/>
  <c r="AG595" i="51"/>
  <c r="AE595" i="51"/>
  <c r="AB595" i="51"/>
  <c r="AG594" i="51"/>
  <c r="AE594" i="51"/>
  <c r="AB594" i="51"/>
  <c r="AG593" i="51"/>
  <c r="AE593" i="51"/>
  <c r="AB593" i="51"/>
  <c r="AG592" i="51"/>
  <c r="AE592" i="51"/>
  <c r="AB592" i="51"/>
  <c r="AG591" i="51"/>
  <c r="AE591" i="51"/>
  <c r="AB591" i="51"/>
  <c r="AG590" i="51"/>
  <c r="AE590" i="51"/>
  <c r="AB590" i="51"/>
  <c r="AG589" i="51"/>
  <c r="AE589" i="51"/>
  <c r="AB589" i="51"/>
  <c r="AG588" i="51"/>
  <c r="AE588" i="51"/>
  <c r="AB588" i="51"/>
  <c r="AG587" i="51"/>
  <c r="AE587" i="51"/>
  <c r="AB587" i="51"/>
  <c r="AG586" i="51"/>
  <c r="AE586" i="51"/>
  <c r="AB586" i="51"/>
  <c r="AG585" i="51"/>
  <c r="AE585" i="51"/>
  <c r="AB585" i="51"/>
  <c r="AG584" i="51"/>
  <c r="AE584" i="51"/>
  <c r="AB584" i="51"/>
  <c r="AG583" i="51"/>
  <c r="AE583" i="51"/>
  <c r="AB583" i="51"/>
  <c r="AG582" i="51"/>
  <c r="AE582" i="51"/>
  <c r="AB582" i="51"/>
  <c r="AG581" i="51"/>
  <c r="AE581" i="51"/>
  <c r="AB581" i="51"/>
  <c r="AG580" i="51"/>
  <c r="AE580" i="51"/>
  <c r="AB580" i="51"/>
  <c r="AG579" i="51"/>
  <c r="AE579" i="51"/>
  <c r="AB579" i="51"/>
  <c r="AG578" i="51"/>
  <c r="AE578" i="51"/>
  <c r="AB578" i="51"/>
  <c r="AG577" i="51"/>
  <c r="AE577" i="51"/>
  <c r="AB577" i="51"/>
  <c r="AG576" i="51"/>
  <c r="AE576" i="51"/>
  <c r="AB576" i="51"/>
  <c r="AG575" i="51"/>
  <c r="AE575" i="51"/>
  <c r="AB575" i="51"/>
  <c r="AG574" i="51"/>
  <c r="AE574" i="51"/>
  <c r="AB574" i="51"/>
  <c r="AG573" i="51"/>
  <c r="AE573" i="51"/>
  <c r="AB573" i="51"/>
  <c r="AG572" i="51"/>
  <c r="AE572" i="51"/>
  <c r="AB572" i="51"/>
  <c r="AG571" i="51"/>
  <c r="AE571" i="51"/>
  <c r="AB571" i="51"/>
  <c r="AG570" i="51"/>
  <c r="AE570" i="51"/>
  <c r="AB570" i="51"/>
  <c r="AG569" i="51"/>
  <c r="AE569" i="51"/>
  <c r="AB569" i="51"/>
  <c r="AG568" i="51"/>
  <c r="AE568" i="51"/>
  <c r="AB568" i="51"/>
  <c r="AG567" i="51"/>
  <c r="AE567" i="51"/>
  <c r="AB567" i="51"/>
  <c r="AG566" i="51"/>
  <c r="AE566" i="51"/>
  <c r="AB566" i="51"/>
  <c r="AG565" i="51"/>
  <c r="AE565" i="51"/>
  <c r="AB565" i="51"/>
  <c r="AG564" i="51"/>
  <c r="AE564" i="51"/>
  <c r="AB564" i="51"/>
  <c r="AG563" i="51"/>
  <c r="AE563" i="51"/>
  <c r="AB563" i="51"/>
  <c r="AG562" i="51"/>
  <c r="AE562" i="51"/>
  <c r="AB562" i="51"/>
  <c r="AG561" i="51"/>
  <c r="AE561" i="51"/>
  <c r="AB561" i="51"/>
  <c r="AG560" i="51"/>
  <c r="AE560" i="51"/>
  <c r="AB560" i="51"/>
  <c r="AG559" i="51"/>
  <c r="AE559" i="51"/>
  <c r="AB559" i="51"/>
  <c r="AG558" i="51"/>
  <c r="AE558" i="51"/>
  <c r="AB558" i="51"/>
  <c r="AG557" i="51"/>
  <c r="AE557" i="51"/>
  <c r="AB557" i="51"/>
  <c r="AG556" i="51"/>
  <c r="AE556" i="51"/>
  <c r="AB556" i="51"/>
  <c r="AG555" i="51"/>
  <c r="AE555" i="51"/>
  <c r="AB555" i="51"/>
  <c r="AG554" i="51"/>
  <c r="AE554" i="51"/>
  <c r="AB554" i="51"/>
  <c r="AG553" i="51"/>
  <c r="AE553" i="51"/>
  <c r="AB553" i="51"/>
  <c r="AG552" i="51"/>
  <c r="AE552" i="51"/>
  <c r="AB552" i="51"/>
  <c r="AG551" i="51"/>
  <c r="AE551" i="51"/>
  <c r="AB551" i="51"/>
  <c r="AG550" i="51"/>
  <c r="AE550" i="51"/>
  <c r="AB550" i="51"/>
  <c r="AG549" i="51"/>
  <c r="AE549" i="51"/>
  <c r="AB549" i="51"/>
  <c r="AG548" i="51"/>
  <c r="AE548" i="51"/>
  <c r="AB548" i="51"/>
  <c r="AG547" i="51"/>
  <c r="AE547" i="51"/>
  <c r="AB547" i="51"/>
  <c r="AG546" i="51"/>
  <c r="AE546" i="51"/>
  <c r="AB546" i="51"/>
  <c r="AG545" i="51"/>
  <c r="AE545" i="51"/>
  <c r="AB545" i="51"/>
  <c r="AG544" i="51"/>
  <c r="AE544" i="51"/>
  <c r="AB544" i="51"/>
  <c r="AG543" i="51"/>
  <c r="AE543" i="51"/>
  <c r="AB543" i="51"/>
  <c r="AG542" i="51"/>
  <c r="AE542" i="51"/>
  <c r="AB542" i="51"/>
  <c r="AG541" i="51"/>
  <c r="AE541" i="51"/>
  <c r="AB541" i="51"/>
  <c r="AG540" i="51"/>
  <c r="AE540" i="51"/>
  <c r="AB540" i="51"/>
  <c r="AG539" i="51"/>
  <c r="AE539" i="51"/>
  <c r="AB539" i="51"/>
  <c r="AG538" i="51"/>
  <c r="AE538" i="51"/>
  <c r="AB538" i="51"/>
  <c r="AG537" i="51"/>
  <c r="AE537" i="51"/>
  <c r="AB537" i="51"/>
  <c r="AG536" i="51"/>
  <c r="AE536" i="51"/>
  <c r="AB536" i="51"/>
  <c r="AG535" i="51"/>
  <c r="AE535" i="51"/>
  <c r="AB535" i="51"/>
  <c r="AG534" i="51"/>
  <c r="AE534" i="51"/>
  <c r="AB534" i="51"/>
  <c r="AG533" i="51"/>
  <c r="AE533" i="51"/>
  <c r="AB533" i="51"/>
  <c r="AG532" i="51"/>
  <c r="AE532" i="51"/>
  <c r="AB532" i="51"/>
  <c r="AG531" i="51"/>
  <c r="AE531" i="51"/>
  <c r="AB531" i="51"/>
  <c r="AG530" i="51"/>
  <c r="AE530" i="51"/>
  <c r="AB530" i="51"/>
  <c r="AG529" i="51"/>
  <c r="AE529" i="51"/>
  <c r="AB529" i="51"/>
  <c r="AG528" i="51"/>
  <c r="AE528" i="51"/>
  <c r="AB528" i="51"/>
  <c r="AG527" i="51"/>
  <c r="AE527" i="51"/>
  <c r="AB527" i="51"/>
  <c r="AG526" i="51"/>
  <c r="AE526" i="51"/>
  <c r="AB526" i="51"/>
  <c r="AG525" i="51"/>
  <c r="AE525" i="51"/>
  <c r="AB525" i="51"/>
  <c r="AG524" i="51"/>
  <c r="AE524" i="51"/>
  <c r="AB524" i="51"/>
  <c r="AG523" i="51"/>
  <c r="AE523" i="51"/>
  <c r="AB523" i="51"/>
  <c r="AG522" i="51"/>
  <c r="AE522" i="51"/>
  <c r="AB522" i="51"/>
  <c r="AG521" i="51"/>
  <c r="AE521" i="51"/>
  <c r="AB521" i="51"/>
  <c r="AG520" i="51"/>
  <c r="AE520" i="51"/>
  <c r="AB520" i="51"/>
  <c r="AG519" i="51"/>
  <c r="AE519" i="51"/>
  <c r="AB519" i="51"/>
  <c r="AG518" i="51"/>
  <c r="AE518" i="51"/>
  <c r="AB518" i="51"/>
  <c r="AG517" i="51"/>
  <c r="AE517" i="51"/>
  <c r="AB517" i="51"/>
  <c r="AG516" i="51"/>
  <c r="AE516" i="51"/>
  <c r="AB516" i="51"/>
  <c r="AG515" i="51"/>
  <c r="AE515" i="51"/>
  <c r="AB515" i="51"/>
  <c r="AG514" i="51"/>
  <c r="AE514" i="51"/>
  <c r="AB514" i="51"/>
  <c r="AG513" i="51"/>
  <c r="AE513" i="51"/>
  <c r="AB513" i="51"/>
  <c r="AG512" i="51"/>
  <c r="AE512" i="51"/>
  <c r="AB512" i="51"/>
  <c r="AG511" i="51"/>
  <c r="AE511" i="51"/>
  <c r="AB511" i="51"/>
  <c r="AG510" i="51"/>
  <c r="AE510" i="51"/>
  <c r="AB510" i="51"/>
  <c r="AG509" i="51"/>
  <c r="AE509" i="51"/>
  <c r="AB509" i="51"/>
  <c r="AG508" i="51"/>
  <c r="AE508" i="51"/>
  <c r="AB508" i="51"/>
  <c r="AG507" i="51"/>
  <c r="AE507" i="51"/>
  <c r="AB507" i="51"/>
  <c r="AG506" i="51"/>
  <c r="AE506" i="51"/>
  <c r="AB506" i="51"/>
  <c r="AG505" i="51"/>
  <c r="AE505" i="51"/>
  <c r="AB505" i="51"/>
  <c r="AG504" i="51"/>
  <c r="AE504" i="51"/>
  <c r="AB504" i="51"/>
  <c r="AG503" i="51"/>
  <c r="AE503" i="51"/>
  <c r="AB503" i="51"/>
  <c r="AG502" i="51"/>
  <c r="AE502" i="51"/>
  <c r="AB502" i="51"/>
  <c r="AG501" i="51"/>
  <c r="AE501" i="51"/>
  <c r="AB501" i="51"/>
  <c r="AG500" i="51"/>
  <c r="AE500" i="51"/>
  <c r="AB500" i="51"/>
  <c r="AG499" i="51"/>
  <c r="AE499" i="51"/>
  <c r="AB499" i="51"/>
  <c r="AG498" i="51"/>
  <c r="AE498" i="51"/>
  <c r="AB498" i="51"/>
  <c r="AG497" i="51"/>
  <c r="AE497" i="51"/>
  <c r="AB497" i="51"/>
  <c r="AG496" i="51"/>
  <c r="AE496" i="51"/>
  <c r="AB496" i="51"/>
  <c r="AG495" i="51"/>
  <c r="AE495" i="51"/>
  <c r="AB495" i="51"/>
  <c r="AG494" i="51"/>
  <c r="AE494" i="51"/>
  <c r="AB494" i="51"/>
  <c r="AG493" i="51"/>
  <c r="AE493" i="51"/>
  <c r="AB493" i="51"/>
  <c r="AG492" i="51"/>
  <c r="AE492" i="51"/>
  <c r="AB492" i="51"/>
  <c r="AG491" i="51"/>
  <c r="AE491" i="51"/>
  <c r="AB491" i="51"/>
  <c r="AG490" i="51"/>
  <c r="AE490" i="51"/>
  <c r="AB490" i="51"/>
  <c r="AG489" i="51"/>
  <c r="AE489" i="51"/>
  <c r="AB489" i="51"/>
  <c r="AG488" i="51"/>
  <c r="AE488" i="51"/>
  <c r="AB488" i="51"/>
  <c r="AG487" i="51"/>
  <c r="AE487" i="51"/>
  <c r="AB487" i="51"/>
  <c r="AG486" i="51"/>
  <c r="AE486" i="51"/>
  <c r="AB486" i="51"/>
  <c r="AG485" i="51"/>
  <c r="AE485" i="51"/>
  <c r="AB485" i="51"/>
  <c r="AG484" i="51"/>
  <c r="AE484" i="51"/>
  <c r="AB484" i="51"/>
  <c r="AG483" i="51"/>
  <c r="AE483" i="51"/>
  <c r="AB483" i="51"/>
  <c r="AG482" i="51"/>
  <c r="AE482" i="51"/>
  <c r="AB482" i="51"/>
  <c r="AG481" i="51"/>
  <c r="AE481" i="51"/>
  <c r="AB481" i="51"/>
  <c r="AG480" i="51"/>
  <c r="AE480" i="51"/>
  <c r="AB480" i="51"/>
  <c r="AG479" i="51"/>
  <c r="AE479" i="51"/>
  <c r="AB479" i="51"/>
  <c r="AG478" i="51"/>
  <c r="AE478" i="51"/>
  <c r="AB478" i="51"/>
  <c r="AG477" i="51"/>
  <c r="AE477" i="51"/>
  <c r="AB477" i="51"/>
  <c r="AG476" i="51"/>
  <c r="AE476" i="51"/>
  <c r="AB476" i="51"/>
  <c r="AG475" i="51"/>
  <c r="AE475" i="51"/>
  <c r="AB475" i="51"/>
  <c r="AG474" i="51"/>
  <c r="AE474" i="51"/>
  <c r="AB474" i="51"/>
  <c r="AG473" i="51"/>
  <c r="AE473" i="51"/>
  <c r="AB473" i="51"/>
  <c r="AG472" i="51"/>
  <c r="AE472" i="51"/>
  <c r="AB472" i="51"/>
  <c r="AG471" i="51"/>
  <c r="AE471" i="51"/>
  <c r="AB471" i="51"/>
  <c r="AG470" i="51"/>
  <c r="AE470" i="51"/>
  <c r="AB470" i="51"/>
  <c r="AG469" i="51"/>
  <c r="AE469" i="51"/>
  <c r="AB469" i="51"/>
  <c r="AG468" i="51"/>
  <c r="AE468" i="51"/>
  <c r="AB468" i="51"/>
  <c r="AG467" i="51"/>
  <c r="AE467" i="51"/>
  <c r="AB467" i="51"/>
  <c r="AG466" i="51"/>
  <c r="AE466" i="51"/>
  <c r="AB466" i="51"/>
  <c r="AG465" i="51"/>
  <c r="AE465" i="51"/>
  <c r="AB465" i="51"/>
  <c r="AG464" i="51"/>
  <c r="AE464" i="51"/>
  <c r="AB464" i="51"/>
  <c r="AG463" i="51"/>
  <c r="AE463" i="51"/>
  <c r="AB463" i="51"/>
  <c r="AG462" i="51"/>
  <c r="AE462" i="51"/>
  <c r="AB462" i="51"/>
  <c r="AG461" i="51"/>
  <c r="AE461" i="51"/>
  <c r="AB461" i="51"/>
  <c r="AG460" i="51"/>
  <c r="AE460" i="51"/>
  <c r="AB460" i="51"/>
  <c r="AG459" i="51"/>
  <c r="AE459" i="51"/>
  <c r="AB459" i="51"/>
  <c r="AG458" i="51"/>
  <c r="AE458" i="51"/>
  <c r="AB458" i="51"/>
  <c r="AG457" i="51"/>
  <c r="AE457" i="51"/>
  <c r="AB457" i="51"/>
  <c r="AG456" i="51"/>
  <c r="AE456" i="51"/>
  <c r="AG455" i="51"/>
  <c r="AE455" i="51"/>
  <c r="AB455" i="51"/>
  <c r="AG454" i="51"/>
  <c r="AE454" i="51"/>
  <c r="AB454" i="51"/>
  <c r="AG453" i="51"/>
  <c r="AE453" i="51"/>
  <c r="AB453" i="51"/>
  <c r="AG452" i="51"/>
  <c r="AE452" i="51"/>
  <c r="AB452" i="51"/>
  <c r="AG451" i="51"/>
  <c r="AE451" i="51"/>
  <c r="AB451" i="51"/>
  <c r="AG450" i="51"/>
  <c r="AE450" i="51"/>
  <c r="AB450" i="51"/>
  <c r="AG449" i="51"/>
  <c r="AE449" i="51"/>
  <c r="AB449" i="51"/>
  <c r="AG448" i="51"/>
  <c r="AE448" i="51"/>
  <c r="AB448" i="51"/>
  <c r="AG447" i="51"/>
  <c r="AE447" i="51"/>
  <c r="AB447" i="51"/>
  <c r="AG446" i="51"/>
  <c r="AE446" i="51"/>
  <c r="AB446" i="51"/>
  <c r="AG445" i="51"/>
  <c r="AE445" i="51"/>
  <c r="AB445" i="51"/>
  <c r="AG444" i="51"/>
  <c r="AE444" i="51"/>
  <c r="AB444" i="51"/>
  <c r="AG443" i="51"/>
  <c r="AE443" i="51"/>
  <c r="AB443" i="51"/>
  <c r="AG442" i="51"/>
  <c r="AE442" i="51"/>
  <c r="AB442" i="51"/>
  <c r="AG441" i="51"/>
  <c r="AE441" i="51"/>
  <c r="AB441" i="51"/>
  <c r="AG440" i="51"/>
  <c r="AE440" i="51"/>
  <c r="AB440" i="51"/>
  <c r="AG439" i="51"/>
  <c r="AE439" i="51"/>
  <c r="AB439" i="51"/>
  <c r="AG438" i="51"/>
  <c r="AE438" i="51"/>
  <c r="AB438" i="51"/>
  <c r="AG437" i="51"/>
  <c r="AE437" i="51"/>
  <c r="AB437" i="51"/>
  <c r="AG436" i="51"/>
  <c r="AE436" i="51"/>
  <c r="AB436" i="51"/>
  <c r="AG435" i="51"/>
  <c r="AE435" i="51"/>
  <c r="AB435" i="51"/>
  <c r="AG434" i="51"/>
  <c r="AE434" i="51"/>
  <c r="AB434" i="51"/>
  <c r="AG433" i="51"/>
  <c r="AE433" i="51"/>
  <c r="AB433" i="51"/>
  <c r="AG432" i="51"/>
  <c r="AE432" i="51"/>
  <c r="AB432" i="51"/>
  <c r="AG431" i="51"/>
  <c r="AE431" i="51"/>
  <c r="AB431" i="51"/>
  <c r="AG430" i="51"/>
  <c r="AE430" i="51"/>
  <c r="AB430" i="51"/>
  <c r="AG429" i="51"/>
  <c r="AE429" i="51"/>
  <c r="AB429" i="51"/>
  <c r="AG428" i="51"/>
  <c r="AE428" i="51"/>
  <c r="AB428" i="51"/>
  <c r="AG427" i="51"/>
  <c r="AE427" i="51"/>
  <c r="AB427" i="51"/>
  <c r="AG426" i="51"/>
  <c r="AE426" i="51"/>
  <c r="AB426" i="51"/>
  <c r="AG425" i="51"/>
  <c r="AE425" i="51"/>
  <c r="AB425" i="51"/>
  <c r="AG424" i="51"/>
  <c r="AE424" i="51"/>
  <c r="AB424" i="51"/>
  <c r="AG423" i="51"/>
  <c r="AE423" i="51"/>
  <c r="AB423" i="51"/>
  <c r="AG422" i="51"/>
  <c r="AE422" i="51"/>
  <c r="AB422" i="51"/>
  <c r="AG421" i="51"/>
  <c r="AE421" i="51"/>
  <c r="AB421" i="51"/>
  <c r="AG420" i="51"/>
  <c r="AE420" i="51"/>
  <c r="AB420" i="51"/>
  <c r="AG419" i="51"/>
  <c r="AE419" i="51"/>
  <c r="AB419" i="51"/>
  <c r="AG418" i="51"/>
  <c r="AE418" i="51"/>
  <c r="AB418" i="51"/>
  <c r="AG417" i="51"/>
  <c r="AE417" i="51"/>
  <c r="AB417" i="51"/>
  <c r="AG416" i="51"/>
  <c r="AE416" i="51"/>
  <c r="AB416" i="51"/>
  <c r="AG415" i="51"/>
  <c r="AE415" i="51"/>
  <c r="AB415" i="51"/>
  <c r="AG414" i="51"/>
  <c r="AE414" i="51"/>
  <c r="AB414" i="51"/>
  <c r="AG413" i="51"/>
  <c r="AE413" i="51"/>
  <c r="AB413" i="51"/>
  <c r="AG412" i="51"/>
  <c r="AE412" i="51"/>
  <c r="AB412" i="51"/>
  <c r="AG411" i="51"/>
  <c r="AE411" i="51"/>
  <c r="AB411" i="51"/>
  <c r="AG410" i="51"/>
  <c r="AE410" i="51"/>
  <c r="AB410" i="51"/>
  <c r="AG409" i="51"/>
  <c r="AE409" i="51"/>
  <c r="AB409" i="51"/>
  <c r="AG408" i="51"/>
  <c r="AE408" i="51"/>
  <c r="AB408" i="51"/>
  <c r="AG407" i="51"/>
  <c r="AE407" i="51"/>
  <c r="AB407" i="51"/>
  <c r="AG406" i="51"/>
  <c r="AE406" i="51"/>
  <c r="AB406" i="51"/>
  <c r="AG405" i="51"/>
  <c r="AE405" i="51"/>
  <c r="AB405" i="51"/>
  <c r="AG404" i="51"/>
  <c r="AE404" i="51"/>
  <c r="AB404" i="51"/>
  <c r="AG403" i="51"/>
  <c r="AE403" i="51"/>
  <c r="AB403" i="51"/>
  <c r="AG402" i="51"/>
  <c r="AE402" i="51"/>
  <c r="AB402" i="51"/>
  <c r="AG401" i="51"/>
  <c r="AE401" i="51"/>
  <c r="AB401" i="51"/>
  <c r="AG400" i="51"/>
  <c r="AE400" i="51"/>
  <c r="AB400" i="51"/>
  <c r="AG399" i="51"/>
  <c r="AE399" i="51"/>
  <c r="AB399" i="51"/>
  <c r="AG398" i="51"/>
  <c r="AE398" i="51"/>
  <c r="AB398" i="51"/>
  <c r="AG397" i="51"/>
  <c r="AE397" i="51"/>
  <c r="AB397" i="51"/>
  <c r="AG396" i="51"/>
  <c r="AE396" i="51"/>
  <c r="AB396" i="51"/>
  <c r="AG395" i="51"/>
  <c r="AE395" i="51"/>
  <c r="AB395" i="51"/>
  <c r="AG394" i="51"/>
  <c r="AE394" i="51"/>
  <c r="AB394" i="51"/>
  <c r="AG393" i="51"/>
  <c r="AE393" i="51"/>
  <c r="AB393" i="51"/>
  <c r="AG392" i="51"/>
  <c r="AE392" i="51"/>
  <c r="AB392" i="51"/>
  <c r="AG391" i="51"/>
  <c r="AE391" i="51"/>
  <c r="AB391" i="51"/>
  <c r="AG390" i="51"/>
  <c r="AE390" i="51"/>
  <c r="AB390" i="51"/>
  <c r="AG389" i="51"/>
  <c r="AE389" i="51"/>
  <c r="AB389" i="51"/>
  <c r="AG388" i="51"/>
  <c r="AE388" i="51"/>
  <c r="AB388" i="51"/>
  <c r="AG387" i="51"/>
  <c r="AE387" i="51"/>
  <c r="AB387" i="51"/>
  <c r="AG386" i="51"/>
  <c r="AE386" i="51"/>
  <c r="AB386" i="51"/>
  <c r="AG385" i="51"/>
  <c r="AE385" i="51"/>
  <c r="AB385" i="51"/>
  <c r="AG384" i="51"/>
  <c r="AE384" i="51"/>
  <c r="AB384" i="51"/>
  <c r="AG383" i="51"/>
  <c r="AE383" i="51"/>
  <c r="AB383" i="51"/>
  <c r="AG382" i="51"/>
  <c r="AE382" i="51"/>
  <c r="AB382" i="51"/>
  <c r="AG381" i="51"/>
  <c r="AE381" i="51"/>
  <c r="AB381" i="51"/>
  <c r="AG380" i="51"/>
  <c r="AE380" i="51"/>
  <c r="AB380" i="51"/>
  <c r="AG379" i="51"/>
  <c r="AE379" i="51"/>
  <c r="AB379" i="51"/>
  <c r="AG378" i="51"/>
  <c r="AE378" i="51"/>
  <c r="AB378" i="51"/>
  <c r="AG377" i="51"/>
  <c r="AE377" i="51"/>
  <c r="AB377" i="51"/>
  <c r="AG376" i="51"/>
  <c r="AE376" i="51"/>
  <c r="AB376" i="51"/>
  <c r="AG375" i="51"/>
  <c r="AE375" i="51"/>
  <c r="AB375" i="51"/>
  <c r="AG374" i="51"/>
  <c r="AE374" i="51"/>
  <c r="AB374" i="51"/>
  <c r="AG373" i="51"/>
  <c r="AE373" i="51"/>
  <c r="AB373" i="51"/>
  <c r="AG372" i="51"/>
  <c r="AE372" i="51"/>
  <c r="AB372" i="51"/>
  <c r="AG371" i="51"/>
  <c r="AE371" i="51"/>
  <c r="AB371" i="51"/>
  <c r="AG370" i="51"/>
  <c r="AE370" i="51"/>
  <c r="AB370" i="51"/>
  <c r="AG369" i="51"/>
  <c r="AE369" i="51"/>
  <c r="AB369" i="51"/>
  <c r="AG368" i="51"/>
  <c r="AE368" i="51"/>
  <c r="AB368" i="51"/>
  <c r="AG367" i="51"/>
  <c r="AE367" i="51"/>
  <c r="AB367" i="51"/>
  <c r="AG366" i="51"/>
  <c r="AE366" i="51"/>
  <c r="AB366" i="51"/>
  <c r="AG365" i="51"/>
  <c r="AE365" i="51"/>
  <c r="AB365" i="51"/>
  <c r="AG364" i="51"/>
  <c r="AE364" i="51"/>
  <c r="AB364" i="51"/>
  <c r="AG363" i="51"/>
  <c r="AE363" i="51"/>
  <c r="AB363" i="51"/>
  <c r="AG362" i="51"/>
  <c r="AE362" i="51"/>
  <c r="AB362" i="51"/>
  <c r="AG361" i="51"/>
  <c r="AE361" i="51"/>
  <c r="AB361" i="51"/>
  <c r="AG360" i="51"/>
  <c r="AE360" i="51"/>
  <c r="AB360" i="51"/>
  <c r="AG359" i="51"/>
  <c r="AE359" i="51"/>
  <c r="AB359" i="51"/>
  <c r="AG358" i="51"/>
  <c r="AE358" i="51"/>
  <c r="AB358" i="51"/>
  <c r="AG357" i="51"/>
  <c r="AE357" i="51"/>
  <c r="AB357" i="51"/>
  <c r="AG356" i="51"/>
  <c r="AE356" i="51"/>
  <c r="AB356" i="51"/>
  <c r="AG355" i="51"/>
  <c r="AE355" i="51"/>
  <c r="AB355" i="51"/>
  <c r="AG354" i="51"/>
  <c r="AE354" i="51"/>
  <c r="AB354" i="51"/>
  <c r="AG353" i="51"/>
  <c r="AE353" i="51"/>
  <c r="AB353" i="51"/>
  <c r="AG352" i="51"/>
  <c r="AE352" i="51"/>
  <c r="AB352" i="51"/>
  <c r="AG351" i="51"/>
  <c r="AE351" i="51"/>
  <c r="AB351" i="51"/>
  <c r="AG350" i="51"/>
  <c r="AE350" i="51"/>
  <c r="AB350" i="51"/>
  <c r="AG349" i="51"/>
  <c r="AE349" i="51"/>
  <c r="AB349" i="51"/>
  <c r="AG348" i="51"/>
  <c r="AE348" i="51"/>
  <c r="AB348" i="51"/>
  <c r="AG347" i="51"/>
  <c r="AE347" i="51"/>
  <c r="AB347" i="51"/>
  <c r="AG346" i="51"/>
  <c r="AE346" i="51"/>
  <c r="AB346" i="51"/>
  <c r="AG345" i="51"/>
  <c r="AE345" i="51"/>
  <c r="AB345" i="51"/>
  <c r="AG344" i="51"/>
  <c r="AE344" i="51"/>
  <c r="AB344" i="51"/>
  <c r="AG343" i="51"/>
  <c r="AE343" i="51"/>
  <c r="AB343" i="51"/>
  <c r="AG339" i="51"/>
  <c r="AE339" i="51"/>
  <c r="AB339" i="51"/>
  <c r="AG338" i="51"/>
  <c r="AE338" i="51"/>
  <c r="AB338" i="51"/>
  <c r="AG337" i="51"/>
  <c r="AE337" i="51"/>
  <c r="AB337" i="51"/>
  <c r="AG336" i="51"/>
  <c r="AE336" i="51"/>
  <c r="AB336" i="51"/>
  <c r="AG335" i="51"/>
  <c r="AE335" i="51"/>
  <c r="AB335" i="51"/>
  <c r="AG334" i="51"/>
  <c r="AE334" i="51"/>
  <c r="AB334" i="51"/>
  <c r="AG333" i="51"/>
  <c r="AE333" i="51"/>
  <c r="AB333" i="51"/>
  <c r="AG332" i="51"/>
  <c r="AE332" i="51"/>
  <c r="AB332" i="51"/>
  <c r="AG331" i="51"/>
  <c r="AE331" i="51"/>
  <c r="AB331" i="51"/>
  <c r="AG330" i="51"/>
  <c r="AE330" i="51"/>
  <c r="AB330" i="51"/>
  <c r="AG329" i="51"/>
  <c r="AE329" i="51"/>
  <c r="AB329" i="51"/>
  <c r="AG328" i="51"/>
  <c r="AE328" i="51"/>
  <c r="AB328" i="51"/>
  <c r="AG327" i="51"/>
  <c r="AE327" i="51"/>
  <c r="AB327" i="51"/>
  <c r="AG326" i="51"/>
  <c r="AE326" i="51"/>
  <c r="AB326" i="51"/>
  <c r="AG325" i="51"/>
  <c r="AE325" i="51"/>
  <c r="AB325" i="51"/>
  <c r="AG324" i="51"/>
  <c r="AE324" i="51"/>
  <c r="AB324" i="51"/>
  <c r="AG323" i="51"/>
  <c r="AE323" i="51"/>
  <c r="AB323" i="51"/>
  <c r="AG322" i="51"/>
  <c r="AE322" i="51"/>
  <c r="AB322" i="51"/>
  <c r="AG321" i="51"/>
  <c r="AE321" i="51"/>
  <c r="AB321" i="51"/>
  <c r="AG320" i="51"/>
  <c r="AE320" i="51"/>
  <c r="AB320" i="51"/>
  <c r="AG319" i="51"/>
  <c r="AE319" i="51"/>
  <c r="AB319" i="51"/>
  <c r="AG318" i="51"/>
  <c r="AE318" i="51"/>
  <c r="AB318" i="51"/>
  <c r="AG317" i="51"/>
  <c r="AE317" i="51"/>
  <c r="AB317" i="51"/>
  <c r="AG316" i="51"/>
  <c r="AE316" i="51"/>
  <c r="AB316" i="51"/>
  <c r="AG315" i="51"/>
  <c r="AE315" i="51"/>
  <c r="AB315" i="51"/>
  <c r="AG314" i="51"/>
  <c r="AE314" i="51"/>
  <c r="AB314" i="51"/>
  <c r="AG313" i="51"/>
  <c r="AE313" i="51"/>
  <c r="AB313" i="51"/>
  <c r="AG312" i="51"/>
  <c r="AE312" i="51"/>
  <c r="AB312" i="51"/>
  <c r="AG311" i="51"/>
  <c r="AE311" i="51"/>
  <c r="AB311" i="51"/>
  <c r="AG310" i="51"/>
  <c r="AE310" i="51"/>
  <c r="AB310" i="51"/>
  <c r="AG309" i="51"/>
  <c r="AE309" i="51"/>
  <c r="AB309" i="51"/>
  <c r="AG308" i="51"/>
  <c r="AE308" i="51"/>
  <c r="AB308" i="51"/>
  <c r="AG307" i="51"/>
  <c r="AE307" i="51"/>
  <c r="AB307" i="51"/>
  <c r="AG306" i="51"/>
  <c r="AE306" i="51"/>
  <c r="AB306" i="51"/>
  <c r="AG305" i="51"/>
  <c r="AE305" i="51"/>
  <c r="AB305" i="51"/>
  <c r="AG304" i="51"/>
  <c r="AE304" i="51"/>
  <c r="AB304" i="51"/>
  <c r="AG303" i="51"/>
  <c r="AE303" i="51"/>
  <c r="AB303" i="51"/>
  <c r="AG302" i="51"/>
  <c r="AE302" i="51"/>
  <c r="AB302" i="51"/>
  <c r="AG301" i="51"/>
  <c r="AE301" i="51"/>
  <c r="AB301" i="51"/>
  <c r="AG300" i="51"/>
  <c r="AE300" i="51"/>
  <c r="AB300" i="51"/>
  <c r="AG299" i="51"/>
  <c r="AE299" i="51"/>
  <c r="AB299" i="51"/>
  <c r="AG298" i="51"/>
  <c r="AE298" i="51"/>
  <c r="AB298" i="51"/>
  <c r="AG297" i="51"/>
  <c r="AE297" i="51"/>
  <c r="AB297" i="51"/>
  <c r="AG296" i="51"/>
  <c r="AE296" i="51"/>
  <c r="AB296" i="51"/>
  <c r="AG295" i="51"/>
  <c r="AE295" i="51"/>
  <c r="AB295" i="51"/>
  <c r="AG291" i="51"/>
  <c r="AE291" i="51"/>
  <c r="AB291" i="51"/>
  <c r="AG290" i="51"/>
  <c r="AE290" i="51"/>
  <c r="AB290" i="51"/>
  <c r="AG289" i="51"/>
  <c r="AE289" i="51"/>
  <c r="AB289" i="51"/>
  <c r="AG288" i="51"/>
  <c r="AE288" i="51"/>
  <c r="AB288" i="51"/>
  <c r="AG287" i="51"/>
  <c r="AE287" i="51"/>
  <c r="AB287" i="51"/>
  <c r="AG286" i="51"/>
  <c r="AE286" i="51"/>
  <c r="AB286" i="51"/>
  <c r="AG285" i="51"/>
  <c r="AE285" i="51"/>
  <c r="AB285" i="51"/>
  <c r="AG284" i="51"/>
  <c r="AE284" i="51"/>
  <c r="AB284" i="51"/>
  <c r="AG283" i="51"/>
  <c r="AE283" i="51"/>
  <c r="AB283" i="51"/>
  <c r="AG282" i="51"/>
  <c r="AE282" i="51"/>
  <c r="AB282" i="51"/>
  <c r="AG281" i="51"/>
  <c r="AE281" i="51"/>
  <c r="AB281" i="51"/>
  <c r="AG280" i="51"/>
  <c r="AE280" i="51"/>
  <c r="AB280" i="51"/>
  <c r="AG279" i="51"/>
  <c r="AE279" i="51"/>
  <c r="AB279" i="51"/>
  <c r="AG278" i="51"/>
  <c r="AE278" i="51"/>
  <c r="AB278" i="51"/>
  <c r="AG277" i="51"/>
  <c r="AE277" i="51"/>
  <c r="AB277" i="51"/>
  <c r="AG276" i="51"/>
  <c r="AE276" i="51"/>
  <c r="AB276" i="51"/>
  <c r="AG275" i="51"/>
  <c r="AE275" i="51"/>
  <c r="AB275" i="51"/>
  <c r="AG274" i="51"/>
  <c r="AE274" i="51"/>
  <c r="AB274" i="51"/>
  <c r="AG273" i="51"/>
  <c r="AE273" i="51"/>
  <c r="AB273" i="51"/>
  <c r="AG272" i="51"/>
  <c r="AE272" i="51"/>
  <c r="AB272" i="51"/>
  <c r="AG271" i="51"/>
  <c r="AE271" i="51"/>
  <c r="AB271" i="51"/>
  <c r="AG270" i="51"/>
  <c r="AE270" i="51"/>
  <c r="AB270" i="51"/>
  <c r="AG269" i="51"/>
  <c r="AE269" i="51"/>
  <c r="AB269" i="51"/>
  <c r="AG268" i="51"/>
  <c r="AE268" i="51"/>
  <c r="AB268" i="51"/>
  <c r="AG267" i="51"/>
  <c r="AE267" i="51"/>
  <c r="AB267" i="51"/>
  <c r="AG266" i="51"/>
  <c r="AE266" i="51"/>
  <c r="AB266" i="51"/>
  <c r="AG265" i="51"/>
  <c r="AE265" i="51"/>
  <c r="AB265" i="51"/>
  <c r="AG264" i="51"/>
  <c r="AE264" i="51"/>
  <c r="AB264" i="51"/>
  <c r="AG263" i="51"/>
  <c r="AE263" i="51"/>
  <c r="AB263" i="51"/>
  <c r="AG262" i="51"/>
  <c r="AE262" i="51"/>
  <c r="AB262" i="51"/>
  <c r="AG261" i="51"/>
  <c r="AE261" i="51"/>
  <c r="AB261" i="51"/>
  <c r="AG260" i="51"/>
  <c r="AE260" i="51"/>
  <c r="AB260" i="51"/>
  <c r="AG259" i="51"/>
  <c r="AE259" i="51"/>
  <c r="AB259" i="51"/>
  <c r="AG258" i="51"/>
  <c r="AE258" i="51"/>
  <c r="AB258" i="51"/>
  <c r="AG257" i="51"/>
  <c r="AE257" i="51"/>
  <c r="AB257" i="51"/>
  <c r="AG256" i="51"/>
  <c r="AE256" i="51"/>
  <c r="AB256" i="51"/>
  <c r="AG255" i="51"/>
  <c r="AE255" i="51"/>
  <c r="AB255" i="51"/>
  <c r="AG254" i="51"/>
  <c r="AE254" i="51"/>
  <c r="AB254" i="51"/>
  <c r="AG253" i="51"/>
  <c r="AE253" i="51"/>
  <c r="AB253" i="51"/>
  <c r="AG252" i="51"/>
  <c r="AE252" i="51"/>
  <c r="AB252" i="51"/>
  <c r="AG251" i="51"/>
  <c r="AE251" i="51"/>
  <c r="AB251" i="51"/>
  <c r="AG250" i="51"/>
  <c r="AE250" i="51"/>
  <c r="AB250" i="51"/>
  <c r="AG249" i="51"/>
  <c r="AE249" i="51"/>
  <c r="AB249" i="51"/>
  <c r="AG248" i="51"/>
  <c r="AE248" i="51"/>
  <c r="AB248" i="51"/>
  <c r="AG247" i="51"/>
  <c r="AE247" i="51"/>
  <c r="AB247" i="51"/>
  <c r="AG246" i="51"/>
  <c r="AE246" i="51"/>
  <c r="AB246" i="51"/>
  <c r="AG245" i="51"/>
  <c r="AE245" i="51"/>
  <c r="AB245" i="51"/>
  <c r="AG244" i="51"/>
  <c r="AE244" i="51"/>
  <c r="AB244" i="51"/>
  <c r="AG243" i="51"/>
  <c r="AE243" i="51"/>
  <c r="AG242" i="51"/>
  <c r="AE242" i="51"/>
  <c r="AB242" i="51"/>
  <c r="AG241" i="51"/>
  <c r="AE241" i="51"/>
  <c r="AB241" i="51"/>
  <c r="AG240" i="51"/>
  <c r="AE240" i="51"/>
  <c r="AB240" i="51"/>
  <c r="AG239" i="51"/>
  <c r="AE239" i="51"/>
  <c r="AB239" i="51"/>
  <c r="AG238" i="51"/>
  <c r="AE238" i="51"/>
  <c r="AB238" i="51"/>
  <c r="AG237" i="51"/>
  <c r="AE237" i="51"/>
  <c r="AB237" i="51"/>
  <c r="AG236" i="51"/>
  <c r="AE236" i="51"/>
  <c r="AB236" i="51"/>
  <c r="AG235" i="51"/>
  <c r="AE235" i="51"/>
  <c r="AB235" i="51"/>
  <c r="AG234" i="51"/>
  <c r="AE234" i="51"/>
  <c r="AB234" i="51"/>
  <c r="AG233" i="51"/>
  <c r="AE233" i="51"/>
  <c r="AB233" i="51"/>
  <c r="AG232" i="51"/>
  <c r="AE232" i="51"/>
  <c r="AB232" i="51"/>
  <c r="AG231" i="51"/>
  <c r="AE231" i="51"/>
  <c r="AB231" i="51"/>
  <c r="AG230" i="51"/>
  <c r="AE230" i="51"/>
  <c r="AB230" i="51"/>
  <c r="AG229" i="51"/>
  <c r="AE229" i="51"/>
  <c r="AB229" i="51"/>
  <c r="AG228" i="51"/>
  <c r="AE228" i="51"/>
  <c r="AB228" i="51"/>
  <c r="AG227" i="51"/>
  <c r="AE227" i="51"/>
  <c r="AB227" i="51"/>
  <c r="AG226" i="51"/>
  <c r="AE226" i="51"/>
  <c r="AB226" i="51"/>
  <c r="AG225" i="51"/>
  <c r="AE225" i="51"/>
  <c r="AB225" i="51"/>
  <c r="AG224" i="51"/>
  <c r="AE224" i="51"/>
  <c r="AB224" i="51"/>
  <c r="AG223" i="51"/>
  <c r="AE223" i="51"/>
  <c r="AB223" i="51"/>
  <c r="AG222" i="51"/>
  <c r="AE222" i="51"/>
  <c r="AB222" i="51"/>
  <c r="AG221" i="51"/>
  <c r="AE221" i="51"/>
  <c r="AB221" i="51"/>
  <c r="AG220" i="51"/>
  <c r="AE220" i="51"/>
  <c r="AB220" i="51"/>
  <c r="AG219" i="51"/>
  <c r="AE219" i="51"/>
  <c r="AB219" i="51"/>
  <c r="AG218" i="51"/>
  <c r="AE218" i="51"/>
  <c r="AB218" i="51"/>
  <c r="AG217" i="51"/>
  <c r="AE217" i="51"/>
  <c r="AB217" i="51"/>
  <c r="AG216" i="51"/>
  <c r="AE216" i="51"/>
  <c r="AB216" i="51"/>
  <c r="AG215" i="51"/>
  <c r="AE215" i="51"/>
  <c r="AB215" i="51"/>
  <c r="AG214" i="51"/>
  <c r="AE214" i="51"/>
  <c r="AB214" i="51"/>
  <c r="AG213" i="51"/>
  <c r="AE213" i="51"/>
  <c r="AB213" i="51"/>
  <c r="AG212" i="51"/>
  <c r="AE212" i="51"/>
  <c r="AB212" i="51"/>
  <c r="AG211" i="51"/>
  <c r="AE211" i="51"/>
  <c r="AB211" i="51"/>
  <c r="AG210" i="51"/>
  <c r="AE210" i="51"/>
  <c r="AB210" i="51"/>
  <c r="AG209" i="51"/>
  <c r="AE209" i="51"/>
  <c r="AB209" i="51"/>
  <c r="AG208" i="51"/>
  <c r="AE208" i="51"/>
  <c r="AB208" i="51"/>
  <c r="AG207" i="51"/>
  <c r="AE207" i="51"/>
  <c r="AB207" i="51"/>
  <c r="AG206" i="51"/>
  <c r="AE206" i="51"/>
  <c r="AB206" i="51"/>
  <c r="AG205" i="51"/>
  <c r="AE205" i="51"/>
  <c r="AB205" i="51"/>
  <c r="AG204" i="51"/>
  <c r="AE204" i="51"/>
  <c r="AB204" i="51"/>
  <c r="AG203" i="51"/>
  <c r="AE203" i="51"/>
  <c r="AB203" i="51"/>
  <c r="AG202" i="51"/>
  <c r="AE202" i="51"/>
  <c r="AB202" i="51"/>
  <c r="AG201" i="51"/>
  <c r="AE201" i="51"/>
  <c r="AB201" i="51"/>
  <c r="AG200" i="51"/>
  <c r="AE200" i="51"/>
  <c r="AB200" i="51"/>
  <c r="AG199" i="51"/>
  <c r="AE199" i="51"/>
  <c r="AB199" i="51"/>
  <c r="AG198" i="51"/>
  <c r="AE198" i="51"/>
  <c r="AB198" i="51"/>
  <c r="AG197" i="51"/>
  <c r="AE197" i="51"/>
  <c r="AB197" i="51"/>
  <c r="AG196" i="51"/>
  <c r="AE196" i="51"/>
  <c r="AB196" i="51"/>
  <c r="AG195" i="51"/>
  <c r="AE195" i="51"/>
  <c r="AB195" i="51"/>
  <c r="AG194" i="51"/>
  <c r="AE194" i="51"/>
  <c r="AG193" i="51"/>
  <c r="AE193" i="51"/>
  <c r="AB193" i="51"/>
  <c r="AG192" i="51"/>
  <c r="AE192" i="51"/>
  <c r="AB192" i="51"/>
  <c r="AG191" i="51"/>
  <c r="AE191" i="51"/>
  <c r="AB191" i="51"/>
  <c r="AG190" i="51"/>
  <c r="AE190" i="51"/>
  <c r="AB190" i="51"/>
  <c r="AG189" i="51"/>
  <c r="AE189" i="51"/>
  <c r="AB189" i="51"/>
  <c r="AG188" i="51"/>
  <c r="AE188" i="51"/>
  <c r="AB188" i="51"/>
  <c r="AG187" i="51"/>
  <c r="AE187" i="51"/>
  <c r="AB187" i="51"/>
  <c r="AG186" i="51"/>
  <c r="AE186" i="51"/>
  <c r="AB186" i="51"/>
  <c r="AG185" i="51"/>
  <c r="AE185" i="51"/>
  <c r="AB185" i="51"/>
  <c r="AG184" i="51"/>
  <c r="AE184" i="51"/>
  <c r="AB184" i="51"/>
  <c r="AG183" i="51"/>
  <c r="AE183" i="51"/>
  <c r="AG182" i="51"/>
  <c r="AE182" i="51"/>
  <c r="AB182" i="51"/>
  <c r="AG181" i="51"/>
  <c r="AE181" i="51"/>
  <c r="AB181" i="51"/>
  <c r="AG180" i="51"/>
  <c r="AE180" i="51"/>
  <c r="AB180" i="51"/>
  <c r="AG179" i="51"/>
  <c r="AE179" i="51"/>
  <c r="AB179" i="51"/>
  <c r="AG178" i="51"/>
  <c r="AE178" i="51"/>
  <c r="AB178" i="51"/>
  <c r="AG177" i="51"/>
  <c r="AE177" i="51"/>
  <c r="AB177" i="51"/>
  <c r="AG176" i="51"/>
  <c r="AE176" i="51"/>
  <c r="AB176" i="51"/>
  <c r="AG175" i="51"/>
  <c r="AE175" i="51"/>
  <c r="AB175" i="51"/>
  <c r="AG174" i="51"/>
  <c r="AE174" i="51"/>
  <c r="AB174" i="51"/>
  <c r="AG173" i="51"/>
  <c r="AE173" i="51"/>
  <c r="AB173" i="51"/>
  <c r="AG172" i="51"/>
  <c r="AE172" i="51"/>
  <c r="AB172" i="51"/>
  <c r="AG171" i="51"/>
  <c r="AE171" i="51"/>
  <c r="AB171" i="51"/>
  <c r="AG170" i="51"/>
  <c r="AE170" i="51"/>
  <c r="AB170" i="51"/>
  <c r="AG169" i="51"/>
  <c r="AE169" i="51"/>
  <c r="AB169" i="51"/>
  <c r="AG168" i="51"/>
  <c r="AE168" i="51"/>
  <c r="AB168" i="51"/>
  <c r="AG167" i="51"/>
  <c r="AE167" i="51"/>
  <c r="AB167" i="51"/>
  <c r="AG163" i="51"/>
  <c r="AE163" i="51"/>
  <c r="AB163" i="51"/>
  <c r="AG162" i="51"/>
  <c r="AE162" i="51"/>
  <c r="AB162" i="51"/>
  <c r="AG161" i="51"/>
  <c r="AE161" i="51"/>
  <c r="AB161" i="51"/>
  <c r="AG160" i="51"/>
  <c r="AE160" i="51"/>
  <c r="AB160" i="51"/>
  <c r="AG159" i="51"/>
  <c r="AE159" i="51"/>
  <c r="AB159" i="51"/>
  <c r="AG158" i="51"/>
  <c r="AE158" i="51"/>
  <c r="AB158" i="51"/>
  <c r="AG157" i="51"/>
  <c r="AE157" i="51"/>
  <c r="AB157" i="51"/>
  <c r="AG156" i="51"/>
  <c r="AE156" i="51"/>
  <c r="AB156" i="51"/>
  <c r="AG155" i="51"/>
  <c r="AE155" i="51"/>
  <c r="AB155" i="51"/>
  <c r="AG154" i="51"/>
  <c r="AE154" i="51"/>
  <c r="AB154" i="51"/>
  <c r="AG153" i="51"/>
  <c r="AE153" i="51"/>
  <c r="AB153" i="51"/>
  <c r="AG152" i="51"/>
  <c r="AE152" i="51"/>
  <c r="AB152" i="51"/>
  <c r="AG151" i="51"/>
  <c r="AE151" i="51"/>
  <c r="AB151" i="51"/>
  <c r="AG150" i="51"/>
  <c r="AE150" i="51"/>
  <c r="AB150" i="51"/>
  <c r="AG149" i="51"/>
  <c r="AE149" i="51"/>
  <c r="AB149" i="51"/>
  <c r="AG148" i="51"/>
  <c r="AE148" i="51"/>
  <c r="AB148" i="51"/>
  <c r="AG147" i="51"/>
  <c r="AE147" i="51"/>
  <c r="AB147" i="51"/>
  <c r="AG146" i="51"/>
  <c r="AE146" i="51"/>
  <c r="AB146" i="51"/>
  <c r="AG145" i="51"/>
  <c r="AE145" i="51"/>
  <c r="AB145" i="51"/>
  <c r="AG144" i="51"/>
  <c r="AE144" i="51"/>
  <c r="AB144" i="51"/>
  <c r="AG143" i="51"/>
  <c r="AE143" i="51"/>
  <c r="AB143" i="51"/>
  <c r="AG142" i="51"/>
  <c r="AE142" i="51"/>
  <c r="AB142" i="51"/>
  <c r="AG141" i="51"/>
  <c r="AE141" i="51"/>
  <c r="AB141" i="51"/>
  <c r="AG140" i="51"/>
  <c r="AE140" i="51"/>
  <c r="AB140" i="51"/>
  <c r="AG139" i="51"/>
  <c r="AE139" i="51"/>
  <c r="AB139" i="51"/>
  <c r="AG138" i="51"/>
  <c r="AE138" i="51"/>
  <c r="AB138" i="51"/>
  <c r="AG137" i="51"/>
  <c r="AE137" i="51"/>
  <c r="AB137" i="51"/>
  <c r="AG136" i="51"/>
  <c r="AE136" i="51"/>
  <c r="AB136" i="51"/>
  <c r="AG135" i="51"/>
  <c r="AE135" i="51"/>
  <c r="AB135" i="51"/>
  <c r="AG134" i="51"/>
  <c r="AE134" i="51"/>
  <c r="AB134" i="51"/>
  <c r="AG133" i="51"/>
  <c r="AE133" i="51"/>
  <c r="AB133" i="51"/>
  <c r="AG132" i="51"/>
  <c r="AE132" i="51"/>
  <c r="AB132" i="51"/>
  <c r="AG131" i="51"/>
  <c r="AE131" i="51"/>
  <c r="AB131" i="51"/>
  <c r="AG130" i="51"/>
  <c r="AE130" i="51"/>
  <c r="AB130" i="51"/>
  <c r="AG129" i="51"/>
  <c r="AE129" i="51"/>
  <c r="AB129" i="51"/>
  <c r="AG128" i="51"/>
  <c r="AE128" i="51"/>
  <c r="AB128" i="51"/>
  <c r="AG127" i="51"/>
  <c r="AE127" i="51"/>
  <c r="AB127" i="51"/>
  <c r="AG126" i="51"/>
  <c r="AE126" i="51"/>
  <c r="AB126" i="51"/>
  <c r="AG125" i="51"/>
  <c r="AE125" i="51"/>
  <c r="AB125" i="51"/>
  <c r="AG124" i="51"/>
  <c r="AE124" i="51"/>
  <c r="AB124" i="51"/>
  <c r="AG123" i="51"/>
  <c r="AE123" i="51"/>
  <c r="AB123" i="51"/>
  <c r="AG122" i="51"/>
  <c r="AE122" i="51"/>
  <c r="AB122" i="51"/>
  <c r="AG121" i="51"/>
  <c r="AE121" i="51"/>
  <c r="AB121" i="51"/>
  <c r="AG120" i="51"/>
  <c r="AE120" i="51"/>
  <c r="AB120" i="51"/>
  <c r="AG119" i="51"/>
  <c r="AE119" i="51"/>
  <c r="AG118" i="51"/>
  <c r="AE118" i="51"/>
  <c r="AB118" i="51"/>
  <c r="AG117" i="51"/>
  <c r="AE117" i="51"/>
  <c r="AB117" i="51"/>
  <c r="AG116" i="51"/>
  <c r="AE116" i="51"/>
  <c r="AB116" i="51"/>
  <c r="AG115" i="51"/>
  <c r="AE115" i="51"/>
  <c r="AB115" i="51"/>
  <c r="AG114" i="51"/>
  <c r="AE114" i="51"/>
  <c r="AB114" i="51"/>
  <c r="AG113" i="51"/>
  <c r="AE113" i="51"/>
  <c r="AB113" i="51"/>
  <c r="AG112" i="51"/>
  <c r="AE112" i="51"/>
  <c r="AB112" i="51"/>
  <c r="AG111" i="51"/>
  <c r="AE111" i="51"/>
  <c r="AB111" i="51"/>
  <c r="AG110" i="51"/>
  <c r="AE110" i="51"/>
  <c r="AG109" i="51"/>
  <c r="AE109" i="51"/>
  <c r="AB109" i="51"/>
  <c r="AG108" i="51"/>
  <c r="AE108" i="51"/>
  <c r="AB108" i="51"/>
  <c r="AG107" i="51"/>
  <c r="AE107" i="51"/>
  <c r="AB107" i="51"/>
  <c r="AG106" i="51"/>
  <c r="AE106" i="51"/>
  <c r="AB106" i="51"/>
  <c r="AG105" i="51"/>
  <c r="AE105" i="51"/>
  <c r="AB105" i="51"/>
  <c r="AG104" i="51"/>
  <c r="AE104" i="51"/>
  <c r="AB104" i="51"/>
  <c r="AG103" i="51"/>
  <c r="AE103" i="51"/>
  <c r="AB103" i="51"/>
  <c r="AG102" i="51"/>
  <c r="AE102" i="51"/>
  <c r="AB102" i="51"/>
  <c r="AG101" i="51"/>
  <c r="AE101" i="51"/>
  <c r="AB101" i="51"/>
  <c r="AG100" i="51"/>
  <c r="AE100" i="51"/>
  <c r="AB100" i="51"/>
  <c r="AG99" i="51"/>
  <c r="AE99" i="51"/>
  <c r="AB99" i="51"/>
  <c r="AG98" i="51"/>
  <c r="AE98" i="51"/>
  <c r="AB98" i="51"/>
  <c r="AG97" i="51"/>
  <c r="AE97" i="51"/>
  <c r="AB97" i="51"/>
  <c r="AG96" i="51"/>
  <c r="AE96" i="51"/>
  <c r="AB96" i="51"/>
  <c r="AG95" i="51"/>
  <c r="AE95" i="51"/>
  <c r="AB95" i="51"/>
  <c r="AG94" i="51"/>
  <c r="AE94" i="51"/>
  <c r="AB94" i="51"/>
  <c r="AG93" i="51"/>
  <c r="AE93" i="51"/>
  <c r="AB93" i="51"/>
  <c r="AG92" i="51"/>
  <c r="AE92" i="51"/>
  <c r="AB92" i="51"/>
  <c r="AG91" i="51"/>
  <c r="AE91" i="51"/>
  <c r="AB91" i="51"/>
  <c r="AG90" i="51"/>
  <c r="AE90" i="51"/>
  <c r="AB90" i="51"/>
  <c r="AG89" i="51"/>
  <c r="AE89" i="51"/>
  <c r="AB89" i="51"/>
  <c r="AG88" i="51"/>
  <c r="AE88" i="51"/>
  <c r="AB88" i="51"/>
  <c r="AG87" i="51"/>
  <c r="AE87" i="51"/>
  <c r="AB87" i="51"/>
  <c r="AG86" i="51"/>
  <c r="AE86" i="51"/>
  <c r="AB86" i="51"/>
  <c r="AG85" i="51"/>
  <c r="AE85" i="51"/>
  <c r="AB85" i="51"/>
  <c r="AG84" i="51"/>
  <c r="AE84" i="51"/>
  <c r="AB84" i="51"/>
  <c r="AG83" i="51"/>
  <c r="AE83" i="51"/>
  <c r="AB83" i="51"/>
  <c r="AG82" i="51"/>
  <c r="AE82" i="51"/>
  <c r="AB82" i="51"/>
  <c r="AG81" i="51"/>
  <c r="AE81" i="51"/>
  <c r="AB81" i="51"/>
  <c r="AG80" i="51"/>
  <c r="AE80" i="51"/>
  <c r="AB80" i="51"/>
  <c r="AG79" i="51"/>
  <c r="AE79" i="51"/>
  <c r="AB79" i="51"/>
  <c r="AG78" i="51"/>
  <c r="AE78" i="51"/>
  <c r="AB78" i="51"/>
  <c r="AG77" i="51"/>
  <c r="AE77" i="51"/>
  <c r="AB77" i="51"/>
  <c r="AG76" i="51"/>
  <c r="AE76" i="51"/>
  <c r="AB76" i="51"/>
  <c r="AG75" i="51"/>
  <c r="AE75" i="51"/>
  <c r="AB75" i="51"/>
  <c r="AG74" i="51"/>
  <c r="AE74" i="51"/>
  <c r="AB74" i="51"/>
  <c r="AG73" i="51"/>
  <c r="AE73" i="51"/>
  <c r="AB73" i="51"/>
  <c r="AG72" i="51"/>
  <c r="AE72" i="51"/>
  <c r="AB72" i="51"/>
  <c r="AG71" i="51"/>
  <c r="AE71" i="51"/>
  <c r="AB71" i="51"/>
  <c r="AG70" i="51"/>
  <c r="AE70" i="51"/>
  <c r="AB70" i="51"/>
  <c r="AG69" i="51"/>
  <c r="AE69" i="51"/>
  <c r="AB69" i="51"/>
  <c r="AG68" i="51"/>
  <c r="AE68" i="51"/>
  <c r="AB68" i="51"/>
  <c r="AG67" i="51"/>
  <c r="AE67" i="51"/>
  <c r="AB67" i="51"/>
  <c r="AG66" i="51"/>
  <c r="AE66" i="51"/>
  <c r="AB66" i="51"/>
  <c r="AG65" i="51"/>
  <c r="AE65" i="51"/>
  <c r="AB65" i="51"/>
  <c r="AG64" i="51"/>
  <c r="AE64" i="51"/>
  <c r="AB64" i="51"/>
  <c r="AG63" i="51"/>
  <c r="AE63" i="51"/>
  <c r="AB63" i="51"/>
  <c r="AG62" i="51"/>
  <c r="AE62" i="51"/>
  <c r="AB62" i="51"/>
  <c r="AG61" i="51"/>
  <c r="AE61" i="51"/>
  <c r="AB61" i="51"/>
  <c r="AG60" i="51"/>
  <c r="AE60" i="51"/>
  <c r="AB60" i="51"/>
  <c r="AG59" i="51"/>
  <c r="AE59" i="51"/>
  <c r="AB59" i="51"/>
  <c r="AG58" i="51"/>
  <c r="AE58" i="51"/>
  <c r="AB58" i="51"/>
  <c r="AG57" i="51"/>
  <c r="AE57" i="51"/>
  <c r="AB57" i="51"/>
  <c r="AG56" i="51"/>
  <c r="AE56" i="51"/>
  <c r="AB56" i="51"/>
  <c r="AG55" i="51"/>
  <c r="AE55" i="51"/>
  <c r="AB55" i="51"/>
  <c r="AG54" i="51"/>
  <c r="AE54" i="51"/>
  <c r="AB54" i="51"/>
  <c r="AG53" i="51"/>
  <c r="AE53" i="51"/>
  <c r="AB53" i="51"/>
  <c r="AG52" i="51"/>
  <c r="AE52" i="51"/>
  <c r="AB52" i="51"/>
  <c r="AG51" i="51"/>
  <c r="AE51" i="51"/>
  <c r="AB51" i="51"/>
  <c r="AG50" i="51"/>
  <c r="AE50" i="51"/>
  <c r="AB50" i="51"/>
  <c r="AG49" i="51"/>
  <c r="AE49" i="51"/>
  <c r="AB49" i="51"/>
  <c r="AG48" i="51"/>
  <c r="AE48" i="51"/>
  <c r="AB48" i="51"/>
  <c r="AG47" i="51"/>
  <c r="AE47" i="51"/>
  <c r="AB47" i="51"/>
  <c r="AG46" i="51"/>
  <c r="AE46" i="51"/>
  <c r="AB46" i="51"/>
  <c r="AG45" i="51"/>
  <c r="AE45" i="51"/>
  <c r="AB45" i="51"/>
  <c r="AG44" i="51"/>
  <c r="AE44" i="51"/>
  <c r="AB44" i="51"/>
  <c r="AG43" i="51"/>
  <c r="AE43" i="51"/>
  <c r="AB43" i="51"/>
  <c r="AG42" i="51"/>
  <c r="AE42" i="51"/>
  <c r="AB42" i="51"/>
  <c r="AG41" i="51"/>
  <c r="AE41" i="51"/>
  <c r="AB41" i="51"/>
  <c r="AG40" i="51"/>
  <c r="AE40" i="51"/>
  <c r="AB40" i="51"/>
  <c r="AG39" i="51"/>
  <c r="AE39" i="51"/>
  <c r="AB39" i="51"/>
  <c r="AG38" i="51"/>
  <c r="AE38" i="51"/>
  <c r="AB38" i="51"/>
  <c r="AG37" i="51"/>
  <c r="AE37" i="51"/>
  <c r="AB37" i="51"/>
  <c r="AG36" i="51"/>
  <c r="AE36" i="51"/>
  <c r="AB36" i="51"/>
  <c r="AG35" i="51"/>
  <c r="AE35" i="51"/>
  <c r="AB35" i="51"/>
  <c r="AG34" i="51"/>
  <c r="AE34" i="51"/>
  <c r="AB34" i="51"/>
  <c r="AG33" i="51"/>
  <c r="AE33" i="51"/>
  <c r="AB33" i="51"/>
  <c r="AG32" i="51"/>
  <c r="AE32" i="51"/>
  <c r="AB32" i="51"/>
  <c r="AG31" i="51"/>
  <c r="AE31" i="51"/>
  <c r="AB31" i="51"/>
  <c r="AG30" i="51"/>
  <c r="AE30" i="51"/>
  <c r="AB30" i="51"/>
  <c r="AG29" i="51"/>
  <c r="AE29" i="51"/>
  <c r="AB29" i="51"/>
  <c r="AG28" i="51"/>
  <c r="AE28" i="51"/>
  <c r="AB28" i="51"/>
  <c r="AG27" i="51"/>
  <c r="AE27" i="51"/>
  <c r="AB27" i="51"/>
  <c r="AG26" i="51"/>
  <c r="AE26" i="51"/>
  <c r="AB26" i="51"/>
  <c r="AG25" i="51"/>
  <c r="AE25" i="51"/>
  <c r="AB25" i="51"/>
  <c r="AG24" i="51"/>
  <c r="AE24" i="51"/>
  <c r="AB24" i="51"/>
  <c r="AG23" i="51"/>
  <c r="AE23" i="51"/>
  <c r="AB23" i="51"/>
  <c r="AG22" i="51"/>
  <c r="AE22" i="51"/>
  <c r="AB22" i="51"/>
  <c r="AG21" i="51"/>
  <c r="AE21" i="51"/>
  <c r="AB21" i="51"/>
  <c r="AG20" i="51"/>
  <c r="AE20" i="51"/>
  <c r="AB20" i="51"/>
  <c r="AG19" i="51"/>
  <c r="AE19" i="51"/>
  <c r="AB19" i="51"/>
  <c r="AG18" i="51"/>
  <c r="AE18" i="51"/>
  <c r="AB18" i="51"/>
  <c r="AG17" i="51"/>
  <c r="AE17" i="51"/>
  <c r="AB17" i="51"/>
  <c r="AG16" i="51"/>
  <c r="AE16" i="51"/>
  <c r="AB16" i="51"/>
  <c r="AG15" i="51"/>
  <c r="AE15" i="51"/>
  <c r="AB15" i="51"/>
  <c r="AG14" i="51"/>
  <c r="AE14" i="51"/>
  <c r="AB14" i="51"/>
  <c r="AG13" i="51"/>
  <c r="AE13" i="51"/>
  <c r="AB13" i="51"/>
  <c r="AG12" i="51"/>
  <c r="AE12" i="51"/>
  <c r="AB12" i="51"/>
  <c r="AG11" i="51"/>
  <c r="AE11" i="51"/>
  <c r="AB11" i="51"/>
  <c r="AG10" i="51"/>
  <c r="AE10" i="51"/>
  <c r="AB10" i="51"/>
  <c r="AG9" i="51"/>
  <c r="AE9" i="51"/>
  <c r="AB9" i="51"/>
  <c r="AG8" i="51"/>
  <c r="AE8" i="51"/>
  <c r="AB8" i="51"/>
  <c r="AG7" i="51"/>
  <c r="AE7" i="51"/>
  <c r="AB7" i="51"/>
  <c r="AG6" i="51"/>
  <c r="AE6" i="51"/>
  <c r="AB6" i="51"/>
  <c r="AG5" i="51"/>
  <c r="AE5" i="51"/>
  <c r="AB5" i="51"/>
  <c r="AG4" i="51"/>
  <c r="AE4" i="51"/>
  <c r="AB4" i="51"/>
  <c r="AG3" i="51"/>
  <c r="AE3" i="51"/>
  <c r="AB3" i="51"/>
  <c r="AG2" i="51"/>
  <c r="AE2" i="51"/>
  <c r="AB2" i="51"/>
  <c r="I1783" i="46"/>
  <c r="I1781" i="46"/>
  <c r="G1781" i="46"/>
  <c r="I1779" i="46"/>
  <c r="G1779" i="46"/>
  <c r="I1778" i="46"/>
  <c r="G1778" i="46"/>
  <c r="I1777" i="46"/>
  <c r="G1777" i="46"/>
  <c r="I1775" i="46"/>
  <c r="G1775" i="46"/>
  <c r="I1774" i="46"/>
  <c r="G1774" i="46"/>
  <c r="I1773" i="46"/>
  <c r="I1772" i="46"/>
  <c r="G1772" i="46"/>
  <c r="I1771" i="46"/>
  <c r="G1771" i="46"/>
  <c r="I1770" i="46"/>
  <c r="G1770" i="46"/>
  <c r="I1769" i="46"/>
  <c r="G1769" i="46"/>
  <c r="I1767" i="46"/>
  <c r="G1767" i="46"/>
  <c r="I1766" i="46"/>
  <c r="G1766" i="46"/>
  <c r="I1765" i="46"/>
  <c r="G1765" i="46"/>
  <c r="I1764" i="46"/>
  <c r="I1761" i="46"/>
  <c r="I1759" i="46"/>
  <c r="G1759" i="46"/>
  <c r="I1758" i="46"/>
  <c r="G1758" i="46"/>
  <c r="I1757" i="46"/>
  <c r="G1757" i="46"/>
  <c r="I1756" i="46"/>
  <c r="G1756" i="46"/>
  <c r="I1754" i="46"/>
  <c r="G1754" i="46"/>
  <c r="I1753" i="46"/>
  <c r="I1751" i="46"/>
  <c r="G1751" i="46"/>
  <c r="I1749" i="46"/>
  <c r="I1748" i="46"/>
  <c r="G1748" i="46"/>
  <c r="I1746" i="46"/>
  <c r="G1746" i="46"/>
  <c r="I1744" i="46"/>
  <c r="I1743" i="46"/>
  <c r="G1743" i="46"/>
  <c r="I1741" i="46"/>
  <c r="G1741" i="46"/>
  <c r="I1740" i="46"/>
  <c r="G1740" i="46"/>
  <c r="I1739" i="46"/>
  <c r="G1739" i="46"/>
  <c r="I1737" i="46"/>
  <c r="G1737" i="46"/>
  <c r="I1736" i="46"/>
  <c r="I1735" i="46"/>
  <c r="G1735" i="46"/>
  <c r="I1733" i="46"/>
  <c r="G1733" i="46"/>
  <c r="I1732" i="46"/>
  <c r="G1732" i="46"/>
  <c r="I1730" i="46"/>
  <c r="I1728" i="46"/>
  <c r="G1728" i="46"/>
  <c r="I1726" i="46"/>
  <c r="I1723" i="46"/>
  <c r="G1723" i="46"/>
  <c r="I1722" i="46"/>
  <c r="I1720" i="46"/>
  <c r="G1720" i="46"/>
  <c r="I1719" i="46"/>
  <c r="G1719" i="46"/>
  <c r="I1716" i="46"/>
  <c r="G1716" i="46"/>
  <c r="I1715" i="46"/>
  <c r="G1715" i="46"/>
  <c r="I1714" i="46"/>
  <c r="I1713" i="46"/>
  <c r="G1713" i="46"/>
  <c r="I1711" i="46"/>
  <c r="G1711" i="46"/>
  <c r="I1709" i="46"/>
  <c r="I1708" i="46"/>
  <c r="G1708" i="46"/>
  <c r="I1707" i="46"/>
  <c r="G1707" i="46"/>
  <c r="I1705" i="46"/>
  <c r="I1703" i="46"/>
  <c r="G1703" i="46"/>
  <c r="I1700" i="46"/>
  <c r="G1700" i="46"/>
  <c r="I1699" i="46"/>
  <c r="I1697" i="46"/>
  <c r="G1697" i="46"/>
  <c r="I1695" i="46"/>
  <c r="G1695" i="46"/>
  <c r="I1694" i="46"/>
  <c r="G1694" i="46"/>
  <c r="I1693" i="46"/>
  <c r="I1691" i="46"/>
  <c r="G1691" i="46"/>
  <c r="I1690" i="46"/>
  <c r="G1690" i="46"/>
  <c r="I1689" i="46"/>
  <c r="G1689" i="46"/>
  <c r="I1687" i="46"/>
  <c r="I1685" i="46"/>
  <c r="G1685" i="46"/>
  <c r="I1684" i="46"/>
  <c r="G1684" i="46"/>
  <c r="I1683" i="46"/>
  <c r="G1683" i="46"/>
  <c r="I1682" i="46"/>
  <c r="G1682" i="46"/>
  <c r="I1681" i="46"/>
  <c r="G1681" i="46"/>
  <c r="I1680" i="46"/>
  <c r="I1676" i="46"/>
  <c r="I1674" i="46"/>
  <c r="G1674" i="46"/>
  <c r="I1673" i="46"/>
  <c r="G1673" i="46"/>
  <c r="I1671" i="46"/>
  <c r="I1667" i="46"/>
  <c r="I1664" i="46"/>
  <c r="I1660" i="46"/>
  <c r="G1660" i="46"/>
  <c r="I1659" i="46"/>
  <c r="I1658" i="46"/>
  <c r="G1658" i="46"/>
  <c r="I1657" i="46"/>
  <c r="G1657" i="46"/>
  <c r="I1653" i="46"/>
  <c r="G1653" i="46"/>
  <c r="I1652" i="46"/>
  <c r="I1651" i="46"/>
  <c r="G1651" i="46"/>
  <c r="I1650" i="46"/>
  <c r="G1650" i="46"/>
  <c r="I1649" i="46"/>
  <c r="G1649" i="46"/>
  <c r="I1648" i="46"/>
  <c r="G1648" i="46"/>
  <c r="I1646" i="46"/>
  <c r="G1646" i="46"/>
  <c r="I1645" i="46"/>
  <c r="G1645" i="46"/>
  <c r="I1644" i="46"/>
  <c r="G1644" i="46"/>
  <c r="I1642" i="46"/>
  <c r="I1641" i="46"/>
  <c r="G1641" i="46"/>
  <c r="I1639" i="46"/>
  <c r="I1638" i="46"/>
  <c r="G1638" i="46"/>
  <c r="I1636" i="46"/>
  <c r="G1636" i="46"/>
  <c r="I1635" i="46"/>
  <c r="G1635" i="46"/>
  <c r="I1634" i="46"/>
  <c r="I1632" i="46"/>
  <c r="G1632" i="46"/>
  <c r="I1631" i="46"/>
  <c r="I1629" i="46"/>
  <c r="G1629" i="46"/>
  <c r="I1628" i="46"/>
  <c r="G1628" i="46"/>
  <c r="I1627" i="46"/>
  <c r="G1627" i="46"/>
  <c r="I1626" i="46"/>
  <c r="I1625" i="46"/>
  <c r="G1625" i="46"/>
  <c r="I1623" i="46"/>
  <c r="G1623" i="46"/>
  <c r="I1620" i="46"/>
  <c r="I1619" i="46"/>
  <c r="G1619" i="46"/>
  <c r="I1618" i="46"/>
  <c r="G1618" i="46"/>
  <c r="I1617" i="46"/>
  <c r="G1617" i="46"/>
  <c r="I1612" i="46"/>
  <c r="G1612" i="46"/>
  <c r="I1611" i="46"/>
  <c r="I1609" i="46"/>
  <c r="G1609" i="46"/>
  <c r="I1607" i="46"/>
  <c r="G1607" i="46"/>
  <c r="I1606" i="46"/>
  <c r="I1603" i="46"/>
  <c r="G1603" i="46"/>
  <c r="I1602" i="46"/>
  <c r="G1602" i="46"/>
  <c r="I1601" i="46"/>
  <c r="I1600" i="46"/>
  <c r="G1600" i="46"/>
  <c r="I1598" i="46"/>
  <c r="G1598" i="46"/>
  <c r="I1597" i="46"/>
  <c r="G1597" i="46"/>
  <c r="I1596" i="46"/>
  <c r="G1596" i="46"/>
  <c r="I1595" i="46"/>
  <c r="G1595" i="46"/>
  <c r="I1594" i="46"/>
  <c r="G1594" i="46"/>
  <c r="I1593" i="46"/>
  <c r="G1593" i="46"/>
  <c r="I1592" i="46"/>
  <c r="I1588" i="46"/>
  <c r="I1587" i="46"/>
  <c r="G1587" i="46"/>
  <c r="I1586" i="46"/>
  <c r="G1586" i="46"/>
  <c r="I1583" i="46"/>
  <c r="I1579" i="46"/>
  <c r="G1579" i="46"/>
  <c r="I1578" i="46"/>
  <c r="G1578" i="46"/>
  <c r="I1577" i="46"/>
  <c r="I1576" i="46"/>
  <c r="G1576" i="46"/>
  <c r="I1574" i="46"/>
  <c r="G1574" i="46"/>
  <c r="I1568" i="46"/>
  <c r="G1568" i="46"/>
  <c r="I1567" i="46"/>
  <c r="I1566" i="46"/>
  <c r="G1566" i="46"/>
  <c r="I1564" i="46"/>
  <c r="G1564" i="46"/>
  <c r="I1562" i="46"/>
  <c r="I1560" i="46"/>
  <c r="G1560" i="46"/>
  <c r="I1558" i="46"/>
  <c r="G1558" i="46"/>
  <c r="I1555" i="46"/>
  <c r="G1555" i="46"/>
  <c r="I1554" i="46"/>
  <c r="G1554" i="46"/>
  <c r="I1552" i="46"/>
  <c r="I1551" i="46"/>
  <c r="G1551" i="46"/>
  <c r="I1550" i="46"/>
  <c r="G1550" i="46"/>
  <c r="I1549" i="46"/>
  <c r="G1549" i="46"/>
  <c r="I1548" i="46"/>
  <c r="G1548" i="46"/>
  <c r="I1546" i="46"/>
  <c r="G1546" i="46"/>
  <c r="I1543" i="46"/>
  <c r="G1543" i="46"/>
  <c r="I1542" i="46"/>
  <c r="G1542" i="46"/>
  <c r="I1541" i="46"/>
  <c r="I1540" i="46"/>
  <c r="G1540" i="46"/>
  <c r="I1539" i="46"/>
  <c r="G1539" i="46"/>
  <c r="I1538" i="46"/>
  <c r="G1538" i="46"/>
  <c r="I1537" i="46"/>
  <c r="G1537" i="46"/>
  <c r="I1535" i="46"/>
  <c r="G1535" i="46"/>
  <c r="I1534" i="46"/>
  <c r="G1534" i="46"/>
  <c r="I1531" i="46"/>
  <c r="I1530" i="46"/>
  <c r="G1530" i="46"/>
  <c r="I1528" i="46"/>
  <c r="I1524" i="46"/>
  <c r="G1524" i="46"/>
  <c r="I1523" i="46"/>
  <c r="G1523" i="46"/>
  <c r="I1521" i="46"/>
  <c r="I1520" i="46"/>
  <c r="G1520" i="46"/>
  <c r="I1514" i="46"/>
  <c r="I1511" i="46"/>
  <c r="I1510" i="46"/>
  <c r="I1508" i="46"/>
  <c r="I1506" i="46"/>
  <c r="G1506" i="46"/>
  <c r="I1503" i="46"/>
  <c r="I1500" i="46"/>
  <c r="I1497" i="46"/>
  <c r="I1496" i="46"/>
  <c r="G1496" i="46"/>
  <c r="I1495" i="46"/>
  <c r="G1495" i="46"/>
  <c r="I1494" i="46"/>
  <c r="G1494" i="46"/>
  <c r="I1493" i="46"/>
  <c r="G1493" i="46"/>
  <c r="I1489" i="46"/>
  <c r="I1488" i="46"/>
  <c r="G1488" i="46"/>
  <c r="I1486" i="46"/>
  <c r="I1484" i="46"/>
  <c r="G1484" i="46"/>
  <c r="I1483" i="46"/>
  <c r="G1483" i="46"/>
  <c r="I1481" i="46"/>
  <c r="I1475" i="46"/>
  <c r="I1473" i="46"/>
  <c r="G1473" i="46"/>
  <c r="I1471" i="46"/>
  <c r="G1471" i="46"/>
  <c r="I1470" i="46"/>
  <c r="I1467" i="46"/>
  <c r="G1467" i="46"/>
  <c r="I1466" i="46"/>
  <c r="I1465" i="46"/>
  <c r="G1465" i="46"/>
  <c r="I1464" i="46"/>
  <c r="G1464" i="46"/>
  <c r="I1462" i="46"/>
  <c r="G1462" i="46"/>
  <c r="I1461" i="46"/>
  <c r="G1461" i="46"/>
  <c r="I1460" i="46"/>
  <c r="G1460" i="46"/>
  <c r="I1459" i="46"/>
  <c r="I1458" i="46"/>
  <c r="G1458" i="46"/>
  <c r="I1456" i="46"/>
  <c r="G1456" i="46"/>
  <c r="I1455" i="46"/>
  <c r="G1455" i="46"/>
  <c r="I1453" i="46"/>
  <c r="I1451" i="46"/>
  <c r="G1451" i="46"/>
  <c r="I1447" i="46"/>
  <c r="G1447" i="46"/>
  <c r="I1446" i="46"/>
  <c r="I1445" i="46"/>
  <c r="G1445" i="46"/>
  <c r="I1443" i="46"/>
  <c r="G1443" i="46"/>
  <c r="I1442" i="46"/>
  <c r="G1442" i="46"/>
  <c r="I1441" i="46"/>
  <c r="I1440" i="46"/>
  <c r="G1440" i="46"/>
  <c r="I1438" i="46"/>
  <c r="G1438" i="46"/>
  <c r="I1435" i="46"/>
  <c r="I1434" i="46"/>
  <c r="I1433" i="46"/>
  <c r="G1433" i="46"/>
  <c r="I1431" i="46"/>
  <c r="G1431" i="46"/>
  <c r="I1429" i="46"/>
  <c r="G1429" i="46"/>
  <c r="I1428" i="46"/>
  <c r="I1426" i="46"/>
  <c r="G1426" i="46"/>
  <c r="I1425" i="46"/>
  <c r="G1425" i="46"/>
  <c r="I1423" i="46"/>
  <c r="I1422" i="46"/>
  <c r="G1422" i="46"/>
  <c r="I1421" i="46"/>
  <c r="I1420" i="46"/>
  <c r="I1419" i="46"/>
  <c r="I1416" i="46"/>
  <c r="I1414" i="46"/>
  <c r="G1414" i="46"/>
  <c r="I1413" i="46"/>
  <c r="G1413" i="46"/>
  <c r="I1410" i="46"/>
  <c r="G1410" i="46"/>
  <c r="I1408" i="46"/>
  <c r="I1407" i="46"/>
  <c r="G1407" i="46"/>
  <c r="I1406" i="46"/>
  <c r="G1406" i="46"/>
  <c r="I1405" i="46"/>
  <c r="G1405" i="46"/>
  <c r="I1400" i="46"/>
  <c r="I1399" i="46"/>
  <c r="G1399" i="46"/>
  <c r="I1398" i="46"/>
  <c r="I1395" i="46"/>
  <c r="I1393" i="46"/>
  <c r="G1393" i="46"/>
  <c r="I1392" i="46"/>
  <c r="G1392" i="46"/>
  <c r="I1391" i="46"/>
  <c r="I1388" i="46"/>
  <c r="G1388" i="46"/>
  <c r="I1387" i="46"/>
  <c r="I1384" i="46"/>
  <c r="I1383" i="46"/>
  <c r="G1383" i="46"/>
  <c r="I1382" i="46"/>
  <c r="G1382" i="46"/>
  <c r="I1380" i="46"/>
  <c r="G1380" i="46"/>
  <c r="I1379" i="46"/>
  <c r="G1379" i="46"/>
  <c r="I1378" i="46"/>
  <c r="I1373" i="46"/>
  <c r="G1373" i="46"/>
  <c r="I1372" i="46"/>
  <c r="G1372" i="46"/>
  <c r="I1371" i="46"/>
  <c r="G1371" i="46"/>
  <c r="I1370" i="46"/>
  <c r="I1369" i="46"/>
  <c r="G1369" i="46"/>
  <c r="I1367" i="46"/>
  <c r="G1367" i="46"/>
  <c r="I1366" i="46"/>
  <c r="G1366" i="46"/>
  <c r="I1365" i="46"/>
  <c r="I1363" i="46"/>
  <c r="G1363" i="46"/>
  <c r="I1361" i="46"/>
  <c r="G1361" i="46"/>
  <c r="I1360" i="46"/>
  <c r="G1360" i="46"/>
  <c r="I1359" i="46"/>
  <c r="G1359" i="46"/>
  <c r="I1357" i="46"/>
  <c r="G1357" i="46"/>
  <c r="I1356" i="46"/>
  <c r="I1355" i="46"/>
  <c r="G1355" i="46"/>
  <c r="I1354" i="46"/>
  <c r="G1354" i="46"/>
  <c r="I1351" i="46"/>
  <c r="I1350" i="46"/>
  <c r="G1350" i="46"/>
  <c r="I1348" i="46"/>
  <c r="G1348" i="46"/>
  <c r="I1346" i="46"/>
  <c r="I1344" i="46"/>
  <c r="G1344" i="46"/>
  <c r="I1343" i="46"/>
  <c r="I1339" i="46"/>
  <c r="G1339" i="46"/>
  <c r="I1338" i="46"/>
  <c r="G1338" i="46"/>
  <c r="I1337" i="46"/>
  <c r="I1335" i="46"/>
  <c r="G1335" i="46"/>
  <c r="I1334" i="46"/>
  <c r="G1334" i="46"/>
  <c r="I1331" i="46"/>
  <c r="G1331" i="46"/>
  <c r="I1330" i="46"/>
  <c r="G1330" i="46"/>
  <c r="I1329" i="46"/>
  <c r="I1328" i="46"/>
  <c r="G1328" i="46"/>
  <c r="I1326" i="46"/>
  <c r="G1326" i="46"/>
  <c r="I1324" i="46"/>
  <c r="I1323" i="46"/>
  <c r="G1323" i="46"/>
  <c r="I1322" i="46"/>
  <c r="G1322" i="46"/>
  <c r="I1321" i="46"/>
  <c r="I1318" i="46"/>
  <c r="I1317" i="46"/>
  <c r="G1317" i="46"/>
  <c r="I1315" i="46"/>
  <c r="G1315" i="46"/>
  <c r="I1314" i="46"/>
  <c r="G1314" i="46"/>
  <c r="I1313" i="46"/>
  <c r="G1313" i="46"/>
  <c r="I1312" i="46"/>
  <c r="G1312" i="46"/>
  <c r="I1310" i="46"/>
  <c r="I1309" i="46"/>
  <c r="G1309" i="46"/>
  <c r="I1306" i="46"/>
  <c r="G1306" i="46"/>
  <c r="I1305" i="46"/>
  <c r="I1303" i="46"/>
  <c r="G1303" i="46"/>
  <c r="I1302" i="46"/>
  <c r="G1302" i="46"/>
  <c r="I1301" i="46"/>
  <c r="G1301" i="46"/>
  <c r="I1300" i="46"/>
  <c r="G1300" i="46"/>
  <c r="I1298" i="46"/>
  <c r="I1296" i="46"/>
  <c r="G1296" i="46"/>
  <c r="I1295" i="46"/>
  <c r="G1295" i="46"/>
  <c r="I1294" i="46"/>
  <c r="G1294" i="46"/>
  <c r="I1293" i="46"/>
  <c r="G1293" i="46"/>
  <c r="I1291" i="46"/>
  <c r="G1291" i="46"/>
  <c r="I1290" i="46"/>
  <c r="I1285" i="46"/>
  <c r="I1283" i="46"/>
  <c r="G1283" i="46"/>
  <c r="I1282" i="46"/>
  <c r="G1282" i="46"/>
  <c r="I1281" i="46"/>
  <c r="I1279" i="46"/>
  <c r="G1279" i="46"/>
  <c r="I1278" i="46"/>
  <c r="G1278" i="46"/>
  <c r="I1275" i="46"/>
  <c r="G1275" i="46"/>
  <c r="I1274" i="46"/>
  <c r="G1274" i="46"/>
  <c r="I1272" i="46"/>
  <c r="I1270" i="46"/>
  <c r="G1270" i="46"/>
  <c r="I1269" i="46"/>
  <c r="G1269" i="46"/>
  <c r="I1268" i="46"/>
  <c r="I1265" i="46"/>
  <c r="G1265" i="46"/>
  <c r="I1264" i="46"/>
  <c r="G1264" i="46"/>
  <c r="I1263" i="46"/>
  <c r="I1261" i="46"/>
  <c r="G1261" i="46"/>
  <c r="I1257" i="46"/>
  <c r="G1257" i="46"/>
  <c r="I1256" i="46"/>
  <c r="G1256" i="46"/>
  <c r="I1255" i="46"/>
  <c r="I1254" i="46"/>
  <c r="G1254" i="46"/>
  <c r="I1252" i="46"/>
  <c r="G1252" i="46"/>
  <c r="I1251" i="46"/>
  <c r="G1251" i="46"/>
  <c r="I1247" i="46"/>
  <c r="I1245" i="46"/>
  <c r="I1244" i="46"/>
  <c r="G1244" i="46"/>
  <c r="I1243" i="46"/>
  <c r="G1243" i="46"/>
  <c r="I1242" i="46"/>
  <c r="G1242" i="46"/>
  <c r="I1241" i="46"/>
  <c r="G1241" i="46"/>
  <c r="I1240" i="46"/>
  <c r="I1234" i="46"/>
  <c r="G1234" i="46"/>
  <c r="I1233" i="46"/>
  <c r="G1233" i="46"/>
  <c r="I1232" i="46"/>
  <c r="G1232" i="46"/>
  <c r="I1231" i="46"/>
  <c r="I1229" i="46"/>
  <c r="G1229" i="46"/>
  <c r="I1223" i="46"/>
  <c r="G1223" i="46"/>
  <c r="I1222" i="46"/>
  <c r="G1222" i="46"/>
  <c r="I1221" i="46"/>
  <c r="I1220" i="46"/>
  <c r="G1220" i="46"/>
  <c r="I1218" i="46"/>
  <c r="G1218" i="46"/>
  <c r="I1217" i="46"/>
  <c r="G1217" i="46"/>
  <c r="I1215" i="46"/>
  <c r="G1215" i="46"/>
  <c r="I1214" i="46"/>
  <c r="I1210" i="46"/>
  <c r="I1207" i="46"/>
  <c r="G1207" i="46"/>
  <c r="I1206" i="46"/>
  <c r="G1206" i="46"/>
  <c r="I1204" i="46"/>
  <c r="G1204" i="46"/>
  <c r="I1203" i="46"/>
  <c r="I1201" i="46"/>
  <c r="G1201" i="46"/>
  <c r="I1200" i="46"/>
  <c r="I1199" i="46"/>
  <c r="G1199" i="46"/>
  <c r="I1198" i="46"/>
  <c r="G1198" i="46"/>
  <c r="I1196" i="46"/>
  <c r="G1196" i="46"/>
  <c r="I1195" i="46"/>
  <c r="I1194" i="46"/>
  <c r="I1189" i="46"/>
  <c r="G1189" i="46"/>
  <c r="I1188" i="46"/>
  <c r="I1187" i="46"/>
  <c r="G1187" i="46"/>
  <c r="I1185" i="46"/>
  <c r="G1185" i="46"/>
  <c r="I1181" i="46"/>
  <c r="G1181" i="46"/>
  <c r="I1180" i="46"/>
  <c r="G1180" i="46"/>
  <c r="I1179" i="46"/>
  <c r="I1178" i="46"/>
  <c r="G1178" i="46"/>
  <c r="I1176" i="46"/>
  <c r="G1176" i="46"/>
  <c r="I1174" i="46"/>
  <c r="I1173" i="46"/>
  <c r="I1171" i="46"/>
  <c r="G1171" i="46"/>
  <c r="I1167" i="46"/>
  <c r="G1167" i="46"/>
  <c r="I1166" i="46"/>
  <c r="I1164" i="46"/>
  <c r="G1164" i="46"/>
  <c r="I1163" i="46"/>
  <c r="G1163" i="46"/>
  <c r="I1162" i="46"/>
  <c r="G1162" i="46"/>
  <c r="I1161" i="46"/>
  <c r="G1161" i="46"/>
  <c r="I1160" i="46"/>
  <c r="I1158" i="46"/>
  <c r="G1158" i="46"/>
  <c r="I1157" i="46"/>
  <c r="G1157" i="46"/>
  <c r="I1156" i="46"/>
  <c r="G1156" i="46"/>
  <c r="I1155" i="46"/>
  <c r="G1155" i="46"/>
  <c r="I1151" i="46"/>
  <c r="G1151" i="46"/>
  <c r="I1150" i="46"/>
  <c r="I1146" i="46"/>
  <c r="G1146" i="46"/>
  <c r="I1145" i="46"/>
  <c r="I1141" i="46"/>
  <c r="I1140" i="46"/>
  <c r="I1138" i="46"/>
  <c r="G1138" i="46"/>
  <c r="I1137" i="46"/>
  <c r="G1137" i="46"/>
  <c r="I1135" i="46"/>
  <c r="G1135" i="46"/>
  <c r="I1134" i="46"/>
  <c r="I1127" i="46"/>
  <c r="G1127" i="46"/>
  <c r="I1126" i="46"/>
  <c r="I1124" i="46"/>
  <c r="G1124" i="46"/>
  <c r="I1122" i="46"/>
  <c r="G1122" i="46"/>
  <c r="I1121" i="46"/>
  <c r="G1121" i="46"/>
  <c r="I1120" i="46"/>
  <c r="I1118" i="46"/>
  <c r="G1118" i="46"/>
  <c r="I1117" i="46"/>
  <c r="G1117" i="46"/>
  <c r="I1116" i="46"/>
  <c r="G1116" i="46"/>
  <c r="I1115" i="46"/>
  <c r="I1112" i="46"/>
  <c r="G1112" i="46"/>
  <c r="I1111" i="46"/>
  <c r="G1111" i="46"/>
  <c r="I1110" i="46"/>
  <c r="G1110" i="46"/>
  <c r="I1109" i="46"/>
  <c r="G1109" i="46"/>
  <c r="I1108" i="46"/>
  <c r="G1108" i="46"/>
  <c r="I1107" i="46"/>
  <c r="I1104" i="46"/>
  <c r="G1104" i="46"/>
  <c r="I1103" i="46"/>
  <c r="I1101" i="46"/>
  <c r="G1101" i="46"/>
  <c r="I1100" i="46"/>
  <c r="G1100" i="46"/>
  <c r="I1097" i="46"/>
  <c r="I1095" i="46"/>
  <c r="G1095" i="46"/>
  <c r="I1092" i="46"/>
  <c r="G1092" i="46"/>
  <c r="I1091" i="46"/>
  <c r="I1089" i="46"/>
  <c r="I1088" i="46"/>
  <c r="G1088" i="46"/>
  <c r="I1086" i="46"/>
  <c r="G1086" i="46"/>
  <c r="I1085" i="46"/>
  <c r="I1084" i="46"/>
  <c r="G1084" i="46"/>
  <c r="I1082" i="46"/>
  <c r="G1082" i="46"/>
  <c r="I1081" i="46"/>
  <c r="G1081" i="46"/>
  <c r="I1078" i="46"/>
  <c r="G1078" i="46"/>
  <c r="I1077" i="46"/>
  <c r="I1075" i="46"/>
  <c r="G1075" i="46"/>
  <c r="I1074" i="46"/>
  <c r="G1074" i="46"/>
  <c r="I1073" i="46"/>
  <c r="G1073" i="46"/>
  <c r="I1071" i="46"/>
  <c r="G1071" i="46"/>
  <c r="I1070" i="46"/>
  <c r="G1070" i="46"/>
  <c r="I1069" i="46"/>
  <c r="I1068" i="46"/>
  <c r="G1068" i="46"/>
  <c r="I1065" i="46"/>
  <c r="I1063" i="46"/>
  <c r="G1063" i="46"/>
  <c r="I1061" i="46"/>
  <c r="G1061" i="46"/>
  <c r="I1060" i="46"/>
  <c r="G1060" i="46"/>
  <c r="I1059" i="46"/>
  <c r="I1056" i="46"/>
  <c r="G1056" i="46"/>
  <c r="I1055" i="46"/>
  <c r="G1055" i="46"/>
  <c r="I1053" i="46"/>
  <c r="I1052" i="46"/>
  <c r="G1052" i="46"/>
  <c r="I1051" i="46"/>
  <c r="G1051" i="46"/>
  <c r="I1050" i="46"/>
  <c r="G1050" i="46"/>
  <c r="I1048" i="46"/>
  <c r="G1048" i="46"/>
  <c r="I1046" i="46"/>
  <c r="G1046" i="46"/>
  <c r="I1045" i="46"/>
  <c r="G1045" i="46"/>
  <c r="I1043" i="46"/>
  <c r="I1041" i="46"/>
  <c r="G1041" i="46"/>
  <c r="I1034" i="46"/>
  <c r="I1033" i="46"/>
  <c r="G1033" i="46"/>
  <c r="I1026" i="46"/>
  <c r="G1026" i="46"/>
  <c r="I1025" i="46"/>
  <c r="G1025" i="46"/>
  <c r="I1023" i="46"/>
  <c r="G1023" i="46"/>
  <c r="I1022" i="46"/>
  <c r="I1021" i="46"/>
  <c r="G1021" i="46"/>
  <c r="I1017" i="46"/>
  <c r="I1014" i="46"/>
  <c r="I1012" i="46"/>
  <c r="G1012" i="46"/>
  <c r="I1010" i="46"/>
  <c r="I1005" i="46"/>
  <c r="I1004" i="46"/>
  <c r="G1004" i="46"/>
  <c r="I1001" i="46"/>
  <c r="I1000" i="46"/>
  <c r="G1000" i="46"/>
  <c r="I998" i="46"/>
  <c r="G998" i="46"/>
  <c r="I996" i="46"/>
  <c r="G996" i="46"/>
  <c r="I995" i="46"/>
  <c r="G995" i="46"/>
  <c r="I994" i="46"/>
  <c r="I992" i="46"/>
  <c r="G992" i="46"/>
  <c r="I991" i="46"/>
  <c r="G991" i="46"/>
  <c r="I990" i="46"/>
  <c r="G990" i="46"/>
  <c r="I988" i="46"/>
  <c r="I987" i="46"/>
  <c r="I986" i="46"/>
  <c r="G986" i="46"/>
  <c r="I984" i="46"/>
  <c r="G984" i="46"/>
  <c r="I982" i="46"/>
  <c r="I980" i="46"/>
  <c r="G980" i="46"/>
  <c r="I979" i="46"/>
  <c r="G979" i="46"/>
  <c r="I978" i="46"/>
  <c r="G978" i="46"/>
  <c r="I976" i="46"/>
  <c r="I975" i="46"/>
  <c r="G975" i="46"/>
  <c r="I973" i="46"/>
  <c r="G973" i="46"/>
  <c r="I972" i="46"/>
  <c r="I970" i="46"/>
  <c r="G970" i="46"/>
  <c r="I969" i="46"/>
  <c r="G969" i="46"/>
  <c r="I967" i="46"/>
  <c r="I961" i="46"/>
  <c r="G961" i="46"/>
  <c r="I960" i="46"/>
  <c r="G960" i="46"/>
  <c r="I958" i="46"/>
  <c r="I956" i="46"/>
  <c r="G956" i="46"/>
  <c r="I955" i="46"/>
  <c r="G955" i="46"/>
  <c r="I953" i="46"/>
  <c r="G953" i="46"/>
  <c r="I952" i="46"/>
  <c r="G952" i="46"/>
  <c r="I951" i="46"/>
  <c r="I950" i="46"/>
  <c r="G950" i="46"/>
  <c r="I947" i="46"/>
  <c r="G947" i="46"/>
  <c r="I946" i="46"/>
  <c r="G946" i="46"/>
  <c r="I944" i="46"/>
  <c r="G944" i="46"/>
  <c r="I943" i="46"/>
  <c r="I942" i="46"/>
  <c r="G942" i="46"/>
  <c r="I940" i="46"/>
  <c r="G940" i="46"/>
  <c r="I939" i="46"/>
  <c r="I936" i="46"/>
  <c r="G936" i="46"/>
  <c r="I935" i="46"/>
  <c r="G935" i="46"/>
  <c r="I934" i="46"/>
  <c r="G934" i="46"/>
  <c r="I933" i="46"/>
  <c r="G933" i="46"/>
  <c r="I932" i="46"/>
  <c r="G932" i="46"/>
  <c r="I930" i="46"/>
  <c r="I927" i="46"/>
  <c r="I926" i="46"/>
  <c r="G926" i="46"/>
  <c r="I924" i="46"/>
  <c r="G924" i="46"/>
  <c r="I918" i="46"/>
  <c r="G918" i="46"/>
  <c r="I917" i="46"/>
  <c r="I916" i="46"/>
  <c r="G916" i="46"/>
  <c r="I914" i="46"/>
  <c r="G914" i="46"/>
  <c r="I913" i="46"/>
  <c r="G913" i="46"/>
  <c r="I910" i="46"/>
  <c r="I908" i="46"/>
  <c r="I906" i="46"/>
  <c r="G906" i="46"/>
  <c r="I905" i="46"/>
  <c r="G905" i="46"/>
  <c r="I903" i="46"/>
  <c r="G903" i="46"/>
  <c r="I902" i="46"/>
  <c r="G902" i="46"/>
  <c r="I900" i="46"/>
  <c r="I899" i="46"/>
  <c r="I898" i="46"/>
  <c r="G898" i="46"/>
  <c r="I897" i="46"/>
  <c r="G897" i="46"/>
  <c r="I896" i="46"/>
  <c r="G896" i="46"/>
  <c r="I895" i="46"/>
  <c r="I894" i="46"/>
  <c r="I892" i="46"/>
  <c r="G892" i="46"/>
  <c r="I890" i="46"/>
  <c r="I889" i="46"/>
  <c r="G889" i="46"/>
  <c r="I885" i="46"/>
  <c r="G885" i="46"/>
  <c r="I884" i="46"/>
  <c r="G884" i="46"/>
  <c r="I883" i="46"/>
  <c r="I882" i="46"/>
  <c r="G882" i="46"/>
  <c r="I878" i="46"/>
  <c r="G878" i="46"/>
  <c r="I877" i="46"/>
  <c r="I874" i="46"/>
  <c r="I873" i="46"/>
  <c r="I871" i="46"/>
  <c r="G871" i="46"/>
  <c r="I870" i="46"/>
  <c r="G870" i="46"/>
  <c r="I868" i="46"/>
  <c r="I866" i="46"/>
  <c r="G866" i="46"/>
  <c r="I862" i="46"/>
  <c r="I861" i="46"/>
  <c r="G861" i="46"/>
  <c r="I859" i="46"/>
  <c r="G859" i="46"/>
  <c r="I858" i="46"/>
  <c r="G858" i="46"/>
  <c r="I856" i="46"/>
  <c r="G856" i="46"/>
  <c r="I855" i="46"/>
  <c r="G855" i="46"/>
  <c r="I854" i="46"/>
  <c r="I851" i="46"/>
  <c r="G851" i="46"/>
  <c r="I850" i="46"/>
  <c r="I849" i="46"/>
  <c r="G849" i="46"/>
  <c r="I847" i="46"/>
  <c r="G847" i="46"/>
  <c r="I844" i="46"/>
  <c r="I842" i="46"/>
  <c r="I841" i="46"/>
  <c r="G841" i="46"/>
  <c r="I839" i="46"/>
  <c r="G839" i="46"/>
  <c r="I838" i="46"/>
  <c r="G838" i="46"/>
  <c r="I837" i="46"/>
  <c r="G837" i="46"/>
  <c r="I834" i="46"/>
  <c r="G834" i="46"/>
  <c r="I833" i="46"/>
  <c r="G833" i="46"/>
  <c r="I831" i="46"/>
  <c r="G831" i="46"/>
  <c r="I830" i="46"/>
  <c r="G830" i="46"/>
  <c r="I829" i="46"/>
  <c r="I828" i="46"/>
  <c r="G828" i="46"/>
  <c r="I826" i="46"/>
  <c r="G826" i="46"/>
  <c r="I822" i="46"/>
  <c r="I821" i="46"/>
  <c r="G821" i="46"/>
  <c r="I819" i="46"/>
  <c r="G819" i="46"/>
  <c r="I817" i="46"/>
  <c r="I814" i="46"/>
  <c r="G814" i="46"/>
  <c r="I813" i="46"/>
  <c r="I810" i="46"/>
  <c r="G810" i="46"/>
  <c r="I809" i="46"/>
  <c r="I808" i="46"/>
  <c r="G808" i="46"/>
  <c r="I806" i="46"/>
  <c r="G806" i="46"/>
  <c r="I805" i="46"/>
  <c r="G805" i="46"/>
  <c r="I801" i="46"/>
  <c r="G801" i="46"/>
  <c r="I800" i="46"/>
  <c r="I799" i="46"/>
  <c r="G799" i="46"/>
  <c r="I797" i="46"/>
  <c r="G797" i="46"/>
  <c r="I795" i="46"/>
  <c r="I794" i="46"/>
  <c r="G794" i="46"/>
  <c r="I791" i="46"/>
  <c r="G791" i="46"/>
  <c r="I790" i="46"/>
  <c r="I789" i="46"/>
  <c r="I787" i="46"/>
  <c r="G787" i="46"/>
  <c r="I785" i="46"/>
  <c r="G785" i="46"/>
  <c r="I784" i="46"/>
  <c r="I783" i="46"/>
  <c r="G783" i="46"/>
  <c r="I781" i="46"/>
  <c r="G781" i="46"/>
  <c r="I780" i="46"/>
  <c r="G780" i="46"/>
  <c r="I778" i="46"/>
  <c r="G778" i="46"/>
  <c r="I777" i="46"/>
  <c r="G777" i="46"/>
  <c r="I775" i="46"/>
  <c r="G775" i="46"/>
  <c r="I774" i="46"/>
  <c r="G774" i="46"/>
  <c r="I773" i="46"/>
  <c r="I771" i="46"/>
  <c r="G771" i="46"/>
  <c r="I770" i="46"/>
  <c r="G770" i="46"/>
  <c r="I767" i="46"/>
  <c r="G767" i="46"/>
  <c r="I766" i="46"/>
  <c r="I764" i="46"/>
  <c r="G764" i="46"/>
  <c r="I763" i="46"/>
  <c r="G763" i="46"/>
  <c r="I761" i="46"/>
  <c r="G761" i="46"/>
  <c r="I760" i="46"/>
  <c r="G760" i="46"/>
  <c r="I759" i="46"/>
  <c r="G759" i="46"/>
  <c r="I758" i="46"/>
  <c r="I756" i="46"/>
  <c r="I753" i="46"/>
  <c r="G753" i="46"/>
  <c r="I751" i="46"/>
  <c r="I744" i="46"/>
  <c r="G744" i="46"/>
  <c r="I743" i="46"/>
  <c r="G743" i="46"/>
  <c r="I742" i="46"/>
  <c r="G742" i="46"/>
  <c r="I741" i="46"/>
  <c r="I739" i="46"/>
  <c r="G739" i="46"/>
  <c r="I736" i="46"/>
  <c r="G736" i="46"/>
  <c r="I735" i="46"/>
  <c r="G735" i="46"/>
  <c r="I733" i="46"/>
  <c r="I732" i="46"/>
  <c r="G732" i="46"/>
  <c r="I730" i="46"/>
  <c r="G730" i="46"/>
  <c r="I727" i="46"/>
  <c r="G727" i="46"/>
  <c r="I726" i="46"/>
  <c r="G726" i="46"/>
  <c r="I724" i="46"/>
  <c r="G724" i="46"/>
  <c r="I723" i="46"/>
  <c r="G723" i="46"/>
  <c r="I722" i="46"/>
  <c r="I719" i="46"/>
  <c r="I717" i="46"/>
  <c r="G717" i="46"/>
  <c r="I716" i="46"/>
  <c r="G716" i="46"/>
  <c r="I715" i="46"/>
  <c r="G715" i="46"/>
  <c r="I713" i="46"/>
  <c r="I710" i="46"/>
  <c r="G710" i="46"/>
  <c r="I708" i="46"/>
  <c r="I706" i="46"/>
  <c r="I704" i="46"/>
  <c r="G704" i="46"/>
  <c r="I703" i="46"/>
  <c r="G703" i="46"/>
  <c r="I702" i="46"/>
  <c r="G702" i="46"/>
  <c r="I701" i="46"/>
  <c r="G701" i="46"/>
  <c r="I700" i="46"/>
  <c r="G700" i="46"/>
  <c r="I699" i="46"/>
  <c r="G699" i="46"/>
  <c r="I697" i="46"/>
  <c r="G697" i="46"/>
  <c r="I696" i="46"/>
  <c r="G696" i="46"/>
  <c r="I695" i="46"/>
  <c r="I692" i="46"/>
  <c r="G692" i="46"/>
  <c r="I691" i="46"/>
  <c r="G691" i="46"/>
  <c r="I690" i="46"/>
  <c r="I688" i="46"/>
  <c r="G688" i="46"/>
  <c r="I685" i="46"/>
  <c r="G685" i="46"/>
  <c r="I683" i="46"/>
  <c r="G683" i="46"/>
  <c r="I682" i="46"/>
  <c r="G682" i="46"/>
  <c r="I680" i="46"/>
  <c r="I678" i="46"/>
  <c r="G678" i="46"/>
  <c r="I675" i="46"/>
  <c r="G675" i="46"/>
  <c r="I674" i="46"/>
  <c r="G674" i="46"/>
  <c r="I673" i="46"/>
  <c r="G673" i="46"/>
  <c r="I672" i="46"/>
  <c r="I670" i="46"/>
  <c r="G670" i="46"/>
  <c r="I669" i="46"/>
  <c r="G669" i="46"/>
  <c r="I668" i="46"/>
  <c r="G668" i="46"/>
  <c r="I667" i="46"/>
  <c r="G667" i="46"/>
  <c r="I666" i="46"/>
  <c r="I664" i="46"/>
  <c r="G664" i="46"/>
  <c r="I661" i="46"/>
  <c r="I660" i="46"/>
  <c r="G660" i="46"/>
  <c r="I654" i="46"/>
  <c r="G654" i="46"/>
  <c r="I653" i="46"/>
  <c r="G653" i="46"/>
  <c r="I652" i="46"/>
  <c r="G652" i="46"/>
  <c r="I651" i="46"/>
  <c r="I648" i="46"/>
  <c r="G648" i="46"/>
  <c r="I647" i="46"/>
  <c r="G647" i="46"/>
  <c r="I646" i="46"/>
  <c r="I644" i="46"/>
  <c r="G644" i="46"/>
  <c r="I642" i="46"/>
  <c r="I641" i="46"/>
  <c r="I637" i="46"/>
  <c r="I636" i="46"/>
  <c r="G636" i="46"/>
  <c r="I635" i="46"/>
  <c r="G635" i="46"/>
  <c r="I633" i="46"/>
  <c r="G633" i="46"/>
  <c r="I632" i="46"/>
  <c r="I630" i="46"/>
  <c r="G630" i="46"/>
  <c r="I628" i="46"/>
  <c r="G628" i="46"/>
  <c r="I626" i="46"/>
  <c r="I625" i="46"/>
  <c r="I624" i="46"/>
  <c r="G624" i="46"/>
  <c r="I621" i="46"/>
  <c r="G621" i="46"/>
  <c r="I620" i="46"/>
  <c r="G620" i="46"/>
  <c r="I619" i="46"/>
  <c r="G619" i="46"/>
  <c r="I618" i="46"/>
  <c r="G618" i="46"/>
  <c r="I617" i="46"/>
  <c r="I615" i="46"/>
  <c r="G615" i="46"/>
  <c r="I613" i="46"/>
  <c r="G613" i="46"/>
  <c r="I611" i="46"/>
  <c r="I610" i="46"/>
  <c r="G610" i="46"/>
  <c r="I606" i="46"/>
  <c r="G606" i="46"/>
  <c r="I605" i="46"/>
  <c r="I603" i="46"/>
  <c r="G603" i="46"/>
  <c r="I602" i="46"/>
  <c r="G602" i="46"/>
  <c r="I601" i="46"/>
  <c r="G601" i="46"/>
  <c r="I599" i="46"/>
  <c r="G599" i="46"/>
  <c r="I598" i="46"/>
  <c r="G598" i="46"/>
  <c r="I597" i="46"/>
  <c r="G597" i="46"/>
  <c r="I596" i="46"/>
  <c r="I595" i="46"/>
  <c r="G595" i="46"/>
  <c r="I592" i="46"/>
  <c r="G592" i="46"/>
  <c r="I591" i="46"/>
  <c r="I589" i="46"/>
  <c r="G589" i="46"/>
  <c r="I587" i="46"/>
  <c r="G587" i="46"/>
  <c r="I586" i="46"/>
  <c r="I584" i="46"/>
  <c r="G584" i="46"/>
  <c r="I582" i="46"/>
  <c r="G582" i="46"/>
  <c r="I581" i="46"/>
  <c r="I579" i="46"/>
  <c r="G579" i="46"/>
  <c r="I576" i="46"/>
  <c r="G576" i="46"/>
  <c r="I575" i="46"/>
  <c r="G575" i="46"/>
  <c r="I574" i="46"/>
  <c r="I571" i="46"/>
  <c r="G571" i="46"/>
  <c r="I570" i="46"/>
  <c r="I569" i="46"/>
  <c r="G569" i="46"/>
  <c r="I566" i="46"/>
  <c r="G566" i="46"/>
  <c r="I565" i="46"/>
  <c r="G565" i="46"/>
  <c r="I564" i="46"/>
  <c r="G564" i="46"/>
  <c r="I562" i="46"/>
  <c r="G562" i="46"/>
  <c r="I561" i="46"/>
  <c r="G561" i="46"/>
  <c r="I560" i="46"/>
  <c r="I557" i="46"/>
  <c r="I556" i="46"/>
  <c r="G556" i="46"/>
  <c r="I555" i="46"/>
  <c r="I552" i="46"/>
  <c r="I550" i="46"/>
  <c r="G550" i="46"/>
  <c r="I549" i="46"/>
  <c r="G549" i="46"/>
  <c r="I548" i="46"/>
  <c r="G548" i="46"/>
  <c r="I547" i="46"/>
  <c r="I546" i="46"/>
  <c r="G546" i="46"/>
  <c r="I544" i="46"/>
  <c r="G544" i="46"/>
  <c r="I543" i="46"/>
  <c r="G543" i="46"/>
  <c r="I542" i="46"/>
  <c r="G542" i="46"/>
  <c r="I540" i="46"/>
  <c r="I539" i="46"/>
  <c r="G539" i="46"/>
  <c r="I535" i="46"/>
  <c r="G535" i="46"/>
  <c r="I534" i="46"/>
  <c r="G534" i="46"/>
  <c r="I532" i="46"/>
  <c r="I529" i="46"/>
  <c r="G529" i="46"/>
  <c r="I528" i="46"/>
  <c r="G528" i="46"/>
  <c r="I527" i="46"/>
  <c r="I525" i="46"/>
  <c r="G525" i="46"/>
  <c r="I524" i="46"/>
  <c r="G524" i="46"/>
  <c r="I522" i="46"/>
  <c r="I519" i="46"/>
  <c r="G519" i="46"/>
  <c r="I517" i="46"/>
  <c r="G517" i="46"/>
  <c r="I516" i="46"/>
  <c r="I512" i="46"/>
  <c r="I510" i="46"/>
  <c r="G510" i="46"/>
  <c r="I505" i="46"/>
  <c r="G505" i="46"/>
  <c r="I504" i="46"/>
  <c r="I503" i="46"/>
  <c r="G503" i="46"/>
  <c r="I502" i="46"/>
  <c r="G502" i="46"/>
  <c r="I501" i="46"/>
  <c r="I499" i="46"/>
  <c r="G499" i="46"/>
  <c r="I498" i="46"/>
  <c r="G498" i="46"/>
  <c r="I497" i="46"/>
  <c r="I496" i="46"/>
  <c r="I493" i="46"/>
  <c r="I492" i="46"/>
  <c r="G492" i="46"/>
  <c r="I490" i="46"/>
  <c r="I486" i="46"/>
  <c r="G486" i="46"/>
  <c r="I485" i="46"/>
  <c r="G485" i="46"/>
  <c r="I484" i="46"/>
  <c r="I483" i="46"/>
  <c r="G483" i="46"/>
  <c r="I482" i="46"/>
  <c r="G482" i="46"/>
  <c r="I481" i="46"/>
  <c r="G481" i="46"/>
  <c r="I479" i="46"/>
  <c r="G479" i="46"/>
  <c r="I478" i="46"/>
  <c r="G478" i="46"/>
  <c r="I477" i="46"/>
  <c r="I475" i="46"/>
  <c r="G475" i="46"/>
  <c r="I474" i="46"/>
  <c r="G474" i="46"/>
  <c r="I472" i="46"/>
  <c r="G472" i="46"/>
  <c r="I470" i="46"/>
  <c r="I469" i="46"/>
  <c r="G469" i="46"/>
  <c r="I467" i="46"/>
  <c r="G467" i="46"/>
  <c r="I465" i="46"/>
  <c r="G465" i="46"/>
  <c r="I464" i="46"/>
  <c r="I462" i="46"/>
  <c r="G462" i="46"/>
  <c r="I461" i="46"/>
  <c r="G461" i="46"/>
  <c r="I460" i="46"/>
  <c r="G460" i="46"/>
  <c r="I456" i="46"/>
  <c r="G456" i="46"/>
  <c r="I455" i="46"/>
  <c r="G455" i="46"/>
  <c r="I454" i="46"/>
  <c r="G454" i="46"/>
  <c r="I453" i="46"/>
  <c r="I451" i="46"/>
  <c r="G451" i="46"/>
  <c r="I449" i="46"/>
  <c r="I447" i="46"/>
  <c r="G447" i="46"/>
  <c r="I446" i="46"/>
  <c r="I444" i="46"/>
  <c r="G444" i="46"/>
  <c r="I442" i="46"/>
  <c r="G442" i="46"/>
  <c r="I440" i="46"/>
  <c r="I438" i="46"/>
  <c r="G438" i="46"/>
  <c r="I437" i="46"/>
  <c r="G437" i="46"/>
  <c r="I435" i="46"/>
  <c r="G435" i="46"/>
  <c r="I434" i="46"/>
  <c r="I431" i="46"/>
  <c r="G431" i="46"/>
  <c r="I430" i="46"/>
  <c r="I425" i="46"/>
  <c r="I424" i="46"/>
  <c r="I422" i="46"/>
  <c r="G422" i="46"/>
  <c r="I421" i="46"/>
  <c r="I419" i="46"/>
  <c r="I418" i="46"/>
  <c r="I416" i="46"/>
  <c r="G416" i="46"/>
  <c r="I415" i="46"/>
  <c r="G415" i="46"/>
  <c r="I412" i="46"/>
  <c r="G412" i="46"/>
  <c r="I411" i="46"/>
  <c r="G411" i="46"/>
  <c r="I410" i="46"/>
  <c r="G410" i="46"/>
  <c r="I409" i="46"/>
  <c r="I408" i="46"/>
  <c r="G408" i="46"/>
  <c r="I406" i="46"/>
  <c r="G406" i="46"/>
  <c r="I405" i="46"/>
  <c r="G405" i="46"/>
  <c r="I404" i="46"/>
  <c r="G404" i="46"/>
  <c r="I403" i="46"/>
  <c r="G403" i="46"/>
  <c r="I400" i="46"/>
  <c r="I398" i="46"/>
  <c r="G398" i="46"/>
  <c r="I397" i="46"/>
  <c r="G397" i="46"/>
  <c r="I396" i="46"/>
  <c r="G396" i="46"/>
  <c r="I394" i="46"/>
  <c r="I393" i="46"/>
  <c r="G393" i="46"/>
  <c r="I390" i="46"/>
  <c r="G390" i="46"/>
  <c r="I389" i="46"/>
  <c r="I382" i="46"/>
  <c r="G382" i="46"/>
  <c r="I381" i="46"/>
  <c r="G381" i="46"/>
  <c r="I380" i="46"/>
  <c r="I379" i="46"/>
  <c r="G379" i="46"/>
  <c r="I377" i="46"/>
  <c r="G377" i="46"/>
  <c r="I375" i="46"/>
  <c r="I373" i="46"/>
  <c r="G373" i="46"/>
  <c r="I372" i="46"/>
  <c r="G372" i="46"/>
  <c r="I370" i="46"/>
  <c r="G370" i="46"/>
  <c r="I369" i="46"/>
  <c r="G369" i="46"/>
  <c r="I368" i="46"/>
  <c r="I366" i="46"/>
  <c r="G366" i="46"/>
  <c r="I365" i="46"/>
  <c r="G365" i="46"/>
  <c r="I364" i="46"/>
  <c r="G364" i="46"/>
  <c r="I363" i="46"/>
  <c r="G363" i="46"/>
  <c r="I360" i="46"/>
  <c r="G360" i="46"/>
  <c r="I359" i="46"/>
  <c r="G359" i="46"/>
  <c r="I358" i="46"/>
  <c r="G358" i="46"/>
  <c r="I357" i="46"/>
  <c r="I355" i="46"/>
  <c r="G355" i="46"/>
  <c r="I354" i="46"/>
  <c r="G354" i="46"/>
  <c r="I353" i="46"/>
  <c r="G353" i="46"/>
  <c r="I351" i="46"/>
  <c r="I350" i="46"/>
  <c r="G350" i="46"/>
  <c r="I347" i="46"/>
  <c r="I344" i="46"/>
  <c r="G344" i="46"/>
  <c r="I343" i="46"/>
  <c r="G343" i="46"/>
  <c r="I342" i="46"/>
  <c r="G342" i="46"/>
  <c r="I341" i="46"/>
  <c r="I340" i="46"/>
  <c r="G340" i="46"/>
  <c r="I338" i="46"/>
  <c r="G338" i="46"/>
  <c r="I337" i="46"/>
  <c r="G337" i="46"/>
  <c r="I335" i="46"/>
  <c r="G335" i="46"/>
  <c r="I333" i="46"/>
  <c r="G333" i="46"/>
  <c r="I332" i="46"/>
  <c r="G332" i="46"/>
  <c r="I331" i="46"/>
  <c r="I329" i="46"/>
  <c r="G329" i="46"/>
  <c r="I328" i="46"/>
  <c r="G328" i="46"/>
  <c r="I325" i="46"/>
  <c r="G325" i="46"/>
  <c r="I324" i="46"/>
  <c r="I323" i="46"/>
  <c r="G323" i="46"/>
  <c r="I322" i="46"/>
  <c r="I317" i="46"/>
  <c r="I316" i="46"/>
  <c r="G316" i="46"/>
  <c r="I313" i="46"/>
  <c r="G313" i="46"/>
  <c r="I311" i="46"/>
  <c r="G311" i="46"/>
  <c r="I310" i="46"/>
  <c r="I309" i="46"/>
  <c r="G309" i="46"/>
  <c r="I306" i="46"/>
  <c r="G306" i="46"/>
  <c r="I305" i="46"/>
  <c r="G305" i="46"/>
  <c r="I304" i="46"/>
  <c r="G304" i="46"/>
  <c r="I303" i="46"/>
  <c r="I301" i="46"/>
  <c r="G301" i="46"/>
  <c r="I300" i="46"/>
  <c r="G300" i="46"/>
  <c r="I299" i="46"/>
  <c r="G299" i="46"/>
  <c r="I298" i="46"/>
  <c r="I297" i="46"/>
  <c r="I292" i="46"/>
  <c r="I289" i="46"/>
  <c r="G289" i="46"/>
  <c r="I288" i="46"/>
  <c r="I281" i="46"/>
  <c r="G281" i="46"/>
  <c r="I279" i="46"/>
  <c r="I278" i="46"/>
  <c r="I277" i="46"/>
  <c r="G277" i="46"/>
  <c r="I276" i="46"/>
  <c r="G276" i="46"/>
  <c r="I274" i="46"/>
  <c r="I271" i="46"/>
  <c r="G271" i="46"/>
  <c r="I270" i="46"/>
  <c r="G270" i="46"/>
  <c r="I269" i="46"/>
  <c r="G269" i="46"/>
  <c r="I268" i="46"/>
  <c r="I266" i="46"/>
  <c r="G266" i="46"/>
  <c r="I264" i="46"/>
  <c r="G264" i="46"/>
  <c r="I263" i="46"/>
  <c r="G263" i="46"/>
  <c r="I262" i="46"/>
  <c r="I260" i="46"/>
  <c r="G260" i="46"/>
  <c r="I259" i="46"/>
  <c r="G259" i="46"/>
  <c r="I258" i="46"/>
  <c r="G258" i="46"/>
  <c r="I257" i="46"/>
  <c r="G257" i="46"/>
  <c r="I256" i="46"/>
  <c r="I254" i="46"/>
  <c r="G254" i="46"/>
  <c r="I253" i="46"/>
  <c r="G253" i="46"/>
  <c r="I251" i="46"/>
  <c r="G251" i="46"/>
  <c r="I250" i="46"/>
  <c r="I248" i="46"/>
  <c r="G248" i="46"/>
  <c r="I247" i="46"/>
  <c r="G247" i="46"/>
  <c r="I245" i="46"/>
  <c r="I244" i="46"/>
  <c r="G244" i="46"/>
  <c r="I242" i="46"/>
  <c r="G242" i="46"/>
  <c r="I241" i="46"/>
  <c r="G241" i="46"/>
  <c r="I240" i="46"/>
  <c r="I238" i="46"/>
  <c r="G238" i="46"/>
  <c r="I237" i="46"/>
  <c r="I236" i="46"/>
  <c r="G236" i="46"/>
  <c r="I235" i="46"/>
  <c r="I233" i="46"/>
  <c r="G233" i="46"/>
  <c r="I231" i="46"/>
  <c r="I228" i="46"/>
  <c r="I227" i="46"/>
  <c r="G227" i="46"/>
  <c r="I226" i="46"/>
  <c r="G226" i="46"/>
  <c r="I224" i="46"/>
  <c r="G224" i="46"/>
  <c r="I223" i="46"/>
  <c r="G223" i="46"/>
  <c r="I221" i="46"/>
  <c r="G221" i="46"/>
  <c r="I220" i="46"/>
  <c r="I216" i="46"/>
  <c r="I213" i="46"/>
  <c r="G213" i="46"/>
  <c r="I212" i="46"/>
  <c r="I210" i="46"/>
  <c r="G210" i="46"/>
  <c r="I209" i="46"/>
  <c r="G209" i="46"/>
  <c r="I208" i="46"/>
  <c r="G208" i="46"/>
  <c r="I207" i="46"/>
  <c r="G207" i="46"/>
  <c r="I205" i="46"/>
  <c r="G205" i="46"/>
  <c r="I204" i="46"/>
  <c r="G204" i="46"/>
  <c r="I202" i="46"/>
  <c r="G202" i="46"/>
  <c r="I201" i="46"/>
  <c r="G201" i="46"/>
  <c r="I200" i="46"/>
  <c r="I197" i="46"/>
  <c r="I195" i="46"/>
  <c r="G195" i="46"/>
  <c r="I194" i="46"/>
  <c r="I187" i="46"/>
  <c r="I185" i="46"/>
  <c r="G185" i="46"/>
  <c r="I184" i="46"/>
  <c r="G184" i="46"/>
  <c r="I183" i="46"/>
  <c r="I181" i="46"/>
  <c r="I178" i="46"/>
  <c r="I177" i="46"/>
  <c r="G177" i="46"/>
  <c r="I176" i="46"/>
  <c r="G176" i="46"/>
  <c r="I173" i="46"/>
  <c r="G173" i="46"/>
  <c r="I172" i="46"/>
  <c r="G172" i="46"/>
  <c r="I171" i="46"/>
  <c r="I169" i="46"/>
  <c r="G169" i="46"/>
  <c r="I168" i="46"/>
  <c r="G168" i="46"/>
  <c r="I166" i="46"/>
  <c r="I165" i="46"/>
  <c r="I164" i="46"/>
  <c r="G164" i="46"/>
  <c r="I163" i="46"/>
  <c r="I157" i="46"/>
  <c r="I152" i="46"/>
  <c r="G152" i="46"/>
  <c r="I151" i="46"/>
  <c r="I149" i="46"/>
  <c r="G149" i="46"/>
  <c r="I148" i="46"/>
  <c r="G148" i="46"/>
  <c r="I146" i="46"/>
  <c r="G146" i="46"/>
  <c r="I145" i="46"/>
  <c r="G145" i="46"/>
  <c r="I143" i="46"/>
  <c r="I140" i="46"/>
  <c r="I138" i="46"/>
  <c r="G138" i="46"/>
  <c r="I132" i="46"/>
  <c r="G132" i="46"/>
  <c r="I131" i="46"/>
  <c r="G131" i="46"/>
  <c r="I129" i="46"/>
  <c r="I127" i="46"/>
  <c r="G127" i="46"/>
  <c r="I125" i="46"/>
  <c r="I123" i="46"/>
  <c r="G123" i="46"/>
  <c r="I121" i="46"/>
  <c r="G121" i="46"/>
  <c r="I120" i="46"/>
  <c r="G120" i="46"/>
  <c r="I119" i="46"/>
  <c r="G119" i="46"/>
  <c r="I118" i="46"/>
  <c r="G118" i="46"/>
  <c r="I117" i="46"/>
  <c r="I115" i="46"/>
  <c r="G115" i="46"/>
  <c r="I114" i="46"/>
  <c r="G114" i="46"/>
  <c r="I112" i="46"/>
  <c r="I109" i="46"/>
  <c r="G109" i="46"/>
  <c r="I108" i="46"/>
  <c r="G108" i="46"/>
  <c r="I107" i="46"/>
  <c r="I105" i="46"/>
  <c r="G105" i="46"/>
  <c r="I104" i="46"/>
  <c r="G104" i="46"/>
  <c r="I102" i="46"/>
  <c r="G102" i="46"/>
  <c r="I101" i="46"/>
  <c r="G101" i="46"/>
  <c r="I100" i="46"/>
  <c r="I97" i="46"/>
  <c r="I96" i="46"/>
  <c r="G96" i="46"/>
  <c r="I93" i="46"/>
  <c r="G93" i="46"/>
  <c r="I92" i="46"/>
  <c r="I90" i="46"/>
  <c r="G90" i="46"/>
  <c r="I87" i="46"/>
  <c r="G87" i="46"/>
  <c r="I86" i="46"/>
  <c r="G86" i="46"/>
  <c r="I84" i="46"/>
  <c r="I83" i="46"/>
  <c r="G83" i="46"/>
  <c r="I81" i="46"/>
  <c r="G81" i="46"/>
  <c r="I79" i="46"/>
  <c r="G79" i="46"/>
  <c r="I78" i="46"/>
  <c r="G78" i="46"/>
  <c r="I77" i="46"/>
  <c r="I76" i="46"/>
  <c r="G76" i="46"/>
  <c r="I75" i="46"/>
  <c r="I73" i="46"/>
  <c r="G73" i="46"/>
  <c r="I72" i="46"/>
  <c r="G72" i="46"/>
  <c r="I70" i="46"/>
  <c r="G70" i="46"/>
  <c r="I69" i="46"/>
  <c r="G69" i="46"/>
  <c r="I67" i="46"/>
  <c r="G67" i="46"/>
  <c r="I66" i="46"/>
  <c r="G66" i="46"/>
  <c r="I65" i="46"/>
  <c r="I64" i="46"/>
  <c r="G64" i="46"/>
  <c r="I62" i="46"/>
  <c r="G62" i="46"/>
  <c r="I61" i="46"/>
  <c r="G61" i="46"/>
  <c r="I59" i="46"/>
  <c r="G59" i="46"/>
  <c r="I58" i="46"/>
  <c r="I57" i="46"/>
  <c r="G57" i="46"/>
  <c r="I56" i="46"/>
  <c r="G56" i="46"/>
  <c r="I53" i="46"/>
  <c r="G53" i="46"/>
  <c r="I52" i="46"/>
  <c r="I50" i="46"/>
  <c r="G50" i="46"/>
  <c r="I47" i="46"/>
  <c r="G47" i="46"/>
  <c r="I46" i="46"/>
  <c r="G46" i="46"/>
  <c r="I44" i="46"/>
  <c r="I43" i="46"/>
  <c r="G43" i="46"/>
  <c r="I37" i="46"/>
  <c r="I35" i="46"/>
  <c r="G35" i="46"/>
  <c r="I34" i="46"/>
  <c r="G34" i="46"/>
  <c r="I32" i="46"/>
  <c r="G32" i="46"/>
  <c r="I31" i="46"/>
  <c r="I26" i="46"/>
  <c r="I25" i="46"/>
  <c r="G25" i="46"/>
  <c r="I20" i="46"/>
  <c r="I18" i="46"/>
  <c r="I15" i="46"/>
  <c r="I14" i="46"/>
  <c r="G14" i="46"/>
  <c r="I11" i="46"/>
  <c r="G11" i="46"/>
  <c r="I10" i="46"/>
  <c r="I9" i="46"/>
  <c r="G9" i="46"/>
  <c r="I7" i="46"/>
  <c r="G7" i="46"/>
  <c r="I6" i="46"/>
  <c r="G6" i="46"/>
  <c r="I4" i="46"/>
  <c r="C51" i="48"/>
  <c r="X68" i="44"/>
  <c r="E68" i="44"/>
  <c r="C43" i="1" s="1"/>
  <c r="X466" i="44"/>
  <c r="E466" i="44"/>
  <c r="X465" i="44"/>
  <c r="E465" i="44"/>
  <c r="X464" i="44"/>
  <c r="E464" i="44"/>
  <c r="X463" i="44"/>
  <c r="E463" i="44"/>
  <c r="X462" i="44"/>
  <c r="E462" i="44"/>
  <c r="X456" i="44"/>
  <c r="X455" i="44"/>
  <c r="X454" i="44"/>
  <c r="X453" i="44"/>
  <c r="X452" i="44"/>
  <c r="E461" i="44"/>
  <c r="C16" i="1" s="1"/>
  <c r="R82" i="34" l="1"/>
  <c r="R76" i="34"/>
  <c r="R89" i="34"/>
  <c r="R84" i="34"/>
  <c r="R98" i="34"/>
  <c r="S93" i="34"/>
  <c r="S76" i="34"/>
  <c r="S98" i="34"/>
  <c r="S91" i="34"/>
  <c r="S82" i="34"/>
  <c r="R78" i="34"/>
  <c r="R91" i="34"/>
  <c r="S89" i="34"/>
  <c r="R93" i="34"/>
  <c r="S97" i="34"/>
  <c r="R80" i="34"/>
  <c r="S95" i="34"/>
  <c r="R95" i="34"/>
  <c r="S84" i="34"/>
  <c r="R99" i="34"/>
  <c r="R86" i="34"/>
  <c r="R88" i="34"/>
  <c r="S80" i="34"/>
  <c r="M83" i="34"/>
  <c r="R94" i="34"/>
  <c r="S94" i="34"/>
  <c r="S86" i="34"/>
  <c r="S77" i="34"/>
  <c r="R77" i="34"/>
  <c r="R87" i="34"/>
  <c r="S87" i="34"/>
  <c r="R96" i="34"/>
  <c r="S96" i="34"/>
  <c r="R85" i="34"/>
  <c r="S85" i="34"/>
  <c r="R83" i="34"/>
  <c r="S83" i="34"/>
  <c r="S88" i="34"/>
  <c r="R81" i="34"/>
  <c r="S81" i="34"/>
  <c r="R92" i="34"/>
  <c r="S92" i="34"/>
  <c r="S78" i="34"/>
  <c r="R79" i="34"/>
  <c r="S79" i="34"/>
  <c r="S90" i="34"/>
  <c r="R90" i="34"/>
  <c r="M96" i="34"/>
  <c r="M85" i="34"/>
  <c r="R97" i="34"/>
  <c r="S99" i="34"/>
  <c r="AN73" i="1" l="1"/>
  <c r="AM73" i="1"/>
  <c r="AL73" i="1"/>
  <c r="AJ73" i="1"/>
  <c r="AI73" i="1"/>
  <c r="AN72" i="1"/>
  <c r="AM72" i="1"/>
  <c r="AL72" i="1"/>
  <c r="AJ72" i="1"/>
  <c r="AI72" i="1"/>
  <c r="AN71" i="1"/>
  <c r="AM71" i="1"/>
  <c r="AL71" i="1"/>
  <c r="AJ71" i="1"/>
  <c r="AI71" i="1"/>
  <c r="AK71" i="1" s="1"/>
  <c r="AN70" i="1"/>
  <c r="AM70" i="1"/>
  <c r="AL70" i="1"/>
  <c r="AJ70" i="1"/>
  <c r="AI70" i="1"/>
  <c r="AN69" i="1"/>
  <c r="AM69" i="1"/>
  <c r="AL69" i="1"/>
  <c r="AJ69" i="1"/>
  <c r="AI69" i="1"/>
  <c r="AK69" i="1" s="1"/>
  <c r="AN68" i="1"/>
  <c r="AM68" i="1"/>
  <c r="AL68" i="1"/>
  <c r="AJ68" i="1"/>
  <c r="AI68" i="1"/>
  <c r="AN67" i="1"/>
  <c r="AM67" i="1"/>
  <c r="AL67" i="1"/>
  <c r="AJ67" i="1"/>
  <c r="AI67" i="1"/>
  <c r="AN66" i="1"/>
  <c r="AM66" i="1"/>
  <c r="AO66" i="1" s="1"/>
  <c r="AL66" i="1"/>
  <c r="AJ66" i="1"/>
  <c r="AI66" i="1"/>
  <c r="AK66" i="1" s="1"/>
  <c r="AN65" i="1"/>
  <c r="AM65" i="1"/>
  <c r="AL65" i="1"/>
  <c r="AJ65" i="1"/>
  <c r="AI65" i="1"/>
  <c r="AK65" i="1" s="1"/>
  <c r="AN64" i="1"/>
  <c r="AM64" i="1"/>
  <c r="AL64" i="1"/>
  <c r="AJ64" i="1"/>
  <c r="AI64" i="1"/>
  <c r="AN63" i="1"/>
  <c r="AM63" i="1"/>
  <c r="AL63" i="1"/>
  <c r="AJ63" i="1"/>
  <c r="AI63" i="1"/>
  <c r="AN62" i="1"/>
  <c r="AM62" i="1"/>
  <c r="AL62" i="1"/>
  <c r="AJ62" i="1"/>
  <c r="AI62" i="1"/>
  <c r="AN61" i="1"/>
  <c r="AM61" i="1"/>
  <c r="AL61" i="1"/>
  <c r="AJ61" i="1"/>
  <c r="AI61" i="1"/>
  <c r="AK61" i="1" s="1"/>
  <c r="AN60" i="1"/>
  <c r="AM60" i="1"/>
  <c r="AL60" i="1"/>
  <c r="AJ60" i="1"/>
  <c r="AI60" i="1"/>
  <c r="AN59" i="1"/>
  <c r="AM59" i="1"/>
  <c r="AL59" i="1"/>
  <c r="AJ59" i="1"/>
  <c r="AI59" i="1"/>
  <c r="AN58" i="1"/>
  <c r="AM58" i="1"/>
  <c r="AO58" i="1" s="1"/>
  <c r="AL58" i="1"/>
  <c r="AJ58" i="1"/>
  <c r="AI58" i="1"/>
  <c r="AK58" i="1" s="1"/>
  <c r="AN57" i="1"/>
  <c r="AM57" i="1"/>
  <c r="AL57" i="1"/>
  <c r="AJ57" i="1"/>
  <c r="AI57" i="1"/>
  <c r="AN56" i="1"/>
  <c r="AM56" i="1"/>
  <c r="AL56" i="1"/>
  <c r="AJ56" i="1"/>
  <c r="AI56" i="1"/>
  <c r="AK56" i="1" s="1"/>
  <c r="AN55" i="1"/>
  <c r="AM55" i="1"/>
  <c r="AL55" i="1"/>
  <c r="AJ55" i="1"/>
  <c r="AI55" i="1"/>
  <c r="AK55" i="1" s="1"/>
  <c r="AN54" i="1"/>
  <c r="AM54" i="1"/>
  <c r="AL54" i="1"/>
  <c r="AJ54" i="1"/>
  <c r="AI54" i="1"/>
  <c r="AN53" i="1"/>
  <c r="AM53" i="1"/>
  <c r="AL53" i="1"/>
  <c r="AJ53" i="1"/>
  <c r="AI53" i="1"/>
  <c r="AK53" i="1" s="1"/>
  <c r="AN52" i="1"/>
  <c r="AM52" i="1"/>
  <c r="AL52" i="1"/>
  <c r="AJ52" i="1"/>
  <c r="AI52" i="1"/>
  <c r="AK52" i="1" s="1"/>
  <c r="AN51" i="1"/>
  <c r="AM51" i="1"/>
  <c r="AL51" i="1"/>
  <c r="AJ51" i="1"/>
  <c r="AI51" i="1"/>
  <c r="AK51" i="1" s="1"/>
  <c r="AN50" i="1"/>
  <c r="AM50" i="1"/>
  <c r="AL50" i="1"/>
  <c r="AJ50" i="1"/>
  <c r="AI50" i="1"/>
  <c r="AN49" i="1"/>
  <c r="AM49" i="1"/>
  <c r="AL49" i="1"/>
  <c r="AJ49" i="1"/>
  <c r="AI49" i="1"/>
  <c r="AK49" i="1" s="1"/>
  <c r="AN48" i="1"/>
  <c r="AM48" i="1"/>
  <c r="AL48" i="1"/>
  <c r="AJ48" i="1"/>
  <c r="AI48" i="1"/>
  <c r="AK48" i="1" s="1"/>
  <c r="AN47" i="1"/>
  <c r="AM47" i="1"/>
  <c r="AL47" i="1"/>
  <c r="AJ47" i="1"/>
  <c r="AI47" i="1"/>
  <c r="AK47" i="1" s="1"/>
  <c r="AN46" i="1"/>
  <c r="AM46" i="1"/>
  <c r="AL46" i="1"/>
  <c r="AJ46" i="1"/>
  <c r="AI46" i="1"/>
  <c r="AK46" i="1" s="1"/>
  <c r="AN45" i="1"/>
  <c r="AM45" i="1"/>
  <c r="AL45" i="1"/>
  <c r="AJ45" i="1"/>
  <c r="AI45" i="1"/>
  <c r="AK45" i="1" s="1"/>
  <c r="AN44" i="1"/>
  <c r="AM44" i="1"/>
  <c r="AL44" i="1"/>
  <c r="AJ44" i="1"/>
  <c r="AI44" i="1"/>
  <c r="AK44" i="1" s="1"/>
  <c r="AN43" i="1"/>
  <c r="AM43" i="1"/>
  <c r="AL43" i="1"/>
  <c r="AJ43" i="1"/>
  <c r="AI43" i="1"/>
  <c r="AK43" i="1" s="1"/>
  <c r="AN42" i="1"/>
  <c r="AM42" i="1"/>
  <c r="AL42" i="1"/>
  <c r="AJ42" i="1"/>
  <c r="AI42" i="1"/>
  <c r="AK42" i="1" s="1"/>
  <c r="AN41" i="1"/>
  <c r="AM41" i="1"/>
  <c r="AL41" i="1"/>
  <c r="AJ41" i="1"/>
  <c r="AI41" i="1"/>
  <c r="AN40" i="1"/>
  <c r="AM40" i="1"/>
  <c r="AL40" i="1"/>
  <c r="AJ40" i="1"/>
  <c r="AI40" i="1"/>
  <c r="AN39" i="1"/>
  <c r="AM39" i="1"/>
  <c r="AL39" i="1"/>
  <c r="AJ39" i="1"/>
  <c r="AI39" i="1"/>
  <c r="AK39" i="1" s="1"/>
  <c r="AN38" i="1"/>
  <c r="AM38" i="1"/>
  <c r="AL38" i="1"/>
  <c r="AJ38" i="1"/>
  <c r="AI38" i="1"/>
  <c r="AK38" i="1" s="1"/>
  <c r="AN37" i="1"/>
  <c r="AM37" i="1"/>
  <c r="AL37" i="1"/>
  <c r="AJ37" i="1"/>
  <c r="AI37" i="1"/>
  <c r="AN36" i="1"/>
  <c r="AM36" i="1"/>
  <c r="AL36" i="1"/>
  <c r="AJ36" i="1"/>
  <c r="AI36" i="1"/>
  <c r="AK36" i="1" s="1"/>
  <c r="AN35" i="1"/>
  <c r="AM35" i="1"/>
  <c r="AL35" i="1"/>
  <c r="AJ35" i="1"/>
  <c r="AI35" i="1"/>
  <c r="AK35" i="1" s="1"/>
  <c r="AN34" i="1"/>
  <c r="AM34" i="1"/>
  <c r="AL34" i="1"/>
  <c r="AJ34" i="1"/>
  <c r="AI34" i="1"/>
  <c r="AN33" i="1"/>
  <c r="AM33" i="1"/>
  <c r="AL33" i="1"/>
  <c r="AJ33" i="1"/>
  <c r="AI33" i="1"/>
  <c r="AN32" i="1"/>
  <c r="AM32" i="1"/>
  <c r="AL32" i="1"/>
  <c r="AJ32" i="1"/>
  <c r="AI32" i="1"/>
  <c r="AK32" i="1" s="1"/>
  <c r="AN31" i="1"/>
  <c r="AM31" i="1"/>
  <c r="AL31" i="1"/>
  <c r="AJ31" i="1"/>
  <c r="AI31" i="1"/>
  <c r="AK31" i="1" s="1"/>
  <c r="AN30" i="1"/>
  <c r="AM30" i="1"/>
  <c r="AL30" i="1"/>
  <c r="AJ30" i="1"/>
  <c r="AI30" i="1"/>
  <c r="AN29" i="1"/>
  <c r="AM29" i="1"/>
  <c r="AL29" i="1"/>
  <c r="AJ29" i="1"/>
  <c r="AI29" i="1"/>
  <c r="AN28" i="1"/>
  <c r="AM28" i="1"/>
  <c r="AL28" i="1"/>
  <c r="AJ28" i="1"/>
  <c r="AI28" i="1"/>
  <c r="AK28" i="1" s="1"/>
  <c r="AN27" i="1"/>
  <c r="AM27" i="1"/>
  <c r="AL27" i="1"/>
  <c r="AJ27" i="1"/>
  <c r="AI27" i="1"/>
  <c r="AK27" i="1" s="1"/>
  <c r="AN26" i="1"/>
  <c r="AM26" i="1"/>
  <c r="AL26" i="1"/>
  <c r="AJ26" i="1"/>
  <c r="AI26" i="1"/>
  <c r="AK26" i="1" s="1"/>
  <c r="AN25" i="1"/>
  <c r="AM25" i="1"/>
  <c r="AL25" i="1"/>
  <c r="AJ25" i="1"/>
  <c r="AI25" i="1"/>
  <c r="AN24" i="1"/>
  <c r="AM24" i="1"/>
  <c r="AL24" i="1"/>
  <c r="AJ24" i="1"/>
  <c r="AI24" i="1"/>
  <c r="AN23" i="1"/>
  <c r="AM23" i="1"/>
  <c r="AL23" i="1"/>
  <c r="AJ23" i="1"/>
  <c r="AI23" i="1"/>
  <c r="AK23" i="1" s="1"/>
  <c r="AN22" i="1"/>
  <c r="AM22" i="1"/>
  <c r="AL22" i="1"/>
  <c r="AJ22" i="1"/>
  <c r="AI22" i="1"/>
  <c r="AK22" i="1" s="1"/>
  <c r="AN21" i="1"/>
  <c r="AM21" i="1"/>
  <c r="AL21" i="1"/>
  <c r="AJ21" i="1"/>
  <c r="AI21" i="1"/>
  <c r="AN20" i="1"/>
  <c r="AM20" i="1"/>
  <c r="AL20" i="1"/>
  <c r="AJ20" i="1"/>
  <c r="AI20" i="1"/>
  <c r="AN19" i="1"/>
  <c r="AM19" i="1"/>
  <c r="AL19" i="1"/>
  <c r="AJ19" i="1"/>
  <c r="AI19" i="1"/>
  <c r="AN18" i="1"/>
  <c r="AM18" i="1"/>
  <c r="AL18" i="1"/>
  <c r="AJ18" i="1"/>
  <c r="AI18" i="1"/>
  <c r="AK18" i="1" s="1"/>
  <c r="AN17" i="1"/>
  <c r="AM17" i="1"/>
  <c r="AL17" i="1"/>
  <c r="AJ17" i="1"/>
  <c r="AI17" i="1"/>
  <c r="AN16" i="1"/>
  <c r="AM16" i="1"/>
  <c r="AL16" i="1"/>
  <c r="AJ16" i="1"/>
  <c r="AI16" i="1"/>
  <c r="AN15" i="1"/>
  <c r="AM15" i="1"/>
  <c r="AL15" i="1"/>
  <c r="AJ15" i="1"/>
  <c r="AI15" i="1"/>
  <c r="AK15" i="1" s="1"/>
  <c r="AN14" i="1"/>
  <c r="AM14" i="1"/>
  <c r="AL14" i="1"/>
  <c r="AJ14" i="1"/>
  <c r="AI14" i="1"/>
  <c r="AK14" i="1" s="1"/>
  <c r="AN13" i="1"/>
  <c r="AM13" i="1"/>
  <c r="AL13" i="1"/>
  <c r="AJ13" i="1"/>
  <c r="AI13" i="1"/>
  <c r="AN12" i="1"/>
  <c r="AM12" i="1"/>
  <c r="AL12" i="1"/>
  <c r="AJ12" i="1"/>
  <c r="AI12" i="1"/>
  <c r="AK12" i="1" s="1"/>
  <c r="AN11" i="1"/>
  <c r="AM11" i="1"/>
  <c r="AL11" i="1"/>
  <c r="AJ11" i="1"/>
  <c r="AI11" i="1"/>
  <c r="AN10" i="1"/>
  <c r="AM10" i="1"/>
  <c r="AL10" i="1"/>
  <c r="AJ10" i="1"/>
  <c r="AI10" i="1"/>
  <c r="AN9" i="1"/>
  <c r="AM9" i="1"/>
  <c r="AL9" i="1"/>
  <c r="AJ9" i="1"/>
  <c r="AI9" i="1"/>
  <c r="AN8" i="1"/>
  <c r="AM8" i="1"/>
  <c r="AL8" i="1"/>
  <c r="AJ8" i="1"/>
  <c r="AI8" i="1"/>
  <c r="AN7" i="1"/>
  <c r="AM7" i="1"/>
  <c r="AL7" i="1"/>
  <c r="AJ7" i="1"/>
  <c r="AI7" i="1"/>
  <c r="AK7" i="1" s="1"/>
  <c r="AN6" i="1"/>
  <c r="AM6" i="1"/>
  <c r="AL6" i="1"/>
  <c r="AJ6" i="1"/>
  <c r="AI6" i="1"/>
  <c r="AK6" i="1" s="1"/>
  <c r="M1" i="46"/>
  <c r="AG797" i="51"/>
  <c r="AE797" i="51"/>
  <c r="AB797" i="51"/>
  <c r="AG796" i="51"/>
  <c r="AE796" i="51"/>
  <c r="AB796" i="51"/>
  <c r="AG795" i="51"/>
  <c r="AE795" i="51"/>
  <c r="AB795" i="51"/>
  <c r="AG794" i="51"/>
  <c r="AE794" i="51"/>
  <c r="AB794" i="51"/>
  <c r="AG793" i="51"/>
  <c r="AE793" i="51"/>
  <c r="AB793" i="51"/>
  <c r="AG792" i="51"/>
  <c r="AE792" i="51"/>
  <c r="AB792" i="51"/>
  <c r="AG791" i="51"/>
  <c r="AE791" i="51"/>
  <c r="AB791" i="51"/>
  <c r="AG790" i="51"/>
  <c r="AE790" i="51"/>
  <c r="AB790" i="51"/>
  <c r="AG789" i="51"/>
  <c r="AE789" i="51"/>
  <c r="AB789" i="51"/>
  <c r="AG788" i="51"/>
  <c r="AE788" i="51"/>
  <c r="AB788" i="51"/>
  <c r="AG787" i="51"/>
  <c r="AE787" i="51"/>
  <c r="AB787" i="51"/>
  <c r="AG786" i="51"/>
  <c r="AE786" i="51"/>
  <c r="AO1" i="51" s="1"/>
  <c r="BD2" i="1" s="1"/>
  <c r="AB786" i="51"/>
  <c r="H542" i="44"/>
  <c r="AO69" i="1" l="1"/>
  <c r="AO71" i="1"/>
  <c r="AO32" i="1"/>
  <c r="AK13" i="1"/>
  <c r="AK17" i="1"/>
  <c r="AK21" i="1"/>
  <c r="AK25" i="1"/>
  <c r="AK29" i="1"/>
  <c r="AK33" i="1"/>
  <c r="AK37" i="1"/>
  <c r="AK40" i="1"/>
  <c r="AK41" i="1"/>
  <c r="AK59" i="1"/>
  <c r="AO13" i="1"/>
  <c r="AO21" i="1"/>
  <c r="AO31" i="1"/>
  <c r="AK70" i="1"/>
  <c r="AK60" i="1"/>
  <c r="AK64" i="1"/>
  <c r="AK54" i="1"/>
  <c r="AO8" i="1"/>
  <c r="AO24" i="1"/>
  <c r="AO25" i="1"/>
  <c r="AO33" i="1"/>
  <c r="AO43" i="1"/>
  <c r="AO45" i="1"/>
  <c r="AO48" i="1"/>
  <c r="AO51" i="1"/>
  <c r="AO52" i="1"/>
  <c r="AO55" i="1"/>
  <c r="AO61" i="1"/>
  <c r="AO72" i="1"/>
  <c r="AO70" i="1"/>
  <c r="AO7" i="1"/>
  <c r="AO15" i="1"/>
  <c r="AO23" i="1"/>
  <c r="AO50" i="1"/>
  <c r="AO6" i="1"/>
  <c r="AO10" i="1"/>
  <c r="AO16" i="1"/>
  <c r="AO19" i="1"/>
  <c r="AO27" i="1"/>
  <c r="AO30" i="1"/>
  <c r="AO34" i="1"/>
  <c r="AO37" i="1"/>
  <c r="AO40" i="1"/>
  <c r="AO41" i="1"/>
  <c r="AO57" i="1"/>
  <c r="AO59" i="1"/>
  <c r="AO63" i="1"/>
  <c r="AO67" i="1"/>
  <c r="AK73" i="1"/>
  <c r="AO17" i="1"/>
  <c r="AO14" i="1"/>
  <c r="AO22" i="1"/>
  <c r="AO26" i="1"/>
  <c r="AO29" i="1"/>
  <c r="AO38" i="1"/>
  <c r="AO46" i="1"/>
  <c r="AO49" i="1"/>
  <c r="AO53" i="1"/>
  <c r="AO56" i="1"/>
  <c r="AO73" i="1"/>
  <c r="AO42" i="1"/>
  <c r="AO60" i="1"/>
  <c r="AO47" i="1"/>
  <c r="AO11" i="1"/>
  <c r="AK10" i="1"/>
  <c r="AN1" i="51"/>
  <c r="BA2" i="1" s="1"/>
  <c r="AK8" i="1"/>
  <c r="AK72" i="1"/>
  <c r="AO9" i="1"/>
  <c r="AK16" i="1"/>
  <c r="AK19" i="1"/>
  <c r="AK34" i="1"/>
  <c r="AK57" i="1"/>
  <c r="AK67" i="1"/>
  <c r="AO28" i="1"/>
  <c r="AO12" i="1"/>
  <c r="AK62" i="1"/>
  <c r="AK11" i="1"/>
  <c r="AK68" i="1"/>
  <c r="AK9" i="1"/>
  <c r="AO18" i="1"/>
  <c r="AO20" i="1"/>
  <c r="AO35" i="1"/>
  <c r="AO39" i="1"/>
  <c r="AO54" i="1"/>
  <c r="AO64" i="1"/>
  <c r="AO68" i="1"/>
  <c r="AO62" i="1"/>
  <c r="AO65" i="1"/>
  <c r="AK20" i="1"/>
  <c r="AO36" i="1"/>
  <c r="AO44" i="1"/>
  <c r="AK24" i="1"/>
  <c r="AK30" i="1"/>
  <c r="AK50" i="1"/>
  <c r="AK63" i="1"/>
  <c r="H527" i="44" l="1"/>
  <c r="B35" i="1"/>
  <c r="D35" i="1"/>
  <c r="F35" i="1"/>
  <c r="G35" i="1" s="1"/>
  <c r="H517" i="44"/>
  <c r="E473" i="44" l="1"/>
  <c r="E472" i="44"/>
  <c r="E471" i="44"/>
  <c r="E470" i="44"/>
  <c r="E469" i="44"/>
  <c r="E468" i="44"/>
  <c r="E467" i="44"/>
  <c r="E460" i="44"/>
  <c r="E459" i="44"/>
  <c r="E458" i="44"/>
  <c r="E457" i="44"/>
  <c r="E456" i="44"/>
  <c r="E455" i="44"/>
  <c r="P50" i="48"/>
  <c r="O50" i="48"/>
  <c r="L50" i="48"/>
  <c r="K50" i="48"/>
  <c r="J50" i="48"/>
  <c r="I50" i="48"/>
  <c r="E50" i="48"/>
  <c r="D50" i="48"/>
  <c r="P66" i="48"/>
  <c r="BC128" i="1" l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75" i="1"/>
  <c r="AY75" i="1"/>
  <c r="AX75" i="1"/>
  <c r="AO75" i="1"/>
  <c r="AO76" i="1"/>
  <c r="AX76" i="1"/>
  <c r="AY76" i="1"/>
  <c r="BC76" i="1"/>
  <c r="AO77" i="1"/>
  <c r="AX77" i="1"/>
  <c r="AY77" i="1"/>
  <c r="BC77" i="1"/>
  <c r="AO78" i="1"/>
  <c r="AX78" i="1"/>
  <c r="AY78" i="1"/>
  <c r="BC78" i="1"/>
  <c r="AO79" i="1"/>
  <c r="AX79" i="1"/>
  <c r="AY79" i="1"/>
  <c r="BC79" i="1"/>
  <c r="AX80" i="1"/>
  <c r="AY80" i="1"/>
  <c r="BC80" i="1"/>
  <c r="AX81" i="1"/>
  <c r="AY81" i="1"/>
  <c r="BC81" i="1"/>
  <c r="AO82" i="1"/>
  <c r="AX82" i="1"/>
  <c r="AY82" i="1"/>
  <c r="BC82" i="1"/>
  <c r="AX83" i="1"/>
  <c r="AY83" i="1"/>
  <c r="BC83" i="1"/>
  <c r="AX84" i="1"/>
  <c r="AY84" i="1"/>
  <c r="AO85" i="1"/>
  <c r="AX85" i="1"/>
  <c r="AY85" i="1"/>
  <c r="BC85" i="1"/>
  <c r="AO86" i="1"/>
  <c r="AX86" i="1"/>
  <c r="AY86" i="1"/>
  <c r="BC86" i="1"/>
  <c r="AO87" i="1"/>
  <c r="AX87" i="1"/>
  <c r="AY87" i="1"/>
  <c r="AX88" i="1"/>
  <c r="AY88" i="1"/>
  <c r="AO89" i="1"/>
  <c r="AX89" i="1"/>
  <c r="AY89" i="1"/>
  <c r="AO90" i="1"/>
  <c r="AX90" i="1"/>
  <c r="AY90" i="1"/>
  <c r="AO91" i="1"/>
  <c r="AX91" i="1"/>
  <c r="AY91" i="1"/>
  <c r="AO92" i="1"/>
  <c r="AX92" i="1"/>
  <c r="AY92" i="1"/>
  <c r="AX93" i="1"/>
  <c r="AY93" i="1"/>
  <c r="AO94" i="1"/>
  <c r="AX94" i="1"/>
  <c r="AY94" i="1"/>
  <c r="AX95" i="1"/>
  <c r="AY95" i="1"/>
  <c r="AO96" i="1"/>
  <c r="AX96" i="1"/>
  <c r="AY96" i="1"/>
  <c r="AO97" i="1"/>
  <c r="AX97" i="1"/>
  <c r="AY97" i="1"/>
  <c r="AO98" i="1"/>
  <c r="AX98" i="1"/>
  <c r="AY98" i="1"/>
  <c r="AX99" i="1"/>
  <c r="AY99" i="1"/>
  <c r="AO100" i="1"/>
  <c r="AX100" i="1"/>
  <c r="AY100" i="1"/>
  <c r="AO101" i="1"/>
  <c r="AX101" i="1"/>
  <c r="AY101" i="1"/>
  <c r="AO102" i="1"/>
  <c r="AX102" i="1"/>
  <c r="AY102" i="1"/>
  <c r="AO103" i="1"/>
  <c r="AX103" i="1"/>
  <c r="AY103" i="1"/>
  <c r="AO104" i="1"/>
  <c r="AX104" i="1"/>
  <c r="AY104" i="1"/>
  <c r="AO105" i="1"/>
  <c r="AX105" i="1"/>
  <c r="AY105" i="1"/>
  <c r="AX106" i="1"/>
  <c r="AY106" i="1"/>
  <c r="AO107" i="1"/>
  <c r="AX107" i="1"/>
  <c r="AY107" i="1"/>
  <c r="AO108" i="1"/>
  <c r="AX108" i="1"/>
  <c r="AY108" i="1"/>
  <c r="AO109" i="1"/>
  <c r="AX109" i="1"/>
  <c r="AY109" i="1"/>
  <c r="AO110" i="1"/>
  <c r="AX110" i="1"/>
  <c r="AY110" i="1"/>
  <c r="AO111" i="1"/>
  <c r="AX111" i="1"/>
  <c r="AY111" i="1"/>
  <c r="AX112" i="1"/>
  <c r="AY112" i="1"/>
  <c r="AX113" i="1"/>
  <c r="AY113" i="1"/>
  <c r="AO114" i="1"/>
  <c r="AX114" i="1"/>
  <c r="AY114" i="1"/>
  <c r="AX115" i="1"/>
  <c r="AY115" i="1"/>
  <c r="AX116" i="1"/>
  <c r="AY116" i="1"/>
  <c r="AX117" i="1"/>
  <c r="AY117" i="1"/>
  <c r="AO118" i="1"/>
  <c r="AX118" i="1"/>
  <c r="AY118" i="1"/>
  <c r="AO119" i="1"/>
  <c r="AX119" i="1"/>
  <c r="AY119" i="1"/>
  <c r="AO120" i="1"/>
  <c r="AX120" i="1"/>
  <c r="AY120" i="1"/>
  <c r="AO121" i="1"/>
  <c r="AX121" i="1"/>
  <c r="AY121" i="1"/>
  <c r="AX122" i="1"/>
  <c r="AY122" i="1"/>
  <c r="AO123" i="1"/>
  <c r="AX123" i="1"/>
  <c r="AY123" i="1"/>
  <c r="AO124" i="1"/>
  <c r="AX124" i="1"/>
  <c r="AY124" i="1"/>
  <c r="AO125" i="1"/>
  <c r="AX125" i="1"/>
  <c r="AY125" i="1"/>
  <c r="AX126" i="1"/>
  <c r="AY126" i="1"/>
  <c r="AO127" i="1"/>
  <c r="AX127" i="1"/>
  <c r="AY127" i="1"/>
  <c r="AO128" i="1"/>
  <c r="AX128" i="1"/>
  <c r="AY128" i="1"/>
  <c r="AO126" i="1" l="1"/>
  <c r="AO117" i="1"/>
  <c r="AO99" i="1"/>
  <c r="AO112" i="1"/>
  <c r="AO115" i="1"/>
  <c r="AO113" i="1"/>
  <c r="AO84" i="1"/>
  <c r="AO81" i="1"/>
  <c r="AO93" i="1"/>
  <c r="BC84" i="1"/>
  <c r="AO116" i="1"/>
  <c r="AO80" i="1"/>
  <c r="AO122" i="1"/>
  <c r="AO106" i="1"/>
  <c r="AO83" i="1"/>
  <c r="AO95" i="1"/>
  <c r="AO88" i="1"/>
  <c r="Q55" i="48" l="1"/>
  <c r="P55" i="48"/>
  <c r="M55" i="48"/>
  <c r="L55" i="48"/>
  <c r="K55" i="48"/>
  <c r="J55" i="48"/>
  <c r="E55" i="48"/>
  <c r="G39" i="48"/>
  <c r="D39" i="48"/>
  <c r="C71" i="48"/>
  <c r="C70" i="48"/>
  <c r="J73" i="48"/>
  <c r="I73" i="48"/>
  <c r="H73" i="48"/>
  <c r="F73" i="48"/>
  <c r="E73" i="48"/>
  <c r="F72" i="48"/>
  <c r="E72" i="48"/>
  <c r="C68" i="48"/>
  <c r="O36" i="48"/>
  <c r="N36" i="48"/>
  <c r="F54" i="48"/>
  <c r="F50" i="48"/>
  <c r="P36" i="48"/>
  <c r="R37" i="49" l="1"/>
  <c r="R38" i="49" s="1"/>
  <c r="U32" i="28"/>
  <c r="D58" i="28" l="1"/>
  <c r="F58" i="28"/>
  <c r="C58" i="28"/>
  <c r="U30" i="28" l="1"/>
  <c r="E454" i="44" l="1"/>
  <c r="E453" i="44"/>
  <c r="E452" i="44"/>
  <c r="E451" i="44"/>
  <c r="E450" i="44"/>
  <c r="E449" i="44"/>
  <c r="E448" i="44"/>
  <c r="E447" i="44"/>
  <c r="E446" i="44"/>
  <c r="E445" i="44"/>
  <c r="E444" i="44"/>
  <c r="E443" i="44"/>
  <c r="E442" i="44"/>
  <c r="E441" i="44"/>
  <c r="E440" i="44"/>
  <c r="E439" i="44"/>
  <c r="E438" i="44"/>
  <c r="E437" i="44"/>
  <c r="E436" i="44"/>
  <c r="E435" i="44"/>
  <c r="E434" i="44"/>
  <c r="X450" i="44"/>
  <c r="X447" i="44"/>
  <c r="X446" i="44"/>
  <c r="X444" i="44"/>
  <c r="X443" i="44"/>
  <c r="X442" i="44"/>
  <c r="X441" i="44"/>
  <c r="X440" i="44"/>
  <c r="X438" i="44"/>
  <c r="X437" i="44"/>
  <c r="X436" i="44"/>
  <c r="X434" i="44"/>
  <c r="BM93" i="1" l="1"/>
  <c r="BN93" i="1" s="1"/>
  <c r="BM94" i="1" l="1"/>
  <c r="BL74" i="1" l="1"/>
  <c r="BK74" i="1" l="1"/>
  <c r="BM74" i="1" s="1"/>
  <c r="I8" i="9"/>
  <c r="L157" i="9" l="1"/>
  <c r="L156" i="9"/>
  <c r="L155" i="9"/>
  <c r="L154" i="9"/>
  <c r="L153" i="9"/>
  <c r="L152" i="9"/>
  <c r="J158" i="9"/>
  <c r="I158" i="9"/>
  <c r="K157" i="9"/>
  <c r="K156" i="9"/>
  <c r="K155" i="9"/>
  <c r="K154" i="9"/>
  <c r="K153" i="9"/>
  <c r="K152" i="9"/>
  <c r="K158" i="9" s="1"/>
  <c r="T51" i="49"/>
  <c r="F146" i="9"/>
  <c r="F145" i="9"/>
  <c r="F144" i="9"/>
  <c r="F143" i="9"/>
  <c r="F142" i="9"/>
  <c r="L158" i="9" l="1"/>
  <c r="AM74" i="1"/>
  <c r="J94" i="9" l="1"/>
  <c r="I3" i="1" l="1"/>
  <c r="K3" i="1" s="1"/>
  <c r="I79" i="49" l="1"/>
  <c r="R39" i="49" l="1"/>
  <c r="R40" i="49" s="1"/>
  <c r="T52" i="49" l="1"/>
  <c r="T53" i="49" s="1"/>
  <c r="T54" i="49" s="1"/>
  <c r="R65" i="49"/>
  <c r="J9" i="9"/>
  <c r="T55" i="49" l="1"/>
  <c r="R66" i="49" l="1"/>
  <c r="H556" i="44"/>
  <c r="H557" i="44"/>
  <c r="H555" i="44"/>
  <c r="H554" i="44"/>
  <c r="R67" i="49" l="1"/>
  <c r="R68" i="49" s="1"/>
  <c r="R69" i="49" s="1"/>
  <c r="R70" i="49" s="1"/>
  <c r="R71" i="49" s="1"/>
  <c r="R72" i="49" l="1"/>
  <c r="R73" i="49" s="1"/>
  <c r="R74" i="49" s="1"/>
  <c r="C28" i="48" l="1"/>
  <c r="G8" i="42" l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G7" i="42"/>
  <c r="F15" i="5" l="1"/>
  <c r="F14" i="5"/>
  <c r="F13" i="5"/>
  <c r="F12" i="5"/>
  <c r="F11" i="5"/>
  <c r="F10" i="5"/>
  <c r="F9" i="5"/>
  <c r="F8" i="5"/>
  <c r="F7" i="5"/>
  <c r="F6" i="5"/>
  <c r="F5" i="5"/>
  <c r="F4" i="5"/>
  <c r="F3" i="5"/>
  <c r="X426" i="44" l="1"/>
  <c r="X425" i="44"/>
  <c r="X424" i="44"/>
  <c r="X423" i="44"/>
  <c r="X422" i="44"/>
  <c r="X419" i="44"/>
  <c r="X418" i="44"/>
  <c r="X417" i="44"/>
  <c r="X416" i="44"/>
  <c r="X414" i="44"/>
  <c r="X413" i="44"/>
  <c r="E433" i="44" l="1"/>
  <c r="E432" i="44"/>
  <c r="C65" i="1" s="1"/>
  <c r="E431" i="44"/>
  <c r="E430" i="44"/>
  <c r="E429" i="44"/>
  <c r="E428" i="44"/>
  <c r="E427" i="44"/>
  <c r="E426" i="44"/>
  <c r="E425" i="44"/>
  <c r="E424" i="44"/>
  <c r="E423" i="44"/>
  <c r="E422" i="44"/>
  <c r="E421" i="44"/>
  <c r="E420" i="44"/>
  <c r="C36" i="1" s="1"/>
  <c r="E419" i="44"/>
  <c r="E418" i="44"/>
  <c r="E417" i="44"/>
  <c r="E416" i="44"/>
  <c r="E415" i="44"/>
  <c r="E414" i="44"/>
  <c r="E413" i="44"/>
  <c r="E412" i="44"/>
  <c r="E411" i="44"/>
  <c r="C64" i="1" s="1"/>
  <c r="E410" i="44"/>
  <c r="E409" i="44"/>
  <c r="D55" i="49"/>
  <c r="D54" i="49"/>
  <c r="E55" i="49" l="1"/>
  <c r="F55" i="49" s="1"/>
  <c r="G55" i="49" s="1"/>
  <c r="H55" i="49" s="1"/>
  <c r="I55" i="49" s="1"/>
  <c r="J55" i="49" s="1"/>
  <c r="K55" i="49" s="1"/>
  <c r="L55" i="49" s="1"/>
  <c r="M55" i="49" s="1"/>
  <c r="N55" i="49" s="1"/>
  <c r="O55" i="49" s="1"/>
  <c r="P55" i="49" s="1"/>
  <c r="Q55" i="49" s="1"/>
  <c r="R55" i="49" s="1"/>
  <c r="E54" i="49"/>
  <c r="S55" i="49" l="1"/>
  <c r="F54" i="49"/>
  <c r="A44" i="48"/>
  <c r="G54" i="49" l="1"/>
  <c r="D30" i="49"/>
  <c r="F28" i="49"/>
  <c r="G27" i="49"/>
  <c r="K21" i="49"/>
  <c r="K22" i="49" s="1"/>
  <c r="K23" i="49" s="1"/>
  <c r="C67" i="48"/>
  <c r="C52" i="48"/>
  <c r="C53" i="48" s="1"/>
  <c r="H54" i="49" l="1"/>
  <c r="I54" i="49" s="1"/>
  <c r="J54" i="49" s="1"/>
  <c r="K54" i="49" s="1"/>
  <c r="L54" i="49" s="1"/>
  <c r="M54" i="49" s="1"/>
  <c r="N54" i="49" s="1"/>
  <c r="O54" i="49" s="1"/>
  <c r="P54" i="49" s="1"/>
  <c r="Q54" i="49" s="1"/>
  <c r="R54" i="49" s="1"/>
  <c r="C74" i="48"/>
  <c r="D72" i="48"/>
  <c r="G72" i="48" s="1"/>
  <c r="H72" i="48" s="1"/>
  <c r="I72" i="48" s="1"/>
  <c r="J72" i="48" s="1"/>
  <c r="K72" i="48" s="1"/>
  <c r="L72" i="48" s="1"/>
  <c r="M72" i="48" s="1"/>
  <c r="N72" i="48" s="1"/>
  <c r="O72" i="48" s="1"/>
  <c r="P72" i="48" s="1"/>
  <c r="Q72" i="48" s="1"/>
  <c r="D66" i="48"/>
  <c r="D66" i="49" s="1"/>
  <c r="E66" i="49" s="1"/>
  <c r="F66" i="49" s="1"/>
  <c r="G66" i="49" s="1"/>
  <c r="H66" i="49" s="1"/>
  <c r="I66" i="49" s="1"/>
  <c r="J66" i="49" s="1"/>
  <c r="K66" i="49" s="1"/>
  <c r="L66" i="49" s="1"/>
  <c r="D65" i="48"/>
  <c r="D55" i="48"/>
  <c r="F55" i="48" s="1"/>
  <c r="G55" i="48" s="1"/>
  <c r="H55" i="48" s="1"/>
  <c r="I55" i="48" s="1"/>
  <c r="N55" i="48" s="1"/>
  <c r="O55" i="48" s="1"/>
  <c r="R55" i="48" s="1"/>
  <c r="D54" i="48"/>
  <c r="D51" i="48"/>
  <c r="E51" i="48" s="1"/>
  <c r="F51" i="48" s="1"/>
  <c r="C37" i="48"/>
  <c r="D36" i="48"/>
  <c r="M66" i="49" l="1"/>
  <c r="N66" i="49" s="1"/>
  <c r="O66" i="49" s="1"/>
  <c r="P66" i="49" s="1"/>
  <c r="Q66" i="49" s="1"/>
  <c r="C68" i="49"/>
  <c r="D51" i="49"/>
  <c r="G51" i="48"/>
  <c r="H51" i="48" s="1"/>
  <c r="C79" i="49"/>
  <c r="E54" i="48"/>
  <c r="G54" i="48" s="1"/>
  <c r="H54" i="48" s="1"/>
  <c r="I54" i="48" s="1"/>
  <c r="J54" i="48" s="1"/>
  <c r="K54" i="48" s="1"/>
  <c r="L54" i="48" s="1"/>
  <c r="M54" i="48" s="1"/>
  <c r="N54" i="48" s="1"/>
  <c r="O54" i="48" s="1"/>
  <c r="P54" i="48" s="1"/>
  <c r="Q54" i="48" s="1"/>
  <c r="R54" i="48" s="1"/>
  <c r="S54" i="49"/>
  <c r="D52" i="48"/>
  <c r="D53" i="48" s="1"/>
  <c r="D37" i="48"/>
  <c r="E65" i="48"/>
  <c r="F65" i="48" s="1"/>
  <c r="D65" i="49"/>
  <c r="E65" i="49" s="1"/>
  <c r="F65" i="49" s="1"/>
  <c r="G65" i="49" s="1"/>
  <c r="H65" i="49" s="1"/>
  <c r="I65" i="49" s="1"/>
  <c r="C37" i="49"/>
  <c r="D36" i="49"/>
  <c r="E36" i="48"/>
  <c r="E66" i="48"/>
  <c r="D67" i="48"/>
  <c r="D73" i="48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C52" i="49" l="1"/>
  <c r="C53" i="49" s="1"/>
  <c r="E52" i="48"/>
  <c r="E53" i="48" s="1"/>
  <c r="E51" i="49"/>
  <c r="D52" i="49"/>
  <c r="D53" i="49" s="1"/>
  <c r="C58" i="49"/>
  <c r="D50" i="49"/>
  <c r="E50" i="49" s="1"/>
  <c r="F50" i="49" s="1"/>
  <c r="G50" i="49" s="1"/>
  <c r="H50" i="49" s="1"/>
  <c r="I50" i="49" s="1"/>
  <c r="J50" i="49" s="1"/>
  <c r="K50" i="49" s="1"/>
  <c r="L50" i="49" s="1"/>
  <c r="M50" i="49" s="1"/>
  <c r="N50" i="49" s="1"/>
  <c r="O50" i="49" s="1"/>
  <c r="P50" i="49" s="1"/>
  <c r="Q50" i="49" s="1"/>
  <c r="J65" i="49"/>
  <c r="K65" i="49" s="1"/>
  <c r="L65" i="49" s="1"/>
  <c r="M65" i="49" s="1"/>
  <c r="N65" i="49" s="1"/>
  <c r="O65" i="49" s="1"/>
  <c r="P65" i="49" s="1"/>
  <c r="Q65" i="49" s="1"/>
  <c r="F36" i="48"/>
  <c r="E37" i="48"/>
  <c r="E36" i="49"/>
  <c r="D37" i="49"/>
  <c r="C67" i="49"/>
  <c r="F66" i="48"/>
  <c r="E67" i="48"/>
  <c r="F52" i="48"/>
  <c r="F53" i="48" s="1"/>
  <c r="D74" i="48"/>
  <c r="G65" i="48"/>
  <c r="H65" i="48" s="1"/>
  <c r="I65" i="48" s="1"/>
  <c r="J65" i="48" s="1"/>
  <c r="K65" i="48" s="1"/>
  <c r="L65" i="48" s="1"/>
  <c r="M65" i="48" s="1"/>
  <c r="N65" i="48" s="1"/>
  <c r="O65" i="48" s="1"/>
  <c r="P65" i="48" s="1"/>
  <c r="Q65" i="48" s="1"/>
  <c r="G50" i="48"/>
  <c r="F32" i="9"/>
  <c r="E32" i="9"/>
  <c r="D32" i="9"/>
  <c r="C32" i="9"/>
  <c r="B32" i="9"/>
  <c r="F31" i="9"/>
  <c r="E31" i="9"/>
  <c r="D31" i="9"/>
  <c r="C31" i="9"/>
  <c r="B31" i="9"/>
  <c r="H544" i="44"/>
  <c r="E52" i="49" l="1"/>
  <c r="E53" i="49" s="1"/>
  <c r="F51" i="49"/>
  <c r="G66" i="48"/>
  <c r="F67" i="48"/>
  <c r="D67" i="49"/>
  <c r="F36" i="49"/>
  <c r="E37" i="49"/>
  <c r="G36" i="48"/>
  <c r="F37" i="48"/>
  <c r="G52" i="48"/>
  <c r="G53" i="48" s="1"/>
  <c r="E74" i="48"/>
  <c r="H50" i="48"/>
  <c r="G51" i="49" l="1"/>
  <c r="F52" i="49"/>
  <c r="F53" i="49" s="1"/>
  <c r="G36" i="49"/>
  <c r="F37" i="49"/>
  <c r="E67" i="49"/>
  <c r="H36" i="48"/>
  <c r="G37" i="48"/>
  <c r="H66" i="48"/>
  <c r="G67" i="48"/>
  <c r="I51" i="48"/>
  <c r="H52" i="48"/>
  <c r="H53" i="48" s="1"/>
  <c r="F74" i="48"/>
  <c r="G73" i="48"/>
  <c r="J162" i="36"/>
  <c r="J99" i="36"/>
  <c r="H51" i="49" l="1"/>
  <c r="G52" i="49"/>
  <c r="G53" i="49" s="1"/>
  <c r="I36" i="48"/>
  <c r="H37" i="48"/>
  <c r="I66" i="48"/>
  <c r="H67" i="48"/>
  <c r="F67" i="49"/>
  <c r="G37" i="49"/>
  <c r="H36" i="49"/>
  <c r="J51" i="48"/>
  <c r="K51" i="48" s="1"/>
  <c r="L51" i="48" s="1"/>
  <c r="I52" i="48"/>
  <c r="I53" i="48" s="1"/>
  <c r="G74" i="48"/>
  <c r="I51" i="49" l="1"/>
  <c r="H52" i="49"/>
  <c r="H53" i="49" s="1"/>
  <c r="G67" i="49"/>
  <c r="J66" i="48"/>
  <c r="I67" i="48"/>
  <c r="I36" i="49"/>
  <c r="H37" i="49"/>
  <c r="J36" i="48"/>
  <c r="I37" i="48"/>
  <c r="J52" i="48"/>
  <c r="J53" i="48" s="1"/>
  <c r="H74" i="48"/>
  <c r="AH2" i="34"/>
  <c r="P24" i="34"/>
  <c r="P24" i="1"/>
  <c r="L24" i="1"/>
  <c r="F24" i="1"/>
  <c r="I24" i="1" s="1"/>
  <c r="D24" i="1"/>
  <c r="B24" i="1"/>
  <c r="AI2" i="34" l="1"/>
  <c r="J24" i="34"/>
  <c r="J51" i="49"/>
  <c r="I52" i="49"/>
  <c r="I53" i="49" s="1"/>
  <c r="O24" i="34"/>
  <c r="K36" i="48"/>
  <c r="J37" i="48"/>
  <c r="I37" i="49"/>
  <c r="J36" i="49"/>
  <c r="K66" i="48"/>
  <c r="J67" i="48"/>
  <c r="H67" i="49"/>
  <c r="C24" i="34"/>
  <c r="K52" i="48"/>
  <c r="K53" i="48" s="1"/>
  <c r="Q24" i="34"/>
  <c r="I74" i="48"/>
  <c r="M50" i="48"/>
  <c r="K24" i="34"/>
  <c r="E24" i="1"/>
  <c r="G24" i="1"/>
  <c r="AF24" i="1"/>
  <c r="H24" i="1"/>
  <c r="J24" i="1"/>
  <c r="K24" i="1"/>
  <c r="H545" i="44"/>
  <c r="AG24" i="1" l="1"/>
  <c r="F24" i="34"/>
  <c r="AY24" i="1"/>
  <c r="AX24" i="1"/>
  <c r="K51" i="49"/>
  <c r="J52" i="49"/>
  <c r="J53" i="49" s="1"/>
  <c r="I67" i="49"/>
  <c r="L66" i="48"/>
  <c r="K67" i="48"/>
  <c r="J37" i="49"/>
  <c r="K36" i="49"/>
  <c r="L36" i="48"/>
  <c r="K37" i="48"/>
  <c r="M51" i="48"/>
  <c r="N51" i="48" s="1"/>
  <c r="O51" i="48" s="1"/>
  <c r="L52" i="48"/>
  <c r="L53" i="48" s="1"/>
  <c r="J74" i="48"/>
  <c r="K73" i="48"/>
  <c r="M24" i="1"/>
  <c r="H24" i="34"/>
  <c r="K52" i="49" l="1"/>
  <c r="K53" i="49" s="1"/>
  <c r="L51" i="49"/>
  <c r="M36" i="48"/>
  <c r="L37" i="48"/>
  <c r="K74" i="48"/>
  <c r="L74" i="48" s="1"/>
  <c r="M74" i="48" s="1"/>
  <c r="N74" i="48" s="1"/>
  <c r="O74" i="48" s="1"/>
  <c r="P74" i="48" s="1"/>
  <c r="Q74" i="48" s="1"/>
  <c r="L73" i="48"/>
  <c r="M73" i="48" s="1"/>
  <c r="N73" i="48" s="1"/>
  <c r="O73" i="48" s="1"/>
  <c r="P73" i="48" s="1"/>
  <c r="Q73" i="48" s="1"/>
  <c r="K37" i="49"/>
  <c r="L36" i="49"/>
  <c r="M66" i="48"/>
  <c r="L67" i="48"/>
  <c r="J67" i="49"/>
  <c r="M52" i="48"/>
  <c r="M53" i="48" s="1"/>
  <c r="N50" i="48"/>
  <c r="O24" i="1"/>
  <c r="M51" i="49" l="1"/>
  <c r="L52" i="49"/>
  <c r="L53" i="49" s="1"/>
  <c r="N66" i="48"/>
  <c r="M67" i="48"/>
  <c r="M36" i="49"/>
  <c r="N36" i="49" s="1"/>
  <c r="O36" i="49" s="1"/>
  <c r="P36" i="49" s="1"/>
  <c r="Q36" i="49" s="1"/>
  <c r="L37" i="49"/>
  <c r="K67" i="49"/>
  <c r="M37" i="48"/>
  <c r="L24" i="34"/>
  <c r="M24" i="34" s="1"/>
  <c r="N52" i="48"/>
  <c r="N53" i="48" s="1"/>
  <c r="C38" i="49" l="1"/>
  <c r="N51" i="49"/>
  <c r="M52" i="49"/>
  <c r="M53" i="49" s="1"/>
  <c r="N37" i="48"/>
  <c r="L67" i="49"/>
  <c r="M37" i="49"/>
  <c r="O66" i="48"/>
  <c r="N67" i="48"/>
  <c r="P51" i="48"/>
  <c r="O52" i="48"/>
  <c r="O53" i="48" s="1"/>
  <c r="O51" i="49" l="1"/>
  <c r="N52" i="49"/>
  <c r="N53" i="49" s="1"/>
  <c r="O67" i="48"/>
  <c r="N37" i="49"/>
  <c r="M67" i="49"/>
  <c r="O37" i="48"/>
  <c r="Q51" i="48"/>
  <c r="P52" i="48"/>
  <c r="P53" i="48" s="1"/>
  <c r="P51" i="49" l="1"/>
  <c r="O52" i="49"/>
  <c r="O53" i="49" s="1"/>
  <c r="C38" i="48"/>
  <c r="D38" i="48" s="1"/>
  <c r="E38" i="48" s="1"/>
  <c r="F38" i="48" s="1"/>
  <c r="G38" i="48" s="1"/>
  <c r="H38" i="48" s="1"/>
  <c r="P37" i="48"/>
  <c r="Q37" i="48" s="1"/>
  <c r="Q36" i="48"/>
  <c r="N67" i="49"/>
  <c r="R51" i="48"/>
  <c r="R52" i="48" s="1"/>
  <c r="R53" i="48" s="1"/>
  <c r="Q52" i="48"/>
  <c r="Q53" i="48" s="1"/>
  <c r="P67" i="48"/>
  <c r="Q67" i="48" s="1"/>
  <c r="Q66" i="48"/>
  <c r="D68" i="48"/>
  <c r="C69" i="48"/>
  <c r="B43" i="48" l="1"/>
  <c r="Q51" i="49"/>
  <c r="P52" i="49"/>
  <c r="P53" i="49" s="1"/>
  <c r="O67" i="49"/>
  <c r="C72" i="49"/>
  <c r="D72" i="49" s="1"/>
  <c r="E72" i="49" s="1"/>
  <c r="F72" i="49" s="1"/>
  <c r="G72" i="49" s="1"/>
  <c r="H72" i="49" s="1"/>
  <c r="I72" i="49" s="1"/>
  <c r="J72" i="49" s="1"/>
  <c r="K72" i="49" s="1"/>
  <c r="L72" i="49" s="1"/>
  <c r="M72" i="49" s="1"/>
  <c r="N72" i="49" s="1"/>
  <c r="O72" i="49" s="1"/>
  <c r="P72" i="49" s="1"/>
  <c r="Q72" i="49" s="1"/>
  <c r="C69" i="49"/>
  <c r="D68" i="49"/>
  <c r="C39" i="48"/>
  <c r="I38" i="48"/>
  <c r="J38" i="48" s="1"/>
  <c r="K38" i="48" s="1"/>
  <c r="L38" i="48" s="1"/>
  <c r="M38" i="48" s="1"/>
  <c r="N38" i="48" s="1"/>
  <c r="O38" i="48" s="1"/>
  <c r="P38" i="48" s="1"/>
  <c r="Q38" i="48" s="1"/>
  <c r="E68" i="48"/>
  <c r="D69" i="48"/>
  <c r="E39" i="48" l="1"/>
  <c r="F39" i="48" s="1"/>
  <c r="R51" i="49"/>
  <c r="S51" i="49" s="1"/>
  <c r="Q52" i="49"/>
  <c r="P67" i="49"/>
  <c r="Q67" i="49" s="1"/>
  <c r="D69" i="49"/>
  <c r="E68" i="49"/>
  <c r="F68" i="48"/>
  <c r="E69" i="48"/>
  <c r="H536" i="44"/>
  <c r="H39" i="48" l="1"/>
  <c r="C40" i="48" s="1"/>
  <c r="R52" i="49"/>
  <c r="S52" i="49" s="1"/>
  <c r="Q53" i="49"/>
  <c r="R53" i="49" s="1"/>
  <c r="S53" i="49" s="1"/>
  <c r="E69" i="49"/>
  <c r="F68" i="49"/>
  <c r="G68" i="48"/>
  <c r="F69" i="48"/>
  <c r="I39" i="48" l="1"/>
  <c r="J39" i="48" s="1"/>
  <c r="K39" i="48" s="1"/>
  <c r="L39" i="48" s="1"/>
  <c r="M39" i="48" s="1"/>
  <c r="N39" i="48" s="1"/>
  <c r="O39" i="48" s="1"/>
  <c r="P39" i="48" s="1"/>
  <c r="Q39" i="48" s="1"/>
  <c r="F69" i="49"/>
  <c r="G68" i="49"/>
  <c r="H68" i="48"/>
  <c r="I68" i="48" s="1"/>
  <c r="G69" i="48"/>
  <c r="C41" i="48" l="1"/>
  <c r="D40" i="48"/>
  <c r="I69" i="48"/>
  <c r="J68" i="48"/>
  <c r="G69" i="49"/>
  <c r="H68" i="49"/>
  <c r="H69" i="48"/>
  <c r="D41" i="48" l="1"/>
  <c r="E40" i="48"/>
  <c r="F40" i="48" s="1"/>
  <c r="H69" i="49"/>
  <c r="I68" i="49"/>
  <c r="J69" i="48"/>
  <c r="K68" i="48"/>
  <c r="E41" i="48" l="1"/>
  <c r="K69" i="48"/>
  <c r="L69" i="48" s="1"/>
  <c r="M69" i="48" s="1"/>
  <c r="N69" i="48" s="1"/>
  <c r="O69" i="48" s="1"/>
  <c r="P69" i="48" s="1"/>
  <c r="Q69" i="48" s="1"/>
  <c r="L68" i="48"/>
  <c r="M68" i="48" s="1"/>
  <c r="N68" i="48" s="1"/>
  <c r="O68" i="48" s="1"/>
  <c r="P68" i="48" s="1"/>
  <c r="Q68" i="48" s="1"/>
  <c r="D70" i="48"/>
  <c r="E70" i="48" s="1"/>
  <c r="F70" i="48" s="1"/>
  <c r="G70" i="48" s="1"/>
  <c r="H70" i="48" s="1"/>
  <c r="J68" i="49"/>
  <c r="I69" i="49"/>
  <c r="G40" i="48" l="1"/>
  <c r="F41" i="48"/>
  <c r="I70" i="48"/>
  <c r="J69" i="49"/>
  <c r="K68" i="49"/>
  <c r="C70" i="49" s="1"/>
  <c r="H40" i="48" l="1"/>
  <c r="G41" i="48"/>
  <c r="L68" i="49"/>
  <c r="J70" i="48"/>
  <c r="K70" i="48" s="1"/>
  <c r="L70" i="48" s="1"/>
  <c r="M70" i="48" s="1"/>
  <c r="N70" i="48" s="1"/>
  <c r="O70" i="48" s="1"/>
  <c r="P70" i="48" s="1"/>
  <c r="Q70" i="48" s="1"/>
  <c r="D71" i="48"/>
  <c r="E71" i="48" s="1"/>
  <c r="F71" i="48" s="1"/>
  <c r="G71" i="48" s="1"/>
  <c r="D70" i="49"/>
  <c r="E70" i="49" s="1"/>
  <c r="F70" i="49" s="1"/>
  <c r="G70" i="49" s="1"/>
  <c r="H70" i="49" s="1"/>
  <c r="I70" i="49" s="1"/>
  <c r="K69" i="49"/>
  <c r="H41" i="48" l="1"/>
  <c r="I40" i="48"/>
  <c r="M68" i="49"/>
  <c r="N68" i="49" s="1"/>
  <c r="O68" i="49" s="1"/>
  <c r="P68" i="49" s="1"/>
  <c r="Q68" i="49" s="1"/>
  <c r="L69" i="49"/>
  <c r="J70" i="49"/>
  <c r="K70" i="49" s="1"/>
  <c r="L70" i="49" s="1"/>
  <c r="M70" i="49" s="1"/>
  <c r="N70" i="49" s="1"/>
  <c r="O70" i="49" s="1"/>
  <c r="P70" i="49" s="1"/>
  <c r="Q70" i="49" s="1"/>
  <c r="C71" i="49"/>
  <c r="H71" i="48"/>
  <c r="I71" i="48" s="1"/>
  <c r="J71" i="48" s="1"/>
  <c r="K71" i="48" s="1"/>
  <c r="L71" i="48" s="1"/>
  <c r="M71" i="48" s="1"/>
  <c r="N71" i="48" s="1"/>
  <c r="O71" i="48" s="1"/>
  <c r="P71" i="48" s="1"/>
  <c r="Q71" i="48" s="1"/>
  <c r="J40" i="48" l="1"/>
  <c r="I41" i="48"/>
  <c r="M69" i="49"/>
  <c r="N69" i="49" s="1"/>
  <c r="O69" i="49" s="1"/>
  <c r="P69" i="49" s="1"/>
  <c r="Q69" i="49" s="1"/>
  <c r="D71" i="49"/>
  <c r="E71" i="49" s="1"/>
  <c r="F71" i="49" s="1"/>
  <c r="G71" i="49" s="1"/>
  <c r="H71" i="49" s="1"/>
  <c r="I71" i="49" s="1"/>
  <c r="J71" i="49" s="1"/>
  <c r="K71" i="49" s="1"/>
  <c r="L71" i="49" s="1"/>
  <c r="M71" i="49" s="1"/>
  <c r="N71" i="49" s="1"/>
  <c r="O71" i="49" s="1"/>
  <c r="P71" i="49" s="1"/>
  <c r="C73" i="49"/>
  <c r="H561" i="44"/>
  <c r="H560" i="44"/>
  <c r="H558" i="44"/>
  <c r="E561" i="44"/>
  <c r="E560" i="44"/>
  <c r="E559" i="44"/>
  <c r="E558" i="44"/>
  <c r="E557" i="44"/>
  <c r="E556" i="44"/>
  <c r="E555" i="44"/>
  <c r="E554" i="44"/>
  <c r="E517" i="44"/>
  <c r="D518" i="44"/>
  <c r="C518" i="44"/>
  <c r="B518" i="44"/>
  <c r="B519" i="44" s="1"/>
  <c r="K40" i="48" l="1"/>
  <c r="J41" i="48"/>
  <c r="D519" i="44"/>
  <c r="D520" i="44" s="1"/>
  <c r="D521" i="44" s="1"/>
  <c r="D522" i="44" s="1"/>
  <c r="C74" i="49"/>
  <c r="D73" i="49"/>
  <c r="C519" i="44"/>
  <c r="C520" i="44" s="1"/>
  <c r="C521" i="44" s="1"/>
  <c r="C522" i="44" s="1"/>
  <c r="E518" i="44"/>
  <c r="E519" i="44"/>
  <c r="B520" i="44"/>
  <c r="L40" i="48" l="1"/>
  <c r="K41" i="48"/>
  <c r="C523" i="44"/>
  <c r="C524" i="44" s="1"/>
  <c r="C525" i="44" s="1"/>
  <c r="C526" i="44" s="1"/>
  <c r="C527" i="44" s="1"/>
  <c r="C528" i="44" s="1"/>
  <c r="C529" i="44" s="1"/>
  <c r="C530" i="44" s="1"/>
  <c r="C531" i="44" s="1"/>
  <c r="C532" i="44" s="1"/>
  <c r="C533" i="44" s="1"/>
  <c r="C534" i="44" s="1"/>
  <c r="C535" i="44" s="1"/>
  <c r="C536" i="44" s="1"/>
  <c r="C537" i="44" s="1"/>
  <c r="C538" i="44" s="1"/>
  <c r="C539" i="44" s="1"/>
  <c r="C540" i="44" s="1"/>
  <c r="C541" i="44" s="1"/>
  <c r="C542" i="44" s="1"/>
  <c r="C543" i="44" s="1"/>
  <c r="C544" i="44" s="1"/>
  <c r="C545" i="44" s="1"/>
  <c r="C546" i="44" s="1"/>
  <c r="C547" i="44" s="1"/>
  <c r="C548" i="44" s="1"/>
  <c r="C549" i="44" s="1"/>
  <c r="C550" i="44" s="1"/>
  <c r="D523" i="44"/>
  <c r="D524" i="44" s="1"/>
  <c r="D525" i="44" s="1"/>
  <c r="D526" i="44" s="1"/>
  <c r="D527" i="44" s="1"/>
  <c r="D528" i="44" s="1"/>
  <c r="D529" i="44" s="1"/>
  <c r="D530" i="44" s="1"/>
  <c r="D531" i="44" s="1"/>
  <c r="D532" i="44" s="1"/>
  <c r="D533" i="44" s="1"/>
  <c r="D534" i="44" s="1"/>
  <c r="D535" i="44" s="1"/>
  <c r="D536" i="44" s="1"/>
  <c r="D537" i="44" s="1"/>
  <c r="D538" i="44" s="1"/>
  <c r="D539" i="44" s="1"/>
  <c r="D540" i="44" s="1"/>
  <c r="D541" i="44" s="1"/>
  <c r="D542" i="44" s="1"/>
  <c r="D543" i="44" s="1"/>
  <c r="D544" i="44" s="1"/>
  <c r="D545" i="44" s="1"/>
  <c r="D546" i="44" s="1"/>
  <c r="D547" i="44" s="1"/>
  <c r="D548" i="44" s="1"/>
  <c r="D549" i="44" s="1"/>
  <c r="D550" i="44" s="1"/>
  <c r="D74" i="49"/>
  <c r="E73" i="49"/>
  <c r="B521" i="44"/>
  <c r="E521" i="44" s="1"/>
  <c r="E520" i="44"/>
  <c r="B522" i="44"/>
  <c r="M40" i="48" l="1"/>
  <c r="L41" i="48"/>
  <c r="E522" i="44"/>
  <c r="B523" i="44"/>
  <c r="E523" i="44" s="1"/>
  <c r="F73" i="49"/>
  <c r="E74" i="49"/>
  <c r="B524" i="44"/>
  <c r="E524" i="44" s="1"/>
  <c r="N40" i="48" l="1"/>
  <c r="M41" i="48"/>
  <c r="F74" i="49"/>
  <c r="G73" i="49"/>
  <c r="B525" i="44"/>
  <c r="O40" i="48" l="1"/>
  <c r="N41" i="48"/>
  <c r="G74" i="49"/>
  <c r="H73" i="49"/>
  <c r="E525" i="44"/>
  <c r="B526" i="44"/>
  <c r="E526" i="44" s="1"/>
  <c r="P40" i="48" l="1"/>
  <c r="O41" i="48"/>
  <c r="H74" i="49"/>
  <c r="I73" i="49"/>
  <c r="B527" i="44"/>
  <c r="E527" i="44" s="1"/>
  <c r="P41" i="48" l="1"/>
  <c r="Q41" i="48" s="1"/>
  <c r="Q24" i="1" s="1"/>
  <c r="T24" i="1" s="1"/>
  <c r="S24" i="1" s="1"/>
  <c r="Q40" i="48"/>
  <c r="B528" i="44"/>
  <c r="E528" i="44" s="1"/>
  <c r="J73" i="49"/>
  <c r="K73" i="49" s="1"/>
  <c r="I74" i="49"/>
  <c r="B529" i="44"/>
  <c r="E529" i="44" s="1"/>
  <c r="X24" i="1" l="1"/>
  <c r="V24" i="1"/>
  <c r="W24" i="1" s="1"/>
  <c r="AB24" i="1"/>
  <c r="Y24" i="1"/>
  <c r="Z24" i="1"/>
  <c r="J77" i="49"/>
  <c r="J74" i="49"/>
  <c r="B530" i="44"/>
  <c r="E530" i="44" s="1"/>
  <c r="AA24" i="1" l="1"/>
  <c r="AD24" i="1" s="1"/>
  <c r="L73" i="49"/>
  <c r="M73" i="49" s="1"/>
  <c r="N73" i="49" s="1"/>
  <c r="O73" i="49" s="1"/>
  <c r="P73" i="49" s="1"/>
  <c r="Q73" i="49" s="1"/>
  <c r="K74" i="49"/>
  <c r="L74" i="49" s="1"/>
  <c r="M74" i="49" s="1"/>
  <c r="N74" i="49" s="1"/>
  <c r="O74" i="49" s="1"/>
  <c r="P74" i="49" s="1"/>
  <c r="Q74" i="49" s="1"/>
  <c r="B531" i="44"/>
  <c r="E531" i="44" s="1"/>
  <c r="AE24" i="1" l="1"/>
  <c r="AC24" i="1"/>
  <c r="B532" i="44"/>
  <c r="E532" i="44" s="1"/>
  <c r="B533" i="44" l="1"/>
  <c r="E533" i="44" s="1"/>
  <c r="B534" i="44" l="1"/>
  <c r="E534" i="44" s="1"/>
  <c r="B535" i="44" l="1"/>
  <c r="E535" i="44" l="1"/>
  <c r="B536" i="44"/>
  <c r="E536" i="44" s="1"/>
  <c r="B537" i="44" l="1"/>
  <c r="E537" i="44" s="1"/>
  <c r="B538" i="44"/>
  <c r="E538" i="44" s="1"/>
  <c r="B539" i="44" l="1"/>
  <c r="E539" i="44" s="1"/>
  <c r="B540" i="44" l="1"/>
  <c r="E540" i="44" s="1"/>
  <c r="B541" i="44" l="1"/>
  <c r="E541" i="44" s="1"/>
  <c r="B542" i="44" l="1"/>
  <c r="E542" i="44" s="1"/>
  <c r="B543" i="44" l="1"/>
  <c r="E543" i="44" l="1"/>
  <c r="B544" i="44"/>
  <c r="E544" i="44" s="1"/>
  <c r="B545" i="44" l="1"/>
  <c r="E545" i="44" s="1"/>
  <c r="B546" i="44"/>
  <c r="E546" i="44" s="1"/>
  <c r="B547" i="44" l="1"/>
  <c r="E547" i="44" s="1"/>
  <c r="B548" i="44" l="1"/>
  <c r="E548" i="44" s="1"/>
  <c r="B549" i="44" l="1"/>
  <c r="E549" i="44" s="1"/>
  <c r="B550" i="44" l="1"/>
  <c r="E550" i="44" s="1"/>
  <c r="X399" i="44" l="1"/>
  <c r="X398" i="44"/>
  <c r="X390" i="44"/>
  <c r="X315" i="44"/>
  <c r="X313" i="44"/>
  <c r="X311" i="44"/>
  <c r="X310" i="44"/>
  <c r="X305" i="44"/>
  <c r="X302" i="44"/>
  <c r="X213" i="44"/>
  <c r="Q73" i="34"/>
  <c r="P73" i="34"/>
  <c r="Q72" i="34"/>
  <c r="P72" i="34"/>
  <c r="P71" i="34"/>
  <c r="Q70" i="34"/>
  <c r="P70" i="34"/>
  <c r="P69" i="34"/>
  <c r="Q68" i="34"/>
  <c r="P68" i="34"/>
  <c r="Q67" i="34"/>
  <c r="P67" i="34"/>
  <c r="Q66" i="34"/>
  <c r="P66" i="34"/>
  <c r="Q65" i="34"/>
  <c r="P65" i="34"/>
  <c r="Q64" i="34"/>
  <c r="P64" i="34"/>
  <c r="Q63" i="34"/>
  <c r="P63" i="34"/>
  <c r="Q62" i="34"/>
  <c r="P62" i="34"/>
  <c r="Q61" i="34"/>
  <c r="P61" i="34"/>
  <c r="P60" i="34"/>
  <c r="P59" i="34"/>
  <c r="Q58" i="34"/>
  <c r="P58" i="34"/>
  <c r="Q57" i="34"/>
  <c r="P57" i="34"/>
  <c r="Q56" i="34"/>
  <c r="P56" i="34"/>
  <c r="Q55" i="34"/>
  <c r="P55" i="34"/>
  <c r="Q54" i="34"/>
  <c r="P54" i="34"/>
  <c r="P53" i="34"/>
  <c r="P52" i="34"/>
  <c r="Q51" i="34"/>
  <c r="P51" i="34"/>
  <c r="Q50" i="34"/>
  <c r="P50" i="34"/>
  <c r="Q49" i="34"/>
  <c r="P49" i="34"/>
  <c r="P48" i="34"/>
  <c r="P47" i="34"/>
  <c r="P46" i="34"/>
  <c r="P45" i="34"/>
  <c r="P44" i="34"/>
  <c r="P43" i="34"/>
  <c r="P42" i="34"/>
  <c r="Q41" i="34"/>
  <c r="P41" i="34"/>
  <c r="Q40" i="34"/>
  <c r="P40" i="34"/>
  <c r="Q39" i="34"/>
  <c r="P39" i="34"/>
  <c r="Q38" i="34"/>
  <c r="P38" i="34"/>
  <c r="Q37" i="34"/>
  <c r="P37" i="34"/>
  <c r="Q36" i="34"/>
  <c r="P36" i="34"/>
  <c r="Q35" i="34"/>
  <c r="P35" i="34"/>
  <c r="P34" i="34"/>
  <c r="P33" i="34"/>
  <c r="Q32" i="34"/>
  <c r="P32" i="34"/>
  <c r="Q31" i="34"/>
  <c r="P31" i="34"/>
  <c r="Q30" i="34"/>
  <c r="P30" i="34"/>
  <c r="Q29" i="34"/>
  <c r="P29" i="34"/>
  <c r="Q28" i="34"/>
  <c r="P28" i="34"/>
  <c r="Q27" i="34"/>
  <c r="P27" i="34"/>
  <c r="Q26" i="34"/>
  <c r="P26" i="34"/>
  <c r="Q25" i="34"/>
  <c r="P25" i="34"/>
  <c r="Q23" i="34"/>
  <c r="P23" i="34"/>
  <c r="Q22" i="34"/>
  <c r="P22" i="34"/>
  <c r="Q21" i="34"/>
  <c r="P21" i="34"/>
  <c r="P20" i="34"/>
  <c r="P19" i="34"/>
  <c r="P18" i="34"/>
  <c r="P16" i="34"/>
  <c r="Q15" i="34"/>
  <c r="P15" i="34"/>
  <c r="P14" i="34"/>
  <c r="Q13" i="34"/>
  <c r="P13" i="34"/>
  <c r="Q12" i="34"/>
  <c r="P12" i="34"/>
  <c r="Q11" i="34"/>
  <c r="P11" i="34"/>
  <c r="Q10" i="34"/>
  <c r="P10" i="34"/>
  <c r="P9" i="34"/>
  <c r="Q8" i="34"/>
  <c r="P8" i="34"/>
  <c r="Q7" i="34"/>
  <c r="P7" i="34"/>
  <c r="P6" i="34"/>
  <c r="Q59" i="34"/>
  <c r="Q71" i="34"/>
  <c r="Q19" i="34"/>
  <c r="Q9" i="34"/>
  <c r="Q53" i="34"/>
  <c r="Q17" i="34"/>
  <c r="P17" i="34"/>
  <c r="Q14" i="34"/>
  <c r="Q69" i="34"/>
  <c r="Q6" i="34"/>
  <c r="Q47" i="34"/>
  <c r="Q33" i="34"/>
  <c r="Q43" i="34"/>
  <c r="Q44" i="34"/>
  <c r="Q52" i="34"/>
  <c r="Q16" i="34"/>
  <c r="Q46" i="34"/>
  <c r="Q34" i="34"/>
  <c r="Q45" i="34"/>
  <c r="Q48" i="34"/>
  <c r="Q42" i="34"/>
  <c r="Q20" i="34"/>
  <c r="Q18" i="34"/>
  <c r="Q60" i="34"/>
  <c r="I84" i="39"/>
  <c r="I83" i="39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P73" i="1"/>
  <c r="K73" i="34" s="1"/>
  <c r="P72" i="1"/>
  <c r="K72" i="34" s="1"/>
  <c r="P71" i="1"/>
  <c r="K71" i="34" s="1"/>
  <c r="P70" i="1"/>
  <c r="K70" i="34" s="1"/>
  <c r="P69" i="1"/>
  <c r="K69" i="34" s="1"/>
  <c r="P68" i="1"/>
  <c r="K68" i="34" s="1"/>
  <c r="P67" i="1"/>
  <c r="K67" i="34" s="1"/>
  <c r="P66" i="1"/>
  <c r="K66" i="34" s="1"/>
  <c r="P65" i="1"/>
  <c r="K65" i="34" s="1"/>
  <c r="P64" i="1"/>
  <c r="K64" i="34" s="1"/>
  <c r="P63" i="1"/>
  <c r="K63" i="34" s="1"/>
  <c r="P62" i="1"/>
  <c r="K62" i="34" s="1"/>
  <c r="P61" i="1"/>
  <c r="K61" i="34" s="1"/>
  <c r="P60" i="1"/>
  <c r="K60" i="34" s="1"/>
  <c r="P59" i="1"/>
  <c r="K59" i="34" s="1"/>
  <c r="P58" i="1"/>
  <c r="K58" i="34" s="1"/>
  <c r="P57" i="1"/>
  <c r="K57" i="34" s="1"/>
  <c r="P56" i="1"/>
  <c r="K56" i="34" s="1"/>
  <c r="P55" i="1"/>
  <c r="K55" i="34" s="1"/>
  <c r="P54" i="1"/>
  <c r="K54" i="34" s="1"/>
  <c r="P53" i="1"/>
  <c r="K53" i="34" s="1"/>
  <c r="P52" i="1"/>
  <c r="K52" i="34" s="1"/>
  <c r="P51" i="1"/>
  <c r="K51" i="34" s="1"/>
  <c r="P50" i="1"/>
  <c r="K50" i="34" s="1"/>
  <c r="P49" i="1"/>
  <c r="K49" i="34" s="1"/>
  <c r="P48" i="1"/>
  <c r="K48" i="34" s="1"/>
  <c r="P47" i="1"/>
  <c r="K47" i="34" s="1"/>
  <c r="P46" i="1"/>
  <c r="K46" i="34" s="1"/>
  <c r="P45" i="1"/>
  <c r="K45" i="34" s="1"/>
  <c r="P44" i="1"/>
  <c r="K44" i="34" s="1"/>
  <c r="P43" i="1"/>
  <c r="K43" i="34" s="1"/>
  <c r="P42" i="1"/>
  <c r="K42" i="34" s="1"/>
  <c r="P41" i="1"/>
  <c r="K41" i="34" s="1"/>
  <c r="P40" i="1"/>
  <c r="K40" i="34" s="1"/>
  <c r="P39" i="1"/>
  <c r="K39" i="34" s="1"/>
  <c r="P38" i="1"/>
  <c r="K38" i="34" s="1"/>
  <c r="P37" i="1"/>
  <c r="K37" i="34" s="1"/>
  <c r="P36" i="1"/>
  <c r="K36" i="34" s="1"/>
  <c r="P35" i="1"/>
  <c r="K35" i="34" s="1"/>
  <c r="P34" i="1"/>
  <c r="K34" i="34" s="1"/>
  <c r="P33" i="1"/>
  <c r="K33" i="34" s="1"/>
  <c r="P32" i="1"/>
  <c r="K32" i="34" s="1"/>
  <c r="P31" i="1"/>
  <c r="K31" i="34" s="1"/>
  <c r="P30" i="1"/>
  <c r="K30" i="34" s="1"/>
  <c r="P29" i="1"/>
  <c r="K29" i="34" s="1"/>
  <c r="P28" i="1"/>
  <c r="K28" i="34" s="1"/>
  <c r="P27" i="1"/>
  <c r="K27" i="34" s="1"/>
  <c r="P26" i="1"/>
  <c r="K26" i="34" s="1"/>
  <c r="P25" i="1"/>
  <c r="K25" i="34" s="1"/>
  <c r="P23" i="1"/>
  <c r="K23" i="34" s="1"/>
  <c r="P22" i="1"/>
  <c r="K22" i="34" s="1"/>
  <c r="P21" i="1"/>
  <c r="K21" i="34" s="1"/>
  <c r="P20" i="1"/>
  <c r="K20" i="34" s="1"/>
  <c r="P19" i="1"/>
  <c r="K19" i="34" s="1"/>
  <c r="P18" i="1"/>
  <c r="K18" i="34" s="1"/>
  <c r="P17" i="1"/>
  <c r="K17" i="34" s="1"/>
  <c r="P16" i="1"/>
  <c r="K16" i="34" s="1"/>
  <c r="P15" i="1"/>
  <c r="K15" i="34" s="1"/>
  <c r="P14" i="1"/>
  <c r="K14" i="34" s="1"/>
  <c r="P13" i="1"/>
  <c r="K13" i="34" s="1"/>
  <c r="P12" i="1"/>
  <c r="K12" i="34" s="1"/>
  <c r="P11" i="1"/>
  <c r="K11" i="34" s="1"/>
  <c r="P10" i="1"/>
  <c r="K10" i="34" s="1"/>
  <c r="P9" i="1"/>
  <c r="K9" i="34" s="1"/>
  <c r="P8" i="1"/>
  <c r="K8" i="34" s="1"/>
  <c r="P7" i="1"/>
  <c r="K7" i="34" s="1"/>
  <c r="P6" i="1"/>
  <c r="K6" i="34" s="1"/>
  <c r="E408" i="44"/>
  <c r="E407" i="44"/>
  <c r="C15" i="1" s="1"/>
  <c r="E406" i="44"/>
  <c r="E405" i="44"/>
  <c r="E404" i="44"/>
  <c r="E403" i="44"/>
  <c r="C48" i="1" s="1"/>
  <c r="E402" i="44"/>
  <c r="E401" i="44"/>
  <c r="E400" i="44"/>
  <c r="E399" i="44"/>
  <c r="E398" i="44"/>
  <c r="E397" i="44"/>
  <c r="C53" i="1" s="1"/>
  <c r="E396" i="44"/>
  <c r="E395" i="44"/>
  <c r="E394" i="44"/>
  <c r="C17" i="1" s="1"/>
  <c r="E393" i="44"/>
  <c r="E392" i="44"/>
  <c r="E391" i="44"/>
  <c r="E390" i="44"/>
  <c r="E389" i="44"/>
  <c r="C28" i="1" s="1"/>
  <c r="E388" i="44"/>
  <c r="E387" i="44"/>
  <c r="C25" i="1" s="1"/>
  <c r="E386" i="44"/>
  <c r="E385" i="44"/>
  <c r="E384" i="44"/>
  <c r="E383" i="44"/>
  <c r="E382" i="44"/>
  <c r="E381" i="44"/>
  <c r="E380" i="44"/>
  <c r="E379" i="44"/>
  <c r="E378" i="44"/>
  <c r="C41" i="1" s="1"/>
  <c r="E377" i="44"/>
  <c r="E376" i="44"/>
  <c r="E375" i="44"/>
  <c r="E374" i="44"/>
  <c r="E373" i="44"/>
  <c r="C27" i="1" s="1"/>
  <c r="E372" i="44"/>
  <c r="E371" i="44"/>
  <c r="E370" i="44"/>
  <c r="E369" i="44"/>
  <c r="E368" i="44"/>
  <c r="E367" i="44"/>
  <c r="E366" i="44"/>
  <c r="E365" i="44"/>
  <c r="E364" i="44"/>
  <c r="E363" i="44"/>
  <c r="E362" i="44"/>
  <c r="E361" i="44"/>
  <c r="E360" i="44"/>
  <c r="E359" i="44"/>
  <c r="E358" i="44"/>
  <c r="E357" i="44"/>
  <c r="E356" i="44"/>
  <c r="E355" i="44"/>
  <c r="E354" i="44"/>
  <c r="E353" i="44"/>
  <c r="E352" i="44"/>
  <c r="E351" i="44"/>
  <c r="E350" i="44"/>
  <c r="E349" i="44"/>
  <c r="E348" i="44"/>
  <c r="E347" i="44"/>
  <c r="E346" i="44"/>
  <c r="C24" i="1" s="1"/>
  <c r="E345" i="44"/>
  <c r="E344" i="44"/>
  <c r="E343" i="44"/>
  <c r="C38" i="1" s="1"/>
  <c r="E342" i="44"/>
  <c r="E341" i="44"/>
  <c r="E340" i="44"/>
  <c r="E339" i="44"/>
  <c r="E338" i="44"/>
  <c r="E337" i="44"/>
  <c r="E336" i="44"/>
  <c r="E335" i="44"/>
  <c r="E334" i="44"/>
  <c r="E333" i="44"/>
  <c r="E332" i="44"/>
  <c r="E331" i="44"/>
  <c r="E330" i="44"/>
  <c r="E329" i="44"/>
  <c r="E328" i="44"/>
  <c r="E327" i="44"/>
  <c r="E326" i="44"/>
  <c r="E325" i="44"/>
  <c r="C39" i="1" s="1"/>
  <c r="E324" i="44"/>
  <c r="C73" i="1" s="1"/>
  <c r="E323" i="44"/>
  <c r="E322" i="44"/>
  <c r="E321" i="44"/>
  <c r="E320" i="44"/>
  <c r="E319" i="44"/>
  <c r="E318" i="44"/>
  <c r="E317" i="44"/>
  <c r="E316" i="44"/>
  <c r="E315" i="44"/>
  <c r="E314" i="44"/>
  <c r="E313" i="44"/>
  <c r="E312" i="44"/>
  <c r="E311" i="44"/>
  <c r="E310" i="44"/>
  <c r="E309" i="44"/>
  <c r="E308" i="44"/>
  <c r="C32" i="1" s="1"/>
  <c r="E307" i="44"/>
  <c r="E306" i="44"/>
  <c r="E305" i="44"/>
  <c r="E304" i="44"/>
  <c r="E303" i="44"/>
  <c r="E302" i="44"/>
  <c r="E301" i="44"/>
  <c r="E300" i="44"/>
  <c r="E299" i="44"/>
  <c r="E298" i="44"/>
  <c r="C22" i="1" s="1"/>
  <c r="E297" i="44"/>
  <c r="E296" i="44"/>
  <c r="E295" i="44"/>
  <c r="E294" i="44"/>
  <c r="E293" i="44"/>
  <c r="E292" i="44"/>
  <c r="E291" i="44"/>
  <c r="E290" i="44"/>
  <c r="E289" i="44"/>
  <c r="E288" i="44"/>
  <c r="E287" i="44"/>
  <c r="E286" i="44"/>
  <c r="E285" i="44"/>
  <c r="E284" i="44"/>
  <c r="E283" i="44"/>
  <c r="E282" i="44"/>
  <c r="C14" i="1" s="1"/>
  <c r="E281" i="44"/>
  <c r="E280" i="44"/>
  <c r="E279" i="44"/>
  <c r="E278" i="44"/>
  <c r="E277" i="44"/>
  <c r="E276" i="44"/>
  <c r="E275" i="44"/>
  <c r="E274" i="44"/>
  <c r="E273" i="44"/>
  <c r="E272" i="44"/>
  <c r="E271" i="44"/>
  <c r="E270" i="44"/>
  <c r="E269" i="44"/>
  <c r="E268" i="44"/>
  <c r="E267" i="44"/>
  <c r="E266" i="44"/>
  <c r="E265" i="44"/>
  <c r="E264" i="44"/>
  <c r="E263" i="44"/>
  <c r="E262" i="44"/>
  <c r="E261" i="44"/>
  <c r="E260" i="44"/>
  <c r="E259" i="44"/>
  <c r="E258" i="44"/>
  <c r="E257" i="44"/>
  <c r="E256" i="44"/>
  <c r="E255" i="44"/>
  <c r="E254" i="44"/>
  <c r="E253" i="44"/>
  <c r="E252" i="44"/>
  <c r="E251" i="44"/>
  <c r="E250" i="44"/>
  <c r="E249" i="44"/>
  <c r="E248" i="44"/>
  <c r="E247" i="44"/>
  <c r="E246" i="44"/>
  <c r="E245" i="44"/>
  <c r="E244" i="44"/>
  <c r="E243" i="44"/>
  <c r="E242" i="44"/>
  <c r="E241" i="44"/>
  <c r="E240" i="44"/>
  <c r="E239" i="44"/>
  <c r="E238" i="44"/>
  <c r="E237" i="44"/>
  <c r="E236" i="44"/>
  <c r="E235" i="44"/>
  <c r="E234" i="44"/>
  <c r="E233" i="44"/>
  <c r="E232" i="44"/>
  <c r="E231" i="44"/>
  <c r="E230" i="44"/>
  <c r="E229" i="44"/>
  <c r="C70" i="1" s="1"/>
  <c r="E228" i="44"/>
  <c r="E227" i="44"/>
  <c r="E226" i="44"/>
  <c r="E225" i="44"/>
  <c r="C61" i="1" s="1"/>
  <c r="E224" i="44"/>
  <c r="E223" i="44"/>
  <c r="E222" i="44"/>
  <c r="E221" i="44"/>
  <c r="E220" i="44"/>
  <c r="E219" i="44"/>
  <c r="E218" i="44"/>
  <c r="E217" i="44"/>
  <c r="E216" i="44"/>
  <c r="E215" i="44"/>
  <c r="E214" i="44"/>
  <c r="C40" i="1" s="1"/>
  <c r="E213" i="44"/>
  <c r="E212" i="44"/>
  <c r="E211" i="44"/>
  <c r="E210" i="44"/>
  <c r="E209" i="44"/>
  <c r="E208" i="44"/>
  <c r="E207" i="44"/>
  <c r="E206" i="44"/>
  <c r="C55" i="1" s="1"/>
  <c r="E205" i="44"/>
  <c r="C45" i="1" s="1"/>
  <c r="E204" i="44"/>
  <c r="E203" i="44"/>
  <c r="E202" i="44"/>
  <c r="E201" i="44"/>
  <c r="E200" i="44"/>
  <c r="E199" i="44"/>
  <c r="E198" i="44"/>
  <c r="E197" i="44"/>
  <c r="E196" i="44"/>
  <c r="E195" i="44"/>
  <c r="C12" i="1" s="1"/>
  <c r="E194" i="44"/>
  <c r="E193" i="44"/>
  <c r="E192" i="44"/>
  <c r="E191" i="44"/>
  <c r="E190" i="44"/>
  <c r="E189" i="44"/>
  <c r="E188" i="44"/>
  <c r="E187" i="44"/>
  <c r="E186" i="44"/>
  <c r="E185" i="44"/>
  <c r="E184" i="44"/>
  <c r="E183" i="44"/>
  <c r="E182" i="44"/>
  <c r="E181" i="44"/>
  <c r="E180" i="44"/>
  <c r="C29" i="1" s="1"/>
  <c r="E179" i="44"/>
  <c r="C13" i="1" s="1"/>
  <c r="E178" i="44"/>
  <c r="E177" i="44"/>
  <c r="E176" i="44"/>
  <c r="E175" i="44"/>
  <c r="E174" i="44"/>
  <c r="E173" i="44"/>
  <c r="E172" i="44"/>
  <c r="E171" i="44"/>
  <c r="E170" i="44"/>
  <c r="E169" i="44"/>
  <c r="E168" i="44"/>
  <c r="C63" i="1" s="1"/>
  <c r="E167" i="44"/>
  <c r="C68" i="1" s="1"/>
  <c r="E166" i="44"/>
  <c r="E165" i="44"/>
  <c r="E164" i="44"/>
  <c r="E163" i="44"/>
  <c r="E162" i="44"/>
  <c r="E161" i="44"/>
  <c r="E160" i="44"/>
  <c r="E159" i="44"/>
  <c r="E158" i="44"/>
  <c r="C34" i="1" s="1"/>
  <c r="E157" i="44"/>
  <c r="C11" i="1" s="1"/>
  <c r="E156" i="44"/>
  <c r="E155" i="44"/>
  <c r="E154" i="44"/>
  <c r="E153" i="44"/>
  <c r="E152" i="44"/>
  <c r="E151" i="44"/>
  <c r="E150" i="44"/>
  <c r="E149" i="44"/>
  <c r="E148" i="44"/>
  <c r="E147" i="44"/>
  <c r="C6" i="1" s="1"/>
  <c r="E146" i="44"/>
  <c r="E145" i="44"/>
  <c r="E144" i="44"/>
  <c r="E143" i="44"/>
  <c r="E142" i="44"/>
  <c r="E141" i="44"/>
  <c r="E140" i="44"/>
  <c r="E139" i="44"/>
  <c r="E138" i="44"/>
  <c r="E137" i="44"/>
  <c r="E136" i="44"/>
  <c r="E135" i="44"/>
  <c r="E134" i="44"/>
  <c r="E133" i="44"/>
  <c r="E132" i="44"/>
  <c r="E131" i="44"/>
  <c r="E130" i="44"/>
  <c r="E129" i="44"/>
  <c r="C54" i="1" s="1"/>
  <c r="E128" i="44"/>
  <c r="E127" i="44"/>
  <c r="E126" i="44"/>
  <c r="E125" i="44"/>
  <c r="E124" i="44"/>
  <c r="E123" i="44"/>
  <c r="E122" i="44"/>
  <c r="E121" i="44"/>
  <c r="E120" i="44"/>
  <c r="E119" i="44"/>
  <c r="C47" i="1" s="1"/>
  <c r="E118" i="44"/>
  <c r="C67" i="1" s="1"/>
  <c r="E117" i="44"/>
  <c r="C59" i="1" s="1"/>
  <c r="E116" i="44"/>
  <c r="E115" i="44"/>
  <c r="E114" i="44"/>
  <c r="E113" i="44"/>
  <c r="E112" i="44"/>
  <c r="C71" i="1" s="1"/>
  <c r="E111" i="44"/>
  <c r="C23" i="1" s="1"/>
  <c r="E110" i="44"/>
  <c r="E109" i="44"/>
  <c r="E108" i="44"/>
  <c r="E107" i="44"/>
  <c r="E106" i="44"/>
  <c r="E105" i="44"/>
  <c r="E104" i="44"/>
  <c r="E103" i="44"/>
  <c r="E102" i="44"/>
  <c r="C57" i="1" s="1"/>
  <c r="E101" i="44"/>
  <c r="E100" i="44"/>
  <c r="E99" i="44"/>
  <c r="E98" i="44"/>
  <c r="E97" i="44"/>
  <c r="C66" i="1" s="1"/>
  <c r="E96" i="44"/>
  <c r="C19" i="1" s="1"/>
  <c r="E95" i="44"/>
  <c r="E94" i="44"/>
  <c r="E93" i="44"/>
  <c r="E92" i="44"/>
  <c r="E91" i="44"/>
  <c r="E90" i="44"/>
  <c r="E89" i="44"/>
  <c r="E88" i="44"/>
  <c r="C69" i="1" s="1"/>
  <c r="E87" i="44"/>
  <c r="E86" i="44"/>
  <c r="E85" i="44"/>
  <c r="E84" i="44"/>
  <c r="C8" i="1" s="1"/>
  <c r="E83" i="44"/>
  <c r="E82" i="44"/>
  <c r="E81" i="44"/>
  <c r="C31" i="1" s="1"/>
  <c r="E80" i="44"/>
  <c r="E79" i="44"/>
  <c r="C10" i="1" s="1"/>
  <c r="E78" i="44"/>
  <c r="E77" i="44"/>
  <c r="C56" i="1" s="1"/>
  <c r="E76" i="44"/>
  <c r="E75" i="44"/>
  <c r="E74" i="44"/>
  <c r="E73" i="44"/>
  <c r="C33" i="1" s="1"/>
  <c r="E72" i="44"/>
  <c r="E71" i="44"/>
  <c r="E70" i="44"/>
  <c r="E69" i="44"/>
  <c r="C42" i="1" s="1"/>
  <c r="E67" i="44"/>
  <c r="C21" i="1" s="1"/>
  <c r="E66" i="44"/>
  <c r="E65" i="44"/>
  <c r="C52" i="1" s="1"/>
  <c r="E64" i="44"/>
  <c r="E63" i="44"/>
  <c r="C72" i="1" s="1"/>
  <c r="E62" i="44"/>
  <c r="E61" i="44"/>
  <c r="E60" i="44"/>
  <c r="E59" i="44"/>
  <c r="E58" i="44"/>
  <c r="E57" i="44"/>
  <c r="E56" i="44"/>
  <c r="C20" i="1" s="1"/>
  <c r="E55" i="44"/>
  <c r="E54" i="44"/>
  <c r="E53" i="44"/>
  <c r="E52" i="44"/>
  <c r="C46" i="1" s="1"/>
  <c r="E51" i="44"/>
  <c r="E50" i="44"/>
  <c r="E49" i="44"/>
  <c r="E48" i="44"/>
  <c r="C30" i="1" s="1"/>
  <c r="E47" i="44"/>
  <c r="C7" i="1" s="1"/>
  <c r="E46" i="44"/>
  <c r="E45" i="44"/>
  <c r="E44" i="44"/>
  <c r="E43" i="44"/>
  <c r="E42" i="44"/>
  <c r="E41" i="44"/>
  <c r="E40" i="44"/>
  <c r="E39" i="44"/>
  <c r="C58" i="1" s="1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C44" i="1" s="1"/>
  <c r="E24" i="44"/>
  <c r="E23" i="44"/>
  <c r="E22" i="44"/>
  <c r="C60" i="1" s="1"/>
  <c r="E21" i="44"/>
  <c r="E20" i="44"/>
  <c r="E19" i="44"/>
  <c r="E18" i="44"/>
  <c r="E17" i="44"/>
  <c r="E16" i="44"/>
  <c r="C18" i="1" s="1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BA24" i="1" l="1"/>
  <c r="BJ24" i="1" s="1"/>
  <c r="BB24" i="1"/>
  <c r="BD24" i="1"/>
  <c r="D24" i="34"/>
  <c r="AJ74" i="1"/>
  <c r="BC24" i="1" l="1"/>
  <c r="S24" i="34"/>
  <c r="R24" i="34" l="1"/>
  <c r="AB2" i="34"/>
  <c r="S315" i="36" l="1"/>
  <c r="N103" i="1" l="1"/>
  <c r="N107" i="1" l="1"/>
  <c r="C33" i="9" l="1"/>
  <c r="N80" i="1"/>
  <c r="L81" i="34" s="1"/>
  <c r="M81" i="34" l="1"/>
  <c r="AC2" i="1"/>
  <c r="AK115" i="1" l="1"/>
  <c r="O115" i="1"/>
  <c r="M115" i="1"/>
  <c r="K115" i="1"/>
  <c r="J115" i="1"/>
  <c r="I115" i="1"/>
  <c r="AW115" i="1" s="1"/>
  <c r="H115" i="1"/>
  <c r="G115" i="1"/>
  <c r="Z115" i="1" l="1"/>
  <c r="AA115" i="1" l="1"/>
  <c r="E14" i="9" l="1"/>
  <c r="F58" i="9" l="1"/>
  <c r="E58" i="9"/>
  <c r="D58" i="9"/>
  <c r="C58" i="9"/>
  <c r="B58" i="9"/>
  <c r="F73" i="9" l="1"/>
  <c r="E73" i="9"/>
  <c r="D73" i="9"/>
  <c r="C73" i="9"/>
  <c r="B73" i="9"/>
  <c r="F72" i="9"/>
  <c r="E72" i="9"/>
  <c r="D72" i="9"/>
  <c r="C72" i="9"/>
  <c r="B72" i="9"/>
  <c r="F71" i="9"/>
  <c r="E71" i="9"/>
  <c r="D71" i="9"/>
  <c r="C71" i="9"/>
  <c r="B71" i="9"/>
  <c r="F70" i="9"/>
  <c r="E70" i="9"/>
  <c r="D70" i="9"/>
  <c r="C70" i="9"/>
  <c r="B70" i="9"/>
  <c r="F69" i="9"/>
  <c r="E69" i="9"/>
  <c r="D69" i="9"/>
  <c r="C69" i="9"/>
  <c r="B69" i="9"/>
  <c r="F68" i="9"/>
  <c r="E68" i="9"/>
  <c r="D68" i="9"/>
  <c r="C68" i="9"/>
  <c r="B68" i="9"/>
  <c r="F67" i="9"/>
  <c r="E67" i="9"/>
  <c r="D67" i="9"/>
  <c r="C67" i="9"/>
  <c r="B67" i="9"/>
  <c r="F66" i="9"/>
  <c r="E66" i="9"/>
  <c r="D66" i="9"/>
  <c r="C66" i="9"/>
  <c r="B66" i="9"/>
  <c r="F65" i="9"/>
  <c r="E65" i="9"/>
  <c r="D65" i="9"/>
  <c r="C65" i="9"/>
  <c r="B65" i="9"/>
  <c r="F64" i="9"/>
  <c r="E64" i="9"/>
  <c r="D64" i="9"/>
  <c r="C64" i="9"/>
  <c r="B64" i="9"/>
  <c r="F63" i="9"/>
  <c r="E63" i="9"/>
  <c r="D63" i="9"/>
  <c r="C63" i="9"/>
  <c r="B63" i="9"/>
  <c r="F62" i="9"/>
  <c r="E62" i="9"/>
  <c r="D62" i="9"/>
  <c r="C62" i="9"/>
  <c r="B62" i="9"/>
  <c r="F61" i="9"/>
  <c r="E61" i="9"/>
  <c r="D61" i="9"/>
  <c r="C61" i="9"/>
  <c r="B61" i="9"/>
  <c r="F60" i="9"/>
  <c r="E60" i="9"/>
  <c r="D60" i="9"/>
  <c r="C60" i="9"/>
  <c r="B60" i="9"/>
  <c r="F59" i="9"/>
  <c r="E59" i="9"/>
  <c r="D59" i="9"/>
  <c r="C59" i="9"/>
  <c r="B59" i="9"/>
  <c r="F57" i="9"/>
  <c r="E57" i="9"/>
  <c r="D57" i="9"/>
  <c r="C57" i="9"/>
  <c r="B57" i="9"/>
  <c r="F56" i="9"/>
  <c r="E56" i="9"/>
  <c r="D56" i="9"/>
  <c r="C56" i="9"/>
  <c r="B56" i="9"/>
  <c r="F55" i="9"/>
  <c r="E55" i="9"/>
  <c r="D55" i="9"/>
  <c r="C55" i="9"/>
  <c r="B55" i="9"/>
  <c r="F54" i="9"/>
  <c r="E54" i="9"/>
  <c r="D54" i="9"/>
  <c r="C54" i="9"/>
  <c r="B54" i="9"/>
  <c r="F53" i="9"/>
  <c r="E53" i="9"/>
  <c r="D53" i="9"/>
  <c r="C53" i="9"/>
  <c r="B53" i="9"/>
  <c r="F52" i="9"/>
  <c r="E52" i="9"/>
  <c r="D52" i="9"/>
  <c r="C52" i="9"/>
  <c r="B52" i="9"/>
  <c r="F51" i="9"/>
  <c r="E51" i="9"/>
  <c r="D51" i="9"/>
  <c r="C51" i="9"/>
  <c r="B51" i="9"/>
  <c r="F50" i="9"/>
  <c r="E50" i="9"/>
  <c r="D50" i="9"/>
  <c r="C50" i="9"/>
  <c r="B50" i="9"/>
  <c r="F49" i="9"/>
  <c r="E49" i="9"/>
  <c r="D49" i="9"/>
  <c r="C49" i="9"/>
  <c r="B49" i="9"/>
  <c r="F48" i="9"/>
  <c r="E48" i="9"/>
  <c r="D48" i="9"/>
  <c r="C48" i="9"/>
  <c r="B48" i="9"/>
  <c r="F47" i="9"/>
  <c r="E47" i="9"/>
  <c r="D47" i="9"/>
  <c r="C47" i="9"/>
  <c r="B47" i="9"/>
  <c r="F46" i="9"/>
  <c r="E46" i="9"/>
  <c r="D46" i="9"/>
  <c r="C46" i="9"/>
  <c r="B46" i="9"/>
  <c r="F45" i="9"/>
  <c r="E45" i="9"/>
  <c r="D45" i="9"/>
  <c r="C45" i="9"/>
  <c r="B45" i="9"/>
  <c r="F44" i="9"/>
  <c r="E44" i="9"/>
  <c r="D44" i="9"/>
  <c r="C44" i="9"/>
  <c r="B44" i="9"/>
  <c r="F43" i="9"/>
  <c r="E43" i="9"/>
  <c r="D43" i="9"/>
  <c r="C43" i="9"/>
  <c r="B43" i="9"/>
  <c r="F42" i="9"/>
  <c r="E42" i="9"/>
  <c r="D42" i="9"/>
  <c r="C42" i="9"/>
  <c r="B42" i="9"/>
  <c r="F41" i="9"/>
  <c r="E41" i="9"/>
  <c r="D41" i="9"/>
  <c r="C41" i="9"/>
  <c r="B41" i="9"/>
  <c r="F40" i="9"/>
  <c r="E40" i="9"/>
  <c r="D40" i="9"/>
  <c r="C40" i="9"/>
  <c r="B40" i="9"/>
  <c r="F39" i="9"/>
  <c r="E39" i="9"/>
  <c r="D39" i="9"/>
  <c r="C39" i="9"/>
  <c r="B39" i="9"/>
  <c r="F38" i="9"/>
  <c r="E38" i="9"/>
  <c r="D38" i="9"/>
  <c r="C38" i="9"/>
  <c r="B38" i="9"/>
  <c r="F37" i="9"/>
  <c r="E37" i="9"/>
  <c r="D37" i="9"/>
  <c r="C37" i="9"/>
  <c r="B37" i="9"/>
  <c r="F36" i="9"/>
  <c r="E36" i="9"/>
  <c r="D36" i="9"/>
  <c r="C36" i="9"/>
  <c r="B36" i="9"/>
  <c r="F35" i="9"/>
  <c r="E35" i="9"/>
  <c r="D35" i="9"/>
  <c r="C35" i="9"/>
  <c r="B35" i="9"/>
  <c r="F34" i="9"/>
  <c r="E34" i="9"/>
  <c r="D34" i="9"/>
  <c r="B34" i="9"/>
  <c r="F33" i="9"/>
  <c r="E33" i="9"/>
  <c r="D33" i="9"/>
  <c r="B33" i="9"/>
  <c r="F30" i="9"/>
  <c r="E30" i="9"/>
  <c r="D30" i="9"/>
  <c r="C30" i="9"/>
  <c r="B30" i="9"/>
  <c r="F29" i="9"/>
  <c r="E29" i="9"/>
  <c r="D29" i="9"/>
  <c r="C29" i="9"/>
  <c r="B29" i="9"/>
  <c r="F28" i="9"/>
  <c r="E28" i="9"/>
  <c r="D28" i="9"/>
  <c r="C28" i="9"/>
  <c r="B28" i="9"/>
  <c r="F27" i="9"/>
  <c r="E27" i="9"/>
  <c r="D27" i="9"/>
  <c r="C27" i="9"/>
  <c r="B27" i="9"/>
  <c r="F26" i="9"/>
  <c r="E26" i="9"/>
  <c r="D26" i="9"/>
  <c r="C26" i="9"/>
  <c r="B26" i="9"/>
  <c r="F25" i="9"/>
  <c r="E25" i="9"/>
  <c r="D25" i="9"/>
  <c r="C25" i="9"/>
  <c r="B25" i="9"/>
  <c r="F24" i="9"/>
  <c r="E24" i="9"/>
  <c r="D24" i="9"/>
  <c r="C24" i="9"/>
  <c r="B24" i="9"/>
  <c r="F23" i="9"/>
  <c r="E23" i="9"/>
  <c r="D23" i="9"/>
  <c r="C23" i="9"/>
  <c r="B23" i="9"/>
  <c r="F22" i="9"/>
  <c r="E22" i="9"/>
  <c r="D22" i="9"/>
  <c r="C22" i="9"/>
  <c r="B22" i="9"/>
  <c r="F21" i="9"/>
  <c r="E21" i="9"/>
  <c r="D21" i="9"/>
  <c r="C21" i="9"/>
  <c r="B21" i="9"/>
  <c r="F20" i="9"/>
  <c r="E20" i="9"/>
  <c r="D20" i="9"/>
  <c r="C20" i="9"/>
  <c r="B20" i="9"/>
  <c r="F19" i="9"/>
  <c r="E19" i="9"/>
  <c r="D19" i="9"/>
  <c r="C19" i="9"/>
  <c r="B19" i="9"/>
  <c r="F18" i="9"/>
  <c r="E18" i="9"/>
  <c r="D18" i="9"/>
  <c r="C18" i="9"/>
  <c r="B18" i="9"/>
  <c r="Q128" i="34" l="1"/>
  <c r="Q127" i="34"/>
  <c r="Q126" i="34"/>
  <c r="Q125" i="34"/>
  <c r="Q124" i="34"/>
  <c r="Q123" i="34"/>
  <c r="Q122" i="34"/>
  <c r="Q121" i="34"/>
  <c r="Q120" i="34"/>
  <c r="Q119" i="34"/>
  <c r="Q118" i="34"/>
  <c r="Q117" i="34"/>
  <c r="Q116" i="34"/>
  <c r="Q115" i="34"/>
  <c r="Q114" i="34"/>
  <c r="Q113" i="34"/>
  <c r="Q112" i="34"/>
  <c r="Q111" i="34"/>
  <c r="Q110" i="34"/>
  <c r="Q109" i="34"/>
  <c r="Q108" i="34"/>
  <c r="Q107" i="34"/>
  <c r="Q106" i="34"/>
  <c r="Q105" i="34"/>
  <c r="Q104" i="34"/>
  <c r="Q103" i="34"/>
  <c r="Q102" i="34"/>
  <c r="Q101" i="34"/>
  <c r="Q100" i="34"/>
  <c r="Q74" i="34"/>
  <c r="D30" i="48" l="1"/>
  <c r="G27" i="48"/>
  <c r="F28" i="48"/>
  <c r="K21" i="48"/>
  <c r="K22" i="48" s="1"/>
  <c r="K23" i="48" s="1"/>
  <c r="C3" i="35" l="1"/>
  <c r="B3" i="35"/>
  <c r="C2" i="35"/>
  <c r="B2" i="35"/>
  <c r="C71" i="35" l="1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4" i="35"/>
  <c r="J232" i="36" l="1"/>
  <c r="J231" i="36"/>
  <c r="U246" i="36" l="1"/>
  <c r="T81" i="39" l="1"/>
  <c r="H81" i="39" s="1"/>
  <c r="T80" i="39"/>
  <c r="H80" i="39" s="1"/>
  <c r="T79" i="39"/>
  <c r="H79" i="39" s="1"/>
  <c r="T78" i="39"/>
  <c r="H78" i="39" s="1"/>
  <c r="T72" i="39"/>
  <c r="H72" i="39" s="1"/>
  <c r="T71" i="39"/>
  <c r="H71" i="39" s="1"/>
  <c r="T70" i="39"/>
  <c r="H70" i="39" s="1"/>
  <c r="T69" i="39"/>
  <c r="H69" i="39" s="1"/>
  <c r="T63" i="39"/>
  <c r="H63" i="39" s="1"/>
  <c r="T62" i="39"/>
  <c r="H62" i="39" s="1"/>
  <c r="T61" i="39"/>
  <c r="H61" i="39" s="1"/>
  <c r="T60" i="39"/>
  <c r="H60" i="39" s="1"/>
  <c r="T54" i="39"/>
  <c r="H54" i="39" s="1"/>
  <c r="T53" i="39"/>
  <c r="H53" i="39" s="1"/>
  <c r="T52" i="39"/>
  <c r="H52" i="39" s="1"/>
  <c r="T51" i="39"/>
  <c r="H51" i="39" s="1"/>
  <c r="K86" i="39" l="1"/>
  <c r="J86" i="39"/>
  <c r="I74" i="39"/>
  <c r="J74" i="39" s="1"/>
  <c r="W115" i="1" l="1"/>
  <c r="U86" i="1"/>
  <c r="U78" i="1"/>
  <c r="U76" i="1"/>
  <c r="U85" i="1"/>
  <c r="U77" i="1"/>
  <c r="U75" i="1"/>
  <c r="U82" i="1"/>
  <c r="U88" i="1"/>
  <c r="U79" i="1"/>
  <c r="AC115" i="1" l="1"/>
  <c r="AD115" i="1"/>
  <c r="AV115" i="1" l="1"/>
  <c r="AZ115" i="1" s="1"/>
  <c r="BE115" i="1" s="1"/>
  <c r="AP115" i="1"/>
  <c r="AS115" i="1" l="1"/>
  <c r="AQ115" i="1"/>
  <c r="K128" i="1" l="1"/>
  <c r="J128" i="1"/>
  <c r="I128" i="1"/>
  <c r="AW128" i="1" s="1"/>
  <c r="H128" i="1"/>
  <c r="G128" i="1"/>
  <c r="K127" i="1"/>
  <c r="J127" i="1"/>
  <c r="I127" i="1"/>
  <c r="AW127" i="1" s="1"/>
  <c r="H127" i="1"/>
  <c r="G127" i="1"/>
  <c r="K126" i="1"/>
  <c r="J126" i="1"/>
  <c r="I126" i="1"/>
  <c r="AW126" i="1" s="1"/>
  <c r="H126" i="1"/>
  <c r="G126" i="1"/>
  <c r="K125" i="1"/>
  <c r="J125" i="1"/>
  <c r="I125" i="1"/>
  <c r="AW125" i="1" s="1"/>
  <c r="H125" i="1"/>
  <c r="G125" i="1"/>
  <c r="K124" i="1"/>
  <c r="J124" i="1"/>
  <c r="I124" i="1"/>
  <c r="AW124" i="1" s="1"/>
  <c r="H124" i="1"/>
  <c r="G124" i="1"/>
  <c r="K123" i="1"/>
  <c r="J123" i="1"/>
  <c r="I123" i="1"/>
  <c r="AW123" i="1" s="1"/>
  <c r="H123" i="1"/>
  <c r="G123" i="1"/>
  <c r="K122" i="1"/>
  <c r="J122" i="1"/>
  <c r="I122" i="1"/>
  <c r="AW122" i="1" s="1"/>
  <c r="H122" i="1"/>
  <c r="G122" i="1"/>
  <c r="K121" i="1"/>
  <c r="J121" i="1"/>
  <c r="I121" i="1"/>
  <c r="AW121" i="1" s="1"/>
  <c r="H121" i="1"/>
  <c r="G121" i="1"/>
  <c r="K120" i="1"/>
  <c r="J120" i="1"/>
  <c r="I120" i="1"/>
  <c r="AW120" i="1" s="1"/>
  <c r="H120" i="1"/>
  <c r="G120" i="1"/>
  <c r="K119" i="1"/>
  <c r="J119" i="1"/>
  <c r="I119" i="1"/>
  <c r="AW119" i="1" s="1"/>
  <c r="H119" i="1"/>
  <c r="G119" i="1"/>
  <c r="K118" i="1"/>
  <c r="J118" i="1"/>
  <c r="I118" i="1"/>
  <c r="AW118" i="1" s="1"/>
  <c r="H118" i="1"/>
  <c r="G118" i="1"/>
  <c r="K117" i="1"/>
  <c r="J117" i="1"/>
  <c r="I117" i="1"/>
  <c r="AW117" i="1" s="1"/>
  <c r="H117" i="1"/>
  <c r="G117" i="1"/>
  <c r="K116" i="1"/>
  <c r="J116" i="1"/>
  <c r="I116" i="1"/>
  <c r="AW116" i="1" s="1"/>
  <c r="H116" i="1"/>
  <c r="G116" i="1"/>
  <c r="K114" i="1"/>
  <c r="J114" i="1"/>
  <c r="I114" i="1"/>
  <c r="AW114" i="1" s="1"/>
  <c r="H114" i="1"/>
  <c r="G114" i="1"/>
  <c r="K113" i="1"/>
  <c r="J113" i="1"/>
  <c r="I113" i="1"/>
  <c r="AW113" i="1" s="1"/>
  <c r="H113" i="1"/>
  <c r="G113" i="1"/>
  <c r="K112" i="1"/>
  <c r="J112" i="1"/>
  <c r="I112" i="1"/>
  <c r="AW112" i="1" s="1"/>
  <c r="H112" i="1"/>
  <c r="G112" i="1"/>
  <c r="K111" i="1"/>
  <c r="J111" i="1"/>
  <c r="I111" i="1"/>
  <c r="AW111" i="1" s="1"/>
  <c r="H111" i="1"/>
  <c r="G111" i="1"/>
  <c r="K110" i="1"/>
  <c r="J110" i="1"/>
  <c r="I110" i="1"/>
  <c r="AW110" i="1" s="1"/>
  <c r="H110" i="1"/>
  <c r="G110" i="1"/>
  <c r="K109" i="1"/>
  <c r="J109" i="1"/>
  <c r="I109" i="1"/>
  <c r="AW109" i="1" s="1"/>
  <c r="H109" i="1"/>
  <c r="G109" i="1"/>
  <c r="K108" i="1"/>
  <c r="J108" i="1"/>
  <c r="I108" i="1"/>
  <c r="AW108" i="1" s="1"/>
  <c r="H108" i="1"/>
  <c r="G108" i="1"/>
  <c r="K107" i="1"/>
  <c r="J107" i="1"/>
  <c r="I107" i="1"/>
  <c r="AW107" i="1" s="1"/>
  <c r="H107" i="1"/>
  <c r="G107" i="1"/>
  <c r="K106" i="1"/>
  <c r="J106" i="1"/>
  <c r="I106" i="1"/>
  <c r="AW106" i="1" s="1"/>
  <c r="H106" i="1"/>
  <c r="G106" i="1"/>
  <c r="K105" i="1"/>
  <c r="J105" i="1"/>
  <c r="I105" i="1"/>
  <c r="AW105" i="1" s="1"/>
  <c r="H105" i="1"/>
  <c r="G105" i="1"/>
  <c r="K104" i="1"/>
  <c r="J104" i="1"/>
  <c r="I104" i="1"/>
  <c r="AW104" i="1" s="1"/>
  <c r="H104" i="1"/>
  <c r="G104" i="1"/>
  <c r="K103" i="1"/>
  <c r="J103" i="1"/>
  <c r="I103" i="1"/>
  <c r="AW103" i="1" s="1"/>
  <c r="H103" i="1"/>
  <c r="G103" i="1"/>
  <c r="K102" i="1"/>
  <c r="J102" i="1"/>
  <c r="I102" i="1"/>
  <c r="AW102" i="1" s="1"/>
  <c r="H102" i="1"/>
  <c r="G102" i="1"/>
  <c r="K101" i="1"/>
  <c r="J101" i="1"/>
  <c r="I101" i="1"/>
  <c r="AW101" i="1" s="1"/>
  <c r="H101" i="1"/>
  <c r="G101" i="1"/>
  <c r="K100" i="1"/>
  <c r="J100" i="1"/>
  <c r="I100" i="1"/>
  <c r="AW100" i="1" s="1"/>
  <c r="H100" i="1"/>
  <c r="G100" i="1"/>
  <c r="K99" i="1"/>
  <c r="J99" i="1"/>
  <c r="I99" i="1"/>
  <c r="H99" i="1"/>
  <c r="G99" i="1"/>
  <c r="K98" i="1"/>
  <c r="J98" i="1"/>
  <c r="I98" i="1"/>
  <c r="J99" i="34" s="1"/>
  <c r="H98" i="1"/>
  <c r="G98" i="1"/>
  <c r="H99" i="34" s="1"/>
  <c r="K97" i="1"/>
  <c r="J97" i="1"/>
  <c r="I97" i="1"/>
  <c r="J98" i="34" s="1"/>
  <c r="H97" i="1"/>
  <c r="G97" i="1"/>
  <c r="H98" i="34" s="1"/>
  <c r="K96" i="1"/>
  <c r="J96" i="1"/>
  <c r="I96" i="1"/>
  <c r="J97" i="34" s="1"/>
  <c r="H96" i="1"/>
  <c r="G96" i="1"/>
  <c r="H97" i="34" s="1"/>
  <c r="K95" i="1"/>
  <c r="J95" i="1"/>
  <c r="I95" i="1"/>
  <c r="J96" i="34" s="1"/>
  <c r="H95" i="1"/>
  <c r="G95" i="1"/>
  <c r="H96" i="34" s="1"/>
  <c r="K94" i="1"/>
  <c r="J94" i="1"/>
  <c r="I94" i="1"/>
  <c r="J95" i="34" s="1"/>
  <c r="H94" i="1"/>
  <c r="G94" i="1"/>
  <c r="H95" i="34" s="1"/>
  <c r="K93" i="1"/>
  <c r="J93" i="1"/>
  <c r="I93" i="1"/>
  <c r="J94" i="34" s="1"/>
  <c r="H93" i="1"/>
  <c r="G93" i="1"/>
  <c r="H94" i="34" s="1"/>
  <c r="K92" i="1"/>
  <c r="J92" i="1"/>
  <c r="I92" i="1"/>
  <c r="J93" i="34" s="1"/>
  <c r="H92" i="1"/>
  <c r="G92" i="1"/>
  <c r="H93" i="34" s="1"/>
  <c r="K91" i="1"/>
  <c r="J91" i="1"/>
  <c r="I91" i="1"/>
  <c r="J92" i="34" s="1"/>
  <c r="H91" i="1"/>
  <c r="G91" i="1"/>
  <c r="H92" i="34" s="1"/>
  <c r="K90" i="1"/>
  <c r="J90" i="1"/>
  <c r="I90" i="1"/>
  <c r="J91" i="34" s="1"/>
  <c r="H90" i="1"/>
  <c r="G90" i="1"/>
  <c r="H91" i="34" s="1"/>
  <c r="K89" i="1"/>
  <c r="J89" i="1"/>
  <c r="I89" i="1"/>
  <c r="J90" i="34" s="1"/>
  <c r="H89" i="1"/>
  <c r="G89" i="1"/>
  <c r="H90" i="34" s="1"/>
  <c r="K88" i="1"/>
  <c r="J88" i="1"/>
  <c r="I88" i="1"/>
  <c r="H88" i="1"/>
  <c r="G88" i="1"/>
  <c r="H89" i="34" s="1"/>
  <c r="K87" i="1"/>
  <c r="J87" i="1"/>
  <c r="I87" i="1"/>
  <c r="H87" i="1"/>
  <c r="G87" i="1"/>
  <c r="H88" i="34" s="1"/>
  <c r="K86" i="1"/>
  <c r="J86" i="1"/>
  <c r="I86" i="1"/>
  <c r="J87" i="34" s="1"/>
  <c r="H86" i="1"/>
  <c r="G86" i="1"/>
  <c r="H87" i="34" s="1"/>
  <c r="K85" i="1"/>
  <c r="J85" i="1"/>
  <c r="I85" i="1"/>
  <c r="H85" i="1"/>
  <c r="G85" i="1"/>
  <c r="H86" i="34" s="1"/>
  <c r="K84" i="1"/>
  <c r="J84" i="1"/>
  <c r="I84" i="1"/>
  <c r="J85" i="34" s="1"/>
  <c r="H84" i="1"/>
  <c r="G84" i="1"/>
  <c r="H85" i="34" s="1"/>
  <c r="K83" i="1"/>
  <c r="J83" i="1"/>
  <c r="I83" i="1"/>
  <c r="J84" i="34" s="1"/>
  <c r="H83" i="1"/>
  <c r="G83" i="1"/>
  <c r="H84" i="34" s="1"/>
  <c r="K82" i="1"/>
  <c r="J82" i="1"/>
  <c r="I82" i="1"/>
  <c r="J83" i="34" s="1"/>
  <c r="H82" i="1"/>
  <c r="G82" i="1"/>
  <c r="H83" i="34" s="1"/>
  <c r="K81" i="1"/>
  <c r="J81" i="1"/>
  <c r="I81" i="1"/>
  <c r="J82" i="34" s="1"/>
  <c r="H81" i="1"/>
  <c r="G81" i="1"/>
  <c r="H82" i="34" s="1"/>
  <c r="K80" i="1"/>
  <c r="J80" i="1"/>
  <c r="I80" i="1"/>
  <c r="J81" i="34" s="1"/>
  <c r="H80" i="1"/>
  <c r="G80" i="1"/>
  <c r="H81" i="34" s="1"/>
  <c r="K79" i="1"/>
  <c r="J79" i="1"/>
  <c r="I79" i="1"/>
  <c r="J80" i="34" s="1"/>
  <c r="H79" i="1"/>
  <c r="G79" i="1"/>
  <c r="H80" i="34" s="1"/>
  <c r="K78" i="1"/>
  <c r="J78" i="1"/>
  <c r="I78" i="1"/>
  <c r="J79" i="34" s="1"/>
  <c r="H78" i="1"/>
  <c r="G78" i="1"/>
  <c r="H79" i="34" s="1"/>
  <c r="K77" i="1"/>
  <c r="J77" i="1"/>
  <c r="I77" i="1"/>
  <c r="J78" i="34" s="1"/>
  <c r="H77" i="1"/>
  <c r="G77" i="1"/>
  <c r="H78" i="34" s="1"/>
  <c r="K76" i="1"/>
  <c r="J76" i="1"/>
  <c r="I76" i="1"/>
  <c r="J77" i="34" s="1"/>
  <c r="H76" i="1"/>
  <c r="G76" i="1"/>
  <c r="H77" i="34" s="1"/>
  <c r="K75" i="1"/>
  <c r="J75" i="1"/>
  <c r="I75" i="1"/>
  <c r="J76" i="34" s="1"/>
  <c r="H75" i="1"/>
  <c r="G75" i="1"/>
  <c r="H76" i="34" s="1"/>
  <c r="J251" i="36"/>
  <c r="J247" i="36"/>
  <c r="J246" i="36"/>
  <c r="J245" i="36"/>
  <c r="J244" i="36"/>
  <c r="J243" i="36"/>
  <c r="J242" i="36"/>
  <c r="J241" i="36"/>
  <c r="J239" i="36"/>
  <c r="J238" i="36"/>
  <c r="J237" i="36"/>
  <c r="J236" i="36"/>
  <c r="J235" i="36"/>
  <c r="J234" i="36"/>
  <c r="J229" i="36"/>
  <c r="J227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3" i="36"/>
  <c r="J204" i="36"/>
  <c r="J202" i="36"/>
  <c r="J201" i="36"/>
  <c r="J200" i="36"/>
  <c r="J199" i="36"/>
  <c r="J198" i="36"/>
  <c r="J197" i="36"/>
  <c r="D73" i="1"/>
  <c r="D72" i="1"/>
  <c r="D71" i="1"/>
  <c r="D69" i="1"/>
  <c r="D52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70" i="1"/>
  <c r="D53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4" i="1"/>
  <c r="D33" i="1"/>
  <c r="D32" i="1"/>
  <c r="D31" i="1"/>
  <c r="D30" i="1"/>
  <c r="D29" i="1"/>
  <c r="D28" i="1"/>
  <c r="D27" i="1"/>
  <c r="D26" i="1"/>
  <c r="D25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AF80" i="34" l="1"/>
  <c r="AI80" i="34"/>
  <c r="AA80" i="34"/>
  <c r="AC80" i="34"/>
  <c r="AD80" i="34"/>
  <c r="AH80" i="34"/>
  <c r="AB80" i="34"/>
  <c r="J88" i="34"/>
  <c r="AQ87" i="1"/>
  <c r="AW87" i="1"/>
  <c r="AF92" i="34"/>
  <c r="AA92" i="34"/>
  <c r="AC92" i="34"/>
  <c r="AI92" i="34"/>
  <c r="AD92" i="34"/>
  <c r="AH92" i="34"/>
  <c r="AB92" i="34"/>
  <c r="AC81" i="34"/>
  <c r="AA81" i="34"/>
  <c r="AI81" i="34"/>
  <c r="AD81" i="34"/>
  <c r="AF81" i="34"/>
  <c r="AH81" i="34"/>
  <c r="AB81" i="34"/>
  <c r="J89" i="34"/>
  <c r="AW88" i="1"/>
  <c r="AC97" i="34"/>
  <c r="AD97" i="34"/>
  <c r="AF97" i="34"/>
  <c r="AI97" i="34"/>
  <c r="AA97" i="34"/>
  <c r="AH97" i="34"/>
  <c r="AB97" i="34"/>
  <c r="AI77" i="34"/>
  <c r="AD77" i="34"/>
  <c r="AA77" i="34"/>
  <c r="AC77" i="34"/>
  <c r="AF77" i="34"/>
  <c r="AH77" i="34"/>
  <c r="AB77" i="34"/>
  <c r="AD84" i="34"/>
  <c r="AA84" i="34"/>
  <c r="AC84" i="34"/>
  <c r="AI84" i="34"/>
  <c r="AF84" i="34"/>
  <c r="AH84" i="34"/>
  <c r="AB84" i="34"/>
  <c r="AI96" i="34"/>
  <c r="AF96" i="34"/>
  <c r="AA96" i="34"/>
  <c r="AD96" i="34"/>
  <c r="AC96" i="34"/>
  <c r="AH96" i="34"/>
  <c r="AB96" i="34"/>
  <c r="AD85" i="34"/>
  <c r="AI85" i="34"/>
  <c r="AA85" i="34"/>
  <c r="AC85" i="34"/>
  <c r="AF85" i="34"/>
  <c r="AH85" i="34"/>
  <c r="AB85" i="34"/>
  <c r="AC93" i="34"/>
  <c r="AA93" i="34"/>
  <c r="AI93" i="34"/>
  <c r="AF93" i="34"/>
  <c r="AD93" i="34"/>
  <c r="AH93" i="34"/>
  <c r="AB93" i="34"/>
  <c r="AI78" i="34"/>
  <c r="AD78" i="34"/>
  <c r="AA78" i="34"/>
  <c r="AC78" i="34"/>
  <c r="AF78" i="34"/>
  <c r="AH78" i="34"/>
  <c r="AB78" i="34"/>
  <c r="AA82" i="34"/>
  <c r="AF82" i="34"/>
  <c r="AD82" i="34"/>
  <c r="AC82" i="34"/>
  <c r="AI82" i="34"/>
  <c r="AH82" i="34"/>
  <c r="AB82" i="34"/>
  <c r="J86" i="34"/>
  <c r="AW85" i="1"/>
  <c r="AA90" i="34"/>
  <c r="AC90" i="34"/>
  <c r="AD90" i="34"/>
  <c r="AI90" i="34"/>
  <c r="AF90" i="34"/>
  <c r="AH90" i="34"/>
  <c r="AB90" i="34"/>
  <c r="AD94" i="34"/>
  <c r="AA94" i="34"/>
  <c r="AI94" i="34"/>
  <c r="AF94" i="34"/>
  <c r="AC94" i="34"/>
  <c r="AH94" i="34"/>
  <c r="AB94" i="34"/>
  <c r="AC98" i="34"/>
  <c r="AI98" i="34"/>
  <c r="AF98" i="34"/>
  <c r="AA98" i="34"/>
  <c r="AD98" i="34"/>
  <c r="AH98" i="34"/>
  <c r="AB98" i="34"/>
  <c r="AF76" i="34"/>
  <c r="AA76" i="34"/>
  <c r="AC76" i="34"/>
  <c r="AD76" i="34"/>
  <c r="AI76" i="34"/>
  <c r="AH76" i="34"/>
  <c r="AB76" i="34"/>
  <c r="AA79" i="34"/>
  <c r="AC79" i="34"/>
  <c r="AD79" i="34"/>
  <c r="AF79" i="34"/>
  <c r="AI79" i="34"/>
  <c r="AH79" i="34"/>
  <c r="AB79" i="34"/>
  <c r="AC83" i="34"/>
  <c r="AI83" i="34"/>
  <c r="AF83" i="34"/>
  <c r="AA83" i="34"/>
  <c r="AD83" i="34"/>
  <c r="AH83" i="34"/>
  <c r="AB83" i="34"/>
  <c r="AI87" i="34"/>
  <c r="AC87" i="34"/>
  <c r="AA87" i="34"/>
  <c r="AD87" i="34"/>
  <c r="AF87" i="34"/>
  <c r="AH87" i="34"/>
  <c r="AB87" i="34"/>
  <c r="AC91" i="34"/>
  <c r="AF91" i="34"/>
  <c r="AI91" i="34"/>
  <c r="AA91" i="34"/>
  <c r="AD91" i="34"/>
  <c r="AH91" i="34"/>
  <c r="AB91" i="34"/>
  <c r="AF95" i="34"/>
  <c r="AA95" i="34"/>
  <c r="AC95" i="34"/>
  <c r="AD95" i="34"/>
  <c r="AI95" i="34"/>
  <c r="AH95" i="34"/>
  <c r="AB95" i="34"/>
  <c r="AF99" i="34"/>
  <c r="AD99" i="34"/>
  <c r="AC99" i="34"/>
  <c r="AA99" i="34"/>
  <c r="AI99" i="34"/>
  <c r="AH99" i="34"/>
  <c r="AB99" i="34"/>
  <c r="D72" i="34"/>
  <c r="D15" i="34"/>
  <c r="D7" i="34"/>
  <c r="D17" i="34"/>
  <c r="D20" i="34"/>
  <c r="D39" i="34"/>
  <c r="D43" i="34"/>
  <c r="D46" i="34"/>
  <c r="D49" i="34"/>
  <c r="D60" i="34"/>
  <c r="D64" i="34"/>
  <c r="D56" i="34"/>
  <c r="D62" i="34"/>
  <c r="D66" i="34"/>
  <c r="D52" i="34"/>
  <c r="D73" i="34"/>
  <c r="D50" i="34"/>
  <c r="D13" i="34"/>
  <c r="D29" i="34"/>
  <c r="D31" i="34"/>
  <c r="D9" i="34"/>
  <c r="D14" i="34"/>
  <c r="D21" i="34"/>
  <c r="D27" i="34"/>
  <c r="D30" i="34"/>
  <c r="D34" i="34"/>
  <c r="D40" i="34"/>
  <c r="D51" i="34"/>
  <c r="D57" i="34"/>
  <c r="D67" i="34"/>
  <c r="D69" i="34"/>
  <c r="D25" i="34"/>
  <c r="D61" i="34"/>
  <c r="D8" i="34"/>
  <c r="D26" i="34"/>
  <c r="D18" i="34"/>
  <c r="D22" i="34"/>
  <c r="D35" i="34"/>
  <c r="D54" i="34"/>
  <c r="D68" i="34"/>
  <c r="D71" i="34"/>
  <c r="D65" i="34"/>
  <c r="D10" i="34"/>
  <c r="D11" i="34"/>
  <c r="D23" i="34"/>
  <c r="D28" i="34"/>
  <c r="D33" i="34"/>
  <c r="D55" i="34"/>
  <c r="D12" i="34"/>
  <c r="D32" i="34"/>
  <c r="D36" i="34"/>
  <c r="D38" i="34"/>
  <c r="D41" i="34"/>
  <c r="D44" i="34"/>
  <c r="D47" i="34"/>
  <c r="D53" i="34"/>
  <c r="D58" i="34"/>
  <c r="D6" i="34"/>
  <c r="D16" i="34"/>
  <c r="D19" i="34"/>
  <c r="D37" i="34"/>
  <c r="D42" i="34"/>
  <c r="D45" i="34"/>
  <c r="D48" i="34"/>
  <c r="D70" i="34"/>
  <c r="D59" i="34"/>
  <c r="D63" i="34"/>
  <c r="Z75" i="1"/>
  <c r="Z82" i="1"/>
  <c r="Z90" i="1"/>
  <c r="Z98" i="1"/>
  <c r="Z100" i="1"/>
  <c r="Z106" i="1"/>
  <c r="Z112" i="1"/>
  <c r="Z119" i="1"/>
  <c r="Z127" i="1"/>
  <c r="Z79" i="1"/>
  <c r="Z95" i="1"/>
  <c r="Z103" i="1"/>
  <c r="Z110" i="1"/>
  <c r="Z117" i="1"/>
  <c r="Z124" i="1"/>
  <c r="Z84" i="1"/>
  <c r="Z92" i="1"/>
  <c r="Z114" i="1"/>
  <c r="Z121" i="1"/>
  <c r="Z81" i="1"/>
  <c r="Z89" i="1"/>
  <c r="Z97" i="1"/>
  <c r="Z105" i="1"/>
  <c r="Z111" i="1"/>
  <c r="Z118" i="1"/>
  <c r="Z126" i="1"/>
  <c r="Z78" i="1"/>
  <c r="Z86" i="1"/>
  <c r="Z94" i="1"/>
  <c r="Z102" i="1"/>
  <c r="Z109" i="1"/>
  <c r="Z116" i="1"/>
  <c r="Z123" i="1"/>
  <c r="Z76" i="1"/>
  <c r="Z83" i="1"/>
  <c r="Z91" i="1"/>
  <c r="Z99" i="1"/>
  <c r="Z101" i="1"/>
  <c r="Z107" i="1"/>
  <c r="Z113" i="1"/>
  <c r="Z120" i="1"/>
  <c r="Z128" i="1"/>
  <c r="Z80" i="1"/>
  <c r="Z88" i="1"/>
  <c r="W88" i="1"/>
  <c r="Z96" i="1"/>
  <c r="Z104" i="1"/>
  <c r="Z125" i="1"/>
  <c r="Z77" i="1"/>
  <c r="Z85" i="1"/>
  <c r="Z93" i="1"/>
  <c r="Z108" i="1"/>
  <c r="Z122" i="1"/>
  <c r="AI89" i="34" l="1"/>
  <c r="T89" i="34"/>
  <c r="U89" i="34" s="1"/>
  <c r="AL89" i="34" s="1"/>
  <c r="AF89" i="34"/>
  <c r="AA89" i="34"/>
  <c r="AB89" i="34"/>
  <c r="AD89" i="34"/>
  <c r="AH89" i="34"/>
  <c r="AC89" i="34"/>
  <c r="AA86" i="34"/>
  <c r="AC86" i="34"/>
  <c r="AB86" i="34"/>
  <c r="AD86" i="34"/>
  <c r="AF86" i="34"/>
  <c r="AH86" i="34"/>
  <c r="AI88" i="34"/>
  <c r="AA88" i="34"/>
  <c r="AB88" i="34"/>
  <c r="AC88" i="34"/>
  <c r="AF88" i="34"/>
  <c r="AN88" i="34"/>
  <c r="T88" i="34"/>
  <c r="U88" i="34" s="1"/>
  <c r="AL88" i="34" s="1"/>
  <c r="AH88" i="34"/>
  <c r="AD88" i="34"/>
  <c r="AA104" i="1"/>
  <c r="AA88" i="1"/>
  <c r="AC88" i="1" s="1"/>
  <c r="AA118" i="1"/>
  <c r="AA111" i="1"/>
  <c r="AA117" i="1"/>
  <c r="AA119" i="1"/>
  <c r="AA106" i="1"/>
  <c r="AA102" i="1"/>
  <c r="AA121" i="1"/>
  <c r="AA113" i="1"/>
  <c r="AA108" i="1"/>
  <c r="AA120" i="1"/>
  <c r="AA126" i="1"/>
  <c r="AA124" i="1"/>
  <c r="AA107" i="1"/>
  <c r="AA123" i="1"/>
  <c r="AA109" i="1"/>
  <c r="AA110" i="1"/>
  <c r="AA125" i="1"/>
  <c r="AA116" i="1"/>
  <c r="AA105" i="1"/>
  <c r="AA103" i="1"/>
  <c r="AA127" i="1"/>
  <c r="AA112" i="1"/>
  <c r="AA100" i="1"/>
  <c r="AA122" i="1"/>
  <c r="AA114" i="1"/>
  <c r="AA128" i="1"/>
  <c r="AA101" i="1"/>
  <c r="B40" i="1" l="1"/>
  <c r="C40" i="34" l="1"/>
  <c r="Q40" i="1"/>
  <c r="B71" i="35"/>
  <c r="B70" i="35"/>
  <c r="B69" i="35"/>
  <c r="B68" i="35"/>
  <c r="B67" i="35"/>
  <c r="B66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K74" i="34"/>
  <c r="J74" i="34"/>
  <c r="H74" i="34"/>
  <c r="D74" i="34"/>
  <c r="C74" i="34"/>
  <c r="B74" i="34"/>
  <c r="A21" i="39"/>
  <c r="A30" i="39" s="1"/>
  <c r="A39" i="39" s="1"/>
  <c r="A54" i="39" s="1"/>
  <c r="A63" i="39" s="1"/>
  <c r="A72" i="39" s="1"/>
  <c r="A81" i="39" s="1"/>
  <c r="A20" i="39"/>
  <c r="A29" i="39" s="1"/>
  <c r="A38" i="39" s="1"/>
  <c r="A53" i="39" s="1"/>
  <c r="A62" i="39" s="1"/>
  <c r="A71" i="39" s="1"/>
  <c r="A80" i="39" s="1"/>
  <c r="A19" i="39"/>
  <c r="A28" i="39" s="1"/>
  <c r="A37" i="39" s="1"/>
  <c r="A52" i="39" s="1"/>
  <c r="A61" i="39" s="1"/>
  <c r="A70" i="39" s="1"/>
  <c r="A79" i="39" s="1"/>
  <c r="A18" i="39"/>
  <c r="A27" i="39" s="1"/>
  <c r="A36" i="39" s="1"/>
  <c r="A51" i="39" s="1"/>
  <c r="A60" i="39" s="1"/>
  <c r="A69" i="39" s="1"/>
  <c r="A78" i="39" s="1"/>
  <c r="Q171" i="34"/>
  <c r="Q160" i="34"/>
  <c r="Q167" i="34"/>
  <c r="F73" i="1"/>
  <c r="J73" i="1" s="1"/>
  <c r="F72" i="1"/>
  <c r="F71" i="1"/>
  <c r="F69" i="1"/>
  <c r="F52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70" i="1"/>
  <c r="F53" i="1"/>
  <c r="F51" i="1"/>
  <c r="F50" i="1"/>
  <c r="F49" i="1"/>
  <c r="F48" i="1"/>
  <c r="F47" i="1"/>
  <c r="F46" i="1"/>
  <c r="F45" i="1"/>
  <c r="F44" i="1"/>
  <c r="H44" i="1" s="1"/>
  <c r="F43" i="1"/>
  <c r="F42" i="1"/>
  <c r="K42" i="1" s="1"/>
  <c r="F41" i="1"/>
  <c r="F40" i="1"/>
  <c r="F39" i="1"/>
  <c r="F38" i="1"/>
  <c r="F37" i="1"/>
  <c r="F36" i="1"/>
  <c r="F34" i="1"/>
  <c r="F33" i="1"/>
  <c r="F32" i="1"/>
  <c r="F31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H10" i="1" s="1"/>
  <c r="F9" i="1"/>
  <c r="F8" i="1"/>
  <c r="F7" i="1"/>
  <c r="F6" i="1"/>
  <c r="B73" i="1"/>
  <c r="B72" i="1"/>
  <c r="B71" i="1"/>
  <c r="B69" i="1"/>
  <c r="B52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70" i="1"/>
  <c r="B53" i="1"/>
  <c r="B51" i="1"/>
  <c r="B50" i="1"/>
  <c r="B49" i="1"/>
  <c r="B48" i="1"/>
  <c r="B47" i="1"/>
  <c r="B46" i="1"/>
  <c r="B45" i="1"/>
  <c r="B44" i="1"/>
  <c r="B43" i="1"/>
  <c r="B42" i="1"/>
  <c r="B41" i="1"/>
  <c r="B39" i="1"/>
  <c r="B38" i="1"/>
  <c r="B37" i="1"/>
  <c r="B36" i="1"/>
  <c r="B34" i="1"/>
  <c r="B33" i="1"/>
  <c r="B32" i="1"/>
  <c r="B31" i="1"/>
  <c r="B30" i="1"/>
  <c r="B29" i="1"/>
  <c r="B28" i="1"/>
  <c r="B27" i="1"/>
  <c r="B26" i="1"/>
  <c r="B25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H116" i="36" l="1"/>
  <c r="H106" i="36"/>
  <c r="H94" i="36"/>
  <c r="H86" i="36"/>
  <c r="H78" i="36"/>
  <c r="H70" i="36"/>
  <c r="H54" i="36"/>
  <c r="H44" i="36"/>
  <c r="H32" i="36"/>
  <c r="H24" i="36"/>
  <c r="H16" i="36"/>
  <c r="H105" i="36"/>
  <c r="H31" i="36"/>
  <c r="H115" i="36"/>
  <c r="H125" i="36"/>
  <c r="H113" i="36"/>
  <c r="H103" i="36"/>
  <c r="H92" i="36"/>
  <c r="H84" i="36"/>
  <c r="H76" i="36"/>
  <c r="H60" i="36"/>
  <c r="H51" i="36"/>
  <c r="H40" i="36"/>
  <c r="H30" i="36"/>
  <c r="H22" i="36"/>
  <c r="H14" i="36"/>
  <c r="H52" i="36"/>
  <c r="H121" i="36"/>
  <c r="H112" i="36"/>
  <c r="H101" i="36"/>
  <c r="H227" i="36" s="1"/>
  <c r="H91" i="36"/>
  <c r="H83" i="36"/>
  <c r="H75" i="36"/>
  <c r="H59" i="36"/>
  <c r="H50" i="36"/>
  <c r="H37" i="36"/>
  <c r="H29" i="36"/>
  <c r="H21" i="36"/>
  <c r="H13" i="36"/>
  <c r="H93" i="36"/>
  <c r="H23" i="36"/>
  <c r="H120" i="36"/>
  <c r="H111" i="36"/>
  <c r="H98" i="36"/>
  <c r="H90" i="36"/>
  <c r="H82" i="36"/>
  <c r="H74" i="36"/>
  <c r="H58" i="36"/>
  <c r="H49" i="36"/>
  <c r="H36" i="36"/>
  <c r="H28" i="36"/>
  <c r="H20" i="36"/>
  <c r="H12" i="36"/>
  <c r="H85" i="36"/>
  <c r="H119" i="36"/>
  <c r="H110" i="36"/>
  <c r="H97" i="36"/>
  <c r="H89" i="36"/>
  <c r="H81" i="36"/>
  <c r="H73" i="36"/>
  <c r="H57" i="36"/>
  <c r="H48" i="36"/>
  <c r="H35" i="36"/>
  <c r="H27" i="36"/>
  <c r="H19" i="36"/>
  <c r="H11" i="36"/>
  <c r="H64" i="36"/>
  <c r="H118" i="36"/>
  <c r="H109" i="36"/>
  <c r="H96" i="36"/>
  <c r="H88" i="36"/>
  <c r="H80" i="36"/>
  <c r="H72" i="36"/>
  <c r="H56" i="36"/>
  <c r="H47" i="36"/>
  <c r="H34" i="36"/>
  <c r="H26" i="36"/>
  <c r="H18" i="36"/>
  <c r="H10" i="36"/>
  <c r="H77" i="36"/>
  <c r="H15" i="36"/>
  <c r="H117" i="36"/>
  <c r="H108" i="36"/>
  <c r="H95" i="36"/>
  <c r="H87" i="36"/>
  <c r="H79" i="36"/>
  <c r="H71" i="36"/>
  <c r="H55" i="36"/>
  <c r="H45" i="36"/>
  <c r="H33" i="36"/>
  <c r="H25" i="36"/>
  <c r="H17" i="36"/>
  <c r="H9" i="36"/>
  <c r="H42" i="36"/>
  <c r="C53" i="34"/>
  <c r="Q53" i="1"/>
  <c r="S53" i="1" s="1"/>
  <c r="C58" i="34"/>
  <c r="Q58" i="1"/>
  <c r="C44" i="34"/>
  <c r="Q44" i="1"/>
  <c r="C11" i="34"/>
  <c r="Q11" i="1"/>
  <c r="C18" i="34"/>
  <c r="Q18" i="1"/>
  <c r="C22" i="34"/>
  <c r="Q22" i="1"/>
  <c r="C35" i="34"/>
  <c r="Q35" i="1"/>
  <c r="C41" i="34"/>
  <c r="Q41" i="1"/>
  <c r="S41" i="1" s="1"/>
  <c r="C45" i="34"/>
  <c r="Q45" i="1"/>
  <c r="S45" i="1" s="1"/>
  <c r="C48" i="34"/>
  <c r="Q48" i="1"/>
  <c r="S48" i="1" s="1"/>
  <c r="C70" i="34"/>
  <c r="Q70" i="1"/>
  <c r="S70" i="1" s="1"/>
  <c r="C59" i="34"/>
  <c r="Q59" i="1"/>
  <c r="C63" i="34"/>
  <c r="Q63" i="1"/>
  <c r="S63" i="1" s="1"/>
  <c r="C9" i="34"/>
  <c r="Q9" i="1"/>
  <c r="C27" i="34"/>
  <c r="Q27" i="1"/>
  <c r="S27" i="1" s="1"/>
  <c r="C30" i="34"/>
  <c r="Q30" i="1"/>
  <c r="C12" i="34"/>
  <c r="Q12" i="1"/>
  <c r="C23" i="34"/>
  <c r="Q23" i="1"/>
  <c r="C28" i="34"/>
  <c r="Q28" i="1"/>
  <c r="C33" i="34"/>
  <c r="Q33" i="1"/>
  <c r="C42" i="34"/>
  <c r="Q42" i="1"/>
  <c r="C46" i="34"/>
  <c r="Q46" i="1"/>
  <c r="C49" i="34"/>
  <c r="Q49" i="1"/>
  <c r="S49" i="1" s="1"/>
  <c r="C60" i="34"/>
  <c r="Q60" i="1"/>
  <c r="C64" i="34"/>
  <c r="Q64" i="1"/>
  <c r="C13" i="34"/>
  <c r="Q13" i="1"/>
  <c r="C10" i="34"/>
  <c r="Q10" i="1"/>
  <c r="C34" i="34"/>
  <c r="Q34" i="1"/>
  <c r="C47" i="34"/>
  <c r="Q47" i="1"/>
  <c r="C32" i="34"/>
  <c r="Q32" i="1"/>
  <c r="C36" i="34"/>
  <c r="Q36" i="1"/>
  <c r="S36" i="1" s="1"/>
  <c r="C38" i="34"/>
  <c r="Q38" i="1"/>
  <c r="S38" i="1" s="1"/>
  <c r="C43" i="34"/>
  <c r="Q43" i="1"/>
  <c r="C50" i="34"/>
  <c r="Q50" i="1"/>
  <c r="S50" i="1" s="1"/>
  <c r="C61" i="34"/>
  <c r="Q61" i="1"/>
  <c r="S61" i="1" s="1"/>
  <c r="C65" i="34"/>
  <c r="Q65" i="1"/>
  <c r="S65" i="1" s="1"/>
  <c r="C72" i="34"/>
  <c r="Q72" i="1"/>
  <c r="C21" i="34"/>
  <c r="Q21" i="1"/>
  <c r="C15" i="34"/>
  <c r="Q15" i="1"/>
  <c r="C6" i="34"/>
  <c r="Q6" i="1"/>
  <c r="C16" i="34"/>
  <c r="Q16" i="1"/>
  <c r="C19" i="34"/>
  <c r="Q19" i="1"/>
  <c r="C37" i="34"/>
  <c r="Q37" i="1"/>
  <c r="S37" i="1" s="1"/>
  <c r="C56" i="34"/>
  <c r="Q56" i="1"/>
  <c r="C62" i="34"/>
  <c r="Q62" i="1"/>
  <c r="S62" i="1" s="1"/>
  <c r="C66" i="34"/>
  <c r="Q66" i="1"/>
  <c r="S66" i="1" s="1"/>
  <c r="C52" i="34"/>
  <c r="Q52" i="1"/>
  <c r="S52" i="1" s="1"/>
  <c r="C73" i="34"/>
  <c r="Q73" i="1"/>
  <c r="S73" i="1" s="1"/>
  <c r="C7" i="34"/>
  <c r="Q7" i="1"/>
  <c r="C17" i="34"/>
  <c r="Q17" i="1"/>
  <c r="C20" i="34"/>
  <c r="Q20" i="1"/>
  <c r="C39" i="34"/>
  <c r="Q39" i="1"/>
  <c r="C51" i="34"/>
  <c r="Q51" i="1"/>
  <c r="S51" i="1" s="1"/>
  <c r="C57" i="34"/>
  <c r="Q57" i="1"/>
  <c r="C67" i="34"/>
  <c r="Q67" i="1"/>
  <c r="C69" i="34"/>
  <c r="Q69" i="1"/>
  <c r="C25" i="34"/>
  <c r="Q25" i="1"/>
  <c r="C54" i="34"/>
  <c r="Q54" i="1"/>
  <c r="S54" i="1" s="1"/>
  <c r="C68" i="34"/>
  <c r="Q68" i="1"/>
  <c r="C71" i="34"/>
  <c r="Q71" i="1"/>
  <c r="C8" i="34"/>
  <c r="Q8" i="1"/>
  <c r="C14" i="34"/>
  <c r="Q14" i="1"/>
  <c r="C26" i="34"/>
  <c r="Q26" i="1"/>
  <c r="C29" i="34"/>
  <c r="Q29" i="1"/>
  <c r="C31" i="34"/>
  <c r="Q31" i="1"/>
  <c r="C55" i="34"/>
  <c r="Q55" i="1"/>
  <c r="S55" i="1" s="1"/>
  <c r="L125" i="36"/>
  <c r="M117" i="36"/>
  <c r="N111" i="36"/>
  <c r="O105" i="36"/>
  <c r="P96" i="36"/>
  <c r="Q91" i="36"/>
  <c r="C87" i="36"/>
  <c r="D82" i="36"/>
  <c r="E77" i="36"/>
  <c r="F72" i="36"/>
  <c r="D97" i="36"/>
  <c r="C120" i="36"/>
  <c r="D115" i="36"/>
  <c r="E109" i="36"/>
  <c r="F101" i="36"/>
  <c r="F227" i="36" s="1"/>
  <c r="G94" i="36"/>
  <c r="I89" i="36"/>
  <c r="K84" i="36"/>
  <c r="L79" i="36"/>
  <c r="M74" i="36"/>
  <c r="Q120" i="36"/>
  <c r="I125" i="36"/>
  <c r="K117" i="36"/>
  <c r="L111" i="36"/>
  <c r="M105" i="36"/>
  <c r="N96" i="36"/>
  <c r="O91" i="36"/>
  <c r="P86" i="36"/>
  <c r="Q81" i="36"/>
  <c r="C77" i="36"/>
  <c r="D72" i="36"/>
  <c r="Q98" i="36"/>
  <c r="K120" i="36"/>
  <c r="L115" i="36"/>
  <c r="M109" i="36"/>
  <c r="N101" i="36"/>
  <c r="N227" i="36" s="1"/>
  <c r="O94" i="36"/>
  <c r="P89" i="36"/>
  <c r="Q84" i="36"/>
  <c r="C80" i="36"/>
  <c r="D75" i="36"/>
  <c r="E70" i="36"/>
  <c r="Q82" i="36"/>
  <c r="L118" i="36"/>
  <c r="M112" i="36"/>
  <c r="N106" i="36"/>
  <c r="O97" i="36"/>
  <c r="P92" i="36"/>
  <c r="Q87" i="36"/>
  <c r="C83" i="36"/>
  <c r="D78" i="36"/>
  <c r="E73" i="36"/>
  <c r="G111" i="36"/>
  <c r="D125" i="36"/>
  <c r="E117" i="36"/>
  <c r="F111" i="36"/>
  <c r="G105" i="36"/>
  <c r="I96" i="36"/>
  <c r="K91" i="36"/>
  <c r="L86" i="36"/>
  <c r="M81" i="36"/>
  <c r="N76" i="36"/>
  <c r="O71" i="36"/>
  <c r="I93" i="36"/>
  <c r="L119" i="36"/>
  <c r="M113" i="36"/>
  <c r="N108" i="36"/>
  <c r="O98" i="36"/>
  <c r="P93" i="36"/>
  <c r="Q88" i="36"/>
  <c r="C84" i="36"/>
  <c r="D79" i="36"/>
  <c r="E74" i="36"/>
  <c r="E113" i="36"/>
  <c r="C78" i="36"/>
  <c r="O76" i="36"/>
  <c r="F79" i="36"/>
  <c r="Q121" i="36"/>
  <c r="C117" i="36"/>
  <c r="D111" i="36"/>
  <c r="E105" i="36"/>
  <c r="F96" i="36"/>
  <c r="G91" i="36"/>
  <c r="I86" i="36"/>
  <c r="K81" i="36"/>
  <c r="L76" i="36"/>
  <c r="M71" i="36"/>
  <c r="O92" i="36"/>
  <c r="I119" i="36"/>
  <c r="K113" i="36"/>
  <c r="L108" i="36"/>
  <c r="M98" i="36"/>
  <c r="N93" i="36"/>
  <c r="O88" i="36"/>
  <c r="P83" i="36"/>
  <c r="Q78" i="36"/>
  <c r="C74" i="36"/>
  <c r="M116" i="36"/>
  <c r="O121" i="36"/>
  <c r="P116" i="36"/>
  <c r="Q110" i="36"/>
  <c r="C105" i="36"/>
  <c r="D96" i="36"/>
  <c r="E91" i="36"/>
  <c r="F86" i="36"/>
  <c r="G81" i="36"/>
  <c r="I76" i="36"/>
  <c r="K71" i="36"/>
  <c r="C94" i="36"/>
  <c r="P119" i="36"/>
  <c r="Q113" i="36"/>
  <c r="C109" i="36"/>
  <c r="D101" i="36"/>
  <c r="D227" i="36" s="1"/>
  <c r="E94" i="36"/>
  <c r="F89" i="36"/>
  <c r="G84" i="36"/>
  <c r="I79" i="36"/>
  <c r="K74" i="36"/>
  <c r="L121" i="36"/>
  <c r="P125" i="36"/>
  <c r="Q117" i="36"/>
  <c r="C112" i="36"/>
  <c r="D106" i="36"/>
  <c r="E97" i="36"/>
  <c r="F92" i="36"/>
  <c r="G87" i="36"/>
  <c r="I82" i="36"/>
  <c r="K77" i="36"/>
  <c r="L72" i="36"/>
  <c r="I105" i="36"/>
  <c r="K121" i="36"/>
  <c r="L116" i="36"/>
  <c r="M110" i="36"/>
  <c r="N103" i="36"/>
  <c r="O95" i="36"/>
  <c r="P90" i="36"/>
  <c r="Q85" i="36"/>
  <c r="C81" i="36"/>
  <c r="D76" i="36"/>
  <c r="E71" i="36"/>
  <c r="K88" i="36"/>
  <c r="Q118" i="36"/>
  <c r="C113" i="36"/>
  <c r="D108" i="36"/>
  <c r="E98" i="36"/>
  <c r="F93" i="36"/>
  <c r="G88" i="36"/>
  <c r="I83" i="36"/>
  <c r="K78" i="36"/>
  <c r="L73" i="36"/>
  <c r="P108" i="36"/>
  <c r="D73" i="36"/>
  <c r="P71" i="36"/>
  <c r="G74" i="36"/>
  <c r="G121" i="36"/>
  <c r="I116" i="36"/>
  <c r="K110" i="36"/>
  <c r="L103" i="36"/>
  <c r="M95" i="36"/>
  <c r="N90" i="36"/>
  <c r="O85" i="36"/>
  <c r="P80" i="36"/>
  <c r="Q75" i="36"/>
  <c r="C71" i="36"/>
  <c r="D89" i="36"/>
  <c r="O118" i="36"/>
  <c r="P112" i="36"/>
  <c r="Q106" i="36"/>
  <c r="C98" i="36"/>
  <c r="D93" i="36"/>
  <c r="E88" i="36"/>
  <c r="F83" i="36"/>
  <c r="G78" i="36"/>
  <c r="I73" i="36"/>
  <c r="D110" i="36"/>
  <c r="E121" i="36"/>
  <c r="F116" i="36"/>
  <c r="G110" i="36"/>
  <c r="I103" i="36"/>
  <c r="K95" i="36"/>
  <c r="L90" i="36"/>
  <c r="M85" i="36"/>
  <c r="N80" i="36"/>
  <c r="O75" i="36"/>
  <c r="P70" i="36"/>
  <c r="N89" i="36"/>
  <c r="F119" i="36"/>
  <c r="G113" i="36"/>
  <c r="I108" i="36"/>
  <c r="K98" i="36"/>
  <c r="L93" i="36"/>
  <c r="M88" i="36"/>
  <c r="N83" i="36"/>
  <c r="O78" i="36"/>
  <c r="P73" i="36"/>
  <c r="O113" i="36"/>
  <c r="F125" i="36"/>
  <c r="G117" i="36"/>
  <c r="I111" i="36"/>
  <c r="K105" i="36"/>
  <c r="L96" i="36"/>
  <c r="M91" i="36"/>
  <c r="N86" i="36"/>
  <c r="O81" i="36"/>
  <c r="P76" i="36"/>
  <c r="Q71" i="36"/>
  <c r="N97" i="36"/>
  <c r="P120" i="36"/>
  <c r="Q115" i="36"/>
  <c r="C110" i="36"/>
  <c r="D103" i="36"/>
  <c r="E95" i="36"/>
  <c r="F90" i="36"/>
  <c r="G85" i="36"/>
  <c r="I80" i="36"/>
  <c r="K75" i="36"/>
  <c r="L70" i="36"/>
  <c r="O84" i="36"/>
  <c r="G118" i="36"/>
  <c r="I112" i="36"/>
  <c r="K106" i="36"/>
  <c r="L97" i="36"/>
  <c r="M92" i="36"/>
  <c r="N87" i="36"/>
  <c r="O82" i="36"/>
  <c r="P77" i="36"/>
  <c r="Q72" i="36"/>
  <c r="L101" i="36"/>
  <c r="L227" i="36" s="1"/>
  <c r="I77" i="36"/>
  <c r="E76" i="36"/>
  <c r="M78" i="36"/>
  <c r="N120" i="36"/>
  <c r="O115" i="36"/>
  <c r="P109" i="36"/>
  <c r="Q101" i="36"/>
  <c r="Q227" i="36" s="1"/>
  <c r="C95" i="36"/>
  <c r="D90" i="36"/>
  <c r="E85" i="36"/>
  <c r="F80" i="36"/>
  <c r="G75" i="36"/>
  <c r="I70" i="36"/>
  <c r="E84" i="36"/>
  <c r="E118" i="36"/>
  <c r="F112" i="36"/>
  <c r="G106" i="36"/>
  <c r="I97" i="36"/>
  <c r="K92" i="36"/>
  <c r="L87" i="36"/>
  <c r="M82" i="36"/>
  <c r="N77" i="36"/>
  <c r="O72" i="36"/>
  <c r="E103" i="36"/>
  <c r="L120" i="36"/>
  <c r="M115" i="36"/>
  <c r="N109" i="36"/>
  <c r="O101" i="36"/>
  <c r="O227" i="36" s="1"/>
  <c r="P94" i="36"/>
  <c r="Q89" i="36"/>
  <c r="C85" i="36"/>
  <c r="D80" i="36"/>
  <c r="E75" i="36"/>
  <c r="F70" i="36"/>
  <c r="I85" i="36"/>
  <c r="M118" i="36"/>
  <c r="N112" i="36"/>
  <c r="O106" i="36"/>
  <c r="P97" i="36"/>
  <c r="Q92" i="36"/>
  <c r="C88" i="36"/>
  <c r="D83" i="36"/>
  <c r="E78" i="36"/>
  <c r="F73" i="36"/>
  <c r="K109" i="36"/>
  <c r="M121" i="36"/>
  <c r="N116" i="36"/>
  <c r="O110" i="36"/>
  <c r="P103" i="36"/>
  <c r="Q95" i="36"/>
  <c r="C91" i="36"/>
  <c r="D86" i="36"/>
  <c r="E81" i="36"/>
  <c r="F76" i="36"/>
  <c r="G71" i="36"/>
  <c r="M94" i="36"/>
  <c r="F120" i="36"/>
  <c r="G115" i="36"/>
  <c r="I109" i="36"/>
  <c r="K101" i="36"/>
  <c r="K227" i="36" s="1"/>
  <c r="L94" i="36"/>
  <c r="M89" i="36"/>
  <c r="N84" i="36"/>
  <c r="O79" i="36"/>
  <c r="P74" i="36"/>
  <c r="K118" i="36"/>
  <c r="M125" i="36"/>
  <c r="N117" i="36"/>
  <c r="O111" i="36"/>
  <c r="P105" i="36"/>
  <c r="Q96" i="36"/>
  <c r="C92" i="36"/>
  <c r="D87" i="36"/>
  <c r="E82" i="36"/>
  <c r="F77" i="36"/>
  <c r="G72" i="36"/>
  <c r="F95" i="36"/>
  <c r="K72" i="36"/>
  <c r="L75" i="36"/>
  <c r="D120" i="36"/>
  <c r="E115" i="36"/>
  <c r="F109" i="36"/>
  <c r="G101" i="36"/>
  <c r="G227" i="36" s="1"/>
  <c r="I94" i="36"/>
  <c r="K89" i="36"/>
  <c r="L84" i="36"/>
  <c r="M79" i="36"/>
  <c r="N74" i="36"/>
  <c r="G120" i="36"/>
  <c r="K125" i="36"/>
  <c r="L117" i="36"/>
  <c r="M111" i="36"/>
  <c r="N105" i="36"/>
  <c r="O96" i="36"/>
  <c r="P91" i="36"/>
  <c r="Q86" i="36"/>
  <c r="C82" i="36"/>
  <c r="D77" i="36"/>
  <c r="E72" i="36"/>
  <c r="K96" i="36"/>
  <c r="Q119" i="36"/>
  <c r="C115" i="36"/>
  <c r="D109" i="36"/>
  <c r="E101" i="36"/>
  <c r="E227" i="36" s="1"/>
  <c r="F94" i="36"/>
  <c r="G89" i="36"/>
  <c r="I84" i="36"/>
  <c r="K79" i="36"/>
  <c r="L74" i="36"/>
  <c r="N119" i="36"/>
  <c r="Q125" i="36"/>
  <c r="C118" i="36"/>
  <c r="D112" i="36"/>
  <c r="E106" i="36"/>
  <c r="F97" i="36"/>
  <c r="G92" i="36"/>
  <c r="I87" i="36"/>
  <c r="K82" i="36"/>
  <c r="L77" i="36"/>
  <c r="M72" i="36"/>
  <c r="O103" i="36"/>
  <c r="C121" i="36"/>
  <c r="D116" i="36"/>
  <c r="E110" i="36"/>
  <c r="F103" i="36"/>
  <c r="G95" i="36"/>
  <c r="I90" i="36"/>
  <c r="K85" i="36"/>
  <c r="L80" i="36"/>
  <c r="M75" i="36"/>
  <c r="N70" i="36"/>
  <c r="G90" i="36"/>
  <c r="M119" i="36"/>
  <c r="N113" i="36"/>
  <c r="O108" i="36"/>
  <c r="P98" i="36"/>
  <c r="Q93" i="36"/>
  <c r="C89" i="36"/>
  <c r="D84" i="36"/>
  <c r="E79" i="36"/>
  <c r="F74" i="36"/>
  <c r="I115" i="36"/>
  <c r="C125" i="36"/>
  <c r="D117" i="36"/>
  <c r="E111" i="36"/>
  <c r="F105" i="36"/>
  <c r="G96" i="36"/>
  <c r="I91" i="36"/>
  <c r="K86" i="36"/>
  <c r="L81" i="36"/>
  <c r="M76" i="36"/>
  <c r="N71" i="36"/>
  <c r="Q90" i="36"/>
  <c r="D81" i="36"/>
  <c r="K80" i="36"/>
  <c r="K119" i="36"/>
  <c r="L113" i="36"/>
  <c r="M108" i="36"/>
  <c r="N98" i="36"/>
  <c r="O93" i="36"/>
  <c r="P88" i="36"/>
  <c r="Q83" i="36"/>
  <c r="C79" i="36"/>
  <c r="D74" i="36"/>
  <c r="C116" i="36"/>
  <c r="P121" i="36"/>
  <c r="Q116" i="36"/>
  <c r="C111" i="36"/>
  <c r="D105" i="36"/>
  <c r="E96" i="36"/>
  <c r="F91" i="36"/>
  <c r="G86" i="36"/>
  <c r="I81" i="36"/>
  <c r="K76" i="36"/>
  <c r="L71" i="36"/>
  <c r="E92" i="36"/>
  <c r="G119" i="36"/>
  <c r="I113" i="36"/>
  <c r="K108" i="36"/>
  <c r="L98" i="36"/>
  <c r="M93" i="36"/>
  <c r="N88" i="36"/>
  <c r="O83" i="36"/>
  <c r="P78" i="36"/>
  <c r="Q73" i="36"/>
  <c r="P117" i="36"/>
  <c r="G125" i="36"/>
  <c r="I117" i="36"/>
  <c r="K111" i="36"/>
  <c r="L105" i="36"/>
  <c r="M96" i="36"/>
  <c r="N91" i="36"/>
  <c r="O86" i="36"/>
  <c r="P81" i="36"/>
  <c r="Q76" i="36"/>
  <c r="C72" i="36"/>
  <c r="P95" i="36"/>
  <c r="I120" i="36"/>
  <c r="K115" i="36"/>
  <c r="L109" i="36"/>
  <c r="M101" i="36"/>
  <c r="M227" i="36" s="1"/>
  <c r="N94" i="36"/>
  <c r="O89" i="36"/>
  <c r="P84" i="36"/>
  <c r="Q79" i="36"/>
  <c r="C75" i="36"/>
  <c r="D70" i="36"/>
  <c r="C86" i="36"/>
  <c r="C119" i="36"/>
  <c r="D113" i="36"/>
  <c r="E108" i="36"/>
  <c r="F98" i="36"/>
  <c r="G93" i="36"/>
  <c r="I88" i="36"/>
  <c r="K83" i="36"/>
  <c r="L78" i="36"/>
  <c r="M73" i="36"/>
  <c r="Q111" i="36"/>
  <c r="I121" i="36"/>
  <c r="K116" i="36"/>
  <c r="L110" i="36"/>
  <c r="M103" i="36"/>
  <c r="N95" i="36"/>
  <c r="O90" i="36"/>
  <c r="P85" i="36"/>
  <c r="Q80" i="36"/>
  <c r="C76" i="36"/>
  <c r="D71" i="36"/>
  <c r="M86" i="36"/>
  <c r="F71" i="36"/>
  <c r="P79" i="36"/>
  <c r="P118" i="36"/>
  <c r="Q112" i="36"/>
  <c r="C108" i="36"/>
  <c r="D98" i="36"/>
  <c r="E93" i="36"/>
  <c r="F88" i="36"/>
  <c r="G83" i="36"/>
  <c r="I78" i="36"/>
  <c r="K73" i="36"/>
  <c r="N110" i="36"/>
  <c r="F121" i="36"/>
  <c r="G116" i="36"/>
  <c r="I110" i="36"/>
  <c r="K103" i="36"/>
  <c r="L95" i="36"/>
  <c r="M90" i="36"/>
  <c r="N85" i="36"/>
  <c r="O80" i="36"/>
  <c r="P75" i="36"/>
  <c r="Q70" i="36"/>
  <c r="P87" i="36"/>
  <c r="N118" i="36"/>
  <c r="O112" i="36"/>
  <c r="P106" i="36"/>
  <c r="Q97" i="36"/>
  <c r="C93" i="36"/>
  <c r="D88" i="36"/>
  <c r="E83" i="36"/>
  <c r="F78" i="36"/>
  <c r="G73" i="36"/>
  <c r="L112" i="36"/>
  <c r="N121" i="36"/>
  <c r="O116" i="36"/>
  <c r="P110" i="36"/>
  <c r="Q103" i="36"/>
  <c r="C96" i="36"/>
  <c r="D91" i="36"/>
  <c r="E86" i="36"/>
  <c r="F81" i="36"/>
  <c r="G76" i="36"/>
  <c r="I71" i="36"/>
  <c r="L91" i="36"/>
  <c r="O119" i="36"/>
  <c r="P113" i="36"/>
  <c r="Q108" i="36"/>
  <c r="C101" i="36"/>
  <c r="D94" i="36"/>
  <c r="E89" i="36"/>
  <c r="F84" i="36"/>
  <c r="G79" i="36"/>
  <c r="I74" i="36"/>
  <c r="E125" i="36"/>
  <c r="O125" i="36"/>
  <c r="I118" i="36"/>
  <c r="K112" i="36"/>
  <c r="L106" i="36"/>
  <c r="M97" i="36"/>
  <c r="N92" i="36"/>
  <c r="O87" i="36"/>
  <c r="P82" i="36"/>
  <c r="Q77" i="36"/>
  <c r="C73" i="36"/>
  <c r="M106" i="36"/>
  <c r="O120" i="36"/>
  <c r="P115" i="36"/>
  <c r="Q109" i="36"/>
  <c r="C103" i="36"/>
  <c r="D95" i="36"/>
  <c r="E90" i="36"/>
  <c r="F85" i="36"/>
  <c r="G80" i="36"/>
  <c r="I75" i="36"/>
  <c r="K70" i="36"/>
  <c r="G82" i="36"/>
  <c r="M70" i="36"/>
  <c r="Q74" i="36"/>
  <c r="F118" i="36"/>
  <c r="G112" i="36"/>
  <c r="I106" i="36"/>
  <c r="K97" i="36"/>
  <c r="L92" i="36"/>
  <c r="M87" i="36"/>
  <c r="N82" i="36"/>
  <c r="C106" i="36"/>
  <c r="M120" i="36"/>
  <c r="O77" i="36"/>
  <c r="E80" i="36"/>
  <c r="I92" i="36"/>
  <c r="F110" i="36"/>
  <c r="F87" i="36"/>
  <c r="N78" i="36"/>
  <c r="D92" i="36"/>
  <c r="G109" i="36"/>
  <c r="N73" i="36"/>
  <c r="N72" i="36"/>
  <c r="M84" i="36"/>
  <c r="P72" i="36"/>
  <c r="F75" i="36"/>
  <c r="K87" i="36"/>
  <c r="G103" i="36"/>
  <c r="E119" i="36"/>
  <c r="O73" i="36"/>
  <c r="E87" i="36"/>
  <c r="I101" i="36"/>
  <c r="I227" i="36" s="1"/>
  <c r="N81" i="36"/>
  <c r="P101" i="36"/>
  <c r="P227" i="36" s="1"/>
  <c r="O117" i="36"/>
  <c r="N115" i="36"/>
  <c r="G70" i="36"/>
  <c r="L82" i="36"/>
  <c r="I95" i="36"/>
  <c r="F113" i="36"/>
  <c r="F117" i="36"/>
  <c r="F82" i="36"/>
  <c r="K94" i="36"/>
  <c r="C70" i="36"/>
  <c r="L85" i="36"/>
  <c r="I72" i="36"/>
  <c r="O109" i="36"/>
  <c r="L83" i="36"/>
  <c r="M77" i="36"/>
  <c r="K90" i="36"/>
  <c r="G108" i="36"/>
  <c r="N125" i="36"/>
  <c r="G77" i="36"/>
  <c r="L89" i="36"/>
  <c r="D118" i="36"/>
  <c r="I98" i="36"/>
  <c r="Q94" i="36"/>
  <c r="E112" i="36"/>
  <c r="F108" i="36"/>
  <c r="M80" i="36"/>
  <c r="K93" i="36"/>
  <c r="P111" i="36"/>
  <c r="G98" i="36"/>
  <c r="N79" i="36"/>
  <c r="G97" i="36"/>
  <c r="O70" i="36"/>
  <c r="C97" i="36"/>
  <c r="D119" i="36"/>
  <c r="C90" i="36"/>
  <c r="F106" i="36"/>
  <c r="D121" i="36"/>
  <c r="N75" i="36"/>
  <c r="L88" i="36"/>
  <c r="Q105" i="36"/>
  <c r="E120" i="36"/>
  <c r="O74" i="36"/>
  <c r="D85" i="36"/>
  <c r="E116" i="36"/>
  <c r="M83" i="36"/>
  <c r="F115" i="36"/>
  <c r="AI74" i="1"/>
  <c r="AL74" i="1"/>
  <c r="P74" i="34" s="1"/>
  <c r="J64" i="36"/>
  <c r="P60" i="36"/>
  <c r="G60" i="36"/>
  <c r="N59" i="36"/>
  <c r="E59" i="36"/>
  <c r="L58" i="36"/>
  <c r="C58" i="36"/>
  <c r="J57" i="36"/>
  <c r="P56" i="36"/>
  <c r="G56" i="36"/>
  <c r="N55" i="36"/>
  <c r="E55" i="36"/>
  <c r="L54" i="36"/>
  <c r="C54" i="36"/>
  <c r="J52" i="36"/>
  <c r="P51" i="36"/>
  <c r="G51" i="36"/>
  <c r="N50" i="36"/>
  <c r="E50" i="36"/>
  <c r="L49" i="36"/>
  <c r="C49" i="36"/>
  <c r="J48" i="36"/>
  <c r="P47" i="36"/>
  <c r="G47" i="36"/>
  <c r="N45" i="36"/>
  <c r="E45" i="36"/>
  <c r="L44" i="36"/>
  <c r="C44" i="36"/>
  <c r="J42" i="36"/>
  <c r="P40" i="36"/>
  <c r="G40" i="36"/>
  <c r="I64" i="36"/>
  <c r="O60" i="36"/>
  <c r="F60" i="36"/>
  <c r="M59" i="36"/>
  <c r="D59" i="36"/>
  <c r="K58" i="36"/>
  <c r="Q57" i="36"/>
  <c r="I57" i="36"/>
  <c r="O56" i="36"/>
  <c r="F56" i="36"/>
  <c r="M55" i="36"/>
  <c r="D55" i="36"/>
  <c r="I52" i="36"/>
  <c r="K49" i="36"/>
  <c r="M45" i="36"/>
  <c r="O40" i="36"/>
  <c r="C59" i="36"/>
  <c r="E56" i="36"/>
  <c r="G52" i="36"/>
  <c r="C50" i="36"/>
  <c r="N47" i="36"/>
  <c r="J44" i="36"/>
  <c r="Q64" i="36"/>
  <c r="P64" i="36"/>
  <c r="O64" i="36"/>
  <c r="F64" i="36"/>
  <c r="M60" i="36"/>
  <c r="D60" i="36"/>
  <c r="K59" i="36"/>
  <c r="Q58" i="36"/>
  <c r="I58" i="36"/>
  <c r="O57" i="36"/>
  <c r="F57" i="36"/>
  <c r="M56" i="36"/>
  <c r="D56" i="36"/>
  <c r="K55" i="36"/>
  <c r="Q54" i="36"/>
  <c r="I54" i="36"/>
  <c r="O52" i="36"/>
  <c r="F52" i="36"/>
  <c r="M51" i="36"/>
  <c r="D51" i="36"/>
  <c r="K50" i="36"/>
  <c r="Q49" i="36"/>
  <c r="I49" i="36"/>
  <c r="O48" i="36"/>
  <c r="F48" i="36"/>
  <c r="M47" i="36"/>
  <c r="D47" i="36"/>
  <c r="K45" i="36"/>
  <c r="Q44" i="36"/>
  <c r="I44" i="36"/>
  <c r="O42" i="36"/>
  <c r="F42" i="36"/>
  <c r="M40" i="36"/>
  <c r="D40" i="36"/>
  <c r="P49" i="36"/>
  <c r="N48" i="36"/>
  <c r="E48" i="36"/>
  <c r="C47" i="36"/>
  <c r="P44" i="36"/>
  <c r="N42" i="36"/>
  <c r="E42" i="36"/>
  <c r="C40" i="36"/>
  <c r="I60" i="36"/>
  <c r="M58" i="36"/>
  <c r="I56" i="36"/>
  <c r="M54" i="36"/>
  <c r="I51" i="36"/>
  <c r="F50" i="36"/>
  <c r="Q47" i="36"/>
  <c r="M44" i="36"/>
  <c r="I40" i="36"/>
  <c r="D50" i="36"/>
  <c r="O47" i="36"/>
  <c r="D45" i="36"/>
  <c r="F40" i="36"/>
  <c r="L59" i="36"/>
  <c r="N56" i="36"/>
  <c r="L55" i="36"/>
  <c r="N51" i="36"/>
  <c r="P48" i="36"/>
  <c r="E47" i="36"/>
  <c r="G42" i="36"/>
  <c r="N64" i="36"/>
  <c r="E64" i="36"/>
  <c r="L60" i="36"/>
  <c r="C60" i="36"/>
  <c r="J59" i="36"/>
  <c r="P58" i="36"/>
  <c r="G58" i="36"/>
  <c r="N57" i="36"/>
  <c r="E57" i="36"/>
  <c r="L56" i="36"/>
  <c r="C56" i="36"/>
  <c r="J55" i="36"/>
  <c r="P54" i="36"/>
  <c r="G54" i="36"/>
  <c r="N52" i="36"/>
  <c r="E52" i="36"/>
  <c r="L51" i="36"/>
  <c r="C51" i="36"/>
  <c r="J50" i="36"/>
  <c r="G49" i="36"/>
  <c r="L47" i="36"/>
  <c r="J45" i="36"/>
  <c r="G44" i="36"/>
  <c r="L40" i="36"/>
  <c r="K40" i="36"/>
  <c r="F59" i="36"/>
  <c r="K57" i="36"/>
  <c r="F55" i="36"/>
  <c r="Q51" i="36"/>
  <c r="D49" i="36"/>
  <c r="O45" i="36"/>
  <c r="K42" i="36"/>
  <c r="Q52" i="36"/>
  <c r="M50" i="36"/>
  <c r="F47" i="36"/>
  <c r="I42" i="36"/>
  <c r="N60" i="36"/>
  <c r="P57" i="36"/>
  <c r="J54" i="36"/>
  <c r="L50" i="36"/>
  <c r="C45" i="36"/>
  <c r="N40" i="36"/>
  <c r="M64" i="36"/>
  <c r="D64" i="36"/>
  <c r="K60" i="36"/>
  <c r="Q59" i="36"/>
  <c r="I59" i="36"/>
  <c r="O58" i="36"/>
  <c r="F58" i="36"/>
  <c r="M57" i="36"/>
  <c r="D57" i="36"/>
  <c r="K56" i="36"/>
  <c r="Q55" i="36"/>
  <c r="I55" i="36"/>
  <c r="O54" i="36"/>
  <c r="F54" i="36"/>
  <c r="M52" i="36"/>
  <c r="D52" i="36"/>
  <c r="K51" i="36"/>
  <c r="Q50" i="36"/>
  <c r="I50" i="36"/>
  <c r="O49" i="36"/>
  <c r="F49" i="36"/>
  <c r="M48" i="36"/>
  <c r="D48" i="36"/>
  <c r="K47" i="36"/>
  <c r="Q45" i="36"/>
  <c r="I45" i="36"/>
  <c r="O44" i="36"/>
  <c r="F44" i="36"/>
  <c r="M42" i="36"/>
  <c r="D42" i="36"/>
  <c r="Q60" i="36"/>
  <c r="D58" i="36"/>
  <c r="O55" i="36"/>
  <c r="K52" i="36"/>
  <c r="M49" i="36"/>
  <c r="I47" i="36"/>
  <c r="D44" i="36"/>
  <c r="K54" i="36"/>
  <c r="F51" i="36"/>
  <c r="I48" i="36"/>
  <c r="Q42" i="36"/>
  <c r="E60" i="36"/>
  <c r="G57" i="36"/>
  <c r="P52" i="36"/>
  <c r="J49" i="36"/>
  <c r="L45" i="36"/>
  <c r="E40" i="36"/>
  <c r="L64" i="36"/>
  <c r="C64" i="36"/>
  <c r="J60" i="36"/>
  <c r="P59" i="36"/>
  <c r="G59" i="36"/>
  <c r="N58" i="36"/>
  <c r="E58" i="36"/>
  <c r="L57" i="36"/>
  <c r="C57" i="36"/>
  <c r="J56" i="36"/>
  <c r="P55" i="36"/>
  <c r="G55" i="36"/>
  <c r="N54" i="36"/>
  <c r="E54" i="36"/>
  <c r="L52" i="36"/>
  <c r="C52" i="36"/>
  <c r="J51" i="36"/>
  <c r="P50" i="36"/>
  <c r="G50" i="36"/>
  <c r="N49" i="36"/>
  <c r="E49" i="36"/>
  <c r="L48" i="36"/>
  <c r="C48" i="36"/>
  <c r="J47" i="36"/>
  <c r="P45" i="36"/>
  <c r="G45" i="36"/>
  <c r="N44" i="36"/>
  <c r="E44" i="36"/>
  <c r="L42" i="36"/>
  <c r="C42" i="36"/>
  <c r="J40" i="36"/>
  <c r="O59" i="36"/>
  <c r="Q56" i="36"/>
  <c r="D54" i="36"/>
  <c r="O50" i="36"/>
  <c r="K48" i="36"/>
  <c r="F45" i="36"/>
  <c r="Q40" i="36"/>
  <c r="O51" i="36"/>
  <c r="Q48" i="36"/>
  <c r="K44" i="36"/>
  <c r="G64" i="36"/>
  <c r="J58" i="36"/>
  <c r="C55" i="36"/>
  <c r="E51" i="36"/>
  <c r="G48" i="36"/>
  <c r="P42" i="36"/>
  <c r="K64" i="36"/>
  <c r="AF54" i="28"/>
  <c r="W54" i="28"/>
  <c r="AB50" i="28"/>
  <c r="AH49" i="28"/>
  <c r="Y49" i="28"/>
  <c r="AD48" i="28"/>
  <c r="V48" i="28"/>
  <c r="AA47" i="28"/>
  <c r="AG46" i="28"/>
  <c r="X46" i="28"/>
  <c r="AC45" i="28"/>
  <c r="AI44" i="28"/>
  <c r="Z44" i="28"/>
  <c r="AF41" i="28"/>
  <c r="W41" i="28"/>
  <c r="AH40" i="28"/>
  <c r="Y40" i="28"/>
  <c r="AA39" i="28"/>
  <c r="AC36" i="28"/>
  <c r="AI35" i="28"/>
  <c r="Z35" i="28"/>
  <c r="AI25" i="28"/>
  <c r="AI23" i="28"/>
  <c r="AI20" i="28"/>
  <c r="AI17" i="28"/>
  <c r="AI15" i="28"/>
  <c r="AI13" i="28"/>
  <c r="AI12" i="28"/>
  <c r="AI11" i="28"/>
  <c r="AI9" i="28"/>
  <c r="AI7" i="28"/>
  <c r="W25" i="28"/>
  <c r="X24" i="28"/>
  <c r="Y23" i="28"/>
  <c r="Z22" i="28"/>
  <c r="AB21" i="28"/>
  <c r="AC20" i="28"/>
  <c r="AD19" i="28"/>
  <c r="V19" i="28"/>
  <c r="X18" i="28"/>
  <c r="Y17" i="28"/>
  <c r="Z16" i="28"/>
  <c r="AA15" i="28"/>
  <c r="AB14" i="28"/>
  <c r="AC13" i="28"/>
  <c r="W12" i="28"/>
  <c r="Y11" i="28"/>
  <c r="Z10" i="28"/>
  <c r="AA9" i="28"/>
  <c r="AB8" i="28"/>
  <c r="W7" i="28"/>
  <c r="X6" i="28"/>
  <c r="Z5" i="28"/>
  <c r="AD54" i="28"/>
  <c r="V54" i="28"/>
  <c r="AA50" i="28"/>
  <c r="AG49" i="28"/>
  <c r="X49" i="28"/>
  <c r="AC48" i="28"/>
  <c r="AI47" i="28"/>
  <c r="Z47" i="28"/>
  <c r="AF46" i="28"/>
  <c r="W46" i="28"/>
  <c r="AB45" i="28"/>
  <c r="AH44" i="28"/>
  <c r="Y44" i="28"/>
  <c r="AD41" i="28"/>
  <c r="V41" i="28"/>
  <c r="AG40" i="28"/>
  <c r="X40" i="28"/>
  <c r="AI39" i="28"/>
  <c r="Z39" i="28"/>
  <c r="AB36" i="28"/>
  <c r="AH35" i="28"/>
  <c r="Y35" i="28"/>
  <c r="AH25" i="28"/>
  <c r="AH23" i="28"/>
  <c r="AH20" i="28"/>
  <c r="AH17" i="28"/>
  <c r="AH15" i="28"/>
  <c r="AH13" i="28"/>
  <c r="AH12" i="28"/>
  <c r="AH11" i="28"/>
  <c r="AH9" i="28"/>
  <c r="AH7" i="28"/>
  <c r="AD25" i="28"/>
  <c r="V25" i="28"/>
  <c r="W24" i="28"/>
  <c r="X23" i="28"/>
  <c r="Y22" i="28"/>
  <c r="AA21" i="28"/>
  <c r="AB20" i="28"/>
  <c r="AC19" i="28"/>
  <c r="W18" i="28"/>
  <c r="X17" i="28"/>
  <c r="Y16" i="28"/>
  <c r="Z15" i="28"/>
  <c r="AA14" i="28"/>
  <c r="AB13" i="28"/>
  <c r="AD12" i="28"/>
  <c r="V12" i="28"/>
  <c r="X11" i="28"/>
  <c r="Y10" i="28"/>
  <c r="Z9" i="28"/>
  <c r="AA8" i="28"/>
  <c r="AD7" i="28"/>
  <c r="V7" i="28"/>
  <c r="W6" i="28"/>
  <c r="Y5" i="28"/>
  <c r="AC54" i="28"/>
  <c r="AI50" i="28"/>
  <c r="Z50" i="28"/>
  <c r="AF49" i="28"/>
  <c r="W49" i="28"/>
  <c r="AB48" i="28"/>
  <c r="AH47" i="28"/>
  <c r="Y47" i="28"/>
  <c r="AD46" i="28"/>
  <c r="V46" i="28"/>
  <c r="AA45" i="28"/>
  <c r="AG44" i="28"/>
  <c r="X44" i="28"/>
  <c r="AC41" i="28"/>
  <c r="AF40" i="28"/>
  <c r="W40" i="28"/>
  <c r="AH39" i="28"/>
  <c r="Y39" i="28"/>
  <c r="AA36" i="28"/>
  <c r="AG35" i="28"/>
  <c r="X35" i="28"/>
  <c r="AG25" i="28"/>
  <c r="AG23" i="28"/>
  <c r="AG20" i="28"/>
  <c r="AG17" i="28"/>
  <c r="AG15" i="28"/>
  <c r="AG13" i="28"/>
  <c r="AG12" i="28"/>
  <c r="AG11" i="28"/>
  <c r="AG9" i="28"/>
  <c r="AG7" i="28"/>
  <c r="AC25" i="28"/>
  <c r="AD24" i="28"/>
  <c r="V24" i="28"/>
  <c r="W23" i="28"/>
  <c r="X22" i="28"/>
  <c r="Z21" i="28"/>
  <c r="AA20" i="28"/>
  <c r="AB19" i="28"/>
  <c r="AD18" i="28"/>
  <c r="V18" i="28"/>
  <c r="W17" i="28"/>
  <c r="X16" i="28"/>
  <c r="Y15" i="28"/>
  <c r="Z14" i="28"/>
  <c r="AA13" i="28"/>
  <c r="AC12" i="28"/>
  <c r="W11" i="28"/>
  <c r="X10" i="28"/>
  <c r="Y9" i="28"/>
  <c r="Z8" i="28"/>
  <c r="AC7" i="28"/>
  <c r="AD6" i="28"/>
  <c r="V6" i="28"/>
  <c r="X5" i="28"/>
  <c r="AI49" i="28"/>
  <c r="W48" i="28"/>
  <c r="AH46" i="28"/>
  <c r="AD45" i="28"/>
  <c r="AB54" i="28"/>
  <c r="AH50" i="28"/>
  <c r="Y50" i="28"/>
  <c r="AD49" i="28"/>
  <c r="V49" i="28"/>
  <c r="AA48" i="28"/>
  <c r="AG47" i="28"/>
  <c r="X47" i="28"/>
  <c r="AC46" i="28"/>
  <c r="AI45" i="28"/>
  <c r="Z45" i="28"/>
  <c r="AF44" i="28"/>
  <c r="W44" i="28"/>
  <c r="AB41" i="28"/>
  <c r="AD40" i="28"/>
  <c r="V40" i="28"/>
  <c r="AG39" i="28"/>
  <c r="X39" i="28"/>
  <c r="AI36" i="28"/>
  <c r="Z36" i="28"/>
  <c r="AF35" i="28"/>
  <c r="W35" i="28"/>
  <c r="AF25" i="28"/>
  <c r="AF23" i="28"/>
  <c r="AF20" i="28"/>
  <c r="AF17" i="28"/>
  <c r="AF15" i="28"/>
  <c r="AF13" i="28"/>
  <c r="AF12" i="28"/>
  <c r="AF11" i="28"/>
  <c r="AF9" i="28"/>
  <c r="AF7" i="28"/>
  <c r="AB25" i="28"/>
  <c r="AC24" i="28"/>
  <c r="AD23" i="28"/>
  <c r="V23" i="28"/>
  <c r="W22" i="28"/>
  <c r="Y21" i="28"/>
  <c r="Z20" i="28"/>
  <c r="AA19" i="28"/>
  <c r="AC18" i="28"/>
  <c r="AD17" i="28"/>
  <c r="V17" i="28"/>
  <c r="W16" i="28"/>
  <c r="X15" i="28"/>
  <c r="Y14" i="28"/>
  <c r="Z13" i="28"/>
  <c r="AB12" i="28"/>
  <c r="AD11" i="28"/>
  <c r="V11" i="28"/>
  <c r="W10" i="28"/>
  <c r="X9" i="28"/>
  <c r="Y8" i="28"/>
  <c r="AB7" i="28"/>
  <c r="AC6" i="28"/>
  <c r="W5" i="28"/>
  <c r="AA54" i="28"/>
  <c r="AG50" i="28"/>
  <c r="X50" i="28"/>
  <c r="AC49" i="28"/>
  <c r="AI48" i="28"/>
  <c r="Z48" i="28"/>
  <c r="AF47" i="28"/>
  <c r="W47" i="28"/>
  <c r="AB46" i="28"/>
  <c r="AH45" i="28"/>
  <c r="Y45" i="28"/>
  <c r="AD44" i="28"/>
  <c r="V44" i="28"/>
  <c r="AA41" i="28"/>
  <c r="AC40" i="28"/>
  <c r="AF39" i="28"/>
  <c r="W39" i="28"/>
  <c r="AH36" i="28"/>
  <c r="Y36" i="28"/>
  <c r="AD35" i="28"/>
  <c r="V35" i="28"/>
  <c r="AI24" i="28"/>
  <c r="AI22" i="28"/>
  <c r="AI21" i="28"/>
  <c r="AI19" i="28"/>
  <c r="AI18" i="28"/>
  <c r="AI16" i="28"/>
  <c r="AI14" i="28"/>
  <c r="AI10" i="28"/>
  <c r="AI8" i="28"/>
  <c r="AI6" i="28"/>
  <c r="AI5" i="28"/>
  <c r="AA25" i="28"/>
  <c r="AB24" i="28"/>
  <c r="AC23" i="28"/>
  <c r="AD22" i="28"/>
  <c r="V22" i="28"/>
  <c r="X21" i="28"/>
  <c r="Y20" i="28"/>
  <c r="Z19" i="28"/>
  <c r="AB18" i="28"/>
  <c r="AC17" i="28"/>
  <c r="AD16" i="28"/>
  <c r="V16" i="28"/>
  <c r="W15" i="28"/>
  <c r="X14" i="28"/>
  <c r="Y13" i="28"/>
  <c r="AA12" i="28"/>
  <c r="AC11" i="28"/>
  <c r="AD10" i="28"/>
  <c r="V10" i="28"/>
  <c r="W9" i="28"/>
  <c r="X8" i="28"/>
  <c r="AA7" i="28"/>
  <c r="AB6" i="28"/>
  <c r="AD5" i="28"/>
  <c r="V5" i="28"/>
  <c r="AI54" i="28"/>
  <c r="Z54" i="28"/>
  <c r="AF50" i="28"/>
  <c r="W50" i="28"/>
  <c r="AB49" i="28"/>
  <c r="AH48" i="28"/>
  <c r="Y48" i="28"/>
  <c r="AD47" i="28"/>
  <c r="V47" i="28"/>
  <c r="AA46" i="28"/>
  <c r="AG45" i="28"/>
  <c r="X45" i="28"/>
  <c r="AC44" i="28"/>
  <c r="AI41" i="28"/>
  <c r="Z41" i="28"/>
  <c r="AB40" i="28"/>
  <c r="AD39" i="28"/>
  <c r="V39" i="28"/>
  <c r="AG36" i="28"/>
  <c r="X36" i="28"/>
  <c r="AC35" i="28"/>
  <c r="AH24" i="28"/>
  <c r="AH22" i="28"/>
  <c r="AH21" i="28"/>
  <c r="AH19" i="28"/>
  <c r="AH18" i="28"/>
  <c r="AH16" i="28"/>
  <c r="AH14" i="28"/>
  <c r="AH10" i="28"/>
  <c r="AH8" i="28"/>
  <c r="AH6" i="28"/>
  <c r="AH5" i="28"/>
  <c r="Z25" i="28"/>
  <c r="AA24" i="28"/>
  <c r="AB23" i="28"/>
  <c r="AC22" i="28"/>
  <c r="W21" i="28"/>
  <c r="X20" i="28"/>
  <c r="Y19" i="28"/>
  <c r="AA18" i="28"/>
  <c r="AB17" i="28"/>
  <c r="AC16" i="28"/>
  <c r="AD15" i="28"/>
  <c r="V15" i="28"/>
  <c r="W14" i="28"/>
  <c r="X13" i="28"/>
  <c r="Z12" i="28"/>
  <c r="AB11" i="28"/>
  <c r="AC10" i="28"/>
  <c r="AD9" i="28"/>
  <c r="V9" i="28"/>
  <c r="W8" i="28"/>
  <c r="Z7" i="28"/>
  <c r="AA6" i="28"/>
  <c r="AC5" i="28"/>
  <c r="AH54" i="28"/>
  <c r="Y54" i="28"/>
  <c r="AD50" i="28"/>
  <c r="V50" i="28"/>
  <c r="AA49" i="28"/>
  <c r="AG48" i="28"/>
  <c r="X48" i="28"/>
  <c r="AC47" i="28"/>
  <c r="AI46" i="28"/>
  <c r="Z46" i="28"/>
  <c r="AF45" i="28"/>
  <c r="W45" i="28"/>
  <c r="AB44" i="28"/>
  <c r="AH41" i="28"/>
  <c r="Y41" i="28"/>
  <c r="AA40" i="28"/>
  <c r="AC39" i="28"/>
  <c r="AF36" i="28"/>
  <c r="W36" i="28"/>
  <c r="AB35" i="28"/>
  <c r="AG24" i="28"/>
  <c r="AG22" i="28"/>
  <c r="AG21" i="28"/>
  <c r="AG19" i="28"/>
  <c r="AG18" i="28"/>
  <c r="AG16" i="28"/>
  <c r="AG14" i="28"/>
  <c r="AG10" i="28"/>
  <c r="AG8" i="28"/>
  <c r="AG6" i="28"/>
  <c r="AG5" i="28"/>
  <c r="Y25" i="28"/>
  <c r="Z24" i="28"/>
  <c r="AA23" i="28"/>
  <c r="AB22" i="28"/>
  <c r="AD21" i="28"/>
  <c r="V21" i="28"/>
  <c r="W20" i="28"/>
  <c r="X19" i="28"/>
  <c r="Z18" i="28"/>
  <c r="AA17" i="28"/>
  <c r="AB16" i="28"/>
  <c r="AC15" i="28"/>
  <c r="AD14" i="28"/>
  <c r="V14" i="28"/>
  <c r="W13" i="28"/>
  <c r="Y12" i="28"/>
  <c r="AA11" i="28"/>
  <c r="AB10" i="28"/>
  <c r="AC9" i="28"/>
  <c r="AD8" i="28"/>
  <c r="V8" i="28"/>
  <c r="Y7" i="28"/>
  <c r="Z6" i="28"/>
  <c r="AB5" i="28"/>
  <c r="AG54" i="28"/>
  <c r="X54" i="28"/>
  <c r="AC50" i="28"/>
  <c r="Z49" i="28"/>
  <c r="AF48" i="28"/>
  <c r="AB47" i="28"/>
  <c r="Y46" i="28"/>
  <c r="AI40" i="28"/>
  <c r="V36" i="28"/>
  <c r="AF24" i="28"/>
  <c r="Y24" i="28"/>
  <c r="Z40" i="28"/>
  <c r="AA35" i="28"/>
  <c r="AF22" i="28"/>
  <c r="AF10" i="28"/>
  <c r="Z23" i="28"/>
  <c r="Y18" i="28"/>
  <c r="X12" i="28"/>
  <c r="AF21" i="28"/>
  <c r="AA22" i="28"/>
  <c r="AC21" i="28"/>
  <c r="AF8" i="28"/>
  <c r="Z17" i="28"/>
  <c r="X7" i="28"/>
  <c r="AA10" i="28"/>
  <c r="V45" i="28"/>
  <c r="AF19" i="28"/>
  <c r="AA16" i="28"/>
  <c r="Z11" i="28"/>
  <c r="Y6" i="28"/>
  <c r="AA44" i="28"/>
  <c r="AB39" i="28"/>
  <c r="AF18" i="28"/>
  <c r="AF6" i="28"/>
  <c r="AB15" i="28"/>
  <c r="AG41" i="28"/>
  <c r="AF16" i="28"/>
  <c r="AF5" i="28"/>
  <c r="AD20" i="28"/>
  <c r="AC14" i="28"/>
  <c r="AB9" i="28"/>
  <c r="AA5" i="28"/>
  <c r="X25" i="28"/>
  <c r="V13" i="28"/>
  <c r="X41" i="28"/>
  <c r="AF14" i="28"/>
  <c r="V20" i="28"/>
  <c r="AD13" i="28"/>
  <c r="AC8" i="28"/>
  <c r="AD36" i="28"/>
  <c r="W19" i="28"/>
  <c r="F9" i="36"/>
  <c r="O9" i="36"/>
  <c r="I10" i="36"/>
  <c r="Q10" i="36"/>
  <c r="K11" i="36"/>
  <c r="D12" i="36"/>
  <c r="M12" i="36"/>
  <c r="F13" i="36"/>
  <c r="O13" i="36"/>
  <c r="I14" i="36"/>
  <c r="Q14" i="36"/>
  <c r="K15" i="36"/>
  <c r="D17" i="36"/>
  <c r="M17" i="36"/>
  <c r="F16" i="36"/>
  <c r="O16" i="36"/>
  <c r="I18" i="36"/>
  <c r="Q18" i="36"/>
  <c r="K19" i="36"/>
  <c r="D21" i="36"/>
  <c r="M21" i="36"/>
  <c r="F22" i="36"/>
  <c r="O22" i="36"/>
  <c r="I23" i="36"/>
  <c r="Q23" i="36"/>
  <c r="K24" i="36"/>
  <c r="D25" i="36"/>
  <c r="M25" i="36"/>
  <c r="F26" i="36"/>
  <c r="O26" i="36"/>
  <c r="I27" i="36"/>
  <c r="Q27" i="36"/>
  <c r="K28" i="36"/>
  <c r="D29" i="36"/>
  <c r="M29" i="36"/>
  <c r="F30" i="36"/>
  <c r="O30" i="36"/>
  <c r="I31" i="36"/>
  <c r="Q31" i="36"/>
  <c r="K32" i="36"/>
  <c r="D33" i="36"/>
  <c r="M33" i="36"/>
  <c r="F34" i="36"/>
  <c r="O34" i="36"/>
  <c r="I35" i="36"/>
  <c r="Q35" i="36"/>
  <c r="K36" i="36"/>
  <c r="D37" i="36"/>
  <c r="M37" i="36"/>
  <c r="F20" i="36"/>
  <c r="O20" i="36"/>
  <c r="G9" i="36"/>
  <c r="P9" i="36"/>
  <c r="J10" i="36"/>
  <c r="C11" i="36"/>
  <c r="L11" i="36"/>
  <c r="E12" i="36"/>
  <c r="N12" i="36"/>
  <c r="G13" i="36"/>
  <c r="P13" i="36"/>
  <c r="J14" i="36"/>
  <c r="C15" i="36"/>
  <c r="L15" i="36"/>
  <c r="E17" i="36"/>
  <c r="N17" i="36"/>
  <c r="G16" i="36"/>
  <c r="P16" i="36"/>
  <c r="J18" i="36"/>
  <c r="C19" i="36"/>
  <c r="L19" i="36"/>
  <c r="E21" i="36"/>
  <c r="N21" i="36"/>
  <c r="G22" i="36"/>
  <c r="P22" i="36"/>
  <c r="J23" i="36"/>
  <c r="C24" i="36"/>
  <c r="L24" i="36"/>
  <c r="E25" i="36"/>
  <c r="N25" i="36"/>
  <c r="G26" i="36"/>
  <c r="P26" i="36"/>
  <c r="J27" i="36"/>
  <c r="C28" i="36"/>
  <c r="L28" i="36"/>
  <c r="E29" i="36"/>
  <c r="N29" i="36"/>
  <c r="G30" i="36"/>
  <c r="P30" i="36"/>
  <c r="J31" i="36"/>
  <c r="C32" i="36"/>
  <c r="L32" i="36"/>
  <c r="E33" i="36"/>
  <c r="N33" i="36"/>
  <c r="G34" i="36"/>
  <c r="P34" i="36"/>
  <c r="J35" i="36"/>
  <c r="C36" i="36"/>
  <c r="L36" i="36"/>
  <c r="E37" i="36"/>
  <c r="N37" i="36"/>
  <c r="G20" i="36"/>
  <c r="P20" i="36"/>
  <c r="I9" i="36"/>
  <c r="Q9" i="36"/>
  <c r="K10" i="36"/>
  <c r="D11" i="36"/>
  <c r="M11" i="36"/>
  <c r="F12" i="36"/>
  <c r="O12" i="36"/>
  <c r="I13" i="36"/>
  <c r="Q13" i="36"/>
  <c r="K14" i="36"/>
  <c r="D15" i="36"/>
  <c r="M15" i="36"/>
  <c r="F17" i="36"/>
  <c r="O17" i="36"/>
  <c r="I16" i="36"/>
  <c r="Q16" i="36"/>
  <c r="K18" i="36"/>
  <c r="D19" i="36"/>
  <c r="M19" i="36"/>
  <c r="F21" i="36"/>
  <c r="O21" i="36"/>
  <c r="I22" i="36"/>
  <c r="Q22" i="36"/>
  <c r="K23" i="36"/>
  <c r="D24" i="36"/>
  <c r="M24" i="36"/>
  <c r="F25" i="36"/>
  <c r="O25" i="36"/>
  <c r="I26" i="36"/>
  <c r="Q26" i="36"/>
  <c r="K27" i="36"/>
  <c r="D28" i="36"/>
  <c r="M28" i="36"/>
  <c r="F29" i="36"/>
  <c r="O29" i="36"/>
  <c r="I30" i="36"/>
  <c r="Q30" i="36"/>
  <c r="K31" i="36"/>
  <c r="D32" i="36"/>
  <c r="M32" i="36"/>
  <c r="F33" i="36"/>
  <c r="O33" i="36"/>
  <c r="I34" i="36"/>
  <c r="Q34" i="36"/>
  <c r="K35" i="36"/>
  <c r="D36" i="36"/>
  <c r="M36" i="36"/>
  <c r="F37" i="36"/>
  <c r="O37" i="36"/>
  <c r="I20" i="36"/>
  <c r="Q20" i="36"/>
  <c r="J9" i="36"/>
  <c r="C10" i="36"/>
  <c r="L10" i="36"/>
  <c r="E11" i="36"/>
  <c r="N11" i="36"/>
  <c r="G12" i="36"/>
  <c r="P12" i="36"/>
  <c r="J13" i="36"/>
  <c r="C14" i="36"/>
  <c r="L14" i="36"/>
  <c r="E15" i="36"/>
  <c r="N15" i="36"/>
  <c r="G17" i="36"/>
  <c r="P17" i="36"/>
  <c r="J16" i="36"/>
  <c r="C18" i="36"/>
  <c r="L18" i="36"/>
  <c r="E19" i="36"/>
  <c r="N19" i="36"/>
  <c r="G21" i="36"/>
  <c r="P21" i="36"/>
  <c r="J22" i="36"/>
  <c r="C23" i="36"/>
  <c r="L23" i="36"/>
  <c r="E24" i="36"/>
  <c r="N24" i="36"/>
  <c r="G25" i="36"/>
  <c r="P25" i="36"/>
  <c r="J26" i="36"/>
  <c r="C27" i="36"/>
  <c r="L27" i="36"/>
  <c r="E28" i="36"/>
  <c r="N28" i="36"/>
  <c r="G29" i="36"/>
  <c r="P29" i="36"/>
  <c r="J30" i="36"/>
  <c r="C31" i="36"/>
  <c r="L31" i="36"/>
  <c r="E32" i="36"/>
  <c r="N32" i="36"/>
  <c r="G33" i="36"/>
  <c r="P33" i="36"/>
  <c r="J34" i="36"/>
  <c r="C35" i="36"/>
  <c r="L35" i="36"/>
  <c r="E36" i="36"/>
  <c r="N36" i="36"/>
  <c r="G37" i="36"/>
  <c r="P37" i="36"/>
  <c r="J20" i="36"/>
  <c r="Q161" i="34"/>
  <c r="K9" i="36"/>
  <c r="D10" i="36"/>
  <c r="M10" i="36"/>
  <c r="F11" i="36"/>
  <c r="O11" i="36"/>
  <c r="I12" i="36"/>
  <c r="Q12" i="36"/>
  <c r="K13" i="36"/>
  <c r="D14" i="36"/>
  <c r="M14" i="36"/>
  <c r="F15" i="36"/>
  <c r="O15" i="36"/>
  <c r="I17" i="36"/>
  <c r="Q17" i="36"/>
  <c r="K16" i="36"/>
  <c r="D18" i="36"/>
  <c r="M18" i="36"/>
  <c r="F19" i="36"/>
  <c r="O19" i="36"/>
  <c r="I21" i="36"/>
  <c r="Q21" i="36"/>
  <c r="K22" i="36"/>
  <c r="D23" i="36"/>
  <c r="M23" i="36"/>
  <c r="F24" i="36"/>
  <c r="O24" i="36"/>
  <c r="I25" i="36"/>
  <c r="Q25" i="36"/>
  <c r="K26" i="36"/>
  <c r="D27" i="36"/>
  <c r="M27" i="36"/>
  <c r="F28" i="36"/>
  <c r="O28" i="36"/>
  <c r="I29" i="36"/>
  <c r="Q29" i="36"/>
  <c r="K30" i="36"/>
  <c r="D31" i="36"/>
  <c r="M31" i="36"/>
  <c r="F32" i="36"/>
  <c r="O32" i="36"/>
  <c r="I33" i="36"/>
  <c r="Q33" i="36"/>
  <c r="K34" i="36"/>
  <c r="D35" i="36"/>
  <c r="M35" i="36"/>
  <c r="F36" i="36"/>
  <c r="O36" i="36"/>
  <c r="I37" i="36"/>
  <c r="Q37" i="36"/>
  <c r="K20" i="36"/>
  <c r="L9" i="36"/>
  <c r="E10" i="36"/>
  <c r="N10" i="36"/>
  <c r="G11" i="36"/>
  <c r="P11" i="36"/>
  <c r="J12" i="36"/>
  <c r="C13" i="36"/>
  <c r="L13" i="36"/>
  <c r="E14" i="36"/>
  <c r="N14" i="36"/>
  <c r="G15" i="36"/>
  <c r="P15" i="36"/>
  <c r="J17" i="36"/>
  <c r="C16" i="36"/>
  <c r="L16" i="36"/>
  <c r="E18" i="36"/>
  <c r="N18" i="36"/>
  <c r="G19" i="36"/>
  <c r="P19" i="36"/>
  <c r="J21" i="36"/>
  <c r="C22" i="36"/>
  <c r="L22" i="36"/>
  <c r="E23" i="36"/>
  <c r="N23" i="36"/>
  <c r="G24" i="36"/>
  <c r="P24" i="36"/>
  <c r="J25" i="36"/>
  <c r="C26" i="36"/>
  <c r="L26" i="36"/>
  <c r="E27" i="36"/>
  <c r="N27" i="36"/>
  <c r="G28" i="36"/>
  <c r="P28" i="36"/>
  <c r="J29" i="36"/>
  <c r="C30" i="36"/>
  <c r="L30" i="36"/>
  <c r="E31" i="36"/>
  <c r="N31" i="36"/>
  <c r="G32" i="36"/>
  <c r="P32" i="36"/>
  <c r="J33" i="36"/>
  <c r="C34" i="36"/>
  <c r="L34" i="36"/>
  <c r="E35" i="36"/>
  <c r="N35" i="36"/>
  <c r="G36" i="36"/>
  <c r="P36" i="36"/>
  <c r="J37" i="36"/>
  <c r="C20" i="36"/>
  <c r="L20" i="36"/>
  <c r="D9" i="36"/>
  <c r="M9" i="36"/>
  <c r="F10" i="36"/>
  <c r="O10" i="36"/>
  <c r="I11" i="36"/>
  <c r="Q11" i="36"/>
  <c r="K12" i="36"/>
  <c r="D13" i="36"/>
  <c r="M13" i="36"/>
  <c r="F14" i="36"/>
  <c r="O14" i="36"/>
  <c r="I15" i="36"/>
  <c r="Q15" i="36"/>
  <c r="K17" i="36"/>
  <c r="D16" i="36"/>
  <c r="M16" i="36"/>
  <c r="F18" i="36"/>
  <c r="O18" i="36"/>
  <c r="I19" i="36"/>
  <c r="Q19" i="36"/>
  <c r="K21" i="36"/>
  <c r="D22" i="36"/>
  <c r="M22" i="36"/>
  <c r="F23" i="36"/>
  <c r="O23" i="36"/>
  <c r="I24" i="36"/>
  <c r="Q24" i="36"/>
  <c r="K25" i="36"/>
  <c r="D26" i="36"/>
  <c r="M26" i="36"/>
  <c r="F27" i="36"/>
  <c r="O27" i="36"/>
  <c r="I28" i="36"/>
  <c r="Q28" i="36"/>
  <c r="K29" i="36"/>
  <c r="D30" i="36"/>
  <c r="M30" i="36"/>
  <c r="F31" i="36"/>
  <c r="O31" i="36"/>
  <c r="I32" i="36"/>
  <c r="Q32" i="36"/>
  <c r="K33" i="36"/>
  <c r="D34" i="36"/>
  <c r="M34" i="36"/>
  <c r="F35" i="36"/>
  <c r="O35" i="36"/>
  <c r="I36" i="36"/>
  <c r="Q36" i="36"/>
  <c r="K37" i="36"/>
  <c r="D20" i="36"/>
  <c r="M20" i="36"/>
  <c r="E9" i="36"/>
  <c r="N9" i="36"/>
  <c r="G10" i="36"/>
  <c r="P10" i="36"/>
  <c r="J11" i="36"/>
  <c r="C12" i="36"/>
  <c r="L12" i="36"/>
  <c r="E13" i="36"/>
  <c r="N13" i="36"/>
  <c r="G14" i="36"/>
  <c r="P14" i="36"/>
  <c r="J15" i="36"/>
  <c r="C17" i="36"/>
  <c r="L17" i="36"/>
  <c r="E16" i="36"/>
  <c r="N16" i="36"/>
  <c r="G18" i="36"/>
  <c r="P18" i="36"/>
  <c r="J19" i="36"/>
  <c r="C21" i="36"/>
  <c r="L21" i="36"/>
  <c r="E22" i="36"/>
  <c r="N22" i="36"/>
  <c r="G23" i="36"/>
  <c r="P23" i="36"/>
  <c r="J24" i="36"/>
  <c r="C25" i="36"/>
  <c r="L25" i="36"/>
  <c r="E26" i="36"/>
  <c r="N26" i="36"/>
  <c r="G27" i="36"/>
  <c r="P27" i="36"/>
  <c r="J28" i="36"/>
  <c r="C29" i="36"/>
  <c r="L29" i="36"/>
  <c r="E30" i="36"/>
  <c r="N30" i="36"/>
  <c r="G31" i="36"/>
  <c r="P31" i="36"/>
  <c r="J32" i="36"/>
  <c r="C33" i="36"/>
  <c r="L33" i="36"/>
  <c r="E34" i="36"/>
  <c r="N34" i="36"/>
  <c r="G35" i="36"/>
  <c r="P35" i="36"/>
  <c r="J36" i="36"/>
  <c r="C37" i="36"/>
  <c r="L37" i="36"/>
  <c r="E20" i="36"/>
  <c r="N20" i="36"/>
  <c r="C9" i="36"/>
  <c r="K12" i="1"/>
  <c r="I28" i="1"/>
  <c r="K48" i="1"/>
  <c r="K13" i="1"/>
  <c r="K7" i="1"/>
  <c r="K10" i="1"/>
  <c r="J16" i="1"/>
  <c r="G19" i="1"/>
  <c r="J21" i="1"/>
  <c r="I27" i="1"/>
  <c r="J11" i="1"/>
  <c r="I17" i="1"/>
  <c r="K18" i="1"/>
  <c r="J20" i="1"/>
  <c r="G6" i="1"/>
  <c r="J9" i="1"/>
  <c r="K29" i="1"/>
  <c r="G50" i="1"/>
  <c r="J22" i="1"/>
  <c r="I8" i="1"/>
  <c r="J48" i="1"/>
  <c r="I19" i="1"/>
  <c r="H6" i="1"/>
  <c r="K44" i="1"/>
  <c r="J6" i="1"/>
  <c r="I10" i="1"/>
  <c r="H18" i="1"/>
  <c r="H50" i="1"/>
  <c r="J50" i="1"/>
  <c r="K20" i="1"/>
  <c r="I20" i="1"/>
  <c r="H20" i="1"/>
  <c r="G20" i="1"/>
  <c r="I25" i="1"/>
  <c r="J25" i="1"/>
  <c r="H25" i="1"/>
  <c r="K40" i="1"/>
  <c r="J40" i="1"/>
  <c r="I40" i="1"/>
  <c r="H40" i="1"/>
  <c r="K30" i="1"/>
  <c r="H30" i="1"/>
  <c r="G30" i="1"/>
  <c r="G40" i="1"/>
  <c r="J30" i="1"/>
  <c r="J13" i="1"/>
  <c r="H43" i="1"/>
  <c r="K43" i="1"/>
  <c r="J43" i="1"/>
  <c r="H9" i="1"/>
  <c r="G9" i="1"/>
  <c r="J14" i="1"/>
  <c r="H14" i="1"/>
  <c r="G14" i="1"/>
  <c r="G43" i="1"/>
  <c r="G18" i="1"/>
  <c r="H19" i="1"/>
  <c r="K45" i="1"/>
  <c r="J45" i="1"/>
  <c r="I18" i="1"/>
  <c r="J19" i="1"/>
  <c r="G45" i="1"/>
  <c r="J8" i="1"/>
  <c r="K19" i="1"/>
  <c r="G42" i="1"/>
  <c r="G48" i="1"/>
  <c r="K50" i="1"/>
  <c r="K8" i="1"/>
  <c r="I32" i="1"/>
  <c r="K32" i="1"/>
  <c r="J32" i="1"/>
  <c r="H32" i="1"/>
  <c r="G32" i="1"/>
  <c r="I31" i="1"/>
  <c r="K31" i="1"/>
  <c r="J31" i="1"/>
  <c r="H31" i="1"/>
  <c r="G31" i="1"/>
  <c r="I33" i="1"/>
  <c r="H33" i="1"/>
  <c r="K33" i="1"/>
  <c r="J33" i="1"/>
  <c r="G33" i="1"/>
  <c r="I34" i="1"/>
  <c r="H34" i="1"/>
  <c r="K34" i="1"/>
  <c r="J34" i="1"/>
  <c r="G34" i="1"/>
  <c r="I37" i="1"/>
  <c r="H37" i="1"/>
  <c r="K37" i="1"/>
  <c r="J37" i="1"/>
  <c r="G37" i="1"/>
  <c r="I36" i="1"/>
  <c r="K36" i="1"/>
  <c r="J36" i="1"/>
  <c r="H36" i="1"/>
  <c r="G36" i="1"/>
  <c r="I39" i="1"/>
  <c r="K39" i="1"/>
  <c r="J39" i="1"/>
  <c r="H39" i="1"/>
  <c r="G39" i="1"/>
  <c r="I35" i="1"/>
  <c r="E35" i="1" s="1"/>
  <c r="K35" i="1"/>
  <c r="J35" i="1"/>
  <c r="H35" i="1"/>
  <c r="I38" i="1"/>
  <c r="K38" i="1"/>
  <c r="J38" i="1"/>
  <c r="H38" i="1"/>
  <c r="G38" i="1"/>
  <c r="I29" i="1"/>
  <c r="G29" i="1"/>
  <c r="I30" i="1"/>
  <c r="H29" i="1"/>
  <c r="J29" i="1"/>
  <c r="I41" i="1"/>
  <c r="K41" i="1"/>
  <c r="I53" i="1"/>
  <c r="G53" i="1"/>
  <c r="K53" i="1"/>
  <c r="H53" i="1"/>
  <c r="J53" i="1"/>
  <c r="K60" i="1"/>
  <c r="I60" i="1"/>
  <c r="G60" i="1"/>
  <c r="H60" i="1"/>
  <c r="J60" i="1"/>
  <c r="G41" i="1"/>
  <c r="H42" i="1"/>
  <c r="K56" i="1"/>
  <c r="I56" i="1"/>
  <c r="G56" i="1"/>
  <c r="H56" i="1"/>
  <c r="J56" i="1"/>
  <c r="I63" i="1"/>
  <c r="G63" i="1"/>
  <c r="K63" i="1"/>
  <c r="H63" i="1"/>
  <c r="J63" i="1"/>
  <c r="H41" i="1"/>
  <c r="K55" i="1"/>
  <c r="I55" i="1"/>
  <c r="G55" i="1"/>
  <c r="H55" i="1"/>
  <c r="J55" i="1"/>
  <c r="I61" i="1"/>
  <c r="G61" i="1"/>
  <c r="K61" i="1"/>
  <c r="H61" i="1"/>
  <c r="J61" i="1"/>
  <c r="J41" i="1"/>
  <c r="I44" i="1"/>
  <c r="G44" i="1"/>
  <c r="J44" i="1"/>
  <c r="K70" i="1"/>
  <c r="I70" i="1"/>
  <c r="G70" i="1"/>
  <c r="H70" i="1"/>
  <c r="J70" i="1"/>
  <c r="I57" i="1"/>
  <c r="G57" i="1"/>
  <c r="K57" i="1"/>
  <c r="H57" i="1"/>
  <c r="J57" i="1"/>
  <c r="K58" i="1"/>
  <c r="I58" i="1"/>
  <c r="G58" i="1"/>
  <c r="H58" i="1"/>
  <c r="J58" i="1"/>
  <c r="I67" i="1"/>
  <c r="G67" i="1"/>
  <c r="K67" i="1"/>
  <c r="H67" i="1"/>
  <c r="J67" i="1"/>
  <c r="I46" i="1"/>
  <c r="K46" i="1"/>
  <c r="J46" i="1"/>
  <c r="G46" i="1"/>
  <c r="I47" i="1"/>
  <c r="G47" i="1"/>
  <c r="J47" i="1"/>
  <c r="K51" i="1"/>
  <c r="I51" i="1"/>
  <c r="G51" i="1"/>
  <c r="H51" i="1"/>
  <c r="J51" i="1"/>
  <c r="H46" i="1"/>
  <c r="H47" i="1"/>
  <c r="I49" i="1"/>
  <c r="K49" i="1"/>
  <c r="J49" i="1"/>
  <c r="G49" i="1"/>
  <c r="I59" i="1"/>
  <c r="G59" i="1"/>
  <c r="K59" i="1"/>
  <c r="H59" i="1"/>
  <c r="J59" i="1"/>
  <c r="K62" i="1"/>
  <c r="I62" i="1"/>
  <c r="G62" i="1"/>
  <c r="H62" i="1"/>
  <c r="J62" i="1"/>
  <c r="K47" i="1"/>
  <c r="H49" i="1"/>
  <c r="I65" i="1"/>
  <c r="G65" i="1"/>
  <c r="K65" i="1"/>
  <c r="H65" i="1"/>
  <c r="J65" i="1"/>
  <c r="I42" i="1"/>
  <c r="J42" i="1"/>
  <c r="I54" i="1"/>
  <c r="G54" i="1"/>
  <c r="K54" i="1"/>
  <c r="H54" i="1"/>
  <c r="J54" i="1"/>
  <c r="H45" i="1"/>
  <c r="H48" i="1"/>
  <c r="I50" i="1"/>
  <c r="K64" i="1"/>
  <c r="I64" i="1"/>
  <c r="G64" i="1"/>
  <c r="H64" i="1"/>
  <c r="K66" i="1"/>
  <c r="I66" i="1"/>
  <c r="G66" i="1"/>
  <c r="H66" i="1"/>
  <c r="K68" i="1"/>
  <c r="I68" i="1"/>
  <c r="G68" i="1"/>
  <c r="H68" i="1"/>
  <c r="K52" i="1"/>
  <c r="I52" i="1"/>
  <c r="G52" i="1"/>
  <c r="H52" i="1"/>
  <c r="K71" i="1"/>
  <c r="I71" i="1"/>
  <c r="G71" i="1"/>
  <c r="H71" i="1"/>
  <c r="J64" i="1"/>
  <c r="J66" i="1"/>
  <c r="J68" i="1"/>
  <c r="J52" i="1"/>
  <c r="J71" i="1"/>
  <c r="I69" i="1"/>
  <c r="G69" i="1"/>
  <c r="K69" i="1"/>
  <c r="H69" i="1"/>
  <c r="I72" i="1"/>
  <c r="G72" i="1"/>
  <c r="K72" i="1"/>
  <c r="J72" i="1"/>
  <c r="H72" i="1"/>
  <c r="I43" i="1"/>
  <c r="I45" i="1"/>
  <c r="I48" i="1"/>
  <c r="J69" i="1"/>
  <c r="K73" i="1"/>
  <c r="I73" i="1"/>
  <c r="G73" i="1"/>
  <c r="H73" i="1"/>
  <c r="J28" i="1"/>
  <c r="J27" i="1"/>
  <c r="H26" i="1"/>
  <c r="G26" i="1"/>
  <c r="K27" i="1"/>
  <c r="K28" i="1"/>
  <c r="I26" i="1"/>
  <c r="J26" i="1"/>
  <c r="K26" i="1"/>
  <c r="G27" i="1"/>
  <c r="G28" i="1"/>
  <c r="H27" i="1"/>
  <c r="H28" i="1"/>
  <c r="K15" i="1"/>
  <c r="G15" i="1"/>
  <c r="G11" i="1"/>
  <c r="H7" i="1"/>
  <c r="J12" i="1"/>
  <c r="I7" i="1"/>
  <c r="G13" i="1"/>
  <c r="G10" i="1"/>
  <c r="I13" i="1"/>
  <c r="G12" i="1"/>
  <c r="I23" i="1"/>
  <c r="G23" i="1"/>
  <c r="K23" i="1"/>
  <c r="H23" i="1"/>
  <c r="J23" i="1"/>
  <c r="K6" i="1"/>
  <c r="I6" i="1"/>
  <c r="J10" i="1"/>
  <c r="H11" i="1"/>
  <c r="H12" i="1"/>
  <c r="I15" i="1"/>
  <c r="H16" i="1"/>
  <c r="G17" i="1"/>
  <c r="G7" i="1"/>
  <c r="I12" i="1"/>
  <c r="J15" i="1"/>
  <c r="I16" i="1"/>
  <c r="H15" i="1"/>
  <c r="G16" i="1"/>
  <c r="K16" i="1"/>
  <c r="K11" i="1"/>
  <c r="I11" i="1"/>
  <c r="K17" i="1"/>
  <c r="J17" i="1"/>
  <c r="H17" i="1"/>
  <c r="G8" i="1"/>
  <c r="J7" i="1"/>
  <c r="H8" i="1"/>
  <c r="K9" i="1"/>
  <c r="I9" i="1"/>
  <c r="H13" i="1"/>
  <c r="K14" i="1"/>
  <c r="I14" i="1"/>
  <c r="K22" i="1"/>
  <c r="I22" i="1"/>
  <c r="G22" i="1"/>
  <c r="H22" i="1"/>
  <c r="J18" i="1"/>
  <c r="I21" i="1"/>
  <c r="G21" i="1"/>
  <c r="K21" i="1"/>
  <c r="H21" i="1"/>
  <c r="K25" i="1"/>
  <c r="G25" i="1"/>
  <c r="BD35" i="1" l="1"/>
  <c r="BA35" i="1"/>
  <c r="BJ35" i="1" s="1"/>
  <c r="BB35" i="1"/>
  <c r="J67" i="34"/>
  <c r="J34" i="34"/>
  <c r="J39" i="34"/>
  <c r="J73" i="34"/>
  <c r="AC73" i="34" s="1"/>
  <c r="J41" i="34"/>
  <c r="J18" i="34"/>
  <c r="J69" i="34"/>
  <c r="J29" i="34"/>
  <c r="J51" i="34"/>
  <c r="AQ51" i="1"/>
  <c r="J11" i="34"/>
  <c r="J58" i="34"/>
  <c r="J32" i="34"/>
  <c r="J60" i="34"/>
  <c r="J65" i="34"/>
  <c r="J45" i="34"/>
  <c r="J47" i="34"/>
  <c r="J19" i="34"/>
  <c r="J27" i="34"/>
  <c r="J15" i="34"/>
  <c r="J43" i="34"/>
  <c r="J38" i="34"/>
  <c r="J28" i="34"/>
  <c r="J13" i="34"/>
  <c r="J56" i="34"/>
  <c r="J50" i="34"/>
  <c r="AQ50" i="1"/>
  <c r="J30" i="34"/>
  <c r="J53" i="34"/>
  <c r="J9" i="34"/>
  <c r="J54" i="34"/>
  <c r="J35" i="34"/>
  <c r="J57" i="34"/>
  <c r="J68" i="34"/>
  <c r="J46" i="34"/>
  <c r="J21" i="34"/>
  <c r="J70" i="34"/>
  <c r="J31" i="34"/>
  <c r="J23" i="34"/>
  <c r="J62" i="34"/>
  <c r="J26" i="34"/>
  <c r="J71" i="34"/>
  <c r="J10" i="34"/>
  <c r="J49" i="34"/>
  <c r="AQ49" i="1"/>
  <c r="J63" i="34"/>
  <c r="J8" i="34"/>
  <c r="J37" i="34"/>
  <c r="J40" i="34"/>
  <c r="J6" i="34"/>
  <c r="J7" i="34"/>
  <c r="J33" i="34"/>
  <c r="J25" i="34"/>
  <c r="J14" i="34"/>
  <c r="J72" i="34"/>
  <c r="AF72" i="34" s="1"/>
  <c r="J36" i="34"/>
  <c r="J22" i="34"/>
  <c r="J16" i="34"/>
  <c r="J66" i="34"/>
  <c r="J20" i="34"/>
  <c r="J42" i="34"/>
  <c r="J55" i="34"/>
  <c r="J59" i="34"/>
  <c r="J44" i="34"/>
  <c r="J17" i="34"/>
  <c r="J61" i="34"/>
  <c r="J12" i="34"/>
  <c r="J48" i="34"/>
  <c r="J52" i="34"/>
  <c r="J64" i="34"/>
  <c r="V308" i="36"/>
  <c r="V299" i="36"/>
  <c r="V284" i="36"/>
  <c r="V276" i="36"/>
  <c r="V268" i="36"/>
  <c r="V260" i="36"/>
  <c r="V280" i="36"/>
  <c r="V270" i="36"/>
  <c r="V277" i="36"/>
  <c r="V307" i="36"/>
  <c r="V298" i="36"/>
  <c r="V283" i="36"/>
  <c r="V275" i="36"/>
  <c r="V267" i="36"/>
  <c r="V288" i="36"/>
  <c r="V264" i="36"/>
  <c r="V300" i="36"/>
  <c r="V306" i="36"/>
  <c r="V296" i="36"/>
  <c r="V282" i="36"/>
  <c r="V274" i="36"/>
  <c r="V266" i="36"/>
  <c r="V314" i="36"/>
  <c r="V305" i="36"/>
  <c r="V295" i="36"/>
  <c r="V281" i="36"/>
  <c r="V273" i="36"/>
  <c r="V265" i="36"/>
  <c r="V303" i="36"/>
  <c r="V278" i="36"/>
  <c r="V269" i="36"/>
  <c r="V272" i="36"/>
  <c r="V311" i="36"/>
  <c r="V302" i="36"/>
  <c r="V287" i="36"/>
  <c r="V279" i="36"/>
  <c r="V271" i="36"/>
  <c r="V263" i="36"/>
  <c r="V301" i="36"/>
  <c r="V286" i="36"/>
  <c r="V309" i="36"/>
  <c r="V310" i="36"/>
  <c r="V262" i="36"/>
  <c r="V285" i="36"/>
  <c r="V261" i="36"/>
  <c r="M99" i="36"/>
  <c r="F99" i="36"/>
  <c r="O99" i="36"/>
  <c r="H291" i="36"/>
  <c r="K99" i="36"/>
  <c r="H99" i="36"/>
  <c r="D99" i="36"/>
  <c r="H38" i="36"/>
  <c r="E99" i="36"/>
  <c r="I99" i="36"/>
  <c r="L99" i="36"/>
  <c r="P99" i="36"/>
  <c r="G99" i="36"/>
  <c r="Q99" i="36"/>
  <c r="N99" i="36"/>
  <c r="T37" i="1"/>
  <c r="Y37" i="1" s="1"/>
  <c r="T45" i="1"/>
  <c r="Z45" i="1" s="1"/>
  <c r="T65" i="1"/>
  <c r="T61" i="1"/>
  <c r="Y61" i="1" s="1"/>
  <c r="T50" i="1"/>
  <c r="Z50" i="1" s="1"/>
  <c r="T36" i="1"/>
  <c r="Z36" i="1" s="1"/>
  <c r="T70" i="1"/>
  <c r="Z70" i="1" s="1"/>
  <c r="T52" i="1"/>
  <c r="Y52" i="1" s="1"/>
  <c r="T53" i="1"/>
  <c r="Y53" i="1" s="1"/>
  <c r="T55" i="1"/>
  <c r="T49" i="1"/>
  <c r="AB49" i="1" s="1"/>
  <c r="T27" i="1"/>
  <c r="Y27" i="1" s="1"/>
  <c r="T63" i="1"/>
  <c r="T41" i="1"/>
  <c r="T38" i="1"/>
  <c r="AB38" i="1" s="1"/>
  <c r="T51" i="1"/>
  <c r="T66" i="1"/>
  <c r="Y66" i="1" s="1"/>
  <c r="T73" i="1"/>
  <c r="AB73" i="1" s="1"/>
  <c r="T62" i="1"/>
  <c r="Y62" i="1" s="1"/>
  <c r="T48" i="1"/>
  <c r="Z48" i="1" s="1"/>
  <c r="H7" i="34"/>
  <c r="H23" i="34"/>
  <c r="H13" i="34"/>
  <c r="H62" i="34"/>
  <c r="H58" i="34"/>
  <c r="H55" i="34"/>
  <c r="H56" i="34"/>
  <c r="H35" i="34"/>
  <c r="H39" i="34"/>
  <c r="H9" i="34"/>
  <c r="H19" i="34"/>
  <c r="H15" i="34"/>
  <c r="H26" i="34"/>
  <c r="H72" i="34"/>
  <c r="H65" i="34"/>
  <c r="H46" i="34"/>
  <c r="H38" i="34"/>
  <c r="H33" i="34"/>
  <c r="H42" i="34"/>
  <c r="H50" i="34"/>
  <c r="H21" i="34"/>
  <c r="H10" i="34"/>
  <c r="H70" i="34"/>
  <c r="H60" i="34"/>
  <c r="H53" i="34"/>
  <c r="H36" i="34"/>
  <c r="H45" i="34"/>
  <c r="H43" i="34"/>
  <c r="H20" i="34"/>
  <c r="H52" i="34"/>
  <c r="H66" i="34"/>
  <c r="H51" i="34"/>
  <c r="H29" i="34"/>
  <c r="H34" i="34"/>
  <c r="H40" i="34"/>
  <c r="H6" i="34"/>
  <c r="H8" i="34"/>
  <c r="H28" i="34"/>
  <c r="H73" i="34"/>
  <c r="H67" i="34"/>
  <c r="M67" i="1"/>
  <c r="H61" i="34"/>
  <c r="H63" i="34"/>
  <c r="H18" i="34"/>
  <c r="H30" i="34"/>
  <c r="H12" i="34"/>
  <c r="H69" i="34"/>
  <c r="H41" i="34"/>
  <c r="H32" i="34"/>
  <c r="H14" i="34"/>
  <c r="H25" i="34"/>
  <c r="H27" i="34"/>
  <c r="H59" i="34"/>
  <c r="H49" i="34"/>
  <c r="H57" i="34"/>
  <c r="M57" i="1"/>
  <c r="H44" i="34"/>
  <c r="H37" i="34"/>
  <c r="H22" i="34"/>
  <c r="H16" i="34"/>
  <c r="H17" i="34"/>
  <c r="H11" i="34"/>
  <c r="H71" i="34"/>
  <c r="H68" i="34"/>
  <c r="H64" i="34"/>
  <c r="H54" i="34"/>
  <c r="H47" i="34"/>
  <c r="H31" i="34"/>
  <c r="H48" i="34"/>
  <c r="C99" i="36"/>
  <c r="E52" i="1"/>
  <c r="AJ35" i="28"/>
  <c r="AJ47" i="28"/>
  <c r="AJ48" i="28"/>
  <c r="AJ45" i="28"/>
  <c r="R58" i="36"/>
  <c r="AN74" i="1"/>
  <c r="R40" i="36"/>
  <c r="R60" i="36"/>
  <c r="R64" i="36"/>
  <c r="R50" i="36"/>
  <c r="R56" i="36"/>
  <c r="R54" i="36"/>
  <c r="R57" i="36"/>
  <c r="R51" i="36"/>
  <c r="R49" i="36"/>
  <c r="R47" i="36"/>
  <c r="R52" i="36"/>
  <c r="R45" i="36"/>
  <c r="R44" i="36"/>
  <c r="R48" i="36"/>
  <c r="R42" i="36"/>
  <c r="R55" i="36"/>
  <c r="R59" i="36"/>
  <c r="AJ36" i="28"/>
  <c r="AJ39" i="28"/>
  <c r="R20" i="36"/>
  <c r="AE44" i="28"/>
  <c r="AK44" i="28" s="1"/>
  <c r="R111" i="36"/>
  <c r="R125" i="36"/>
  <c r="AJ44" i="28"/>
  <c r="AE54" i="28"/>
  <c r="AK54" i="28" s="1"/>
  <c r="R121" i="36"/>
  <c r="R118" i="36"/>
  <c r="R116" i="36"/>
  <c r="AE36" i="28"/>
  <c r="AK36" i="28" s="1"/>
  <c r="AE39" i="28"/>
  <c r="AK39" i="28" s="1"/>
  <c r="AE49" i="28"/>
  <c r="AK49" i="28" s="1"/>
  <c r="AJ54" i="28"/>
  <c r="R110" i="36"/>
  <c r="AE35" i="28"/>
  <c r="AK35" i="28" s="1"/>
  <c r="AJ49" i="28"/>
  <c r="AE46" i="28"/>
  <c r="AK46" i="28" s="1"/>
  <c r="R113" i="36"/>
  <c r="AJ46" i="28"/>
  <c r="AE41" i="28"/>
  <c r="AK41" i="28" s="1"/>
  <c r="R115" i="36"/>
  <c r="R112" i="36"/>
  <c r="R109" i="36"/>
  <c r="R105" i="36"/>
  <c r="R117" i="36"/>
  <c r="AE50" i="28"/>
  <c r="AK50" i="28" s="1"/>
  <c r="AE40" i="28"/>
  <c r="AK40" i="28" s="1"/>
  <c r="AJ41" i="28"/>
  <c r="R120" i="36"/>
  <c r="AJ50" i="28"/>
  <c r="AJ40" i="28"/>
  <c r="R103" i="36"/>
  <c r="AE45" i="28"/>
  <c r="AK45" i="28" s="1"/>
  <c r="AE47" i="28"/>
  <c r="AK47" i="28" s="1"/>
  <c r="AE48" i="28"/>
  <c r="AK48" i="28" s="1"/>
  <c r="R106" i="36"/>
  <c r="C227" i="36"/>
  <c r="R227" i="36" s="1"/>
  <c r="R101" i="36"/>
  <c r="R108" i="36"/>
  <c r="R119" i="36"/>
  <c r="F25" i="28"/>
  <c r="F22" i="28"/>
  <c r="C18" i="28"/>
  <c r="F12" i="28"/>
  <c r="E7" i="28"/>
  <c r="J19" i="28"/>
  <c r="J17" i="28"/>
  <c r="F16" i="28"/>
  <c r="C15" i="28"/>
  <c r="H13" i="28"/>
  <c r="J10" i="28"/>
  <c r="E9" i="28"/>
  <c r="J7" i="28"/>
  <c r="H6" i="28"/>
  <c r="F13" i="28"/>
  <c r="D9" i="28"/>
  <c r="F6" i="28"/>
  <c r="H10" i="28"/>
  <c r="H7" i="28"/>
  <c r="C25" i="28"/>
  <c r="H23" i="28"/>
  <c r="C22" i="28"/>
  <c r="H21" i="28"/>
  <c r="J14" i="28"/>
  <c r="J12" i="28"/>
  <c r="J20" i="28"/>
  <c r="J15" i="28"/>
  <c r="J11" i="28"/>
  <c r="J25" i="28"/>
  <c r="J22" i="28"/>
  <c r="J24" i="28"/>
  <c r="F23" i="28"/>
  <c r="H19" i="28"/>
  <c r="J18" i="28"/>
  <c r="H17" i="28"/>
  <c r="J8" i="28"/>
  <c r="F19" i="28"/>
  <c r="F17" i="28"/>
  <c r="H14" i="28"/>
  <c r="H12" i="28"/>
  <c r="F7" i="28"/>
  <c r="H18" i="28"/>
  <c r="F14" i="28"/>
  <c r="H8" i="28"/>
  <c r="H25" i="28"/>
  <c r="H22" i="28"/>
  <c r="F20" i="28"/>
  <c r="F15" i="28"/>
  <c r="J13" i="28"/>
  <c r="F11" i="28"/>
  <c r="J6" i="28"/>
  <c r="J23" i="28"/>
  <c r="J21" i="28"/>
  <c r="H16" i="28"/>
  <c r="H24" i="28"/>
  <c r="J9" i="28"/>
  <c r="D7" i="28"/>
  <c r="H15" i="28"/>
  <c r="H20" i="28"/>
  <c r="H11" i="28"/>
  <c r="F18" i="28"/>
  <c r="F8" i="28"/>
  <c r="E16" i="1"/>
  <c r="E26" i="1"/>
  <c r="E38" i="1"/>
  <c r="E33" i="1"/>
  <c r="E25" i="1"/>
  <c r="E10" i="1"/>
  <c r="E19" i="1"/>
  <c r="E11" i="1"/>
  <c r="E15" i="1"/>
  <c r="E23" i="1"/>
  <c r="E13" i="1"/>
  <c r="E66" i="1"/>
  <c r="E58" i="1"/>
  <c r="E60" i="1"/>
  <c r="E53" i="1"/>
  <c r="E36" i="1"/>
  <c r="E40" i="1"/>
  <c r="E72" i="1"/>
  <c r="E54" i="1"/>
  <c r="E59" i="1"/>
  <c r="E55" i="1"/>
  <c r="E56" i="1"/>
  <c r="E30" i="1"/>
  <c r="M30" i="1" s="1"/>
  <c r="E34" i="1"/>
  <c r="E28" i="1"/>
  <c r="E51" i="1"/>
  <c r="E46" i="1"/>
  <c r="E41" i="1"/>
  <c r="E20" i="1"/>
  <c r="E8" i="1"/>
  <c r="E21" i="1"/>
  <c r="E70" i="1"/>
  <c r="E44" i="1"/>
  <c r="E32" i="1"/>
  <c r="E7" i="1"/>
  <c r="E73" i="1"/>
  <c r="E43" i="1"/>
  <c r="E71" i="1"/>
  <c r="E68" i="1"/>
  <c r="E64" i="1"/>
  <c r="E67" i="1"/>
  <c r="E37" i="1"/>
  <c r="E18" i="1"/>
  <c r="E17" i="1"/>
  <c r="E14" i="1"/>
  <c r="E12" i="1"/>
  <c r="E62" i="1"/>
  <c r="E49" i="1"/>
  <c r="E6" i="1"/>
  <c r="E69" i="1"/>
  <c r="E61" i="1"/>
  <c r="E63" i="1"/>
  <c r="E31" i="1"/>
  <c r="E45" i="1"/>
  <c r="E50" i="1"/>
  <c r="E42" i="1"/>
  <c r="E47" i="1"/>
  <c r="E57" i="1"/>
  <c r="E29" i="1"/>
  <c r="E39" i="1"/>
  <c r="E27" i="1"/>
  <c r="E9" i="1"/>
  <c r="E48" i="1"/>
  <c r="E65" i="1"/>
  <c r="E22" i="1"/>
  <c r="BD56" i="1" l="1"/>
  <c r="S56" i="34" s="1"/>
  <c r="BA56" i="1"/>
  <c r="BJ56" i="1" s="1"/>
  <c r="BB56" i="1"/>
  <c r="BA69" i="1"/>
  <c r="BJ69" i="1" s="1"/>
  <c r="BD69" i="1"/>
  <c r="S69" i="34" s="1"/>
  <c r="BB69" i="1"/>
  <c r="BD7" i="1"/>
  <c r="S7" i="34" s="1"/>
  <c r="BA7" i="1"/>
  <c r="BJ7" i="1" s="1"/>
  <c r="BB7" i="1"/>
  <c r="BB70" i="1"/>
  <c r="BA70" i="1"/>
  <c r="BD70" i="1"/>
  <c r="S70" i="34" s="1"/>
  <c r="BB19" i="1"/>
  <c r="BA19" i="1"/>
  <c r="BJ19" i="1" s="1"/>
  <c r="BD19" i="1"/>
  <c r="S19" i="34" s="1"/>
  <c r="BB52" i="1"/>
  <c r="BA52" i="1"/>
  <c r="BJ52" i="1" s="1"/>
  <c r="BD52" i="1"/>
  <c r="S52" i="34" s="1"/>
  <c r="BD57" i="1"/>
  <c r="S57" i="34" s="1"/>
  <c r="BA57" i="1"/>
  <c r="BJ57" i="1" s="1"/>
  <c r="BB57" i="1"/>
  <c r="BB41" i="1"/>
  <c r="BA41" i="1"/>
  <c r="BJ41" i="1" s="1"/>
  <c r="BD41" i="1"/>
  <c r="S41" i="34" s="1"/>
  <c r="BB51" i="1"/>
  <c r="BD51" i="1"/>
  <c r="S51" i="34" s="1"/>
  <c r="BA51" i="1"/>
  <c r="BJ51" i="1" s="1"/>
  <c r="BA55" i="1"/>
  <c r="BJ55" i="1" s="1"/>
  <c r="BD55" i="1"/>
  <c r="BB55" i="1"/>
  <c r="BD9" i="1"/>
  <c r="S9" i="34" s="1"/>
  <c r="BB9" i="1"/>
  <c r="BA9" i="1"/>
  <c r="BJ9" i="1" s="1"/>
  <c r="BB58" i="1"/>
  <c r="BA58" i="1"/>
  <c r="BJ58" i="1" s="1"/>
  <c r="BD58" i="1"/>
  <c r="S58" i="34" s="1"/>
  <c r="BA6" i="1"/>
  <c r="BJ6" i="1" s="1"/>
  <c r="BD6" i="1"/>
  <c r="S6" i="34" s="1"/>
  <c r="BB6" i="1"/>
  <c r="BD63" i="1"/>
  <c r="S63" i="34" s="1"/>
  <c r="BA63" i="1"/>
  <c r="BJ63" i="1" s="1"/>
  <c r="BB63" i="1"/>
  <c r="BD28" i="1"/>
  <c r="S28" i="34" s="1"/>
  <c r="BA28" i="1"/>
  <c r="BJ28" i="1" s="1"/>
  <c r="BB28" i="1"/>
  <c r="BD49" i="1"/>
  <c r="S49" i="34" s="1"/>
  <c r="BA49" i="1"/>
  <c r="BJ49" i="1" s="1"/>
  <c r="BB49" i="1"/>
  <c r="BD44" i="1"/>
  <c r="S44" i="34" s="1"/>
  <c r="BA44" i="1"/>
  <c r="BJ44" i="1" s="1"/>
  <c r="BB44" i="1"/>
  <c r="BA40" i="1"/>
  <c r="BJ40" i="1" s="1"/>
  <c r="BD40" i="1"/>
  <c r="S40" i="34" s="1"/>
  <c r="BB40" i="1"/>
  <c r="BB66" i="1"/>
  <c r="BD66" i="1"/>
  <c r="S66" i="34" s="1"/>
  <c r="BA66" i="1"/>
  <c r="BJ66" i="1" s="1"/>
  <c r="BD50" i="1"/>
  <c r="S50" i="34" s="1"/>
  <c r="BB50" i="1"/>
  <c r="BA50" i="1"/>
  <c r="BJ50" i="1" s="1"/>
  <c r="BB30" i="1"/>
  <c r="BD30" i="1"/>
  <c r="S30" i="34" s="1"/>
  <c r="BA30" i="1"/>
  <c r="BJ30" i="1" s="1"/>
  <c r="BB45" i="1"/>
  <c r="BA45" i="1"/>
  <c r="BJ45" i="1" s="1"/>
  <c r="BD45" i="1"/>
  <c r="S45" i="34" s="1"/>
  <c r="BA17" i="1"/>
  <c r="BJ17" i="1" s="1"/>
  <c r="BD17" i="1"/>
  <c r="S17" i="34" s="1"/>
  <c r="BB17" i="1"/>
  <c r="BD8" i="1"/>
  <c r="S8" i="34" s="1"/>
  <c r="BA8" i="1"/>
  <c r="BJ8" i="1" s="1"/>
  <c r="BB8" i="1"/>
  <c r="BD54" i="1"/>
  <c r="S54" i="34" s="1"/>
  <c r="BB54" i="1"/>
  <c r="BA54" i="1"/>
  <c r="BJ54" i="1" s="1"/>
  <c r="BB13" i="1"/>
  <c r="BD13" i="1"/>
  <c r="S13" i="34" s="1"/>
  <c r="BA13" i="1"/>
  <c r="BJ13" i="1" s="1"/>
  <c r="BB62" i="1"/>
  <c r="BD62" i="1"/>
  <c r="S62" i="34" s="1"/>
  <c r="BA62" i="1"/>
  <c r="BJ62" i="1" s="1"/>
  <c r="BB43" i="1"/>
  <c r="BA43" i="1"/>
  <c r="BJ43" i="1" s="1"/>
  <c r="BD43" i="1"/>
  <c r="S43" i="34" s="1"/>
  <c r="BB61" i="1"/>
  <c r="BA61" i="1"/>
  <c r="BJ61" i="1" s="1"/>
  <c r="BD61" i="1"/>
  <c r="S61" i="34" s="1"/>
  <c r="BA67" i="1"/>
  <c r="BJ67" i="1" s="1"/>
  <c r="BB67" i="1"/>
  <c r="BD67" i="1"/>
  <c r="S67" i="34" s="1"/>
  <c r="BA20" i="1"/>
  <c r="BJ20" i="1" s="1"/>
  <c r="BD20" i="1"/>
  <c r="S20" i="34" s="1"/>
  <c r="BB20" i="1"/>
  <c r="BA23" i="1"/>
  <c r="BJ23" i="1" s="1"/>
  <c r="BD23" i="1"/>
  <c r="S23" i="34" s="1"/>
  <c r="BB23" i="1"/>
  <c r="BA15" i="1"/>
  <c r="BJ15" i="1" s="1"/>
  <c r="BD15" i="1"/>
  <c r="BB15" i="1"/>
  <c r="BB37" i="1"/>
  <c r="BA37" i="1"/>
  <c r="BJ37" i="1" s="1"/>
  <c r="BD37" i="1"/>
  <c r="S37" i="34" s="1"/>
  <c r="BD68" i="1"/>
  <c r="S68" i="34" s="1"/>
  <c r="BB68" i="1"/>
  <c r="BA68" i="1"/>
  <c r="BJ68" i="1" s="1"/>
  <c r="BA34" i="1"/>
  <c r="BJ34" i="1" s="1"/>
  <c r="BD34" i="1"/>
  <c r="BB34" i="1"/>
  <c r="BD46" i="1"/>
  <c r="S46" i="34" s="1"/>
  <c r="BA46" i="1"/>
  <c r="BJ46" i="1" s="1"/>
  <c r="BB46" i="1"/>
  <c r="BD16" i="1"/>
  <c r="S16" i="34" s="1"/>
  <c r="BA16" i="1"/>
  <c r="BJ16" i="1" s="1"/>
  <c r="BB16" i="1"/>
  <c r="BB22" i="1"/>
  <c r="BA22" i="1"/>
  <c r="BJ22" i="1" s="1"/>
  <c r="BD22" i="1"/>
  <c r="S22" i="34" s="1"/>
  <c r="BD27" i="1"/>
  <c r="S27" i="34" s="1"/>
  <c r="BB27" i="1"/>
  <c r="BA27" i="1"/>
  <c r="BJ27" i="1" s="1"/>
  <c r="BA21" i="1"/>
  <c r="BJ21" i="1" s="1"/>
  <c r="BB21" i="1"/>
  <c r="BD21" i="1"/>
  <c r="S21" i="34" s="1"/>
  <c r="BB47" i="1"/>
  <c r="BD47" i="1"/>
  <c r="S47" i="34" s="1"/>
  <c r="BA47" i="1"/>
  <c r="BJ47" i="1" s="1"/>
  <c r="BA31" i="1"/>
  <c r="BJ31" i="1" s="1"/>
  <c r="BB31" i="1"/>
  <c r="BD31" i="1"/>
  <c r="S31" i="34" s="1"/>
  <c r="BB71" i="1"/>
  <c r="BA71" i="1"/>
  <c r="BJ71" i="1" s="1"/>
  <c r="BD71" i="1"/>
  <c r="BB12" i="1"/>
  <c r="BD12" i="1"/>
  <c r="S12" i="34" s="1"/>
  <c r="BA12" i="1"/>
  <c r="BJ12" i="1" s="1"/>
  <c r="BB26" i="1"/>
  <c r="BD26" i="1"/>
  <c r="S26" i="34" s="1"/>
  <c r="BA26" i="1"/>
  <c r="BJ26" i="1" s="1"/>
  <c r="BA14" i="1"/>
  <c r="BJ14" i="1" s="1"/>
  <c r="BB14" i="1"/>
  <c r="BD14" i="1"/>
  <c r="S14" i="34" s="1"/>
  <c r="BA59" i="1"/>
  <c r="BJ59" i="1" s="1"/>
  <c r="BD59" i="1"/>
  <c r="S59" i="34" s="1"/>
  <c r="BB59" i="1"/>
  <c r="BB10" i="1"/>
  <c r="BD10" i="1"/>
  <c r="S10" i="34" s="1"/>
  <c r="BA10" i="1"/>
  <c r="BJ10" i="1" s="1"/>
  <c r="BB65" i="1"/>
  <c r="BD65" i="1"/>
  <c r="S65" i="34" s="1"/>
  <c r="BA65" i="1"/>
  <c r="BJ65" i="1" s="1"/>
  <c r="BA53" i="1"/>
  <c r="BJ53" i="1" s="1"/>
  <c r="BB53" i="1"/>
  <c r="BD53" i="1"/>
  <c r="S53" i="34" s="1"/>
  <c r="BA29" i="1"/>
  <c r="BJ29" i="1" s="1"/>
  <c r="BB29" i="1"/>
  <c r="BD29" i="1"/>
  <c r="S29" i="34" s="1"/>
  <c r="BA72" i="1"/>
  <c r="BJ72" i="1" s="1"/>
  <c r="BB72" i="1"/>
  <c r="BD72" i="1"/>
  <c r="S72" i="34" s="1"/>
  <c r="BD60" i="1"/>
  <c r="S60" i="34" s="1"/>
  <c r="BA60" i="1"/>
  <c r="BJ60" i="1" s="1"/>
  <c r="BB60" i="1"/>
  <c r="BB38" i="1"/>
  <c r="BD38" i="1"/>
  <c r="S38" i="34" s="1"/>
  <c r="BA38" i="1"/>
  <c r="BJ38" i="1" s="1"/>
  <c r="BD73" i="1"/>
  <c r="S73" i="34" s="1"/>
  <c r="BA73" i="1"/>
  <c r="BJ73" i="1" s="1"/>
  <c r="BB73" i="1"/>
  <c r="BD42" i="1"/>
  <c r="BB42" i="1"/>
  <c r="BA42" i="1"/>
  <c r="BJ42" i="1" s="1"/>
  <c r="BA25" i="1"/>
  <c r="BJ25" i="1" s="1"/>
  <c r="BB25" i="1"/>
  <c r="BD25" i="1"/>
  <c r="S25" i="34" s="1"/>
  <c r="BA36" i="1"/>
  <c r="BJ36" i="1" s="1"/>
  <c r="BB36" i="1"/>
  <c r="BD36" i="1"/>
  <c r="BB33" i="1"/>
  <c r="BA33" i="1"/>
  <c r="BJ33" i="1" s="1"/>
  <c r="BD33" i="1"/>
  <c r="S33" i="34" s="1"/>
  <c r="BB18" i="1"/>
  <c r="BD18" i="1"/>
  <c r="S18" i="34" s="1"/>
  <c r="BA18" i="1"/>
  <c r="BJ18" i="1" s="1"/>
  <c r="BD39" i="1"/>
  <c r="S39" i="34" s="1"/>
  <c r="BA39" i="1"/>
  <c r="BJ39" i="1" s="1"/>
  <c r="BB39" i="1"/>
  <c r="BB48" i="1"/>
  <c r="BD48" i="1"/>
  <c r="S48" i="34" s="1"/>
  <c r="BA48" i="1"/>
  <c r="BJ48" i="1" s="1"/>
  <c r="BB64" i="1"/>
  <c r="BD64" i="1"/>
  <c r="S64" i="34" s="1"/>
  <c r="BA64" i="1"/>
  <c r="BJ64" i="1" s="1"/>
  <c r="BD32" i="1"/>
  <c r="S32" i="34" s="1"/>
  <c r="BB32" i="1"/>
  <c r="BA32" i="1"/>
  <c r="BJ32" i="1" s="1"/>
  <c r="BD11" i="1"/>
  <c r="S11" i="34" s="1"/>
  <c r="BB11" i="1"/>
  <c r="BA11" i="1"/>
  <c r="BJ11" i="1" s="1"/>
  <c r="AB45" i="1"/>
  <c r="Y45" i="1"/>
  <c r="Y50" i="1"/>
  <c r="AB37" i="1"/>
  <c r="AB61" i="1"/>
  <c r="Z37" i="1"/>
  <c r="Z61" i="1"/>
  <c r="AB48" i="1"/>
  <c r="Y36" i="1"/>
  <c r="AB27" i="1"/>
  <c r="Y70" i="1"/>
  <c r="AB66" i="1"/>
  <c r="Z49" i="1"/>
  <c r="AB52" i="1"/>
  <c r="AB70" i="1"/>
  <c r="Y48" i="1"/>
  <c r="AW51" i="1"/>
  <c r="M59" i="1"/>
  <c r="AB53" i="1"/>
  <c r="Z53" i="1"/>
  <c r="AB50" i="1"/>
  <c r="AW50" i="1"/>
  <c r="AB62" i="1"/>
  <c r="Z52" i="1"/>
  <c r="Z55" i="1"/>
  <c r="Y55" i="1"/>
  <c r="AB55" i="1"/>
  <c r="AB65" i="1"/>
  <c r="Z65" i="1"/>
  <c r="Z62" i="1"/>
  <c r="Z27" i="1"/>
  <c r="Z38" i="1"/>
  <c r="Z73" i="1"/>
  <c r="Y63" i="1"/>
  <c r="AB63" i="1"/>
  <c r="Y73" i="1"/>
  <c r="Y65" i="1"/>
  <c r="Y38" i="1"/>
  <c r="Y51" i="1"/>
  <c r="Z51" i="1"/>
  <c r="AB51" i="1"/>
  <c r="Y41" i="1"/>
  <c r="AB41" i="1"/>
  <c r="Z41" i="1"/>
  <c r="Z63" i="1"/>
  <c r="Z66" i="1"/>
  <c r="AB36" i="1"/>
  <c r="Y49" i="1"/>
  <c r="AI72" i="34"/>
  <c r="AH72" i="34"/>
  <c r="AC72" i="34"/>
  <c r="AD72" i="34"/>
  <c r="AY64" i="1"/>
  <c r="AX64" i="1"/>
  <c r="AY11" i="1"/>
  <c r="AX11" i="1"/>
  <c r="AY58" i="1"/>
  <c r="AX58" i="1"/>
  <c r="AY32" i="1"/>
  <c r="AX32" i="1"/>
  <c r="AY9" i="1"/>
  <c r="AX9" i="1"/>
  <c r="AY37" i="1"/>
  <c r="AX37" i="1"/>
  <c r="AY68" i="1"/>
  <c r="AX68" i="1"/>
  <c r="AX34" i="1"/>
  <c r="AY34" i="1"/>
  <c r="AY29" i="1"/>
  <c r="AX29" i="1"/>
  <c r="AY72" i="1"/>
  <c r="AX72" i="1"/>
  <c r="AX60" i="1"/>
  <c r="AY60" i="1"/>
  <c r="AX38" i="1"/>
  <c r="AY38" i="1"/>
  <c r="AX57" i="1"/>
  <c r="AY57" i="1"/>
  <c r="AY71" i="1"/>
  <c r="AX71" i="1"/>
  <c r="AY49" i="1"/>
  <c r="AX49" i="1"/>
  <c r="AY66" i="1"/>
  <c r="AX66" i="1"/>
  <c r="AX7" i="1"/>
  <c r="AY7" i="1"/>
  <c r="AY44" i="1"/>
  <c r="AX44" i="1"/>
  <c r="AY40" i="1"/>
  <c r="AX40" i="1"/>
  <c r="AY42" i="1"/>
  <c r="AX42" i="1"/>
  <c r="AY12" i="1"/>
  <c r="AX12" i="1"/>
  <c r="AY45" i="1"/>
  <c r="AX45" i="1"/>
  <c r="AX26" i="1"/>
  <c r="AY26" i="1"/>
  <c r="AY56" i="1"/>
  <c r="AX56" i="1"/>
  <c r="AW49" i="1"/>
  <c r="AY73" i="1"/>
  <c r="AX73" i="1"/>
  <c r="AY41" i="1"/>
  <c r="AX41" i="1"/>
  <c r="AY22" i="1"/>
  <c r="AX22" i="1"/>
  <c r="AY51" i="1"/>
  <c r="AX51" i="1"/>
  <c r="AY19" i="1"/>
  <c r="AX19" i="1"/>
  <c r="AX25" i="1"/>
  <c r="AY25" i="1"/>
  <c r="AH73" i="34"/>
  <c r="AY50" i="1"/>
  <c r="AX50" i="1"/>
  <c r="AY27" i="1"/>
  <c r="AX27" i="1"/>
  <c r="AY16" i="1"/>
  <c r="AX16" i="1"/>
  <c r="AY59" i="1"/>
  <c r="AX59" i="1"/>
  <c r="AX8" i="1"/>
  <c r="AY8" i="1"/>
  <c r="AY13" i="1"/>
  <c r="AX13" i="1"/>
  <c r="AI73" i="34"/>
  <c r="AY62" i="1"/>
  <c r="AX62" i="1"/>
  <c r="AX6" i="1"/>
  <c r="AY6" i="1"/>
  <c r="AX21" i="1"/>
  <c r="AY21" i="1"/>
  <c r="AY55" i="1"/>
  <c r="AX55" i="1"/>
  <c r="AA73" i="34"/>
  <c r="AY69" i="1"/>
  <c r="AX69" i="1"/>
  <c r="AY43" i="1"/>
  <c r="AX43" i="1"/>
  <c r="AY61" i="1"/>
  <c r="AX61" i="1"/>
  <c r="AX28" i="1"/>
  <c r="AY28" i="1"/>
  <c r="AF73" i="34"/>
  <c r="AY47" i="1"/>
  <c r="AX47" i="1"/>
  <c r="AY31" i="1"/>
  <c r="AX31" i="1"/>
  <c r="AY70" i="1"/>
  <c r="AX70" i="1"/>
  <c r="AY30" i="1"/>
  <c r="AX30" i="1"/>
  <c r="AY17" i="1"/>
  <c r="AX17" i="1"/>
  <c r="AY54" i="1"/>
  <c r="AX54" i="1"/>
  <c r="AY23" i="1"/>
  <c r="AX23" i="1"/>
  <c r="AX46" i="1"/>
  <c r="AY46" i="1"/>
  <c r="AX67" i="1"/>
  <c r="AY67" i="1"/>
  <c r="AX20" i="1"/>
  <c r="AY20" i="1"/>
  <c r="AY39" i="1"/>
  <c r="AX39" i="1"/>
  <c r="AY18" i="1"/>
  <c r="AX18" i="1"/>
  <c r="AY15" i="1"/>
  <c r="AX15" i="1"/>
  <c r="AY14" i="1"/>
  <c r="AX14" i="1"/>
  <c r="AY10" i="1"/>
  <c r="AX10" i="1"/>
  <c r="AY52" i="1"/>
  <c r="AX52" i="1"/>
  <c r="AY63" i="1"/>
  <c r="AX63" i="1"/>
  <c r="AX36" i="1"/>
  <c r="AY36" i="1"/>
  <c r="AX33" i="1"/>
  <c r="AY33" i="1"/>
  <c r="AY65" i="1"/>
  <c r="AX65" i="1"/>
  <c r="AY48" i="1"/>
  <c r="AX48" i="1"/>
  <c r="AY35" i="1"/>
  <c r="AX35" i="1"/>
  <c r="S35" i="34"/>
  <c r="AX53" i="1"/>
  <c r="AY53" i="1"/>
  <c r="M58" i="1"/>
  <c r="M32" i="1"/>
  <c r="M60" i="1"/>
  <c r="M33" i="1"/>
  <c r="M52" i="1"/>
  <c r="M47" i="1"/>
  <c r="M61" i="1"/>
  <c r="M7" i="1"/>
  <c r="M28" i="1"/>
  <c r="M72" i="1"/>
  <c r="M69" i="1"/>
  <c r="M46" i="1"/>
  <c r="M11" i="1"/>
  <c r="M41" i="1"/>
  <c r="M64" i="1"/>
  <c r="M9" i="1"/>
  <c r="M27" i="1"/>
  <c r="M39" i="1"/>
  <c r="M18" i="1"/>
  <c r="M68" i="1"/>
  <c r="M44" i="1"/>
  <c r="M8" i="1"/>
  <c r="M51" i="1"/>
  <c r="M54" i="1"/>
  <c r="M13" i="1"/>
  <c r="M19" i="1"/>
  <c r="M48" i="1"/>
  <c r="M35" i="1"/>
  <c r="M42" i="1"/>
  <c r="M53" i="1"/>
  <c r="M66" i="1"/>
  <c r="M26" i="1"/>
  <c r="M63" i="1"/>
  <c r="M12" i="1"/>
  <c r="M21" i="1"/>
  <c r="M29" i="1"/>
  <c r="M50" i="1"/>
  <c r="M31" i="1"/>
  <c r="M6" i="1"/>
  <c r="M49" i="1"/>
  <c r="M14" i="1"/>
  <c r="M71" i="1"/>
  <c r="M20" i="1"/>
  <c r="M10" i="1"/>
  <c r="M38" i="1"/>
  <c r="M55" i="1"/>
  <c r="M36" i="1"/>
  <c r="M62" i="1"/>
  <c r="M43" i="1"/>
  <c r="M70" i="1"/>
  <c r="M23" i="1"/>
  <c r="M25" i="1"/>
  <c r="M22" i="1"/>
  <c r="M65" i="1"/>
  <c r="M45" i="1"/>
  <c r="M17" i="1"/>
  <c r="M37" i="1"/>
  <c r="M73" i="1"/>
  <c r="M34" i="1"/>
  <c r="M56" i="1"/>
  <c r="M40" i="1"/>
  <c r="M15" i="1"/>
  <c r="M16" i="1"/>
  <c r="F39" i="34"/>
  <c r="F68" i="34"/>
  <c r="F51" i="34"/>
  <c r="F66" i="34"/>
  <c r="F26" i="34"/>
  <c r="F62" i="34"/>
  <c r="F43" i="34"/>
  <c r="F32" i="34"/>
  <c r="F70" i="34"/>
  <c r="F30" i="34"/>
  <c r="F23" i="34"/>
  <c r="F25" i="34"/>
  <c r="F22" i="34"/>
  <c r="F65" i="34"/>
  <c r="F45" i="34"/>
  <c r="F17" i="34"/>
  <c r="F37" i="34"/>
  <c r="F73" i="34"/>
  <c r="F34" i="34"/>
  <c r="F56" i="34"/>
  <c r="F40" i="34"/>
  <c r="F15" i="34"/>
  <c r="F16" i="34"/>
  <c r="F9" i="34"/>
  <c r="F44" i="34"/>
  <c r="F13" i="34"/>
  <c r="F35" i="34"/>
  <c r="F53" i="34"/>
  <c r="F54" i="34"/>
  <c r="F42" i="34"/>
  <c r="F47" i="34"/>
  <c r="F61" i="34"/>
  <c r="F7" i="34"/>
  <c r="F28" i="34"/>
  <c r="F59" i="34"/>
  <c r="F72" i="34"/>
  <c r="F29" i="34"/>
  <c r="F50" i="34"/>
  <c r="F31" i="34"/>
  <c r="F6" i="34"/>
  <c r="F49" i="34"/>
  <c r="F14" i="34"/>
  <c r="F67" i="34"/>
  <c r="F71" i="34"/>
  <c r="F20" i="34"/>
  <c r="F60" i="34"/>
  <c r="F10" i="34"/>
  <c r="F38" i="34"/>
  <c r="F48" i="34"/>
  <c r="F57" i="34"/>
  <c r="F63" i="34"/>
  <c r="F12" i="34"/>
  <c r="F21" i="34"/>
  <c r="F41" i="34"/>
  <c r="F55" i="34"/>
  <c r="F36" i="34"/>
  <c r="F58" i="34"/>
  <c r="F33" i="34"/>
  <c r="F69" i="34"/>
  <c r="F64" i="34"/>
  <c r="F46" i="34"/>
  <c r="F11" i="34"/>
  <c r="F52" i="34"/>
  <c r="F27" i="34"/>
  <c r="F18" i="34"/>
  <c r="F8" i="34"/>
  <c r="F19" i="34"/>
  <c r="E74" i="1"/>
  <c r="BC44" i="1" l="1"/>
  <c r="BC70" i="1"/>
  <c r="R70" i="34" s="1"/>
  <c r="BJ70" i="1"/>
  <c r="BC69" i="1"/>
  <c r="R69" i="34" s="1"/>
  <c r="BC61" i="1"/>
  <c r="R61" i="34" s="1"/>
  <c r="BC58" i="1"/>
  <c r="R58" i="34" s="1"/>
  <c r="BC52" i="1"/>
  <c r="R52" i="34" s="1"/>
  <c r="BC25" i="1"/>
  <c r="R25" i="34" s="1"/>
  <c r="BC46" i="1"/>
  <c r="R46" i="34" s="1"/>
  <c r="BC14" i="1"/>
  <c r="R14" i="34" s="1"/>
  <c r="BA74" i="1"/>
  <c r="BC49" i="1"/>
  <c r="R49" i="34" s="1"/>
  <c r="BC56" i="1"/>
  <c r="R56" i="34" s="1"/>
  <c r="BC7" i="1"/>
  <c r="R7" i="34" s="1"/>
  <c r="BC57" i="1"/>
  <c r="R57" i="34" s="1"/>
  <c r="BC60" i="1"/>
  <c r="R60" i="34" s="1"/>
  <c r="BC32" i="1"/>
  <c r="R32" i="34" s="1"/>
  <c r="BC45" i="1"/>
  <c r="R45" i="34" s="1"/>
  <c r="BC42" i="1"/>
  <c r="R42" i="34" s="1"/>
  <c r="BC23" i="1"/>
  <c r="R23" i="34" s="1"/>
  <c r="BC10" i="1"/>
  <c r="R10" i="34" s="1"/>
  <c r="BC71" i="1"/>
  <c r="R71" i="34" s="1"/>
  <c r="BC33" i="1"/>
  <c r="R33" i="34" s="1"/>
  <c r="BC51" i="1"/>
  <c r="R51" i="34" s="1"/>
  <c r="BC22" i="1"/>
  <c r="R22" i="34" s="1"/>
  <c r="BC38" i="1"/>
  <c r="R38" i="34" s="1"/>
  <c r="BC40" i="1"/>
  <c r="R40" i="34" s="1"/>
  <c r="BC55" i="1"/>
  <c r="R55" i="34" s="1"/>
  <c r="BC35" i="1"/>
  <c r="R35" i="34" s="1"/>
  <c r="BC54" i="1"/>
  <c r="R54" i="34" s="1"/>
  <c r="BC31" i="1"/>
  <c r="R31" i="34" s="1"/>
  <c r="BC6" i="1"/>
  <c r="R6" i="34" s="1"/>
  <c r="BC67" i="1"/>
  <c r="R67" i="34" s="1"/>
  <c r="BC19" i="1"/>
  <c r="R19" i="34" s="1"/>
  <c r="BC72" i="1"/>
  <c r="R72" i="34" s="1"/>
  <c r="BC68" i="1"/>
  <c r="R68" i="34" s="1"/>
  <c r="BC9" i="1"/>
  <c r="R9" i="34" s="1"/>
  <c r="BC8" i="1"/>
  <c r="R8" i="34" s="1"/>
  <c r="BC59" i="1"/>
  <c r="R59" i="34" s="1"/>
  <c r="BC16" i="1"/>
  <c r="R16" i="34" s="1"/>
  <c r="BC27" i="1"/>
  <c r="R27" i="34" s="1"/>
  <c r="BC29" i="1"/>
  <c r="R29" i="34" s="1"/>
  <c r="BC64" i="1"/>
  <c r="R64" i="34" s="1"/>
  <c r="BC26" i="1"/>
  <c r="S34" i="34"/>
  <c r="BC21" i="1"/>
  <c r="R21" i="34" s="1"/>
  <c r="BC36" i="1"/>
  <c r="R36" i="34" s="1"/>
  <c r="BC73" i="1"/>
  <c r="R73" i="34" s="1"/>
  <c r="BC37" i="1"/>
  <c r="R37" i="34" s="1"/>
  <c r="BC15" i="1"/>
  <c r="BC65" i="1"/>
  <c r="R65" i="34" s="1"/>
  <c r="BC63" i="1"/>
  <c r="R63" i="34" s="1"/>
  <c r="BC39" i="1"/>
  <c r="R39" i="34" s="1"/>
  <c r="BC20" i="1"/>
  <c r="R20" i="34" s="1"/>
  <c r="BC62" i="1"/>
  <c r="R62" i="34" s="1"/>
  <c r="BC48" i="1"/>
  <c r="R48" i="34" s="1"/>
  <c r="BC11" i="1"/>
  <c r="R11" i="34" s="1"/>
  <c r="BC53" i="1"/>
  <c r="R53" i="34" s="1"/>
  <c r="BC66" i="1"/>
  <c r="R66" i="34" s="1"/>
  <c r="S15" i="34"/>
  <c r="BC30" i="1"/>
  <c r="R30" i="34" s="1"/>
  <c r="BC47" i="1"/>
  <c r="R47" i="34" s="1"/>
  <c r="S36" i="34"/>
  <c r="S42" i="34"/>
  <c r="S55" i="34"/>
  <c r="BC13" i="1"/>
  <c r="R13" i="34" s="1"/>
  <c r="BC50" i="1"/>
  <c r="R50" i="34" s="1"/>
  <c r="BC41" i="1"/>
  <c r="R41" i="34" s="1"/>
  <c r="BC34" i="1"/>
  <c r="R34" i="34" s="1"/>
  <c r="BC12" i="1"/>
  <c r="R12" i="34" s="1"/>
  <c r="BC17" i="1"/>
  <c r="R17" i="34" s="1"/>
  <c r="BC18" i="1"/>
  <c r="R18" i="34" s="1"/>
  <c r="BC28" i="1"/>
  <c r="R28" i="34" s="1"/>
  <c r="BC43" i="1"/>
  <c r="R43" i="34" s="1"/>
  <c r="BJ81" i="1"/>
  <c r="BK81" i="1"/>
  <c r="S71" i="34"/>
  <c r="BK85" i="1"/>
  <c r="BJ82" i="1"/>
  <c r="BJ85" i="1"/>
  <c r="BJ83" i="1"/>
  <c r="BK82" i="1"/>
  <c r="BK83" i="1"/>
  <c r="BJ84" i="1"/>
  <c r="BJ80" i="1"/>
  <c r="BK84" i="1"/>
  <c r="BK80" i="1"/>
  <c r="BD74" i="1"/>
  <c r="R44" i="34"/>
  <c r="F74" i="34"/>
  <c r="O78" i="1"/>
  <c r="O79" i="1"/>
  <c r="O82" i="1"/>
  <c r="O83" i="1"/>
  <c r="O84" i="1"/>
  <c r="O86" i="1"/>
  <c r="O87" i="1"/>
  <c r="AD87" i="1" s="1"/>
  <c r="O88" i="1"/>
  <c r="AD88" i="1" s="1"/>
  <c r="O89" i="1"/>
  <c r="O90" i="1"/>
  <c r="O91" i="1"/>
  <c r="O92" i="1"/>
  <c r="O93" i="1"/>
  <c r="O94" i="1"/>
  <c r="O96" i="1"/>
  <c r="O97" i="1"/>
  <c r="O99" i="1"/>
  <c r="O100" i="1"/>
  <c r="O101" i="1"/>
  <c r="O102" i="1"/>
  <c r="O104" i="1"/>
  <c r="O105" i="1"/>
  <c r="O106" i="1"/>
  <c r="O107" i="1"/>
  <c r="O108" i="1"/>
  <c r="O109" i="1"/>
  <c r="O110" i="1"/>
  <c r="O111" i="1"/>
  <c r="O112" i="1"/>
  <c r="O113" i="1"/>
  <c r="O114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AV87" i="1" l="1"/>
  <c r="AZ87" i="1" s="1"/>
  <c r="BE87" i="1" s="1"/>
  <c r="AV88" i="1"/>
  <c r="AZ88" i="1" s="1"/>
  <c r="BE88" i="1" s="1"/>
  <c r="BJ75" i="1"/>
  <c r="R26" i="34"/>
  <c r="R15" i="34"/>
  <c r="BL81" i="1"/>
  <c r="BL82" i="1"/>
  <c r="BL83" i="1"/>
  <c r="BL85" i="1"/>
  <c r="BL84" i="1"/>
  <c r="BK87" i="1"/>
  <c r="BL80" i="1"/>
  <c r="BD129" i="1"/>
  <c r="BL75" i="1"/>
  <c r="BL76" i="1" s="1"/>
  <c r="AA96" i="1"/>
  <c r="AA94" i="1"/>
  <c r="W86" i="1"/>
  <c r="AA86" i="1"/>
  <c r="AA90" i="1"/>
  <c r="AA93" i="1"/>
  <c r="W85" i="1"/>
  <c r="AA85" i="1"/>
  <c r="AA92" i="1"/>
  <c r="AA84" i="1"/>
  <c r="AA91" i="1"/>
  <c r="AA83" i="1"/>
  <c r="W82" i="1"/>
  <c r="AA82" i="1"/>
  <c r="AA99" i="1"/>
  <c r="AA89" i="1"/>
  <c r="W79" i="1"/>
  <c r="AA79" i="1"/>
  <c r="AA97" i="1"/>
  <c r="W78" i="1"/>
  <c r="AA78" i="1"/>
  <c r="BL87" i="1" l="1"/>
  <c r="BM87" i="1" s="1"/>
  <c r="AD78" i="1"/>
  <c r="AD82" i="1"/>
  <c r="AD86" i="1"/>
  <c r="AD79" i="1"/>
  <c r="B3" i="1"/>
  <c r="AC82" i="1"/>
  <c r="AC78" i="1"/>
  <c r="AC86" i="1"/>
  <c r="AC79" i="1"/>
  <c r="AC85" i="1"/>
  <c r="T316" i="36" l="1"/>
  <c r="C48" i="39" l="1"/>
  <c r="AU12" i="28" l="1"/>
  <c r="L135" i="9" l="1"/>
  <c r="E171" i="9"/>
  <c r="D171" i="9"/>
  <c r="L8" i="9"/>
  <c r="L9" i="9" s="1"/>
  <c r="A99" i="42" l="1"/>
  <c r="A20" i="41"/>
  <c r="A21" i="41" s="1"/>
  <c r="A22" i="41" s="1"/>
  <c r="A23" i="41" s="1"/>
  <c r="A24" i="41" s="1"/>
  <c r="A25" i="41" s="1"/>
  <c r="A26" i="41" s="1"/>
  <c r="A27" i="41" s="1"/>
  <c r="L12" i="41"/>
  <c r="L11" i="41"/>
  <c r="L10" i="41"/>
  <c r="J10" i="41"/>
  <c r="L9" i="41"/>
  <c r="J9" i="41"/>
  <c r="L8" i="41"/>
  <c r="J8" i="41"/>
  <c r="L7" i="41"/>
  <c r="J7" i="41"/>
  <c r="L6" i="41"/>
  <c r="J6" i="41"/>
  <c r="L5" i="41"/>
  <c r="J5" i="41"/>
  <c r="L13" i="41" l="1"/>
  <c r="J13" i="41"/>
  <c r="U74" i="1" l="1"/>
  <c r="O80" i="1"/>
  <c r="AA80" i="1" l="1"/>
  <c r="O22" i="34" l="1"/>
  <c r="O70" i="34" l="1"/>
  <c r="O51" i="34"/>
  <c r="O19" i="34"/>
  <c r="O38" i="34"/>
  <c r="O16" i="34"/>
  <c r="O12" i="34"/>
  <c r="O10" i="34"/>
  <c r="O34" i="34"/>
  <c r="O21" i="34"/>
  <c r="O15" i="34"/>
  <c r="O41" i="34"/>
  <c r="O28" i="34"/>
  <c r="O7" i="34"/>
  <c r="O30" i="34"/>
  <c r="O66" i="34"/>
  <c r="O49" i="34"/>
  <c r="O40" i="34"/>
  <c r="O37" i="34"/>
  <c r="O64" i="34"/>
  <c r="O62" i="34"/>
  <c r="O60" i="34"/>
  <c r="O56" i="34"/>
  <c r="O44" i="34"/>
  <c r="O26" i="34"/>
  <c r="O50" i="34"/>
  <c r="O67" i="34"/>
  <c r="O48" i="34"/>
  <c r="O18" i="34"/>
  <c r="O11" i="34"/>
  <c r="O9" i="34"/>
  <c r="O6" i="34"/>
  <c r="O55" i="34"/>
  <c r="O47" i="34"/>
  <c r="O31" i="34"/>
  <c r="O54" i="34"/>
  <c r="O32" i="34"/>
  <c r="O29" i="34"/>
  <c r="O27" i="34"/>
  <c r="O71" i="34"/>
  <c r="O52" i="34"/>
  <c r="O43" i="34"/>
  <c r="O39" i="34"/>
  <c r="O23" i="34"/>
  <c r="O20" i="34"/>
  <c r="O17" i="34"/>
  <c r="O45" i="34"/>
  <c r="O72" i="34"/>
  <c r="AG72" i="34" s="1"/>
  <c r="O68" i="34"/>
  <c r="O65" i="34"/>
  <c r="O63" i="34"/>
  <c r="O57" i="34"/>
  <c r="O53" i="34"/>
  <c r="O46" i="34"/>
  <c r="O69" i="34"/>
  <c r="O33" i="34"/>
  <c r="O25" i="34"/>
  <c r="O14" i="34"/>
  <c r="O59" i="34"/>
  <c r="O73" i="34"/>
  <c r="AG73" i="34" s="1"/>
  <c r="O61" i="34"/>
  <c r="O42" i="34"/>
  <c r="O36" i="34"/>
  <c r="O35" i="34"/>
  <c r="O58" i="34"/>
  <c r="O13" i="34"/>
  <c r="O8" i="34"/>
  <c r="I9" i="28" l="1"/>
  <c r="I12" i="28"/>
  <c r="C80" i="9"/>
  <c r="C81" i="9" l="1"/>
  <c r="E12" i="9"/>
  <c r="B81" i="39"/>
  <c r="B80" i="39"/>
  <c r="B78" i="39"/>
  <c r="B72" i="39"/>
  <c r="B71" i="39"/>
  <c r="B70" i="39"/>
  <c r="B69" i="39"/>
  <c r="B63" i="39"/>
  <c r="B62" i="39"/>
  <c r="B61" i="39"/>
  <c r="B60" i="39"/>
  <c r="B54" i="39"/>
  <c r="B53" i="39"/>
  <c r="B52" i="39"/>
  <c r="B51" i="39"/>
  <c r="F48" i="39" l="1"/>
  <c r="C52" i="39"/>
  <c r="D52" i="39" s="1"/>
  <c r="G39" i="39"/>
  <c r="G38" i="39"/>
  <c r="G37" i="39"/>
  <c r="G36" i="39"/>
  <c r="G30" i="39"/>
  <c r="G29" i="39"/>
  <c r="G28" i="39"/>
  <c r="G27" i="39"/>
  <c r="C21" i="39"/>
  <c r="I21" i="39" s="1"/>
  <c r="J21" i="39" s="1"/>
  <c r="C20" i="39"/>
  <c r="H20" i="39" s="1"/>
  <c r="C19" i="39"/>
  <c r="I19" i="39" s="1"/>
  <c r="C18" i="39"/>
  <c r="E18" i="39" s="1"/>
  <c r="G21" i="39"/>
  <c r="G20" i="39"/>
  <c r="G19" i="39"/>
  <c r="G18" i="39"/>
  <c r="I12" i="39"/>
  <c r="J12" i="39" s="1"/>
  <c r="H12" i="39"/>
  <c r="I11" i="39"/>
  <c r="L11" i="39" s="1"/>
  <c r="H11" i="39"/>
  <c r="I10" i="39"/>
  <c r="J10" i="39" s="1"/>
  <c r="H10" i="39"/>
  <c r="G12" i="39"/>
  <c r="G11" i="39"/>
  <c r="G10" i="39"/>
  <c r="G9" i="39"/>
  <c r="I9" i="39"/>
  <c r="H9" i="39"/>
  <c r="E12" i="39"/>
  <c r="E11" i="39"/>
  <c r="E10" i="39"/>
  <c r="E9" i="39"/>
  <c r="K9" i="39" l="1"/>
  <c r="N9" i="39" s="1"/>
  <c r="J14" i="39"/>
  <c r="H18" i="39"/>
  <c r="I18" i="39"/>
  <c r="J18" i="39" s="1"/>
  <c r="M18" i="39" s="1"/>
  <c r="M12" i="39"/>
  <c r="E19" i="39"/>
  <c r="H19" i="39"/>
  <c r="K12" i="39"/>
  <c r="N12" i="39" s="1"/>
  <c r="I20" i="39"/>
  <c r="J20" i="39" s="1"/>
  <c r="C30" i="39"/>
  <c r="E30" i="39" s="1"/>
  <c r="J11" i="39"/>
  <c r="M11" i="39" s="1"/>
  <c r="M10" i="39"/>
  <c r="J19" i="39"/>
  <c r="K19" i="39"/>
  <c r="L19" i="39"/>
  <c r="K10" i="39"/>
  <c r="N10" i="39" s="1"/>
  <c r="L12" i="39"/>
  <c r="C28" i="39"/>
  <c r="L10" i="39"/>
  <c r="K11" i="39"/>
  <c r="N11" i="39" s="1"/>
  <c r="K21" i="39"/>
  <c r="J9" i="39"/>
  <c r="M9" i="39" s="1"/>
  <c r="C27" i="39"/>
  <c r="L9" i="39"/>
  <c r="L21" i="39"/>
  <c r="C29" i="39"/>
  <c r="H29" i="39" s="1"/>
  <c r="C53" i="39"/>
  <c r="C61" i="39"/>
  <c r="E52" i="39"/>
  <c r="F52" i="39" s="1"/>
  <c r="C54" i="39"/>
  <c r="D54" i="39" s="1"/>
  <c r="C51" i="39"/>
  <c r="E21" i="39"/>
  <c r="M21" i="39" s="1"/>
  <c r="H21" i="39"/>
  <c r="E20" i="39"/>
  <c r="I30" i="39" l="1"/>
  <c r="J30" i="39" s="1"/>
  <c r="M30" i="39" s="1"/>
  <c r="L20" i="39"/>
  <c r="M19" i="39"/>
  <c r="C70" i="39"/>
  <c r="C79" i="39" s="1"/>
  <c r="E61" i="39"/>
  <c r="F61" i="39" s="1"/>
  <c r="L18" i="39"/>
  <c r="N19" i="39"/>
  <c r="H30" i="39"/>
  <c r="C39" i="39"/>
  <c r="E39" i="39" s="1"/>
  <c r="K20" i="39"/>
  <c r="N20" i="39" s="1"/>
  <c r="M20" i="39"/>
  <c r="K18" i="39"/>
  <c r="N18" i="39" s="1"/>
  <c r="N21" i="39"/>
  <c r="O52" i="39"/>
  <c r="D61" i="39"/>
  <c r="G52" i="39"/>
  <c r="P52" i="39"/>
  <c r="I29" i="39"/>
  <c r="L29" i="39" s="1"/>
  <c r="C38" i="39"/>
  <c r="E29" i="39"/>
  <c r="E27" i="39"/>
  <c r="C36" i="39"/>
  <c r="I27" i="39"/>
  <c r="L27" i="39" s="1"/>
  <c r="H27" i="39"/>
  <c r="E28" i="39"/>
  <c r="C37" i="39"/>
  <c r="I28" i="39"/>
  <c r="L28" i="39" s="1"/>
  <c r="H28" i="39"/>
  <c r="C60" i="39"/>
  <c r="E60" i="39" s="1"/>
  <c r="F60" i="39" s="1"/>
  <c r="D51" i="39"/>
  <c r="C62" i="39"/>
  <c r="E62" i="39" s="1"/>
  <c r="F62" i="39" s="1"/>
  <c r="D53" i="39"/>
  <c r="E53" i="39"/>
  <c r="F53" i="39" s="1"/>
  <c r="E54" i="39"/>
  <c r="F54" i="39" s="1"/>
  <c r="P54" i="39" s="1"/>
  <c r="C63" i="39"/>
  <c r="E63" i="39" s="1"/>
  <c r="F63" i="39" s="1"/>
  <c r="E51" i="39"/>
  <c r="F51" i="39" s="1"/>
  <c r="E188" i="36" l="1"/>
  <c r="E251" i="36" s="1"/>
  <c r="E314" i="36" s="1"/>
  <c r="K30" i="39"/>
  <c r="N30" i="39" s="1"/>
  <c r="L30" i="39"/>
  <c r="J61" i="39"/>
  <c r="Q61" i="39" s="1"/>
  <c r="O54" i="39"/>
  <c r="E70" i="39"/>
  <c r="F70" i="39" s="1"/>
  <c r="P70" i="39" s="1"/>
  <c r="D70" i="39"/>
  <c r="E179" i="36"/>
  <c r="E242" i="36" s="1"/>
  <c r="E306" i="36" s="1"/>
  <c r="E183" i="36"/>
  <c r="E180" i="36"/>
  <c r="E182" i="36"/>
  <c r="E181" i="36"/>
  <c r="E178" i="36"/>
  <c r="E241" i="36" s="1"/>
  <c r="E305" i="36" s="1"/>
  <c r="E171" i="36"/>
  <c r="E234" i="36" s="1"/>
  <c r="E298" i="36" s="1"/>
  <c r="I39" i="39"/>
  <c r="L39" i="39" s="1"/>
  <c r="H39" i="39"/>
  <c r="G54" i="39"/>
  <c r="K51" i="39"/>
  <c r="N51" i="39" s="1"/>
  <c r="L52" i="39"/>
  <c r="K52" i="39"/>
  <c r="N52" i="39" s="1"/>
  <c r="J52" i="39"/>
  <c r="P51" i="39"/>
  <c r="C71" i="39"/>
  <c r="D62" i="39"/>
  <c r="G53" i="39"/>
  <c r="G51" i="39"/>
  <c r="P53" i="39"/>
  <c r="J53" i="39"/>
  <c r="D79" i="39"/>
  <c r="E79" i="39"/>
  <c r="F79" i="39" s="1"/>
  <c r="P61" i="39"/>
  <c r="G61" i="39"/>
  <c r="C69" i="39"/>
  <c r="D60" i="39"/>
  <c r="J60" i="39" s="1"/>
  <c r="D63" i="39"/>
  <c r="H37" i="39"/>
  <c r="I37" i="39"/>
  <c r="E37" i="39"/>
  <c r="I38" i="39"/>
  <c r="L38" i="39" s="1"/>
  <c r="H38" i="39"/>
  <c r="E38" i="39"/>
  <c r="J28" i="39"/>
  <c r="M28" i="39" s="1"/>
  <c r="K28" i="39"/>
  <c r="N28" i="39" s="1"/>
  <c r="J27" i="39"/>
  <c r="M27" i="39" s="1"/>
  <c r="K27" i="39"/>
  <c r="N27" i="39" s="1"/>
  <c r="E36" i="39"/>
  <c r="I36" i="39"/>
  <c r="H36" i="39"/>
  <c r="J29" i="39"/>
  <c r="M29" i="39" s="1"/>
  <c r="K29" i="39"/>
  <c r="N29" i="39" s="1"/>
  <c r="J51" i="39"/>
  <c r="L51" i="39"/>
  <c r="L54" i="39"/>
  <c r="C72" i="39"/>
  <c r="L36" i="39" l="1"/>
  <c r="I41" i="39"/>
  <c r="I42" i="39" s="1"/>
  <c r="Q53" i="39"/>
  <c r="Q51" i="39"/>
  <c r="Q60" i="39"/>
  <c r="K39" i="39"/>
  <c r="N39" i="39" s="1"/>
  <c r="K54" i="39"/>
  <c r="N54" i="39" s="1"/>
  <c r="J54" i="39"/>
  <c r="Q54" i="39" s="1"/>
  <c r="O61" i="39"/>
  <c r="K61" i="39"/>
  <c r="N61" i="39" s="1"/>
  <c r="L61" i="39"/>
  <c r="O51" i="39"/>
  <c r="J39" i="39"/>
  <c r="M39" i="39" s="1"/>
  <c r="L70" i="39"/>
  <c r="G70" i="39"/>
  <c r="Q70" i="39" s="1"/>
  <c r="K79" i="39"/>
  <c r="M52" i="39"/>
  <c r="Q52" i="39"/>
  <c r="M54" i="39"/>
  <c r="L53" i="39"/>
  <c r="M51" i="39"/>
  <c r="K53" i="39"/>
  <c r="N53" i="39" s="1"/>
  <c r="O53" i="39"/>
  <c r="M61" i="39"/>
  <c r="K60" i="39"/>
  <c r="M53" i="39"/>
  <c r="P63" i="39"/>
  <c r="G63" i="39"/>
  <c r="L63" i="39"/>
  <c r="P60" i="39"/>
  <c r="G60" i="39"/>
  <c r="M60" i="39" s="1"/>
  <c r="E71" i="39"/>
  <c r="F71" i="39" s="1"/>
  <c r="D71" i="39"/>
  <c r="C80" i="39"/>
  <c r="C78" i="39"/>
  <c r="D69" i="39"/>
  <c r="E69" i="39"/>
  <c r="F69" i="39" s="1"/>
  <c r="P62" i="39"/>
  <c r="G62" i="39"/>
  <c r="K62" i="39"/>
  <c r="P79" i="39"/>
  <c r="G79" i="39"/>
  <c r="Q79" i="39" s="1"/>
  <c r="E72" i="39"/>
  <c r="F72" i="39" s="1"/>
  <c r="D72" i="39"/>
  <c r="L60" i="39"/>
  <c r="O60" i="39"/>
  <c r="J37" i="39"/>
  <c r="M37" i="39" s="1"/>
  <c r="K37" i="39"/>
  <c r="N37" i="39" s="1"/>
  <c r="J38" i="39"/>
  <c r="M38" i="39" s="1"/>
  <c r="K38" i="39"/>
  <c r="N38" i="39" s="1"/>
  <c r="L37" i="39"/>
  <c r="J36" i="39"/>
  <c r="M36" i="39" s="1"/>
  <c r="K36" i="39"/>
  <c r="N36" i="39" s="1"/>
  <c r="C81" i="39"/>
  <c r="O79" i="39" l="1"/>
  <c r="J79" i="39"/>
  <c r="M79" i="39" s="1"/>
  <c r="L79" i="39"/>
  <c r="J70" i="39"/>
  <c r="M70" i="39" s="1"/>
  <c r="K70" i="39"/>
  <c r="N70" i="39" s="1"/>
  <c r="O70" i="39"/>
  <c r="N60" i="39"/>
  <c r="N79" i="39"/>
  <c r="O72" i="39"/>
  <c r="O63" i="39"/>
  <c r="K63" i="39"/>
  <c r="N63" i="39" s="1"/>
  <c r="J63" i="39"/>
  <c r="N62" i="39"/>
  <c r="G71" i="39"/>
  <c r="Q71" i="39" s="1"/>
  <c r="P71" i="39"/>
  <c r="J62" i="39"/>
  <c r="P69" i="39"/>
  <c r="G69" i="39"/>
  <c r="Q69" i="39" s="1"/>
  <c r="E81" i="39"/>
  <c r="F81" i="39" s="1"/>
  <c r="D81" i="39"/>
  <c r="O62" i="39"/>
  <c r="D78" i="39"/>
  <c r="E78" i="39"/>
  <c r="F78" i="39" s="1"/>
  <c r="G72" i="39"/>
  <c r="Q72" i="39" s="1"/>
  <c r="P72" i="39"/>
  <c r="L62" i="39"/>
  <c r="E80" i="39"/>
  <c r="F80" i="39" s="1"/>
  <c r="D80" i="39"/>
  <c r="K78" i="39" l="1"/>
  <c r="M63" i="39"/>
  <c r="Q63" i="39"/>
  <c r="M62" i="39"/>
  <c r="Q62" i="39"/>
  <c r="L72" i="39"/>
  <c r="K72" i="39"/>
  <c r="N72" i="39" s="1"/>
  <c r="J72" i="39"/>
  <c r="M72" i="39" s="1"/>
  <c r="O69" i="39"/>
  <c r="L69" i="39"/>
  <c r="K69" i="39"/>
  <c r="N69" i="39" s="1"/>
  <c r="J69" i="39"/>
  <c r="M69" i="39" s="1"/>
  <c r="P78" i="39"/>
  <c r="G78" i="39"/>
  <c r="Q78" i="39" s="1"/>
  <c r="O71" i="39"/>
  <c r="K71" i="39"/>
  <c r="N71" i="39" s="1"/>
  <c r="J71" i="39"/>
  <c r="M71" i="39" s="1"/>
  <c r="P81" i="39"/>
  <c r="G81" i="39"/>
  <c r="Q81" i="39" s="1"/>
  <c r="L81" i="39"/>
  <c r="L71" i="39"/>
  <c r="O78" i="39" l="1"/>
  <c r="L78" i="39"/>
  <c r="J78" i="39"/>
  <c r="M78" i="39" s="1"/>
  <c r="J81" i="39"/>
  <c r="M81" i="39" s="1"/>
  <c r="K81" i="39"/>
  <c r="N81" i="39" s="1"/>
  <c r="O81" i="39"/>
  <c r="P80" i="39"/>
  <c r="G80" i="39"/>
  <c r="Q80" i="39" s="1"/>
  <c r="L80" i="39"/>
  <c r="N78" i="39"/>
  <c r="K80" i="39" l="1"/>
  <c r="N80" i="39" s="1"/>
  <c r="J80" i="39"/>
  <c r="M80" i="39" s="1"/>
  <c r="O80" i="39"/>
  <c r="AP9" i="34" l="1"/>
  <c r="P511" i="37"/>
  <c r="Q511" i="37" s="1"/>
  <c r="Q512" i="37" s="1"/>
  <c r="O103" i="1" l="1"/>
  <c r="F93" i="9" l="1"/>
  <c r="K92" i="9" s="1"/>
  <c r="L46" i="9"/>
  <c r="L47" i="9" s="1"/>
  <c r="K88" i="9" l="1"/>
  <c r="K89" i="9"/>
  <c r="K90" i="9"/>
  <c r="K91" i="9"/>
  <c r="L48" i="9"/>
  <c r="L49" i="9" s="1"/>
  <c r="L50" i="9" s="1"/>
  <c r="AF28" i="1" l="1"/>
  <c r="AG28" i="1" l="1"/>
  <c r="O28" i="1" l="1"/>
  <c r="T28" i="1" l="1"/>
  <c r="S28" i="1" s="1"/>
  <c r="L28" i="34"/>
  <c r="M28" i="34" s="1"/>
  <c r="X28" i="1" l="1"/>
  <c r="AB28" i="1"/>
  <c r="Y28" i="1"/>
  <c r="Z28" i="1"/>
  <c r="V28" i="1"/>
  <c r="W28" i="1" s="1"/>
  <c r="AA28" i="1" l="1"/>
  <c r="AC28" i="1" s="1"/>
  <c r="AU25" i="28"/>
  <c r="AU54" i="28"/>
  <c r="AU51" i="28"/>
  <c r="AU50" i="28"/>
  <c r="AU49" i="28"/>
  <c r="AU48" i="28"/>
  <c r="AU47" i="28"/>
  <c r="AU46" i="28"/>
  <c r="AU45" i="28"/>
  <c r="AU44" i="28"/>
  <c r="AU42" i="28"/>
  <c r="AU41" i="28"/>
  <c r="AU40" i="28"/>
  <c r="AU39" i="28"/>
  <c r="AU36" i="28"/>
  <c r="AU26" i="28"/>
  <c r="AU24" i="28"/>
  <c r="AU23" i="28"/>
  <c r="AU22" i="28"/>
  <c r="AU21" i="28"/>
  <c r="AU20" i="28"/>
  <c r="AU19" i="28"/>
  <c r="AU18" i="28"/>
  <c r="AU17" i="28"/>
  <c r="AU16" i="28"/>
  <c r="AU15" i="28"/>
  <c r="AU14" i="28"/>
  <c r="AU13" i="28"/>
  <c r="AU11" i="28"/>
  <c r="AU9" i="28"/>
  <c r="AU10" i="28"/>
  <c r="AU8" i="28"/>
  <c r="AU7" i="28"/>
  <c r="AU6" i="28"/>
  <c r="AU5" i="28"/>
  <c r="AD28" i="1" l="1"/>
  <c r="AK74" i="1" l="1"/>
  <c r="O74" i="34" s="1"/>
  <c r="I7" i="28"/>
  <c r="AE28" i="1"/>
  <c r="O457" i="37"/>
  <c r="F172" i="34" l="1"/>
  <c r="F171" i="34"/>
  <c r="B171" i="34"/>
  <c r="F168" i="34"/>
  <c r="F167" i="34"/>
  <c r="B167" i="34"/>
  <c r="F163" i="34"/>
  <c r="F162" i="34"/>
  <c r="F161" i="34"/>
  <c r="D161" i="34"/>
  <c r="C161" i="34"/>
  <c r="B161" i="34"/>
  <c r="F160" i="34"/>
  <c r="D160" i="34"/>
  <c r="C160" i="34"/>
  <c r="B160" i="34"/>
  <c r="F155" i="34"/>
  <c r="F154" i="34"/>
  <c r="D154" i="34"/>
  <c r="C154" i="34"/>
  <c r="B154" i="34"/>
  <c r="J132" i="34"/>
  <c r="H132" i="34"/>
  <c r="F132" i="34"/>
  <c r="D132" i="34"/>
  <c r="C132" i="34"/>
  <c r="B132" i="34"/>
  <c r="K129" i="34"/>
  <c r="J129" i="34"/>
  <c r="AI129" i="34" s="1"/>
  <c r="H129" i="34"/>
  <c r="D129" i="34"/>
  <c r="C129" i="34"/>
  <c r="B129" i="34"/>
  <c r="P128" i="34"/>
  <c r="L128" i="34"/>
  <c r="M128" i="34" s="1"/>
  <c r="K128" i="34"/>
  <c r="F128" i="34"/>
  <c r="D128" i="34"/>
  <c r="C128" i="34"/>
  <c r="B128" i="34"/>
  <c r="P127" i="34"/>
  <c r="L127" i="34"/>
  <c r="M127" i="34" s="1"/>
  <c r="K127" i="34"/>
  <c r="F127" i="34"/>
  <c r="D127" i="34"/>
  <c r="C127" i="34"/>
  <c r="B127" i="34"/>
  <c r="P126" i="34"/>
  <c r="L126" i="34"/>
  <c r="K126" i="34"/>
  <c r="F126" i="34"/>
  <c r="D126" i="34"/>
  <c r="C126" i="34"/>
  <c r="B126" i="34"/>
  <c r="P125" i="34"/>
  <c r="L125" i="34"/>
  <c r="M125" i="34" s="1"/>
  <c r="K125" i="34"/>
  <c r="F125" i="34"/>
  <c r="D125" i="34"/>
  <c r="C125" i="34"/>
  <c r="B125" i="34"/>
  <c r="P124" i="34"/>
  <c r="L124" i="34"/>
  <c r="M124" i="34" s="1"/>
  <c r="K124" i="34"/>
  <c r="F124" i="34"/>
  <c r="D124" i="34"/>
  <c r="C124" i="34"/>
  <c r="B124" i="34"/>
  <c r="P123" i="34"/>
  <c r="L123" i="34"/>
  <c r="M123" i="34" s="1"/>
  <c r="K123" i="34"/>
  <c r="F123" i="34"/>
  <c r="D123" i="34"/>
  <c r="C123" i="34"/>
  <c r="B123" i="34"/>
  <c r="P122" i="34"/>
  <c r="L122" i="34"/>
  <c r="M122" i="34" s="1"/>
  <c r="K122" i="34"/>
  <c r="F122" i="34"/>
  <c r="D122" i="34"/>
  <c r="C122" i="34"/>
  <c r="B122" i="34"/>
  <c r="P121" i="34"/>
  <c r="L121" i="34"/>
  <c r="K121" i="34"/>
  <c r="F121" i="34"/>
  <c r="D121" i="34"/>
  <c r="C121" i="34"/>
  <c r="B121" i="34"/>
  <c r="P120" i="34"/>
  <c r="L120" i="34"/>
  <c r="M120" i="34" s="1"/>
  <c r="K120" i="34"/>
  <c r="F120" i="34"/>
  <c r="D120" i="34"/>
  <c r="C120" i="34"/>
  <c r="B120" i="34"/>
  <c r="P119" i="34"/>
  <c r="L119" i="34"/>
  <c r="M119" i="34" s="1"/>
  <c r="K119" i="34"/>
  <c r="F119" i="34"/>
  <c r="D119" i="34"/>
  <c r="C119" i="34"/>
  <c r="B119" i="34"/>
  <c r="P118" i="34"/>
  <c r="L118" i="34"/>
  <c r="K118" i="34"/>
  <c r="F118" i="34"/>
  <c r="D118" i="34"/>
  <c r="C118" i="34"/>
  <c r="B118" i="34"/>
  <c r="P117" i="34"/>
  <c r="L117" i="34"/>
  <c r="M117" i="34" s="1"/>
  <c r="K117" i="34"/>
  <c r="F117" i="34"/>
  <c r="D117" i="34"/>
  <c r="C117" i="34"/>
  <c r="B117" i="34"/>
  <c r="P116" i="34"/>
  <c r="L116" i="34"/>
  <c r="M116" i="34" s="1"/>
  <c r="K116" i="34"/>
  <c r="F116" i="34"/>
  <c r="D116" i="34"/>
  <c r="C116" i="34"/>
  <c r="B116" i="34"/>
  <c r="P115" i="34"/>
  <c r="L115" i="34"/>
  <c r="M115" i="34" s="1"/>
  <c r="K115" i="34"/>
  <c r="F115" i="34"/>
  <c r="D115" i="34"/>
  <c r="C115" i="34"/>
  <c r="B115" i="34"/>
  <c r="P114" i="34"/>
  <c r="L114" i="34"/>
  <c r="M114" i="34" s="1"/>
  <c r="K114" i="34"/>
  <c r="F114" i="34"/>
  <c r="D114" i="34"/>
  <c r="C114" i="34"/>
  <c r="B114" i="34"/>
  <c r="P113" i="34"/>
  <c r="L113" i="34"/>
  <c r="M113" i="34" s="1"/>
  <c r="K113" i="34"/>
  <c r="F113" i="34"/>
  <c r="D113" i="34"/>
  <c r="C113" i="34"/>
  <c r="B113" i="34"/>
  <c r="P112" i="34"/>
  <c r="L112" i="34"/>
  <c r="K112" i="34"/>
  <c r="F112" i="34"/>
  <c r="D112" i="34"/>
  <c r="C112" i="34"/>
  <c r="B112" i="34"/>
  <c r="P111" i="34"/>
  <c r="L111" i="34"/>
  <c r="M111" i="34" s="1"/>
  <c r="K111" i="34"/>
  <c r="F111" i="34"/>
  <c r="D111" i="34"/>
  <c r="C111" i="34"/>
  <c r="B111" i="34"/>
  <c r="P110" i="34"/>
  <c r="L110" i="34"/>
  <c r="K110" i="34"/>
  <c r="F110" i="34"/>
  <c r="D110" i="34"/>
  <c r="C110" i="34"/>
  <c r="B110" i="34"/>
  <c r="P109" i="34"/>
  <c r="L109" i="34"/>
  <c r="M109" i="34" s="1"/>
  <c r="K109" i="34"/>
  <c r="F109" i="34"/>
  <c r="D109" i="34"/>
  <c r="C109" i="34"/>
  <c r="B109" i="34"/>
  <c r="P108" i="34"/>
  <c r="L108" i="34"/>
  <c r="M108" i="34" s="1"/>
  <c r="K108" i="34"/>
  <c r="F108" i="34"/>
  <c r="D108" i="34"/>
  <c r="C108" i="34"/>
  <c r="B108" i="34"/>
  <c r="P107" i="34"/>
  <c r="L107" i="34"/>
  <c r="M107" i="34" s="1"/>
  <c r="K107" i="34"/>
  <c r="F107" i="34"/>
  <c r="D107" i="34"/>
  <c r="C107" i="34"/>
  <c r="B107" i="34"/>
  <c r="P106" i="34"/>
  <c r="L106" i="34"/>
  <c r="K106" i="34"/>
  <c r="F106" i="34"/>
  <c r="D106" i="34"/>
  <c r="C106" i="34"/>
  <c r="B106" i="34"/>
  <c r="P105" i="34"/>
  <c r="L105" i="34"/>
  <c r="M105" i="34" s="1"/>
  <c r="K105" i="34"/>
  <c r="F105" i="34"/>
  <c r="D105" i="34"/>
  <c r="C105" i="34"/>
  <c r="B105" i="34"/>
  <c r="P104" i="34"/>
  <c r="L104" i="34"/>
  <c r="M104" i="34" s="1"/>
  <c r="K104" i="34"/>
  <c r="F104" i="34"/>
  <c r="D104" i="34"/>
  <c r="C104" i="34"/>
  <c r="B104" i="34"/>
  <c r="P103" i="34"/>
  <c r="L103" i="34"/>
  <c r="M103" i="34" s="1"/>
  <c r="K103" i="34"/>
  <c r="F103" i="34"/>
  <c r="D103" i="34"/>
  <c r="C103" i="34"/>
  <c r="B103" i="34"/>
  <c r="P102" i="34"/>
  <c r="L102" i="34"/>
  <c r="K102" i="34"/>
  <c r="F102" i="34"/>
  <c r="D102" i="34"/>
  <c r="C102" i="34"/>
  <c r="B102" i="34"/>
  <c r="P101" i="34"/>
  <c r="L101" i="34"/>
  <c r="M101" i="34" s="1"/>
  <c r="K101" i="34"/>
  <c r="F101" i="34"/>
  <c r="D101" i="34"/>
  <c r="C101" i="34"/>
  <c r="B101" i="34"/>
  <c r="P100" i="34"/>
  <c r="L100" i="34"/>
  <c r="K100" i="34"/>
  <c r="F100" i="34"/>
  <c r="D100" i="34"/>
  <c r="C100" i="34"/>
  <c r="B100" i="34"/>
  <c r="B43" i="37"/>
  <c r="C42" i="37"/>
  <c r="K42" i="37" s="1"/>
  <c r="B41" i="37"/>
  <c r="C41" i="37" s="1"/>
  <c r="J41" i="37" s="1"/>
  <c r="J196" i="36"/>
  <c r="J225" i="36" s="1"/>
  <c r="J38" i="36"/>
  <c r="Q154" i="34" l="1"/>
  <c r="Q155" i="34" s="1"/>
  <c r="P154" i="34"/>
  <c r="P155" i="34" s="1"/>
  <c r="K154" i="34"/>
  <c r="K155" i="34" s="1"/>
  <c r="B40" i="37"/>
  <c r="B39" i="37" s="1"/>
  <c r="B38" i="37" s="1"/>
  <c r="E42" i="37"/>
  <c r="D42" i="37"/>
  <c r="J42" i="37"/>
  <c r="E167" i="36"/>
  <c r="E229" i="36" s="1"/>
  <c r="E293" i="36" s="1"/>
  <c r="C136" i="9"/>
  <c r="C100" i="9"/>
  <c r="C135" i="9"/>
  <c r="C137" i="9"/>
  <c r="C101" i="9"/>
  <c r="C99" i="9"/>
  <c r="C134" i="9"/>
  <c r="C98" i="9"/>
  <c r="R154" i="34"/>
  <c r="R155" i="34" s="1"/>
  <c r="R109" i="34"/>
  <c r="S111" i="34"/>
  <c r="S132" i="34"/>
  <c r="S160" i="34"/>
  <c r="S114" i="34"/>
  <c r="S120" i="34"/>
  <c r="S125" i="34"/>
  <c r="AF129" i="34"/>
  <c r="R160" i="34"/>
  <c r="AA129" i="34"/>
  <c r="R161" i="34"/>
  <c r="S108" i="34"/>
  <c r="S128" i="34"/>
  <c r="AC129" i="34"/>
  <c r="M100" i="34"/>
  <c r="R117" i="34"/>
  <c r="R100" i="34"/>
  <c r="R115" i="34"/>
  <c r="S100" i="34"/>
  <c r="R114" i="34"/>
  <c r="R107" i="34"/>
  <c r="R108" i="34"/>
  <c r="S102" i="34"/>
  <c r="S104" i="34"/>
  <c r="S109" i="34"/>
  <c r="S112" i="34"/>
  <c r="S119" i="34"/>
  <c r="R124" i="34"/>
  <c r="R125" i="34"/>
  <c r="AD129" i="34"/>
  <c r="R111" i="34"/>
  <c r="R120" i="34"/>
  <c r="S121" i="34"/>
  <c r="S122" i="34"/>
  <c r="R126" i="34"/>
  <c r="AB129" i="34"/>
  <c r="R121" i="34"/>
  <c r="S105" i="34"/>
  <c r="R105" i="34"/>
  <c r="R104" i="34"/>
  <c r="R132" i="34"/>
  <c r="M118" i="34"/>
  <c r="M126" i="34"/>
  <c r="M102" i="34"/>
  <c r="S101" i="34"/>
  <c r="R101" i="34"/>
  <c r="AA132" i="34"/>
  <c r="AI132" i="34"/>
  <c r="AF132" i="34"/>
  <c r="AD132" i="34"/>
  <c r="AB132" i="34"/>
  <c r="AC132" i="34"/>
  <c r="M106" i="34"/>
  <c r="S113" i="34"/>
  <c r="R113" i="34"/>
  <c r="R112" i="34"/>
  <c r="S154" i="34"/>
  <c r="S155" i="34" s="1"/>
  <c r="M121" i="34"/>
  <c r="R122" i="34"/>
  <c r="S107" i="34"/>
  <c r="M110" i="34"/>
  <c r="S115" i="34"/>
  <c r="R119" i="34"/>
  <c r="S124" i="34"/>
  <c r="M112" i="34"/>
  <c r="S117" i="34"/>
  <c r="S123" i="34"/>
  <c r="R123" i="34"/>
  <c r="S127" i="34"/>
  <c r="R127" i="34"/>
  <c r="R102" i="34"/>
  <c r="R103" i="34"/>
  <c r="S103" i="34"/>
  <c r="S106" i="34"/>
  <c r="R106" i="34"/>
  <c r="R118" i="34"/>
  <c r="S116" i="34"/>
  <c r="R116" i="34"/>
  <c r="S126" i="34"/>
  <c r="S110" i="34"/>
  <c r="R110" i="34"/>
  <c r="S118" i="34"/>
  <c r="R128" i="34"/>
  <c r="S161" i="34"/>
  <c r="E158" i="36"/>
  <c r="E221" i="36" s="1"/>
  <c r="E155" i="36"/>
  <c r="E218" i="36" s="1"/>
  <c r="E282" i="36" s="1"/>
  <c r="E152" i="36"/>
  <c r="E215" i="36" s="1"/>
  <c r="E279" i="36" s="1"/>
  <c r="E149" i="36"/>
  <c r="E212" i="36" s="1"/>
  <c r="E276" i="36" s="1"/>
  <c r="K291" i="36"/>
  <c r="E141" i="36"/>
  <c r="E204" i="36" s="1"/>
  <c r="E268" i="36" s="1"/>
  <c r="E184" i="36"/>
  <c r="E247" i="36" s="1"/>
  <c r="E311" i="36" s="1"/>
  <c r="E169" i="36"/>
  <c r="E231" i="36" s="1"/>
  <c r="E295" i="36" s="1"/>
  <c r="E137" i="36"/>
  <c r="M291" i="36"/>
  <c r="E246" i="36"/>
  <c r="E310" i="36" s="1"/>
  <c r="E144" i="36"/>
  <c r="E207" i="36" s="1"/>
  <c r="E271" i="36" s="1"/>
  <c r="E134" i="36"/>
  <c r="E197" i="36" s="1"/>
  <c r="E261" i="36" s="1"/>
  <c r="E161" i="36"/>
  <c r="E224" i="36" s="1"/>
  <c r="E288" i="36" s="1"/>
  <c r="C291" i="36"/>
  <c r="E133" i="36"/>
  <c r="E139" i="36"/>
  <c r="E202" i="36" s="1"/>
  <c r="E266" i="36" s="1"/>
  <c r="E150" i="36"/>
  <c r="E213" i="36" s="1"/>
  <c r="E173" i="36"/>
  <c r="E236" i="36" s="1"/>
  <c r="E300" i="36" s="1"/>
  <c r="E244" i="36"/>
  <c r="E308" i="36" s="1"/>
  <c r="E176" i="36"/>
  <c r="E239" i="36" s="1"/>
  <c r="E303" i="36" s="1"/>
  <c r="E174" i="36"/>
  <c r="E237" i="36" s="1"/>
  <c r="E301" i="36" s="1"/>
  <c r="E153" i="36"/>
  <c r="E216" i="36" s="1"/>
  <c r="E280" i="36" s="1"/>
  <c r="E151" i="36"/>
  <c r="E214" i="36" s="1"/>
  <c r="E278" i="36" s="1"/>
  <c r="E243" i="36"/>
  <c r="E307" i="36" s="1"/>
  <c r="E175" i="36"/>
  <c r="E238" i="36" s="1"/>
  <c r="E302" i="36" s="1"/>
  <c r="E172" i="36"/>
  <c r="E235" i="36" s="1"/>
  <c r="E299" i="36" s="1"/>
  <c r="E165" i="36"/>
  <c r="E160" i="36"/>
  <c r="E223" i="36" s="1"/>
  <c r="E287" i="36" s="1"/>
  <c r="E138" i="36"/>
  <c r="E201" i="36" s="1"/>
  <c r="E265" i="36" s="1"/>
  <c r="E135" i="36"/>
  <c r="E198" i="36" s="1"/>
  <c r="E262" i="36" s="1"/>
  <c r="Q291" i="36"/>
  <c r="G291" i="36"/>
  <c r="E157" i="36"/>
  <c r="E220" i="36" s="1"/>
  <c r="E284" i="36" s="1"/>
  <c r="E154" i="36"/>
  <c r="E217" i="36" s="1"/>
  <c r="E281" i="36" s="1"/>
  <c r="E148" i="36"/>
  <c r="E211" i="36" s="1"/>
  <c r="E275" i="36" s="1"/>
  <c r="P291" i="36"/>
  <c r="F291" i="36"/>
  <c r="E185" i="36"/>
  <c r="E177" i="36"/>
  <c r="E145" i="36"/>
  <c r="E208" i="36" s="1"/>
  <c r="E272" i="36" s="1"/>
  <c r="E136" i="36"/>
  <c r="E199" i="36" s="1"/>
  <c r="E263" i="36" s="1"/>
  <c r="O291" i="36"/>
  <c r="E291" i="36"/>
  <c r="E245" i="36"/>
  <c r="E309" i="36" s="1"/>
  <c r="E170" i="36"/>
  <c r="E232" i="36" s="1"/>
  <c r="E296" i="36" s="1"/>
  <c r="E159" i="36"/>
  <c r="E222" i="36" s="1"/>
  <c r="E286" i="36" s="1"/>
  <c r="E156" i="36"/>
  <c r="E219" i="36" s="1"/>
  <c r="E283" i="36" s="1"/>
  <c r="E147" i="36"/>
  <c r="E210" i="36" s="1"/>
  <c r="E274" i="36" s="1"/>
  <c r="E143" i="36"/>
  <c r="E206" i="36" s="1"/>
  <c r="E270" i="36" s="1"/>
  <c r="E140" i="36"/>
  <c r="E203" i="36" s="1"/>
  <c r="E267" i="36" s="1"/>
  <c r="N291" i="36"/>
  <c r="D291" i="36"/>
  <c r="I291" i="36"/>
  <c r="E142" i="36"/>
  <c r="E205" i="36" s="1"/>
  <c r="E269" i="36" s="1"/>
  <c r="E146" i="36"/>
  <c r="E209" i="36" s="1"/>
  <c r="E273" i="36" s="1"/>
  <c r="L291" i="36"/>
  <c r="C43" i="37"/>
  <c r="B44" i="37"/>
  <c r="D41" i="37"/>
  <c r="K41" i="37"/>
  <c r="E200" i="36" l="1"/>
  <c r="E264" i="36" s="1"/>
  <c r="E162" i="36"/>
  <c r="C39" i="37"/>
  <c r="R291" i="36"/>
  <c r="T291" i="36" s="1"/>
  <c r="E277" i="36"/>
  <c r="E285" i="36"/>
  <c r="AI37" i="28"/>
  <c r="C109" i="9" s="1"/>
  <c r="AH37" i="28"/>
  <c r="C108" i="9" s="1"/>
  <c r="Z37" i="28"/>
  <c r="AJ12" i="28"/>
  <c r="AE12" i="28"/>
  <c r="AK12" i="28" s="1"/>
  <c r="C40" i="37"/>
  <c r="J40" i="37" s="1"/>
  <c r="C38" i="37"/>
  <c r="B37" i="37"/>
  <c r="AJ21" i="28"/>
  <c r="AA37" i="28"/>
  <c r="AB37" i="28"/>
  <c r="AG37" i="28"/>
  <c r="C107" i="9" s="1"/>
  <c r="X37" i="28"/>
  <c r="AA42" i="28"/>
  <c r="AJ24" i="28"/>
  <c r="AD37" i="28"/>
  <c r="AD56" i="28" s="1"/>
  <c r="W37" i="28"/>
  <c r="AI42" i="28"/>
  <c r="C118" i="9" s="1"/>
  <c r="AJ14" i="28"/>
  <c r="Y51" i="28"/>
  <c r="AH51" i="28"/>
  <c r="C126" i="9" s="1"/>
  <c r="AJ7" i="28"/>
  <c r="X26" i="28"/>
  <c r="AJ6" i="28"/>
  <c r="AC37" i="28"/>
  <c r="Y26" i="28"/>
  <c r="AF26" i="28"/>
  <c r="C92" i="9" s="1"/>
  <c r="AJ5" i="28"/>
  <c r="AE16" i="28"/>
  <c r="AK16" i="28" s="1"/>
  <c r="AE8" i="28"/>
  <c r="AK8" i="28" s="1"/>
  <c r="AG42" i="28"/>
  <c r="C116" i="9" s="1"/>
  <c r="AJ16" i="28"/>
  <c r="AE15" i="28"/>
  <c r="AK15" i="28" s="1"/>
  <c r="AJ10" i="28"/>
  <c r="AF51" i="28"/>
  <c r="C128" i="9" s="1"/>
  <c r="AH26" i="28"/>
  <c r="C90" i="9" s="1"/>
  <c r="AB26" i="28"/>
  <c r="AJ18" i="28"/>
  <c r="AE6" i="28"/>
  <c r="AK6" i="28" s="1"/>
  <c r="AJ8" i="28"/>
  <c r="AJ23" i="28"/>
  <c r="Z51" i="28"/>
  <c r="V37" i="28"/>
  <c r="Z26" i="28"/>
  <c r="AE5" i="28"/>
  <c r="V26" i="28"/>
  <c r="X51" i="28"/>
  <c r="AE14" i="28"/>
  <c r="AK14" i="28" s="1"/>
  <c r="Y42" i="28"/>
  <c r="AI51" i="28"/>
  <c r="C127" i="9" s="1"/>
  <c r="AC51" i="28"/>
  <c r="AE10" i="28"/>
  <c r="AK10" i="28" s="1"/>
  <c r="AI26" i="28"/>
  <c r="C91" i="9" s="1"/>
  <c r="AE23" i="28"/>
  <c r="AK23" i="28" s="1"/>
  <c r="AE7" i="28"/>
  <c r="AK7" i="28" s="1"/>
  <c r="AA26" i="28"/>
  <c r="AG26" i="28"/>
  <c r="C89" i="9" s="1"/>
  <c r="AH42" i="28"/>
  <c r="C117" i="9" s="1"/>
  <c r="AE24" i="28"/>
  <c r="AK24" i="28" s="1"/>
  <c r="AJ20" i="28"/>
  <c r="AJ9" i="28"/>
  <c r="AB51" i="28"/>
  <c r="AE20" i="28"/>
  <c r="AK20" i="28" s="1"/>
  <c r="AJ22" i="28"/>
  <c r="AJ15" i="28"/>
  <c r="AC26" i="28"/>
  <c r="AF42" i="28"/>
  <c r="C119" i="9" s="1"/>
  <c r="AE21" i="28"/>
  <c r="AK21" i="28" s="1"/>
  <c r="V42" i="28"/>
  <c r="W42" i="28"/>
  <c r="AJ13" i="28"/>
  <c r="AJ11" i="28"/>
  <c r="AE17" i="28"/>
  <c r="AK17" i="28" s="1"/>
  <c r="AB42" i="28"/>
  <c r="AJ25" i="28"/>
  <c r="AE11" i="28"/>
  <c r="AK11" i="28" s="1"/>
  <c r="AF37" i="28"/>
  <c r="C110" i="9" s="1"/>
  <c r="AE22" i="28"/>
  <c r="AK22" i="28" s="1"/>
  <c r="Y37" i="28"/>
  <c r="AE18" i="28"/>
  <c r="AK18" i="28" s="1"/>
  <c r="AG51" i="28"/>
  <c r="C125" i="9" s="1"/>
  <c r="AE13" i="28"/>
  <c r="AK13" i="28" s="1"/>
  <c r="AJ19" i="28"/>
  <c r="V51" i="28"/>
  <c r="AC42" i="28"/>
  <c r="W26" i="28"/>
  <c r="AJ17" i="28"/>
  <c r="AE19" i="28"/>
  <c r="AK19" i="28" s="1"/>
  <c r="AA51" i="28"/>
  <c r="Z42" i="28"/>
  <c r="AE9" i="28"/>
  <c r="AK9" i="28" s="1"/>
  <c r="X42" i="28"/>
  <c r="W51" i="28"/>
  <c r="AE25" i="28"/>
  <c r="AK25" i="28" s="1"/>
  <c r="E38" i="36"/>
  <c r="R10" i="36"/>
  <c r="C44" i="37"/>
  <c r="B45" i="37"/>
  <c r="J43" i="37"/>
  <c r="E43" i="37"/>
  <c r="D43" i="37"/>
  <c r="K43" i="37"/>
  <c r="R77" i="36"/>
  <c r="R35" i="36"/>
  <c r="R27" i="36"/>
  <c r="R18" i="36"/>
  <c r="R12" i="36"/>
  <c r="O38" i="36"/>
  <c r="R95" i="36"/>
  <c r="R92" i="36"/>
  <c r="R36" i="36"/>
  <c r="R28" i="36"/>
  <c r="R19" i="36"/>
  <c r="R13" i="36"/>
  <c r="M38" i="36"/>
  <c r="G38" i="36"/>
  <c r="Q38" i="36"/>
  <c r="R11" i="36"/>
  <c r="R15" i="36"/>
  <c r="R22" i="36"/>
  <c r="R26" i="36"/>
  <c r="R30" i="36"/>
  <c r="R34" i="36"/>
  <c r="R85" i="36"/>
  <c r="I38" i="36"/>
  <c r="R72" i="36"/>
  <c r="R75" i="36"/>
  <c r="R88" i="36"/>
  <c r="R91" i="36"/>
  <c r="R94" i="36"/>
  <c r="R97" i="36"/>
  <c r="K38" i="36"/>
  <c r="R14" i="36"/>
  <c r="R16" i="36"/>
  <c r="R21" i="36"/>
  <c r="R25" i="36"/>
  <c r="R29" i="36"/>
  <c r="R33" i="36"/>
  <c r="R37" i="36"/>
  <c r="R78" i="36"/>
  <c r="R79" i="36"/>
  <c r="L38" i="36"/>
  <c r="R71" i="36"/>
  <c r="R81" i="36"/>
  <c r="R83" i="36"/>
  <c r="R86" i="36"/>
  <c r="R89" i="36"/>
  <c r="R96" i="36"/>
  <c r="R98" i="36"/>
  <c r="R80" i="36"/>
  <c r="F38" i="36"/>
  <c r="P38" i="36"/>
  <c r="R32" i="36"/>
  <c r="R84" i="36"/>
  <c r="R90" i="36"/>
  <c r="R9" i="36"/>
  <c r="C38" i="36"/>
  <c r="R24" i="36"/>
  <c r="R82" i="36"/>
  <c r="R73" i="36"/>
  <c r="R70" i="36"/>
  <c r="R76" i="36"/>
  <c r="R17" i="36"/>
  <c r="R87" i="36"/>
  <c r="R93" i="36"/>
  <c r="R31" i="36"/>
  <c r="R23" i="36"/>
  <c r="D38" i="36"/>
  <c r="N38" i="36"/>
  <c r="R74" i="36"/>
  <c r="C145" i="9" l="1"/>
  <c r="C144" i="9"/>
  <c r="C146" i="9"/>
  <c r="C143" i="9"/>
  <c r="R99" i="36"/>
  <c r="K39" i="37"/>
  <c r="D39" i="37"/>
  <c r="J39" i="37"/>
  <c r="AE51" i="28"/>
  <c r="C124" i="9" s="1"/>
  <c r="AE37" i="28"/>
  <c r="C106" i="9" s="1"/>
  <c r="C133" i="9"/>
  <c r="C97" i="9"/>
  <c r="K40" i="37"/>
  <c r="D40" i="37"/>
  <c r="E40" i="37"/>
  <c r="E41" i="37" s="1"/>
  <c r="B36" i="37"/>
  <c r="C37" i="37"/>
  <c r="D38" i="37"/>
  <c r="J38" i="37"/>
  <c r="K38" i="37"/>
  <c r="AJ37" i="28"/>
  <c r="AI56" i="28"/>
  <c r="AK5" i="28"/>
  <c r="AK26" i="28" s="1"/>
  <c r="AK27" i="28" s="1"/>
  <c r="AH56" i="28"/>
  <c r="AB56" i="28"/>
  <c r="AK37" i="28"/>
  <c r="AC56" i="28"/>
  <c r="AK42" i="28"/>
  <c r="AJ51" i="28"/>
  <c r="AG56" i="28"/>
  <c r="Z56" i="28"/>
  <c r="AA56" i="28"/>
  <c r="AF56" i="28"/>
  <c r="AE26" i="28"/>
  <c r="C88" i="9" s="1"/>
  <c r="AE42" i="28"/>
  <c r="C115" i="9" s="1"/>
  <c r="AK51" i="28"/>
  <c r="AJ26" i="28"/>
  <c r="AJ42" i="28"/>
  <c r="Y56" i="28"/>
  <c r="R38" i="36"/>
  <c r="T38" i="36" s="1"/>
  <c r="E196" i="36"/>
  <c r="AM2" i="34"/>
  <c r="C45" i="37"/>
  <c r="B46" i="37"/>
  <c r="J44" i="37"/>
  <c r="F44" i="37"/>
  <c r="E44" i="37"/>
  <c r="D44" i="37"/>
  <c r="K44" i="37"/>
  <c r="AM76" i="34" l="1"/>
  <c r="AM84" i="34"/>
  <c r="AM98" i="34"/>
  <c r="AM87" i="34"/>
  <c r="AM97" i="34"/>
  <c r="AM79" i="34"/>
  <c r="AM89" i="34"/>
  <c r="AM90" i="34"/>
  <c r="AM86" i="34"/>
  <c r="AM95" i="34"/>
  <c r="AM88" i="34"/>
  <c r="AM93" i="34"/>
  <c r="AM82" i="34"/>
  <c r="AM77" i="34"/>
  <c r="AM83" i="34"/>
  <c r="AM78" i="34"/>
  <c r="AM92" i="34"/>
  <c r="AM94" i="34"/>
  <c r="AM85" i="34"/>
  <c r="AM96" i="34"/>
  <c r="AM91" i="34"/>
  <c r="AM80" i="34"/>
  <c r="AM99" i="34"/>
  <c r="AM81" i="34"/>
  <c r="C142" i="9"/>
  <c r="AM72" i="34"/>
  <c r="AM73" i="34"/>
  <c r="E260" i="36"/>
  <c r="E225" i="36"/>
  <c r="J37" i="37"/>
  <c r="D37" i="37"/>
  <c r="K37" i="37"/>
  <c r="B35" i="37"/>
  <c r="C36" i="37"/>
  <c r="AJ56" i="28"/>
  <c r="AM129" i="34"/>
  <c r="AM132" i="34"/>
  <c r="C46" i="37"/>
  <c r="B47" i="37"/>
  <c r="J45" i="37"/>
  <c r="F45" i="37"/>
  <c r="K45" i="37"/>
  <c r="E45" i="37"/>
  <c r="D45" i="37"/>
  <c r="J36" i="37" l="1"/>
  <c r="K36" i="37"/>
  <c r="D36" i="37"/>
  <c r="B34" i="37"/>
  <c r="C35" i="37"/>
  <c r="E37" i="37"/>
  <c r="E38" i="37" s="1"/>
  <c r="E39" i="37" s="1"/>
  <c r="C47" i="37"/>
  <c r="B48" i="37"/>
  <c r="J46" i="37"/>
  <c r="F46" i="37"/>
  <c r="K46" i="37"/>
  <c r="E46" i="37"/>
  <c r="D46" i="37"/>
  <c r="B33" i="37" l="1"/>
  <c r="C34" i="37"/>
  <c r="E35" i="37" s="1"/>
  <c r="E36" i="37" s="1"/>
  <c r="D35" i="37"/>
  <c r="K35" i="37"/>
  <c r="J35" i="37"/>
  <c r="C48" i="37"/>
  <c r="B49" i="37"/>
  <c r="J47" i="37"/>
  <c r="F47" i="37"/>
  <c r="E47" i="37"/>
  <c r="D47" i="37"/>
  <c r="K47" i="37"/>
  <c r="K34" i="37" l="1"/>
  <c r="J34" i="37"/>
  <c r="D34" i="37"/>
  <c r="B32" i="37"/>
  <c r="C33" i="37"/>
  <c r="C49" i="37"/>
  <c r="B50" i="37"/>
  <c r="J48" i="37"/>
  <c r="F48" i="37"/>
  <c r="K48" i="37"/>
  <c r="D48" i="37"/>
  <c r="E48" i="37"/>
  <c r="J33" i="37" l="1"/>
  <c r="K33" i="37"/>
  <c r="D33" i="37"/>
  <c r="B31" i="37"/>
  <c r="C32" i="37"/>
  <c r="C50" i="37"/>
  <c r="B51" i="37"/>
  <c r="J49" i="37"/>
  <c r="F49" i="37"/>
  <c r="D49" i="37"/>
  <c r="K49" i="37"/>
  <c r="E49" i="37"/>
  <c r="K32" i="37" l="1"/>
  <c r="J32" i="37"/>
  <c r="D32" i="37"/>
  <c r="E33" i="37"/>
  <c r="E34" i="37" s="1"/>
  <c r="C31" i="37"/>
  <c r="B30" i="37"/>
  <c r="C51" i="37"/>
  <c r="B52" i="37"/>
  <c r="J50" i="37"/>
  <c r="F50" i="37"/>
  <c r="K50" i="37"/>
  <c r="E50" i="37"/>
  <c r="D50" i="37"/>
  <c r="B29" i="37" l="1"/>
  <c r="C30" i="37"/>
  <c r="E31" i="37" s="1"/>
  <c r="E32" i="37" s="1"/>
  <c r="J31" i="37"/>
  <c r="D31" i="37"/>
  <c r="K31" i="37"/>
  <c r="C52" i="37"/>
  <c r="B53" i="37"/>
  <c r="J51" i="37"/>
  <c r="F51" i="37"/>
  <c r="E51" i="37"/>
  <c r="K51" i="37"/>
  <c r="D51" i="37"/>
  <c r="K30" i="37" l="1"/>
  <c r="J30" i="37"/>
  <c r="D30" i="37"/>
  <c r="C29" i="37"/>
  <c r="B28" i="37"/>
  <c r="C53" i="37"/>
  <c r="B54" i="37"/>
  <c r="J52" i="37"/>
  <c r="F52" i="37"/>
  <c r="E52" i="37"/>
  <c r="D52" i="37"/>
  <c r="K52" i="37"/>
  <c r="C28" i="37" l="1"/>
  <c r="E29" i="37" s="1"/>
  <c r="E30" i="37" s="1"/>
  <c r="B27" i="37"/>
  <c r="J29" i="37"/>
  <c r="K29" i="37"/>
  <c r="D29" i="37"/>
  <c r="C54" i="37"/>
  <c r="B55" i="37"/>
  <c r="J53" i="37"/>
  <c r="F53" i="37"/>
  <c r="K53" i="37"/>
  <c r="D53" i="37"/>
  <c r="E53" i="37"/>
  <c r="B26" i="37" l="1"/>
  <c r="C27" i="37"/>
  <c r="D28" i="37"/>
  <c r="J28" i="37"/>
  <c r="K28" i="37"/>
  <c r="C55" i="37"/>
  <c r="B56" i="37"/>
  <c r="J54" i="37"/>
  <c r="F54" i="37"/>
  <c r="D54" i="37"/>
  <c r="K54" i="37"/>
  <c r="E54" i="37"/>
  <c r="J27" i="37" l="1"/>
  <c r="K27" i="37"/>
  <c r="D27" i="37"/>
  <c r="C26" i="37"/>
  <c r="B25" i="37"/>
  <c r="C56" i="37"/>
  <c r="B57" i="37"/>
  <c r="J55" i="37"/>
  <c r="F55" i="37"/>
  <c r="E55" i="37"/>
  <c r="D55" i="37"/>
  <c r="K55" i="37"/>
  <c r="B24" i="37" l="1"/>
  <c r="C25" i="37"/>
  <c r="E26" i="37" s="1"/>
  <c r="E27" i="37" s="1"/>
  <c r="E28" i="37" s="1"/>
  <c r="D26" i="37"/>
  <c r="K26" i="37"/>
  <c r="J26" i="37"/>
  <c r="C57" i="37"/>
  <c r="B58" i="37"/>
  <c r="J56" i="37"/>
  <c r="F56" i="37"/>
  <c r="K56" i="37"/>
  <c r="D56" i="37"/>
  <c r="E56" i="37"/>
  <c r="K25" i="37" l="1"/>
  <c r="J25" i="37"/>
  <c r="D25" i="37"/>
  <c r="C24" i="37"/>
  <c r="B23" i="37"/>
  <c r="C58" i="37"/>
  <c r="B59" i="37"/>
  <c r="J57" i="37"/>
  <c r="F57" i="37"/>
  <c r="D57" i="37"/>
  <c r="K57" i="37"/>
  <c r="E57" i="37"/>
  <c r="D24" i="37" l="1"/>
  <c r="K24" i="37"/>
  <c r="J24" i="37"/>
  <c r="B22" i="37"/>
  <c r="C23" i="37"/>
  <c r="C59" i="37"/>
  <c r="B60" i="37"/>
  <c r="J58" i="37"/>
  <c r="F58" i="37"/>
  <c r="K58" i="37"/>
  <c r="E58" i="37"/>
  <c r="D58" i="37"/>
  <c r="K23" i="37" l="1"/>
  <c r="D23" i="37"/>
  <c r="J23" i="37"/>
  <c r="C22" i="37"/>
  <c r="B21" i="37"/>
  <c r="E24" i="37"/>
  <c r="E25" i="37" s="1"/>
  <c r="C60" i="37"/>
  <c r="B61" i="37"/>
  <c r="J59" i="37"/>
  <c r="F59" i="37"/>
  <c r="E59" i="37"/>
  <c r="K59" i="37"/>
  <c r="D59" i="37"/>
  <c r="C21" i="37" l="1"/>
  <c r="E22" i="37" s="1"/>
  <c r="E23" i="37" s="1"/>
  <c r="B20" i="37"/>
  <c r="D22" i="37"/>
  <c r="K22" i="37"/>
  <c r="J22" i="37"/>
  <c r="C61" i="37"/>
  <c r="B62" i="37"/>
  <c r="J60" i="37"/>
  <c r="F60" i="37"/>
  <c r="E60" i="37"/>
  <c r="D60" i="37"/>
  <c r="K60" i="37"/>
  <c r="B19" i="37" l="1"/>
  <c r="C20" i="37"/>
  <c r="K21" i="37"/>
  <c r="J21" i="37"/>
  <c r="D21" i="37"/>
  <c r="C62" i="37"/>
  <c r="B63" i="37"/>
  <c r="J61" i="37"/>
  <c r="F61" i="37"/>
  <c r="K61" i="37"/>
  <c r="E61" i="37"/>
  <c r="D61" i="37"/>
  <c r="D20" i="37" l="1"/>
  <c r="J20" i="37"/>
  <c r="K20" i="37"/>
  <c r="C19" i="37"/>
  <c r="B18" i="37"/>
  <c r="C63" i="37"/>
  <c r="B64" i="37"/>
  <c r="J62" i="37"/>
  <c r="F62" i="37"/>
  <c r="K62" i="37"/>
  <c r="E62" i="37"/>
  <c r="D62" i="37"/>
  <c r="J19" i="37" l="1"/>
  <c r="D19" i="37"/>
  <c r="K19" i="37"/>
  <c r="E20" i="37"/>
  <c r="E21" i="37" s="1"/>
  <c r="B17" i="37"/>
  <c r="C18" i="37"/>
  <c r="C64" i="37"/>
  <c r="B65" i="37"/>
  <c r="J63" i="37"/>
  <c r="F63" i="37"/>
  <c r="E63" i="37"/>
  <c r="D63" i="37"/>
  <c r="K63" i="37"/>
  <c r="B16" i="37" l="1"/>
  <c r="C17" i="37"/>
  <c r="E18" i="37" s="1"/>
  <c r="E19" i="37" s="1"/>
  <c r="J18" i="37"/>
  <c r="K18" i="37"/>
  <c r="D18" i="37"/>
  <c r="F18" i="37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G63" i="37"/>
  <c r="C65" i="37"/>
  <c r="B66" i="37"/>
  <c r="J64" i="37"/>
  <c r="F64" i="37"/>
  <c r="K64" i="37"/>
  <c r="D64" i="37"/>
  <c r="E64" i="37"/>
  <c r="F29" i="37" l="1"/>
  <c r="D17" i="37"/>
  <c r="K17" i="37"/>
  <c r="J17" i="37"/>
  <c r="C16" i="37"/>
  <c r="B15" i="37"/>
  <c r="G64" i="37"/>
  <c r="C66" i="37"/>
  <c r="B67" i="37"/>
  <c r="J65" i="37"/>
  <c r="F65" i="37"/>
  <c r="D65" i="37"/>
  <c r="K65" i="37"/>
  <c r="E65" i="37"/>
  <c r="B14" i="37" l="1"/>
  <c r="C15" i="37"/>
  <c r="E16" i="37" s="1"/>
  <c r="E17" i="37" s="1"/>
  <c r="J16" i="37"/>
  <c r="D16" i="37"/>
  <c r="K16" i="37"/>
  <c r="F30" i="37"/>
  <c r="G65" i="37"/>
  <c r="C67" i="37"/>
  <c r="B68" i="37"/>
  <c r="J66" i="37"/>
  <c r="F66" i="37"/>
  <c r="K66" i="37"/>
  <c r="E66" i="37"/>
  <c r="D66" i="37"/>
  <c r="F31" i="37" l="1"/>
  <c r="D15" i="37"/>
  <c r="J15" i="37"/>
  <c r="K15" i="37"/>
  <c r="C14" i="37"/>
  <c r="B13" i="37"/>
  <c r="G66" i="37"/>
  <c r="C68" i="37"/>
  <c r="B69" i="37"/>
  <c r="J67" i="37"/>
  <c r="F67" i="37"/>
  <c r="E67" i="37"/>
  <c r="K67" i="37"/>
  <c r="D67" i="37"/>
  <c r="C13" i="37" l="1"/>
  <c r="B12" i="37"/>
  <c r="J14" i="37"/>
  <c r="K14" i="37"/>
  <c r="D14" i="37"/>
  <c r="G67" i="37"/>
  <c r="F32" i="37"/>
  <c r="C69" i="37"/>
  <c r="B70" i="37"/>
  <c r="J68" i="37"/>
  <c r="F68" i="37"/>
  <c r="E68" i="37"/>
  <c r="D68" i="37"/>
  <c r="K68" i="37"/>
  <c r="F33" i="37" l="1"/>
  <c r="G68" i="37"/>
  <c r="B11" i="37"/>
  <c r="C12" i="37"/>
  <c r="E13" i="37" s="1"/>
  <c r="E14" i="37" s="1"/>
  <c r="E15" i="37" s="1"/>
  <c r="K13" i="37"/>
  <c r="J13" i="37"/>
  <c r="D13" i="37"/>
  <c r="C70" i="37"/>
  <c r="B71" i="37"/>
  <c r="J69" i="37"/>
  <c r="F69" i="37"/>
  <c r="K69" i="37"/>
  <c r="D69" i="37"/>
  <c r="E69" i="37"/>
  <c r="G69" i="37" l="1"/>
  <c r="J12" i="37"/>
  <c r="D12" i="37"/>
  <c r="K12" i="37"/>
  <c r="C11" i="37"/>
  <c r="B10" i="37"/>
  <c r="F34" i="37"/>
  <c r="C71" i="37"/>
  <c r="B72" i="37"/>
  <c r="J70" i="37"/>
  <c r="F70" i="37"/>
  <c r="G70" i="37" s="1"/>
  <c r="D70" i="37"/>
  <c r="K70" i="37"/>
  <c r="E70" i="37"/>
  <c r="C10" i="37" l="1"/>
  <c r="E11" i="37" s="1"/>
  <c r="B9" i="37"/>
  <c r="K11" i="37"/>
  <c r="J11" i="37"/>
  <c r="D11" i="37"/>
  <c r="F35" i="37"/>
  <c r="C72" i="37"/>
  <c r="B73" i="37"/>
  <c r="J71" i="37"/>
  <c r="F71" i="37"/>
  <c r="G71" i="37" s="1"/>
  <c r="E71" i="37"/>
  <c r="D71" i="37"/>
  <c r="K71" i="37"/>
  <c r="E12" i="37" l="1"/>
  <c r="G12" i="37" s="1"/>
  <c r="G13" i="37" s="1"/>
  <c r="G14" i="37" s="1"/>
  <c r="G15" i="37" s="1"/>
  <c r="G16" i="37" s="1"/>
  <c r="G17" i="37" s="1"/>
  <c r="G18" i="37" s="1"/>
  <c r="G19" i="37" s="1"/>
  <c r="G20" i="37" s="1"/>
  <c r="G21" i="37" s="1"/>
  <c r="G22" i="37" s="1"/>
  <c r="G23" i="37" s="1"/>
  <c r="G24" i="37" s="1"/>
  <c r="G25" i="37" s="1"/>
  <c r="G26" i="37" s="1"/>
  <c r="G27" i="37" s="1"/>
  <c r="G28" i="37" s="1"/>
  <c r="G29" i="37" s="1"/>
  <c r="G30" i="37" s="1"/>
  <c r="G31" i="37" s="1"/>
  <c r="G32" i="37" s="1"/>
  <c r="G33" i="37" s="1"/>
  <c r="G34" i="37" s="1"/>
  <c r="G35" i="37" s="1"/>
  <c r="G11" i="37"/>
  <c r="B8" i="37"/>
  <c r="C9" i="37"/>
  <c r="F36" i="37"/>
  <c r="J10" i="37"/>
  <c r="D10" i="37"/>
  <c r="K10" i="37"/>
  <c r="C73" i="37"/>
  <c r="B74" i="37"/>
  <c r="J72" i="37"/>
  <c r="F72" i="37"/>
  <c r="G72" i="37" s="1"/>
  <c r="K72" i="37"/>
  <c r="D72" i="37"/>
  <c r="E72" i="37"/>
  <c r="G36" i="37" l="1"/>
  <c r="F37" i="37"/>
  <c r="J9" i="37"/>
  <c r="K9" i="37"/>
  <c r="D9" i="37"/>
  <c r="C8" i="37"/>
  <c r="B7" i="37"/>
  <c r="C7" i="37" s="1"/>
  <c r="C74" i="37"/>
  <c r="B75" i="37"/>
  <c r="J73" i="37"/>
  <c r="F73" i="37"/>
  <c r="G73" i="37" s="1"/>
  <c r="D73" i="37"/>
  <c r="K73" i="37"/>
  <c r="E73" i="37"/>
  <c r="J7" i="37" l="1"/>
  <c r="D7" i="37"/>
  <c r="K7" i="37"/>
  <c r="E8" i="37"/>
  <c r="D8" i="37"/>
  <c r="J8" i="37"/>
  <c r="K8" i="37"/>
  <c r="E9" i="37"/>
  <c r="E10" i="37" s="1"/>
  <c r="G37" i="37"/>
  <c r="F38" i="37"/>
  <c r="C75" i="37"/>
  <c r="B76" i="37"/>
  <c r="J74" i="37"/>
  <c r="F74" i="37"/>
  <c r="G74" i="37" s="1"/>
  <c r="K74" i="37"/>
  <c r="E74" i="37"/>
  <c r="D74" i="37"/>
  <c r="G38" i="37" l="1"/>
  <c r="F39" i="37"/>
  <c r="C76" i="37"/>
  <c r="B77" i="37"/>
  <c r="J75" i="37"/>
  <c r="F75" i="37"/>
  <c r="G75" i="37" s="1"/>
  <c r="E75" i="37"/>
  <c r="K75" i="37"/>
  <c r="D75" i="37"/>
  <c r="F40" i="37" l="1"/>
  <c r="G39" i="37"/>
  <c r="C77" i="37"/>
  <c r="B78" i="37"/>
  <c r="J76" i="37"/>
  <c r="F76" i="37"/>
  <c r="G76" i="37" s="1"/>
  <c r="E76" i="37"/>
  <c r="D76" i="37"/>
  <c r="K76" i="37"/>
  <c r="F41" i="37" l="1"/>
  <c r="G40" i="37"/>
  <c r="C78" i="37"/>
  <c r="B79" i="37"/>
  <c r="J77" i="37"/>
  <c r="F77" i="37"/>
  <c r="G77" i="37" s="1"/>
  <c r="K77" i="37"/>
  <c r="E77" i="37"/>
  <c r="D77" i="37"/>
  <c r="G41" i="37" l="1"/>
  <c r="F42" i="37"/>
  <c r="C79" i="37"/>
  <c r="B80" i="37"/>
  <c r="J78" i="37"/>
  <c r="F78" i="37"/>
  <c r="G78" i="37" s="1"/>
  <c r="K78" i="37"/>
  <c r="E78" i="37"/>
  <c r="D78" i="37"/>
  <c r="G42" i="37" l="1"/>
  <c r="F43" i="37"/>
  <c r="C80" i="37"/>
  <c r="B81" i="37"/>
  <c r="J79" i="37"/>
  <c r="F79" i="37"/>
  <c r="G79" i="37" s="1"/>
  <c r="E79" i="37"/>
  <c r="D79" i="37"/>
  <c r="K79" i="37"/>
  <c r="G43" i="37" l="1"/>
  <c r="G44" i="37" s="1"/>
  <c r="G45" i="37" s="1"/>
  <c r="G46" i="37" s="1"/>
  <c r="G47" i="37" s="1"/>
  <c r="G48" i="37" s="1"/>
  <c r="G49" i="37" s="1"/>
  <c r="G50" i="37" s="1"/>
  <c r="G51" i="37" s="1"/>
  <c r="G52" i="37" s="1"/>
  <c r="G53" i="37" s="1"/>
  <c r="G54" i="37" s="1"/>
  <c r="G55" i="37" s="1"/>
  <c r="G56" i="37" s="1"/>
  <c r="G57" i="37" s="1"/>
  <c r="G58" i="37" s="1"/>
  <c r="G59" i="37" s="1"/>
  <c r="G60" i="37" s="1"/>
  <c r="G61" i="37" s="1"/>
  <c r="G62" i="37" s="1"/>
  <c r="C81" i="37"/>
  <c r="B82" i="37"/>
  <c r="J80" i="37"/>
  <c r="F80" i="37"/>
  <c r="G80" i="37" s="1"/>
  <c r="K80" i="37"/>
  <c r="D80" i="37"/>
  <c r="E80" i="37"/>
  <c r="C82" i="37" l="1"/>
  <c r="B83" i="37"/>
  <c r="J81" i="37"/>
  <c r="F81" i="37"/>
  <c r="G81" i="37" s="1"/>
  <c r="D81" i="37"/>
  <c r="K81" i="37"/>
  <c r="E81" i="37"/>
  <c r="C83" i="37" l="1"/>
  <c r="B84" i="37"/>
  <c r="J82" i="37"/>
  <c r="F82" i="37"/>
  <c r="G82" i="37" s="1"/>
  <c r="K82" i="37"/>
  <c r="E82" i="37"/>
  <c r="D82" i="37"/>
  <c r="C84" i="37" l="1"/>
  <c r="B85" i="37"/>
  <c r="J83" i="37"/>
  <c r="F83" i="37"/>
  <c r="G83" i="37" s="1"/>
  <c r="E83" i="37"/>
  <c r="K83" i="37"/>
  <c r="D83" i="37"/>
  <c r="C85" i="37" l="1"/>
  <c r="B86" i="37"/>
  <c r="J84" i="37"/>
  <c r="F84" i="37"/>
  <c r="G84" i="37" s="1"/>
  <c r="E84" i="37"/>
  <c r="D84" i="37"/>
  <c r="K84" i="37"/>
  <c r="C86" i="37" l="1"/>
  <c r="B87" i="37"/>
  <c r="J85" i="37"/>
  <c r="F85" i="37"/>
  <c r="G85" i="37" s="1"/>
  <c r="K85" i="37"/>
  <c r="D85" i="37"/>
  <c r="E85" i="37"/>
  <c r="C87" i="37" l="1"/>
  <c r="B88" i="37"/>
  <c r="J86" i="37"/>
  <c r="F86" i="37"/>
  <c r="G86" i="37" s="1"/>
  <c r="D86" i="37"/>
  <c r="K86" i="37"/>
  <c r="E86" i="37"/>
  <c r="C88" i="37" l="1"/>
  <c r="B89" i="37"/>
  <c r="J87" i="37"/>
  <c r="F87" i="37"/>
  <c r="G87" i="37" s="1"/>
  <c r="E87" i="37"/>
  <c r="D87" i="37"/>
  <c r="K87" i="37"/>
  <c r="C89" i="37" l="1"/>
  <c r="B90" i="37"/>
  <c r="J88" i="37"/>
  <c r="F88" i="37"/>
  <c r="G88" i="37" s="1"/>
  <c r="K88" i="37"/>
  <c r="D88" i="37"/>
  <c r="E88" i="37"/>
  <c r="C90" i="37" l="1"/>
  <c r="B91" i="37"/>
  <c r="J89" i="37"/>
  <c r="F89" i="37"/>
  <c r="G89" i="37" s="1"/>
  <c r="D89" i="37"/>
  <c r="K89" i="37"/>
  <c r="E89" i="37"/>
  <c r="C91" i="37" l="1"/>
  <c r="B92" i="37"/>
  <c r="J90" i="37"/>
  <c r="F90" i="37"/>
  <c r="K90" i="37"/>
  <c r="E90" i="37"/>
  <c r="D90" i="37"/>
  <c r="G90" i="37" l="1"/>
  <c r="C92" i="37"/>
  <c r="B93" i="37"/>
  <c r="J91" i="37"/>
  <c r="F91" i="37"/>
  <c r="E91" i="37"/>
  <c r="K91" i="37"/>
  <c r="D91" i="37"/>
  <c r="G91" i="37" l="1"/>
  <c r="C93" i="37"/>
  <c r="B94" i="37"/>
  <c r="J92" i="37"/>
  <c r="F92" i="37"/>
  <c r="E92" i="37"/>
  <c r="D92" i="37"/>
  <c r="K92" i="37"/>
  <c r="G92" i="37" l="1"/>
  <c r="C94" i="37"/>
  <c r="B95" i="37"/>
  <c r="J93" i="37"/>
  <c r="F93" i="37"/>
  <c r="K93" i="37"/>
  <c r="E93" i="37"/>
  <c r="D93" i="37"/>
  <c r="G93" i="37" l="1"/>
  <c r="C95" i="37"/>
  <c r="B96" i="37"/>
  <c r="J94" i="37"/>
  <c r="F94" i="37"/>
  <c r="K94" i="37"/>
  <c r="D94" i="37"/>
  <c r="E94" i="37"/>
  <c r="G94" i="37" l="1"/>
  <c r="C96" i="37"/>
  <c r="B97" i="37"/>
  <c r="J95" i="37"/>
  <c r="F95" i="37"/>
  <c r="E95" i="37"/>
  <c r="D95" i="37"/>
  <c r="K95" i="37"/>
  <c r="G95" i="37" l="1"/>
  <c r="C97" i="37"/>
  <c r="B98" i="37"/>
  <c r="J96" i="37"/>
  <c r="F96" i="37"/>
  <c r="K96" i="37"/>
  <c r="D96" i="37"/>
  <c r="E96" i="37"/>
  <c r="G96" i="37" l="1"/>
  <c r="C98" i="37"/>
  <c r="B99" i="37"/>
  <c r="J97" i="37"/>
  <c r="F97" i="37"/>
  <c r="D97" i="37"/>
  <c r="K97" i="37"/>
  <c r="E97" i="37"/>
  <c r="G97" i="37" l="1"/>
  <c r="C99" i="37"/>
  <c r="B100" i="37"/>
  <c r="J98" i="37"/>
  <c r="F98" i="37"/>
  <c r="K98" i="37"/>
  <c r="E98" i="37"/>
  <c r="D98" i="37"/>
  <c r="G98" i="37" l="1"/>
  <c r="C100" i="37"/>
  <c r="B101" i="37"/>
  <c r="J99" i="37"/>
  <c r="F99" i="37"/>
  <c r="E99" i="37"/>
  <c r="K99" i="37"/>
  <c r="D99" i="37"/>
  <c r="G99" i="37" l="1"/>
  <c r="C101" i="37"/>
  <c r="B102" i="37"/>
  <c r="J100" i="37"/>
  <c r="F100" i="37"/>
  <c r="E100" i="37"/>
  <c r="D100" i="37"/>
  <c r="K100" i="37"/>
  <c r="G100" i="37" l="1"/>
  <c r="C102" i="37"/>
  <c r="B103" i="37"/>
  <c r="J101" i="37"/>
  <c r="F101" i="37"/>
  <c r="K101" i="37"/>
  <c r="D101" i="37"/>
  <c r="E101" i="37"/>
  <c r="G101" i="37" l="1"/>
  <c r="C103" i="37"/>
  <c r="B104" i="37"/>
  <c r="J102" i="37"/>
  <c r="F102" i="37"/>
  <c r="D102" i="37"/>
  <c r="K102" i="37"/>
  <c r="E102" i="37"/>
  <c r="G102" i="37" l="1"/>
  <c r="C104" i="37"/>
  <c r="B105" i="37"/>
  <c r="J103" i="37"/>
  <c r="F103" i="37"/>
  <c r="E103" i="37"/>
  <c r="D103" i="37"/>
  <c r="K103" i="37"/>
  <c r="G103" i="37" l="1"/>
  <c r="C105" i="37"/>
  <c r="B106" i="37"/>
  <c r="J104" i="37"/>
  <c r="F104" i="37"/>
  <c r="K104" i="37"/>
  <c r="D104" i="37"/>
  <c r="E104" i="37"/>
  <c r="G104" i="37" l="1"/>
  <c r="C106" i="37"/>
  <c r="B107" i="37"/>
  <c r="J105" i="37"/>
  <c r="F105" i="37"/>
  <c r="G105" i="37" s="1"/>
  <c r="D105" i="37"/>
  <c r="K105" i="37"/>
  <c r="E105" i="37"/>
  <c r="C107" i="37" l="1"/>
  <c r="B108" i="37"/>
  <c r="J106" i="37"/>
  <c r="F106" i="37"/>
  <c r="G106" i="37" s="1"/>
  <c r="K106" i="37"/>
  <c r="E106" i="37"/>
  <c r="D106" i="37"/>
  <c r="C108" i="37" l="1"/>
  <c r="B109" i="37"/>
  <c r="J107" i="37"/>
  <c r="F107" i="37"/>
  <c r="G107" i="37" s="1"/>
  <c r="E107" i="37"/>
  <c r="K107" i="37"/>
  <c r="D107" i="37"/>
  <c r="C109" i="37" l="1"/>
  <c r="B110" i="37"/>
  <c r="J108" i="37"/>
  <c r="F108" i="37"/>
  <c r="G108" i="37" s="1"/>
  <c r="E108" i="37"/>
  <c r="D108" i="37"/>
  <c r="K108" i="37"/>
  <c r="C110" i="37" l="1"/>
  <c r="B111" i="37"/>
  <c r="J109" i="37"/>
  <c r="F109" i="37"/>
  <c r="G109" i="37" s="1"/>
  <c r="K109" i="37"/>
  <c r="E109" i="37"/>
  <c r="D109" i="37"/>
  <c r="C111" i="37" l="1"/>
  <c r="B112" i="37"/>
  <c r="J110" i="37"/>
  <c r="F110" i="37"/>
  <c r="G110" i="37" s="1"/>
  <c r="K110" i="37"/>
  <c r="D110" i="37"/>
  <c r="E110" i="37"/>
  <c r="C112" i="37" l="1"/>
  <c r="B113" i="37"/>
  <c r="J111" i="37"/>
  <c r="F111" i="37"/>
  <c r="G111" i="37" s="1"/>
  <c r="E111" i="37"/>
  <c r="D111" i="37"/>
  <c r="K111" i="37"/>
  <c r="C113" i="37" l="1"/>
  <c r="B114" i="37"/>
  <c r="J112" i="37"/>
  <c r="F112" i="37"/>
  <c r="G112" i="37" s="1"/>
  <c r="K112" i="37"/>
  <c r="D112" i="37"/>
  <c r="E112" i="37"/>
  <c r="C114" i="37" l="1"/>
  <c r="B115" i="37"/>
  <c r="J113" i="37"/>
  <c r="F113" i="37"/>
  <c r="G113" i="37" s="1"/>
  <c r="D113" i="37"/>
  <c r="K113" i="37"/>
  <c r="E113" i="37"/>
  <c r="C115" i="37" l="1"/>
  <c r="B116" i="37"/>
  <c r="J114" i="37"/>
  <c r="F114" i="37"/>
  <c r="G114" i="37" s="1"/>
  <c r="K114" i="37"/>
  <c r="E114" i="37"/>
  <c r="D114" i="37"/>
  <c r="C116" i="37" l="1"/>
  <c r="B117" i="37"/>
  <c r="J115" i="37"/>
  <c r="F115" i="37"/>
  <c r="G115" i="37" s="1"/>
  <c r="E115" i="37"/>
  <c r="K115" i="37"/>
  <c r="D115" i="37"/>
  <c r="C117" i="37" l="1"/>
  <c r="B118" i="37"/>
  <c r="J116" i="37"/>
  <c r="F116" i="37"/>
  <c r="E116" i="37"/>
  <c r="D116" i="37"/>
  <c r="K116" i="37"/>
  <c r="G116" i="37" l="1"/>
  <c r="C118" i="37"/>
  <c r="B119" i="37"/>
  <c r="J117" i="37"/>
  <c r="F117" i="37"/>
  <c r="K117" i="37"/>
  <c r="D117" i="37"/>
  <c r="E117" i="37"/>
  <c r="G117" i="37" l="1"/>
  <c r="C119" i="37"/>
  <c r="B120" i="37"/>
  <c r="J118" i="37"/>
  <c r="F118" i="37"/>
  <c r="D118" i="37"/>
  <c r="K118" i="37"/>
  <c r="E118" i="37"/>
  <c r="G118" i="37" l="1"/>
  <c r="C120" i="37"/>
  <c r="B121" i="37"/>
  <c r="J119" i="37"/>
  <c r="F119" i="37"/>
  <c r="E119" i="37"/>
  <c r="D119" i="37"/>
  <c r="K119" i="37"/>
  <c r="G119" i="37" l="1"/>
  <c r="C121" i="37"/>
  <c r="B122" i="37"/>
  <c r="J120" i="37"/>
  <c r="F120" i="37"/>
  <c r="K120" i="37"/>
  <c r="D120" i="37"/>
  <c r="E120" i="37"/>
  <c r="G120" i="37" l="1"/>
  <c r="C122" i="37"/>
  <c r="B123" i="37"/>
  <c r="J121" i="37"/>
  <c r="F121" i="37"/>
  <c r="D121" i="37"/>
  <c r="K121" i="37"/>
  <c r="E121" i="37"/>
  <c r="G121" i="37" l="1"/>
  <c r="C123" i="37"/>
  <c r="B124" i="37"/>
  <c r="J122" i="37"/>
  <c r="F122" i="37"/>
  <c r="K122" i="37"/>
  <c r="E122" i="37"/>
  <c r="D122" i="37"/>
  <c r="G122" i="37" l="1"/>
  <c r="C124" i="37"/>
  <c r="B125" i="37"/>
  <c r="J123" i="37"/>
  <c r="F123" i="37"/>
  <c r="E123" i="37"/>
  <c r="K123" i="37"/>
  <c r="D123" i="37"/>
  <c r="G123" i="37" l="1"/>
  <c r="C125" i="37"/>
  <c r="B126" i="37"/>
  <c r="J124" i="37"/>
  <c r="F124" i="37"/>
  <c r="G124" i="37" s="1"/>
  <c r="E124" i="37"/>
  <c r="D124" i="37"/>
  <c r="K124" i="37"/>
  <c r="C126" i="37" l="1"/>
  <c r="B127" i="37"/>
  <c r="J125" i="37"/>
  <c r="F125" i="37"/>
  <c r="G125" i="37" s="1"/>
  <c r="K125" i="37"/>
  <c r="E125" i="37"/>
  <c r="D125" i="37"/>
  <c r="C127" i="37" l="1"/>
  <c r="B128" i="37"/>
  <c r="J126" i="37"/>
  <c r="F126" i="37"/>
  <c r="G126" i="37" s="1"/>
  <c r="K126" i="37"/>
  <c r="E126" i="37"/>
  <c r="D126" i="37"/>
  <c r="C128" i="37" l="1"/>
  <c r="B129" i="37"/>
  <c r="J127" i="37"/>
  <c r="F127" i="37"/>
  <c r="G127" i="37" s="1"/>
  <c r="E127" i="37"/>
  <c r="D127" i="37"/>
  <c r="K127" i="37"/>
  <c r="C129" i="37" l="1"/>
  <c r="B130" i="37"/>
  <c r="J128" i="37"/>
  <c r="F128" i="37"/>
  <c r="G128" i="37" s="1"/>
  <c r="K128" i="37"/>
  <c r="D128" i="37"/>
  <c r="E128" i="37"/>
  <c r="C130" i="37" l="1"/>
  <c r="B131" i="37"/>
  <c r="J129" i="37"/>
  <c r="F129" i="37"/>
  <c r="G129" i="37" s="1"/>
  <c r="D129" i="37"/>
  <c r="K129" i="37"/>
  <c r="E129" i="37"/>
  <c r="C131" i="37" l="1"/>
  <c r="B132" i="37"/>
  <c r="J130" i="37"/>
  <c r="F130" i="37"/>
  <c r="G130" i="37" s="1"/>
  <c r="K130" i="37"/>
  <c r="E130" i="37"/>
  <c r="D130" i="37"/>
  <c r="C132" i="37" l="1"/>
  <c r="B133" i="37"/>
  <c r="J131" i="37"/>
  <c r="F131" i="37"/>
  <c r="G131" i="37" s="1"/>
  <c r="E131" i="37"/>
  <c r="K131" i="37"/>
  <c r="D131" i="37"/>
  <c r="C133" i="37" l="1"/>
  <c r="B134" i="37"/>
  <c r="J132" i="37"/>
  <c r="F132" i="37"/>
  <c r="G132" i="37" s="1"/>
  <c r="E132" i="37"/>
  <c r="D132" i="37"/>
  <c r="K132" i="37"/>
  <c r="C134" i="37" l="1"/>
  <c r="B135" i="37"/>
  <c r="J133" i="37"/>
  <c r="F133" i="37"/>
  <c r="G133" i="37" s="1"/>
  <c r="K133" i="37"/>
  <c r="D133" i="37"/>
  <c r="E133" i="37"/>
  <c r="C135" i="37" l="1"/>
  <c r="B136" i="37"/>
  <c r="J134" i="37"/>
  <c r="F134" i="37"/>
  <c r="G134" i="37" s="1"/>
  <c r="D134" i="37"/>
  <c r="K134" i="37"/>
  <c r="E134" i="37"/>
  <c r="C136" i="37" l="1"/>
  <c r="B137" i="37"/>
  <c r="J135" i="37"/>
  <c r="F135" i="37"/>
  <c r="G135" i="37" s="1"/>
  <c r="E135" i="37"/>
  <c r="D135" i="37"/>
  <c r="K135" i="37"/>
  <c r="C137" i="37" l="1"/>
  <c r="B138" i="37"/>
  <c r="J136" i="37"/>
  <c r="F136" i="37"/>
  <c r="G136" i="37" s="1"/>
  <c r="K136" i="37"/>
  <c r="D136" i="37"/>
  <c r="E136" i="37"/>
  <c r="C138" i="37" l="1"/>
  <c r="B139" i="37"/>
  <c r="J137" i="37"/>
  <c r="F137" i="37"/>
  <c r="G137" i="37" s="1"/>
  <c r="D137" i="37"/>
  <c r="K137" i="37"/>
  <c r="E137" i="37"/>
  <c r="C139" i="37" l="1"/>
  <c r="B140" i="37"/>
  <c r="J138" i="37"/>
  <c r="F138" i="37"/>
  <c r="G138" i="37" s="1"/>
  <c r="K138" i="37"/>
  <c r="E138" i="37"/>
  <c r="D138" i="37"/>
  <c r="C140" i="37" l="1"/>
  <c r="B141" i="37"/>
  <c r="J139" i="37"/>
  <c r="F139" i="37"/>
  <c r="G139" i="37" s="1"/>
  <c r="E139" i="37"/>
  <c r="K139" i="37"/>
  <c r="D139" i="37"/>
  <c r="C141" i="37" l="1"/>
  <c r="B142" i="37"/>
  <c r="J140" i="37"/>
  <c r="F140" i="37"/>
  <c r="G140" i="37" s="1"/>
  <c r="E140" i="37"/>
  <c r="D140" i="37"/>
  <c r="K140" i="37"/>
  <c r="C142" i="37" l="1"/>
  <c r="B143" i="37"/>
  <c r="J141" i="37"/>
  <c r="F141" i="37"/>
  <c r="G141" i="37" s="1"/>
  <c r="H142" i="37" s="1"/>
  <c r="I142" i="37" s="1"/>
  <c r="K141" i="37"/>
  <c r="E141" i="37"/>
  <c r="D141" i="37"/>
  <c r="B144" i="37" l="1"/>
  <c r="C143" i="37"/>
  <c r="F142" i="37"/>
  <c r="K142" i="37"/>
  <c r="J142" i="37"/>
  <c r="D142" i="37"/>
  <c r="E142" i="37"/>
  <c r="G142" i="37" l="1"/>
  <c r="H143" i="37" s="1"/>
  <c r="I143" i="37" s="1"/>
  <c r="F143" i="37"/>
  <c r="D143" i="37"/>
  <c r="E143" i="37"/>
  <c r="J143" i="37"/>
  <c r="K143" i="37"/>
  <c r="B145" i="37"/>
  <c r="C144" i="37"/>
  <c r="G143" i="37" l="1"/>
  <c r="H144" i="37" s="1"/>
  <c r="I144" i="37" s="1"/>
  <c r="D144" i="37"/>
  <c r="J144" i="37"/>
  <c r="F144" i="37"/>
  <c r="E144" i="37"/>
  <c r="K144" i="37"/>
  <c r="C145" i="37"/>
  <c r="B146" i="37"/>
  <c r="G144" i="37" l="1"/>
  <c r="H145" i="37" s="1"/>
  <c r="I145" i="37" s="1"/>
  <c r="C146" i="37"/>
  <c r="B147" i="37"/>
  <c r="J145" i="37"/>
  <c r="E145" i="37"/>
  <c r="K145" i="37"/>
  <c r="D145" i="37"/>
  <c r="F145" i="37"/>
  <c r="G145" i="37" l="1"/>
  <c r="H146" i="37" s="1"/>
  <c r="I146" i="37" s="1"/>
  <c r="C147" i="37"/>
  <c r="B148" i="37"/>
  <c r="F146" i="37"/>
  <c r="K146" i="37"/>
  <c r="J146" i="37"/>
  <c r="E146" i="37"/>
  <c r="D146" i="37"/>
  <c r="G146" i="37" l="1"/>
  <c r="H147" i="37" s="1"/>
  <c r="I147" i="37" s="1"/>
  <c r="B149" i="37"/>
  <c r="C148" i="37"/>
  <c r="J147" i="37"/>
  <c r="F147" i="37"/>
  <c r="G147" i="37" s="1"/>
  <c r="H148" i="37" s="1"/>
  <c r="I148" i="37" s="1"/>
  <c r="D147" i="37"/>
  <c r="E147" i="37"/>
  <c r="K147" i="37"/>
  <c r="E148" i="37" l="1"/>
  <c r="F148" i="37"/>
  <c r="G148" i="37" s="1"/>
  <c r="H149" i="37" s="1"/>
  <c r="I149" i="37" s="1"/>
  <c r="D148" i="37"/>
  <c r="K148" i="37"/>
  <c r="J148" i="37"/>
  <c r="B150" i="37"/>
  <c r="C149" i="37"/>
  <c r="F149" i="37" l="1"/>
  <c r="G149" i="37" s="1"/>
  <c r="H150" i="37" s="1"/>
  <c r="I150" i="37" s="1"/>
  <c r="D149" i="37"/>
  <c r="K149" i="37"/>
  <c r="J149" i="37"/>
  <c r="E149" i="37"/>
  <c r="B151" i="37"/>
  <c r="C150" i="37"/>
  <c r="D150" i="37" l="1"/>
  <c r="J150" i="37"/>
  <c r="F150" i="37"/>
  <c r="G150" i="37" s="1"/>
  <c r="H151" i="37" s="1"/>
  <c r="I151" i="37" s="1"/>
  <c r="K150" i="37"/>
  <c r="E150" i="37"/>
  <c r="B152" i="37"/>
  <c r="C151" i="37"/>
  <c r="J151" i="37" l="1"/>
  <c r="F151" i="37"/>
  <c r="G151" i="37" s="1"/>
  <c r="H152" i="37" s="1"/>
  <c r="I152" i="37" s="1"/>
  <c r="E151" i="37"/>
  <c r="D151" i="37"/>
  <c r="K151" i="37"/>
  <c r="B153" i="37"/>
  <c r="C152" i="37"/>
  <c r="K152" i="37" l="1"/>
  <c r="E152" i="37"/>
  <c r="J152" i="37"/>
  <c r="D152" i="37"/>
  <c r="F152" i="37"/>
  <c r="G152" i="37" s="1"/>
  <c r="H153" i="37" s="1"/>
  <c r="I153" i="37" s="1"/>
  <c r="B154" i="37"/>
  <c r="C153" i="37"/>
  <c r="F153" i="37" l="1"/>
  <c r="G153" i="37" s="1"/>
  <c r="H154" i="37" s="1"/>
  <c r="I154" i="37" s="1"/>
  <c r="J153" i="37"/>
  <c r="D153" i="37"/>
  <c r="E153" i="37"/>
  <c r="K153" i="37"/>
  <c r="B155" i="37"/>
  <c r="C154" i="37"/>
  <c r="D154" i="37" l="1"/>
  <c r="F154" i="37"/>
  <c r="G154" i="37" s="1"/>
  <c r="H155" i="37" s="1"/>
  <c r="I155" i="37" s="1"/>
  <c r="E154" i="37"/>
  <c r="K154" i="37"/>
  <c r="J154" i="37"/>
  <c r="B156" i="37"/>
  <c r="C155" i="37"/>
  <c r="J155" i="37" l="1"/>
  <c r="F155" i="37"/>
  <c r="G155" i="37" s="1"/>
  <c r="H156" i="37" s="1"/>
  <c r="I156" i="37" s="1"/>
  <c r="K155" i="37"/>
  <c r="E155" i="37"/>
  <c r="D155" i="37"/>
  <c r="B157" i="37"/>
  <c r="C156" i="37"/>
  <c r="E156" i="37" l="1"/>
  <c r="K156" i="37"/>
  <c r="F156" i="37"/>
  <c r="G156" i="37" s="1"/>
  <c r="H157" i="37" s="1"/>
  <c r="I157" i="37" s="1"/>
  <c r="D156" i="37"/>
  <c r="J156" i="37"/>
  <c r="C157" i="37"/>
  <c r="B158" i="37"/>
  <c r="B159" i="37" l="1"/>
  <c r="C158" i="37"/>
  <c r="F157" i="37"/>
  <c r="G157" i="37" s="1"/>
  <c r="H158" i="37" s="1"/>
  <c r="I158" i="37" s="1"/>
  <c r="D157" i="37"/>
  <c r="J157" i="37"/>
  <c r="E157" i="37"/>
  <c r="K157" i="37"/>
  <c r="D158" i="37" l="1"/>
  <c r="F158" i="37"/>
  <c r="G158" i="37" s="1"/>
  <c r="H159" i="37" s="1"/>
  <c r="I159" i="37" s="1"/>
  <c r="J158" i="37"/>
  <c r="E158" i="37"/>
  <c r="K158" i="37"/>
  <c r="B160" i="37"/>
  <c r="C159" i="37"/>
  <c r="J159" i="37" l="1"/>
  <c r="E159" i="37"/>
  <c r="K159" i="37"/>
  <c r="F159" i="37"/>
  <c r="G159" i="37" s="1"/>
  <c r="H160" i="37" s="1"/>
  <c r="I160" i="37" s="1"/>
  <c r="D159" i="37"/>
  <c r="C160" i="37"/>
  <c r="B161" i="37"/>
  <c r="B162" i="37" l="1"/>
  <c r="C161" i="37"/>
  <c r="D160" i="37"/>
  <c r="K160" i="37"/>
  <c r="E160" i="37"/>
  <c r="J160" i="37"/>
  <c r="F160" i="37"/>
  <c r="G160" i="37" s="1"/>
  <c r="H161" i="37" s="1"/>
  <c r="I161" i="37" s="1"/>
  <c r="F161" i="37" l="1"/>
  <c r="G161" i="37" s="1"/>
  <c r="H162" i="37" s="1"/>
  <c r="I162" i="37" s="1"/>
  <c r="J161" i="37"/>
  <c r="E161" i="37"/>
  <c r="D161" i="37"/>
  <c r="K161" i="37"/>
  <c r="B163" i="37"/>
  <c r="C162" i="37"/>
  <c r="D162" i="37" l="1"/>
  <c r="K162" i="37"/>
  <c r="F162" i="37"/>
  <c r="G162" i="37" s="1"/>
  <c r="H163" i="37" s="1"/>
  <c r="I163" i="37" s="1"/>
  <c r="J162" i="37"/>
  <c r="E162" i="37"/>
  <c r="C163" i="37"/>
  <c r="B164" i="37"/>
  <c r="B165" i="37" l="1"/>
  <c r="C164" i="37"/>
  <c r="J163" i="37"/>
  <c r="K163" i="37"/>
  <c r="E163" i="37"/>
  <c r="D163" i="37"/>
  <c r="F163" i="37"/>
  <c r="G163" i="37" s="1"/>
  <c r="H164" i="37" s="1"/>
  <c r="I164" i="37" s="1"/>
  <c r="J164" i="37" l="1"/>
  <c r="D164" i="37"/>
  <c r="F164" i="37"/>
  <c r="G164" i="37" s="1"/>
  <c r="H165" i="37" s="1"/>
  <c r="I165" i="37" s="1"/>
  <c r="E164" i="37"/>
  <c r="K164" i="37"/>
  <c r="B166" i="37"/>
  <c r="C165" i="37"/>
  <c r="F165" i="37" l="1"/>
  <c r="G165" i="37" s="1"/>
  <c r="H166" i="37" s="1"/>
  <c r="I166" i="37" s="1"/>
  <c r="K165" i="37"/>
  <c r="J165" i="37"/>
  <c r="D165" i="37"/>
  <c r="E165" i="37"/>
  <c r="B167" i="37"/>
  <c r="C166" i="37"/>
  <c r="D166" i="37" l="1"/>
  <c r="F166" i="37"/>
  <c r="G166" i="37" s="1"/>
  <c r="H167" i="37" s="1"/>
  <c r="I167" i="37" s="1"/>
  <c r="K166" i="37"/>
  <c r="E166" i="37"/>
  <c r="J166" i="37"/>
  <c r="B168" i="37"/>
  <c r="C167" i="37"/>
  <c r="J167" i="37" l="1"/>
  <c r="E167" i="37"/>
  <c r="K167" i="37"/>
  <c r="F167" i="37"/>
  <c r="G167" i="37" s="1"/>
  <c r="H168" i="37" s="1"/>
  <c r="I168" i="37" s="1"/>
  <c r="D167" i="37"/>
  <c r="B169" i="37"/>
  <c r="C168" i="37"/>
  <c r="F168" i="37" l="1"/>
  <c r="D168" i="37"/>
  <c r="J168" i="37"/>
  <c r="K168" i="37"/>
  <c r="E168" i="37"/>
  <c r="B170" i="37"/>
  <c r="C169" i="37"/>
  <c r="G168" i="37" l="1"/>
  <c r="H169" i="37" s="1"/>
  <c r="I169" i="37" s="1"/>
  <c r="F169" i="37"/>
  <c r="E169" i="37"/>
  <c r="D169" i="37"/>
  <c r="J169" i="37"/>
  <c r="K169" i="37"/>
  <c r="B171" i="37"/>
  <c r="C170" i="37"/>
  <c r="G169" i="37" l="1"/>
  <c r="H170" i="37" s="1"/>
  <c r="I170" i="37" s="1"/>
  <c r="D170" i="37"/>
  <c r="E170" i="37"/>
  <c r="F170" i="37"/>
  <c r="G170" i="37" s="1"/>
  <c r="H171" i="37" s="1"/>
  <c r="I171" i="37" s="1"/>
  <c r="K170" i="37"/>
  <c r="J170" i="37"/>
  <c r="C171" i="37"/>
  <c r="B172" i="37"/>
  <c r="B173" i="37" l="1"/>
  <c r="C172" i="37"/>
  <c r="F171" i="37"/>
  <c r="G171" i="37" s="1"/>
  <c r="H172" i="37" s="1"/>
  <c r="I172" i="37" s="1"/>
  <c r="J171" i="37"/>
  <c r="E171" i="37"/>
  <c r="K171" i="37"/>
  <c r="D171" i="37"/>
  <c r="E172" i="37" l="1"/>
  <c r="D172" i="37"/>
  <c r="F172" i="37"/>
  <c r="G172" i="37" s="1"/>
  <c r="H173" i="37" s="1"/>
  <c r="I173" i="37" s="1"/>
  <c r="K172" i="37"/>
  <c r="J172" i="37"/>
  <c r="C173" i="37"/>
  <c r="B174" i="37"/>
  <c r="B175" i="37" l="1"/>
  <c r="C174" i="37"/>
  <c r="K173" i="37"/>
  <c r="J173" i="37"/>
  <c r="F173" i="37"/>
  <c r="G173" i="37" s="1"/>
  <c r="H174" i="37" s="1"/>
  <c r="I174" i="37" s="1"/>
  <c r="D173" i="37"/>
  <c r="E173" i="37"/>
  <c r="D174" i="37" l="1"/>
  <c r="K174" i="37"/>
  <c r="F174" i="37"/>
  <c r="G174" i="37" s="1"/>
  <c r="H175" i="37" s="1"/>
  <c r="I175" i="37" s="1"/>
  <c r="E174" i="37"/>
  <c r="J174" i="37"/>
  <c r="B176" i="37"/>
  <c r="C175" i="37"/>
  <c r="F175" i="37" l="1"/>
  <c r="G175" i="37" s="1"/>
  <c r="H176" i="37" s="1"/>
  <c r="I176" i="37" s="1"/>
  <c r="J175" i="37"/>
  <c r="D175" i="37"/>
  <c r="E175" i="37"/>
  <c r="K175" i="37"/>
  <c r="B177" i="37"/>
  <c r="C176" i="37"/>
  <c r="E176" i="37" l="1"/>
  <c r="D176" i="37"/>
  <c r="K176" i="37"/>
  <c r="F176" i="37"/>
  <c r="G176" i="37" s="1"/>
  <c r="H177" i="37" s="1"/>
  <c r="I177" i="37" s="1"/>
  <c r="J176" i="37"/>
  <c r="C177" i="37"/>
  <c r="B178" i="37"/>
  <c r="B179" i="37" l="1"/>
  <c r="C178" i="37"/>
  <c r="K177" i="37"/>
  <c r="J177" i="37"/>
  <c r="F177" i="37"/>
  <c r="G177" i="37" s="1"/>
  <c r="H178" i="37" s="1"/>
  <c r="I178" i="37" s="1"/>
  <c r="E177" i="37"/>
  <c r="D177" i="37"/>
  <c r="D178" i="37" l="1"/>
  <c r="J178" i="37"/>
  <c r="E178" i="37"/>
  <c r="F178" i="37"/>
  <c r="G178" i="37" s="1"/>
  <c r="H179" i="37" s="1"/>
  <c r="I179" i="37" s="1"/>
  <c r="K178" i="37"/>
  <c r="C179" i="37"/>
  <c r="B180" i="37"/>
  <c r="B181" i="37" l="1"/>
  <c r="C180" i="37"/>
  <c r="F179" i="37"/>
  <c r="G179" i="37" s="1"/>
  <c r="H180" i="37" s="1"/>
  <c r="I180" i="37" s="1"/>
  <c r="J179" i="37"/>
  <c r="E179" i="37"/>
  <c r="D179" i="37"/>
  <c r="K179" i="37"/>
  <c r="E180" i="37" l="1"/>
  <c r="D180" i="37"/>
  <c r="F180" i="37"/>
  <c r="G180" i="37" s="1"/>
  <c r="H181" i="37" s="1"/>
  <c r="I181" i="37" s="1"/>
  <c r="J180" i="37"/>
  <c r="K180" i="37"/>
  <c r="C181" i="37"/>
  <c r="B182" i="37"/>
  <c r="B183" i="37" l="1"/>
  <c r="C182" i="37"/>
  <c r="K181" i="37"/>
  <c r="J181" i="37"/>
  <c r="F181" i="37"/>
  <c r="G181" i="37" s="1"/>
  <c r="H182" i="37" s="1"/>
  <c r="I182" i="37" s="1"/>
  <c r="E181" i="37"/>
  <c r="D181" i="37"/>
  <c r="D182" i="37" l="1"/>
  <c r="K182" i="37"/>
  <c r="J182" i="37"/>
  <c r="F182" i="37"/>
  <c r="G182" i="37" s="1"/>
  <c r="H183" i="37" s="1"/>
  <c r="I183" i="37" s="1"/>
  <c r="E182" i="37"/>
  <c r="C183" i="37"/>
  <c r="B184" i="37"/>
  <c r="B185" i="37" l="1"/>
  <c r="C184" i="37"/>
  <c r="F183" i="37"/>
  <c r="G183" i="37" s="1"/>
  <c r="H184" i="37" s="1"/>
  <c r="I184" i="37" s="1"/>
  <c r="J183" i="37"/>
  <c r="K183" i="37"/>
  <c r="E183" i="37"/>
  <c r="D183" i="37"/>
  <c r="E184" i="37" l="1"/>
  <c r="D184" i="37"/>
  <c r="J184" i="37"/>
  <c r="F184" i="37"/>
  <c r="G184" i="37" s="1"/>
  <c r="H185" i="37" s="1"/>
  <c r="I185" i="37" s="1"/>
  <c r="K184" i="37"/>
  <c r="C185" i="37"/>
  <c r="B186" i="37"/>
  <c r="B187" i="37" l="1"/>
  <c r="C186" i="37"/>
  <c r="K185" i="37"/>
  <c r="J185" i="37"/>
  <c r="F185" i="37"/>
  <c r="G185" i="37" s="1"/>
  <c r="H186" i="37" s="1"/>
  <c r="I186" i="37" s="1"/>
  <c r="D185" i="37"/>
  <c r="E185" i="37"/>
  <c r="D186" i="37" l="1"/>
  <c r="J186" i="37"/>
  <c r="F186" i="37"/>
  <c r="G186" i="37" s="1"/>
  <c r="H187" i="37" s="1"/>
  <c r="I187" i="37" s="1"/>
  <c r="K186" i="37"/>
  <c r="E186" i="37"/>
  <c r="B188" i="37"/>
  <c r="C187" i="37"/>
  <c r="F187" i="37" l="1"/>
  <c r="G187" i="37" s="1"/>
  <c r="H188" i="37" s="1"/>
  <c r="I188" i="37" s="1"/>
  <c r="J187" i="37"/>
  <c r="D187" i="37"/>
  <c r="E187" i="37"/>
  <c r="K187" i="37"/>
  <c r="B189" i="37"/>
  <c r="C188" i="37"/>
  <c r="E188" i="37" l="1"/>
  <c r="D188" i="37"/>
  <c r="K188" i="37"/>
  <c r="J188" i="37"/>
  <c r="F188" i="37"/>
  <c r="G188" i="37" s="1"/>
  <c r="H189" i="37" s="1"/>
  <c r="I189" i="37" s="1"/>
  <c r="C189" i="37"/>
  <c r="B190" i="37"/>
  <c r="B191" i="37" l="1"/>
  <c r="C190" i="37"/>
  <c r="K189" i="37"/>
  <c r="J189" i="37"/>
  <c r="F189" i="37"/>
  <c r="G189" i="37" s="1"/>
  <c r="H190" i="37" s="1"/>
  <c r="I190" i="37" s="1"/>
  <c r="E189" i="37"/>
  <c r="D189" i="37"/>
  <c r="D190" i="37" l="1"/>
  <c r="E190" i="37"/>
  <c r="K190" i="37"/>
  <c r="J190" i="37"/>
  <c r="F190" i="37"/>
  <c r="G190" i="37" s="1"/>
  <c r="H191" i="37" s="1"/>
  <c r="I191" i="37" s="1"/>
  <c r="C191" i="37"/>
  <c r="B192" i="37"/>
  <c r="B193" i="37" l="1"/>
  <c r="C192" i="37"/>
  <c r="F191" i="37"/>
  <c r="G191" i="37" s="1"/>
  <c r="H192" i="37" s="1"/>
  <c r="I192" i="37" s="1"/>
  <c r="J191" i="37"/>
  <c r="K191" i="37"/>
  <c r="E191" i="37"/>
  <c r="D191" i="37"/>
  <c r="E192" i="37" l="1"/>
  <c r="D192" i="37"/>
  <c r="J192" i="37"/>
  <c r="F192" i="37"/>
  <c r="G192" i="37" s="1"/>
  <c r="H193" i="37" s="1"/>
  <c r="I193" i="37" s="1"/>
  <c r="K192" i="37"/>
  <c r="C193" i="37"/>
  <c r="B194" i="37"/>
  <c r="B195" i="37" l="1"/>
  <c r="C194" i="37"/>
  <c r="K193" i="37"/>
  <c r="J193" i="37"/>
  <c r="F193" i="37"/>
  <c r="G193" i="37" s="1"/>
  <c r="H194" i="37" s="1"/>
  <c r="I194" i="37" s="1"/>
  <c r="D193" i="37"/>
  <c r="E193" i="37"/>
  <c r="D194" i="37" l="1"/>
  <c r="F194" i="37"/>
  <c r="K194" i="37"/>
  <c r="J194" i="37"/>
  <c r="E194" i="37"/>
  <c r="C195" i="37"/>
  <c r="B196" i="37"/>
  <c r="G194" i="37" l="1"/>
  <c r="H195" i="37" s="1"/>
  <c r="I195" i="37" s="1"/>
  <c r="B197" i="37"/>
  <c r="C196" i="37"/>
  <c r="F195" i="37"/>
  <c r="J195" i="37"/>
  <c r="E195" i="37"/>
  <c r="K195" i="37"/>
  <c r="D195" i="37"/>
  <c r="G195" i="37" l="1"/>
  <c r="H196" i="37" s="1"/>
  <c r="I196" i="37" s="1"/>
  <c r="E196" i="37"/>
  <c r="D196" i="37"/>
  <c r="K196" i="37"/>
  <c r="J196" i="37"/>
  <c r="F196" i="37"/>
  <c r="C197" i="37"/>
  <c r="B198" i="37"/>
  <c r="G196" i="37" l="1"/>
  <c r="H197" i="37" s="1"/>
  <c r="I197" i="37" s="1"/>
  <c r="B199" i="37"/>
  <c r="C198" i="37"/>
  <c r="K197" i="37"/>
  <c r="J197" i="37"/>
  <c r="F197" i="37"/>
  <c r="G197" i="37" s="1"/>
  <c r="H198" i="37" s="1"/>
  <c r="I198" i="37" s="1"/>
  <c r="D197" i="37"/>
  <c r="E197" i="37"/>
  <c r="D198" i="37" l="1"/>
  <c r="E198" i="37"/>
  <c r="J198" i="37"/>
  <c r="K198" i="37"/>
  <c r="F198" i="37"/>
  <c r="G198" i="37" s="1"/>
  <c r="H199" i="37" s="1"/>
  <c r="I199" i="37" s="1"/>
  <c r="B200" i="37"/>
  <c r="C199" i="37"/>
  <c r="F199" i="37" l="1"/>
  <c r="G199" i="37" s="1"/>
  <c r="H200" i="37" s="1"/>
  <c r="I200" i="37" s="1"/>
  <c r="J199" i="37"/>
  <c r="D199" i="37"/>
  <c r="K199" i="37"/>
  <c r="E199" i="37"/>
  <c r="B201" i="37"/>
  <c r="C200" i="37"/>
  <c r="E200" i="37" l="1"/>
  <c r="D200" i="37"/>
  <c r="J200" i="37"/>
  <c r="K200" i="37"/>
  <c r="F200" i="37"/>
  <c r="G200" i="37" s="1"/>
  <c r="H201" i="37" s="1"/>
  <c r="I201" i="37" s="1"/>
  <c r="C201" i="37"/>
  <c r="B202" i="37"/>
  <c r="B203" i="37" l="1"/>
  <c r="C202" i="37"/>
  <c r="K201" i="37"/>
  <c r="J201" i="37"/>
  <c r="F201" i="37"/>
  <c r="G201" i="37" s="1"/>
  <c r="H202" i="37" s="1"/>
  <c r="I202" i="37" s="1"/>
  <c r="E201" i="37"/>
  <c r="D201" i="37"/>
  <c r="D202" i="37" l="1"/>
  <c r="K202" i="37"/>
  <c r="J202" i="37"/>
  <c r="E202" i="37"/>
  <c r="F202" i="37"/>
  <c r="G202" i="37" s="1"/>
  <c r="H203" i="37" s="1"/>
  <c r="I203" i="37" s="1"/>
  <c r="C203" i="37"/>
  <c r="B204" i="37"/>
  <c r="B205" i="37" l="1"/>
  <c r="C204" i="37"/>
  <c r="F203" i="37"/>
  <c r="G203" i="37" s="1"/>
  <c r="H204" i="37" s="1"/>
  <c r="I204" i="37" s="1"/>
  <c r="J203" i="37"/>
  <c r="E203" i="37"/>
  <c r="K203" i="37"/>
  <c r="D203" i="37"/>
  <c r="E204" i="37" l="1"/>
  <c r="D204" i="37"/>
  <c r="F204" i="37"/>
  <c r="G204" i="37" s="1"/>
  <c r="H205" i="37" s="1"/>
  <c r="I205" i="37" s="1"/>
  <c r="K204" i="37"/>
  <c r="J204" i="37"/>
  <c r="C205" i="37"/>
  <c r="B206" i="37"/>
  <c r="B207" i="37" l="1"/>
  <c r="C206" i="37"/>
  <c r="K205" i="37"/>
  <c r="J205" i="37"/>
  <c r="F205" i="37"/>
  <c r="G205" i="37" s="1"/>
  <c r="H206" i="37" s="1"/>
  <c r="I206" i="37" s="1"/>
  <c r="D205" i="37"/>
  <c r="E205" i="37"/>
  <c r="D206" i="37" l="1"/>
  <c r="K206" i="37"/>
  <c r="F206" i="37"/>
  <c r="G206" i="37" s="1"/>
  <c r="H207" i="37" s="1"/>
  <c r="I207" i="37" s="1"/>
  <c r="J206" i="37"/>
  <c r="E206" i="37"/>
  <c r="C207" i="37"/>
  <c r="B208" i="37"/>
  <c r="B209" i="37" l="1"/>
  <c r="C208" i="37"/>
  <c r="F207" i="37"/>
  <c r="G207" i="37" s="1"/>
  <c r="H208" i="37" s="1"/>
  <c r="I208" i="37" s="1"/>
  <c r="J207" i="37"/>
  <c r="D207" i="37"/>
  <c r="E207" i="37"/>
  <c r="K207" i="37"/>
  <c r="E208" i="37" l="1"/>
  <c r="D208" i="37"/>
  <c r="K208" i="37"/>
  <c r="J208" i="37"/>
  <c r="F208" i="37"/>
  <c r="G208" i="37" s="1"/>
  <c r="H209" i="37" s="1"/>
  <c r="I209" i="37" s="1"/>
  <c r="C209" i="37"/>
  <c r="B210" i="37"/>
  <c r="B211" i="37" l="1"/>
  <c r="C210" i="37"/>
  <c r="K209" i="37"/>
  <c r="J209" i="37"/>
  <c r="F209" i="37"/>
  <c r="G209" i="37" s="1"/>
  <c r="H210" i="37" s="1"/>
  <c r="I210" i="37" s="1"/>
  <c r="E209" i="37"/>
  <c r="D209" i="37"/>
  <c r="D210" i="37" l="1"/>
  <c r="J210" i="37"/>
  <c r="E210" i="37"/>
  <c r="K210" i="37"/>
  <c r="F210" i="37"/>
  <c r="G210" i="37" s="1"/>
  <c r="H211" i="37" s="1"/>
  <c r="I211" i="37" s="1"/>
  <c r="C211" i="37"/>
  <c r="B212" i="37"/>
  <c r="B213" i="37" l="1"/>
  <c r="C212" i="37"/>
  <c r="F211" i="37"/>
  <c r="G211" i="37" s="1"/>
  <c r="H212" i="37" s="1"/>
  <c r="I212" i="37" s="1"/>
  <c r="J211" i="37"/>
  <c r="E211" i="37"/>
  <c r="D211" i="37"/>
  <c r="K211" i="37"/>
  <c r="E212" i="37" l="1"/>
  <c r="D212" i="37"/>
  <c r="F212" i="37"/>
  <c r="G212" i="37" s="1"/>
  <c r="H213" i="37" s="1"/>
  <c r="I213" i="37" s="1"/>
  <c r="J212" i="37"/>
  <c r="K212" i="37"/>
  <c r="C213" i="37"/>
  <c r="B214" i="37"/>
  <c r="B215" i="37" l="1"/>
  <c r="C214" i="37"/>
  <c r="K213" i="37"/>
  <c r="J213" i="37"/>
  <c r="F213" i="37"/>
  <c r="G213" i="37" s="1"/>
  <c r="H214" i="37" s="1"/>
  <c r="I214" i="37" s="1"/>
  <c r="E213" i="37"/>
  <c r="D213" i="37"/>
  <c r="D214" i="37" l="1"/>
  <c r="K214" i="37"/>
  <c r="E214" i="37"/>
  <c r="J214" i="37"/>
  <c r="F214" i="37"/>
  <c r="G214" i="37" s="1"/>
  <c r="H215" i="37" s="1"/>
  <c r="I215" i="37" s="1"/>
  <c r="C215" i="37"/>
  <c r="B216" i="37"/>
  <c r="B217" i="37" l="1"/>
  <c r="C216" i="37"/>
  <c r="F215" i="37"/>
  <c r="G215" i="37" s="1"/>
  <c r="H216" i="37" s="1"/>
  <c r="I216" i="37" s="1"/>
  <c r="J215" i="37"/>
  <c r="K215" i="37"/>
  <c r="E215" i="37"/>
  <c r="D215" i="37"/>
  <c r="E216" i="37" l="1"/>
  <c r="D216" i="37"/>
  <c r="K216" i="37"/>
  <c r="F216" i="37"/>
  <c r="G216" i="37" s="1"/>
  <c r="H217" i="37" s="1"/>
  <c r="I217" i="37" s="1"/>
  <c r="J216" i="37"/>
  <c r="C217" i="37"/>
  <c r="B218" i="37"/>
  <c r="B219" i="37" l="1"/>
  <c r="C218" i="37"/>
  <c r="K217" i="37"/>
  <c r="J217" i="37"/>
  <c r="F217" i="37"/>
  <c r="G217" i="37" s="1"/>
  <c r="H218" i="37" s="1"/>
  <c r="I218" i="37" s="1"/>
  <c r="D217" i="37"/>
  <c r="E217" i="37"/>
  <c r="D218" i="37" l="1"/>
  <c r="J218" i="37"/>
  <c r="F218" i="37"/>
  <c r="G218" i="37" s="1"/>
  <c r="H219" i="37" s="1"/>
  <c r="I219" i="37" s="1"/>
  <c r="E218" i="37"/>
  <c r="K218" i="37"/>
  <c r="B220" i="37"/>
  <c r="C219" i="37"/>
  <c r="F219" i="37" l="1"/>
  <c r="G219" i="37" s="1"/>
  <c r="H220" i="37" s="1"/>
  <c r="I220" i="37" s="1"/>
  <c r="J219" i="37"/>
  <c r="D219" i="37"/>
  <c r="E219" i="37"/>
  <c r="K219" i="37"/>
  <c r="B221" i="37"/>
  <c r="C220" i="37"/>
  <c r="E220" i="37" l="1"/>
  <c r="D220" i="37"/>
  <c r="K220" i="37"/>
  <c r="F220" i="37"/>
  <c r="G220" i="37" s="1"/>
  <c r="H221" i="37" s="1"/>
  <c r="I221" i="37" s="1"/>
  <c r="J220" i="37"/>
  <c r="C221" i="37"/>
  <c r="B222" i="37"/>
  <c r="C222" i="37" l="1"/>
  <c r="B223" i="37"/>
  <c r="K221" i="37"/>
  <c r="D221" i="37"/>
  <c r="F221" i="37"/>
  <c r="J221" i="37"/>
  <c r="E221" i="37"/>
  <c r="G221" i="37" l="1"/>
  <c r="H222" i="37" s="1"/>
  <c r="I222" i="37" s="1"/>
  <c r="B224" i="37"/>
  <c r="C223" i="37"/>
  <c r="K222" i="37"/>
  <c r="D222" i="37"/>
  <c r="J222" i="37"/>
  <c r="F222" i="37"/>
  <c r="G222" i="37" s="1"/>
  <c r="H223" i="37" s="1"/>
  <c r="I223" i="37" s="1"/>
  <c r="E222" i="37"/>
  <c r="D223" i="37" l="1"/>
  <c r="E223" i="37"/>
  <c r="J223" i="37"/>
  <c r="K223" i="37"/>
  <c r="F223" i="37"/>
  <c r="G223" i="37" s="1"/>
  <c r="H224" i="37" s="1"/>
  <c r="I224" i="37" s="1"/>
  <c r="B225" i="37"/>
  <c r="C224" i="37"/>
  <c r="E224" i="37" l="1"/>
  <c r="J224" i="37"/>
  <c r="F224" i="37"/>
  <c r="G224" i="37" s="1"/>
  <c r="H225" i="37" s="1"/>
  <c r="I225" i="37" s="1"/>
  <c r="K224" i="37"/>
  <c r="D224" i="37"/>
  <c r="C225" i="37"/>
  <c r="B226" i="37"/>
  <c r="C226" i="37" l="1"/>
  <c r="B227" i="37"/>
  <c r="E225" i="37"/>
  <c r="K225" i="37"/>
  <c r="J225" i="37"/>
  <c r="D225" i="37"/>
  <c r="F225" i="37"/>
  <c r="G225" i="37" s="1"/>
  <c r="H226" i="37" s="1"/>
  <c r="I226" i="37" s="1"/>
  <c r="B228" i="37" l="1"/>
  <c r="C227" i="37"/>
  <c r="K226" i="37"/>
  <c r="F226" i="37"/>
  <c r="G226" i="37" s="1"/>
  <c r="H227" i="37" s="1"/>
  <c r="I227" i="37" s="1"/>
  <c r="E226" i="37"/>
  <c r="D226" i="37"/>
  <c r="J226" i="37"/>
  <c r="D227" i="37" l="1"/>
  <c r="E227" i="37"/>
  <c r="K227" i="37"/>
  <c r="J227" i="37"/>
  <c r="F227" i="37"/>
  <c r="G227" i="37" s="1"/>
  <c r="H228" i="37" s="1"/>
  <c r="I228" i="37" s="1"/>
  <c r="C228" i="37"/>
  <c r="B229" i="37"/>
  <c r="C229" i="37" l="1"/>
  <c r="B230" i="37"/>
  <c r="E228" i="37"/>
  <c r="J228" i="37"/>
  <c r="F228" i="37"/>
  <c r="G228" i="37" s="1"/>
  <c r="H229" i="37" s="1"/>
  <c r="I229" i="37" s="1"/>
  <c r="D228" i="37"/>
  <c r="K228" i="37"/>
  <c r="C230" i="37" l="1"/>
  <c r="B231" i="37"/>
  <c r="E229" i="37"/>
  <c r="K229" i="37"/>
  <c r="D229" i="37"/>
  <c r="F229" i="37"/>
  <c r="G229" i="37" s="1"/>
  <c r="H230" i="37" s="1"/>
  <c r="I230" i="37" s="1"/>
  <c r="J229" i="37"/>
  <c r="B232" i="37" l="1"/>
  <c r="C231" i="37"/>
  <c r="K230" i="37"/>
  <c r="F230" i="37"/>
  <c r="G230" i="37" s="1"/>
  <c r="H231" i="37" s="1"/>
  <c r="I231" i="37" s="1"/>
  <c r="J230" i="37"/>
  <c r="D230" i="37"/>
  <c r="E230" i="37"/>
  <c r="D231" i="37" l="1"/>
  <c r="F231" i="37"/>
  <c r="G231" i="37" s="1"/>
  <c r="H232" i="37" s="1"/>
  <c r="I232" i="37" s="1"/>
  <c r="E231" i="37"/>
  <c r="K231" i="37"/>
  <c r="J231" i="37"/>
  <c r="C232" i="37"/>
  <c r="B233" i="37"/>
  <c r="C233" i="37" l="1"/>
  <c r="B234" i="37"/>
  <c r="E232" i="37"/>
  <c r="J232" i="37"/>
  <c r="D232" i="37"/>
  <c r="K232" i="37"/>
  <c r="F232" i="37"/>
  <c r="G232" i="37" s="1"/>
  <c r="H233" i="37" s="1"/>
  <c r="I233" i="37" s="1"/>
  <c r="C234" i="37" l="1"/>
  <c r="B235" i="37"/>
  <c r="E233" i="37"/>
  <c r="K233" i="37"/>
  <c r="F233" i="37"/>
  <c r="G233" i="37" s="1"/>
  <c r="H234" i="37" s="1"/>
  <c r="I234" i="37" s="1"/>
  <c r="D233" i="37"/>
  <c r="J233" i="37"/>
  <c r="B236" i="37" l="1"/>
  <c r="C235" i="37"/>
  <c r="K234" i="37"/>
  <c r="F234" i="37"/>
  <c r="G234" i="37" s="1"/>
  <c r="H235" i="37" s="1"/>
  <c r="I235" i="37" s="1"/>
  <c r="J234" i="37"/>
  <c r="D234" i="37"/>
  <c r="E234" i="37"/>
  <c r="D235" i="37" l="1"/>
  <c r="K235" i="37"/>
  <c r="E235" i="37"/>
  <c r="F235" i="37"/>
  <c r="G235" i="37" s="1"/>
  <c r="H236" i="37" s="1"/>
  <c r="I236" i="37" s="1"/>
  <c r="J235" i="37"/>
  <c r="C236" i="37"/>
  <c r="B237" i="37"/>
  <c r="C237" i="37" l="1"/>
  <c r="B238" i="37"/>
  <c r="E236" i="37"/>
  <c r="J236" i="37"/>
  <c r="K236" i="37"/>
  <c r="D236" i="37"/>
  <c r="F236" i="37"/>
  <c r="G236" i="37" s="1"/>
  <c r="H237" i="37" s="1"/>
  <c r="I237" i="37" s="1"/>
  <c r="C238" i="37" l="1"/>
  <c r="B239" i="37"/>
  <c r="E237" i="37"/>
  <c r="K237" i="37"/>
  <c r="F237" i="37"/>
  <c r="G237" i="37" s="1"/>
  <c r="H238" i="37" s="1"/>
  <c r="I238" i="37" s="1"/>
  <c r="D237" i="37"/>
  <c r="J237" i="37"/>
  <c r="B240" i="37" l="1"/>
  <c r="C239" i="37"/>
  <c r="K238" i="37"/>
  <c r="F238" i="37"/>
  <c r="G238" i="37" s="1"/>
  <c r="H239" i="37" s="1"/>
  <c r="I239" i="37" s="1"/>
  <c r="D238" i="37"/>
  <c r="J238" i="37"/>
  <c r="E238" i="37"/>
  <c r="D239" i="37" l="1"/>
  <c r="K239" i="37"/>
  <c r="J239" i="37"/>
  <c r="F239" i="37"/>
  <c r="G239" i="37" s="1"/>
  <c r="H240" i="37" s="1"/>
  <c r="I240" i="37" s="1"/>
  <c r="E239" i="37"/>
  <c r="B241" i="37"/>
  <c r="C240" i="37"/>
  <c r="E240" i="37" l="1"/>
  <c r="J240" i="37"/>
  <c r="F240" i="37"/>
  <c r="G240" i="37" s="1"/>
  <c r="H241" i="37" s="1"/>
  <c r="I241" i="37" s="1"/>
  <c r="K240" i="37"/>
  <c r="D240" i="37"/>
  <c r="C241" i="37"/>
  <c r="B242" i="37"/>
  <c r="C242" i="37" l="1"/>
  <c r="B243" i="37"/>
  <c r="E241" i="37"/>
  <c r="K241" i="37"/>
  <c r="D241" i="37"/>
  <c r="F241" i="37"/>
  <c r="G241" i="37" s="1"/>
  <c r="H242" i="37" s="1"/>
  <c r="I242" i="37" s="1"/>
  <c r="J241" i="37"/>
  <c r="B244" i="37" l="1"/>
  <c r="C243" i="37"/>
  <c r="K242" i="37"/>
  <c r="F242" i="37"/>
  <c r="G242" i="37" s="1"/>
  <c r="H243" i="37" s="1"/>
  <c r="I243" i="37" s="1"/>
  <c r="E242" i="37"/>
  <c r="D242" i="37"/>
  <c r="J242" i="37"/>
  <c r="D243" i="37" l="1"/>
  <c r="J243" i="37"/>
  <c r="F243" i="37"/>
  <c r="G243" i="37" s="1"/>
  <c r="H244" i="37" s="1"/>
  <c r="I244" i="37" s="1"/>
  <c r="K243" i="37"/>
  <c r="E243" i="37"/>
  <c r="B245" i="37"/>
  <c r="C244" i="37"/>
  <c r="E244" i="37" l="1"/>
  <c r="J244" i="37"/>
  <c r="K244" i="37"/>
  <c r="D244" i="37"/>
  <c r="F244" i="37"/>
  <c r="G244" i="37" s="1"/>
  <c r="H245" i="37" s="1"/>
  <c r="I245" i="37" s="1"/>
  <c r="C245" i="37"/>
  <c r="B246" i="37"/>
  <c r="C246" i="37" l="1"/>
  <c r="B247" i="37"/>
  <c r="E245" i="37"/>
  <c r="K245" i="37"/>
  <c r="D245" i="37"/>
  <c r="J245" i="37"/>
  <c r="F245" i="37"/>
  <c r="G245" i="37" s="1"/>
  <c r="H246" i="37" s="1"/>
  <c r="I246" i="37" s="1"/>
  <c r="B248" i="37" l="1"/>
  <c r="C247" i="37"/>
  <c r="K246" i="37"/>
  <c r="F246" i="37"/>
  <c r="E246" i="37"/>
  <c r="D246" i="37"/>
  <c r="J246" i="37"/>
  <c r="G246" i="37" l="1"/>
  <c r="H247" i="37" s="1"/>
  <c r="I247" i="37" s="1"/>
  <c r="D247" i="37"/>
  <c r="F247" i="37"/>
  <c r="J247" i="37"/>
  <c r="K247" i="37"/>
  <c r="E247" i="37"/>
  <c r="C248" i="37"/>
  <c r="B249" i="37"/>
  <c r="G247" i="37" l="1"/>
  <c r="H248" i="37" s="1"/>
  <c r="I248" i="37" s="1"/>
  <c r="C249" i="37"/>
  <c r="B250" i="37"/>
  <c r="E248" i="37"/>
  <c r="J248" i="37"/>
  <c r="K248" i="37"/>
  <c r="F248" i="37"/>
  <c r="D248" i="37"/>
  <c r="G248" i="37" l="1"/>
  <c r="H249" i="37" s="1"/>
  <c r="I249" i="37" s="1"/>
  <c r="C250" i="37"/>
  <c r="B251" i="37"/>
  <c r="E249" i="37"/>
  <c r="K249" i="37"/>
  <c r="F249" i="37"/>
  <c r="D249" i="37"/>
  <c r="J249" i="37"/>
  <c r="G249" i="37" l="1"/>
  <c r="H250" i="37" s="1"/>
  <c r="I250" i="37" s="1"/>
  <c r="B252" i="37"/>
  <c r="C251" i="37"/>
  <c r="K250" i="37"/>
  <c r="F250" i="37"/>
  <c r="D250" i="37"/>
  <c r="J250" i="37"/>
  <c r="E250" i="37"/>
  <c r="G250" i="37" l="1"/>
  <c r="H251" i="37" s="1"/>
  <c r="I251" i="37" s="1"/>
  <c r="D251" i="37"/>
  <c r="F251" i="37"/>
  <c r="E251" i="37"/>
  <c r="K251" i="37"/>
  <c r="J251" i="37"/>
  <c r="C252" i="37"/>
  <c r="B253" i="37"/>
  <c r="G251" i="37" l="1"/>
  <c r="H252" i="37" s="1"/>
  <c r="I252" i="37" s="1"/>
  <c r="C253" i="37"/>
  <c r="B254" i="37"/>
  <c r="E252" i="37"/>
  <c r="J252" i="37"/>
  <c r="F252" i="37"/>
  <c r="G252" i="37" s="1"/>
  <c r="H253" i="37" s="1"/>
  <c r="I253" i="37" s="1"/>
  <c r="D252" i="37"/>
  <c r="K252" i="37"/>
  <c r="C254" i="37" l="1"/>
  <c r="B255" i="37"/>
  <c r="E253" i="37"/>
  <c r="K253" i="37"/>
  <c r="J253" i="37"/>
  <c r="D253" i="37"/>
  <c r="F253" i="37"/>
  <c r="G253" i="37" s="1"/>
  <c r="H254" i="37" s="1"/>
  <c r="I254" i="37" s="1"/>
  <c r="B256" i="37" l="1"/>
  <c r="C255" i="37"/>
  <c r="K254" i="37"/>
  <c r="F254" i="37"/>
  <c r="G254" i="37" s="1"/>
  <c r="H255" i="37" s="1"/>
  <c r="I255" i="37" s="1"/>
  <c r="E254" i="37"/>
  <c r="D254" i="37"/>
  <c r="J254" i="37"/>
  <c r="D255" i="37" l="1"/>
  <c r="E255" i="37"/>
  <c r="J255" i="37"/>
  <c r="K255" i="37"/>
  <c r="F255" i="37"/>
  <c r="G255" i="37" s="1"/>
  <c r="H256" i="37" s="1"/>
  <c r="I256" i="37" s="1"/>
  <c r="B257" i="37"/>
  <c r="C256" i="37"/>
  <c r="E256" i="37" l="1"/>
  <c r="J256" i="37"/>
  <c r="F256" i="37"/>
  <c r="G256" i="37" s="1"/>
  <c r="H257" i="37" s="1"/>
  <c r="I257" i="37" s="1"/>
  <c r="K256" i="37"/>
  <c r="D256" i="37"/>
  <c r="C257" i="37"/>
  <c r="B258" i="37"/>
  <c r="C258" i="37" l="1"/>
  <c r="B259" i="37"/>
  <c r="E257" i="37"/>
  <c r="K257" i="37"/>
  <c r="J257" i="37"/>
  <c r="F257" i="37"/>
  <c r="G257" i="37" s="1"/>
  <c r="H258" i="37" s="1"/>
  <c r="I258" i="37" s="1"/>
  <c r="D257" i="37"/>
  <c r="B260" i="37" l="1"/>
  <c r="C259" i="37"/>
  <c r="K258" i="37"/>
  <c r="F258" i="37"/>
  <c r="G258" i="37" s="1"/>
  <c r="H259" i="37" s="1"/>
  <c r="I259" i="37" s="1"/>
  <c r="E258" i="37"/>
  <c r="J258" i="37"/>
  <c r="D258" i="37"/>
  <c r="D259" i="37" l="1"/>
  <c r="K259" i="37"/>
  <c r="F259" i="37"/>
  <c r="G259" i="37" s="1"/>
  <c r="H260" i="37" s="1"/>
  <c r="I260" i="37" s="1"/>
  <c r="J259" i="37"/>
  <c r="E259" i="37"/>
  <c r="B261" i="37"/>
  <c r="C260" i="37"/>
  <c r="E260" i="37" l="1"/>
  <c r="J260" i="37"/>
  <c r="F260" i="37"/>
  <c r="G260" i="37" s="1"/>
  <c r="H261" i="37" s="1"/>
  <c r="I261" i="37" s="1"/>
  <c r="D260" i="37"/>
  <c r="K260" i="37"/>
  <c r="C261" i="37"/>
  <c r="B262" i="37"/>
  <c r="C262" i="37" l="1"/>
  <c r="B263" i="37"/>
  <c r="E261" i="37"/>
  <c r="K261" i="37"/>
  <c r="F261" i="37"/>
  <c r="G261" i="37" s="1"/>
  <c r="H262" i="37" s="1"/>
  <c r="I262" i="37" s="1"/>
  <c r="J261" i="37"/>
  <c r="D261" i="37"/>
  <c r="B264" i="37" l="1"/>
  <c r="C263" i="37"/>
  <c r="K262" i="37"/>
  <c r="F262" i="37"/>
  <c r="G262" i="37" s="1"/>
  <c r="H263" i="37" s="1"/>
  <c r="I263" i="37" s="1"/>
  <c r="J262" i="37"/>
  <c r="D262" i="37"/>
  <c r="E262" i="37"/>
  <c r="D263" i="37" l="1"/>
  <c r="F263" i="37"/>
  <c r="G263" i="37" s="1"/>
  <c r="H264" i="37" s="1"/>
  <c r="I264" i="37" s="1"/>
  <c r="K263" i="37"/>
  <c r="J263" i="37"/>
  <c r="E263" i="37"/>
  <c r="C264" i="37"/>
  <c r="B265" i="37"/>
  <c r="C265" i="37" l="1"/>
  <c r="B266" i="37"/>
  <c r="E264" i="37"/>
  <c r="J264" i="37"/>
  <c r="D264" i="37"/>
  <c r="K264" i="37"/>
  <c r="F264" i="37"/>
  <c r="G264" i="37" s="1"/>
  <c r="H265" i="37" s="1"/>
  <c r="I265" i="37" s="1"/>
  <c r="B267" i="37" l="1"/>
  <c r="C266" i="37"/>
  <c r="E265" i="37"/>
  <c r="K265" i="37"/>
  <c r="F265" i="37"/>
  <c r="G265" i="37" s="1"/>
  <c r="H266" i="37" s="1"/>
  <c r="I266" i="37" s="1"/>
  <c r="D265" i="37"/>
  <c r="J265" i="37"/>
  <c r="F266" i="37" l="1"/>
  <c r="G266" i="37" s="1"/>
  <c r="H267" i="37" s="1"/>
  <c r="I267" i="37" s="1"/>
  <c r="J266" i="37"/>
  <c r="K266" i="37"/>
  <c r="D266" i="37"/>
  <c r="E266" i="37"/>
  <c r="B268" i="37"/>
  <c r="C267" i="37"/>
  <c r="D267" i="37" l="1"/>
  <c r="K267" i="37"/>
  <c r="F267" i="37"/>
  <c r="G267" i="37" s="1"/>
  <c r="H268" i="37" s="1"/>
  <c r="I268" i="37" s="1"/>
  <c r="J267" i="37"/>
  <c r="E267" i="37"/>
  <c r="B269" i="37"/>
  <c r="C268" i="37"/>
  <c r="J268" i="37" l="1"/>
  <c r="K268" i="37"/>
  <c r="E268" i="37"/>
  <c r="F268" i="37"/>
  <c r="G268" i="37" s="1"/>
  <c r="H269" i="37" s="1"/>
  <c r="I269" i="37" s="1"/>
  <c r="D268" i="37"/>
  <c r="C269" i="37"/>
  <c r="B270" i="37"/>
  <c r="B271" i="37" l="1"/>
  <c r="C270" i="37"/>
  <c r="J269" i="37"/>
  <c r="D269" i="37"/>
  <c r="K269" i="37"/>
  <c r="E269" i="37"/>
  <c r="F269" i="37"/>
  <c r="G269" i="37" s="1"/>
  <c r="H270" i="37" s="1"/>
  <c r="I270" i="37" s="1"/>
  <c r="F270" i="37" l="1"/>
  <c r="G270" i="37" s="1"/>
  <c r="H271" i="37" s="1"/>
  <c r="I271" i="37" s="1"/>
  <c r="E270" i="37"/>
  <c r="J270" i="37"/>
  <c r="D270" i="37"/>
  <c r="K270" i="37"/>
  <c r="B272" i="37"/>
  <c r="C271" i="37"/>
  <c r="D271" i="37" l="1"/>
  <c r="F271" i="37"/>
  <c r="G271" i="37" s="1"/>
  <c r="H272" i="37" s="1"/>
  <c r="I272" i="37" s="1"/>
  <c r="K271" i="37"/>
  <c r="E271" i="37"/>
  <c r="J271" i="37"/>
  <c r="B273" i="37"/>
  <c r="C272" i="37"/>
  <c r="J272" i="37" l="1"/>
  <c r="E272" i="37"/>
  <c r="K272" i="37"/>
  <c r="F272" i="37"/>
  <c r="G272" i="37" s="1"/>
  <c r="H273" i="37" s="1"/>
  <c r="I273" i="37" s="1"/>
  <c r="D272" i="37"/>
  <c r="B274" i="37"/>
  <c r="C273" i="37"/>
  <c r="F273" i="37" l="1"/>
  <c r="D273" i="37"/>
  <c r="J273" i="37"/>
  <c r="E273" i="37"/>
  <c r="K273" i="37"/>
  <c r="B275" i="37"/>
  <c r="C274" i="37"/>
  <c r="G273" i="37" l="1"/>
  <c r="H274" i="37" s="1"/>
  <c r="I274" i="37" s="1"/>
  <c r="F274" i="37"/>
  <c r="E274" i="37"/>
  <c r="D274" i="37"/>
  <c r="J274" i="37"/>
  <c r="K274" i="37"/>
  <c r="B276" i="37"/>
  <c r="C275" i="37"/>
  <c r="G274" i="37" l="1"/>
  <c r="H275" i="37" s="1"/>
  <c r="I275" i="37" s="1"/>
  <c r="D275" i="37"/>
  <c r="E275" i="37"/>
  <c r="K275" i="37"/>
  <c r="F275" i="37"/>
  <c r="G275" i="37" s="1"/>
  <c r="H276" i="37" s="1"/>
  <c r="I276" i="37" s="1"/>
  <c r="J275" i="37"/>
  <c r="B277" i="37"/>
  <c r="C276" i="37"/>
  <c r="J276" i="37" l="1"/>
  <c r="D276" i="37"/>
  <c r="K276" i="37"/>
  <c r="E276" i="37"/>
  <c r="F276" i="37"/>
  <c r="G276" i="37" s="1"/>
  <c r="H277" i="37" s="1"/>
  <c r="I277" i="37" s="1"/>
  <c r="B278" i="37"/>
  <c r="C277" i="37"/>
  <c r="J277" i="37" l="1"/>
  <c r="F277" i="37"/>
  <c r="G277" i="37" s="1"/>
  <c r="H278" i="37" s="1"/>
  <c r="I278" i="37" s="1"/>
  <c r="D277" i="37"/>
  <c r="K277" i="37"/>
  <c r="E277" i="37"/>
  <c r="B279" i="37"/>
  <c r="C278" i="37"/>
  <c r="F278" i="37" l="1"/>
  <c r="G278" i="37" s="1"/>
  <c r="H279" i="37" s="1"/>
  <c r="I279" i="37" s="1"/>
  <c r="K278" i="37"/>
  <c r="E278" i="37"/>
  <c r="J278" i="37"/>
  <c r="D278" i="37"/>
  <c r="B280" i="37"/>
  <c r="C279" i="37"/>
  <c r="D279" i="37" l="1"/>
  <c r="J279" i="37"/>
  <c r="E279" i="37"/>
  <c r="K279" i="37"/>
  <c r="F279" i="37"/>
  <c r="G279" i="37" s="1"/>
  <c r="H280" i="37" s="1"/>
  <c r="I280" i="37" s="1"/>
  <c r="C280" i="37"/>
  <c r="B281" i="37"/>
  <c r="B282" i="37" l="1"/>
  <c r="C281" i="37"/>
  <c r="J280" i="37"/>
  <c r="D280" i="37"/>
  <c r="E280" i="37"/>
  <c r="F280" i="37"/>
  <c r="G280" i="37" s="1"/>
  <c r="H281" i="37" s="1"/>
  <c r="I281" i="37" s="1"/>
  <c r="K280" i="37"/>
  <c r="F281" i="37" l="1"/>
  <c r="G281" i="37" s="1"/>
  <c r="H282" i="37" s="1"/>
  <c r="I282" i="37" s="1"/>
  <c r="E281" i="37"/>
  <c r="K281" i="37"/>
  <c r="J281" i="37"/>
  <c r="D281" i="37"/>
  <c r="B283" i="37"/>
  <c r="C282" i="37"/>
  <c r="F282" i="37" l="1"/>
  <c r="G282" i="37" s="1"/>
  <c r="H283" i="37" s="1"/>
  <c r="I283" i="37" s="1"/>
  <c r="E282" i="37"/>
  <c r="K282" i="37"/>
  <c r="J282" i="37"/>
  <c r="D282" i="37"/>
  <c r="B284" i="37"/>
  <c r="C283" i="37"/>
  <c r="D283" i="37" l="1"/>
  <c r="E283" i="37"/>
  <c r="J283" i="37"/>
  <c r="F283" i="37"/>
  <c r="G283" i="37" s="1"/>
  <c r="H284" i="37" s="1"/>
  <c r="I284" i="37" s="1"/>
  <c r="K283" i="37"/>
  <c r="B285" i="37"/>
  <c r="C284" i="37"/>
  <c r="J284" i="37" l="1"/>
  <c r="F284" i="37"/>
  <c r="G284" i="37" s="1"/>
  <c r="H285" i="37" s="1"/>
  <c r="I285" i="37" s="1"/>
  <c r="D284" i="37"/>
  <c r="E284" i="37"/>
  <c r="K284" i="37"/>
  <c r="B286" i="37"/>
  <c r="C285" i="37"/>
  <c r="E285" i="37" l="1"/>
  <c r="K285" i="37"/>
  <c r="J285" i="37"/>
  <c r="F285" i="37"/>
  <c r="G285" i="37" s="1"/>
  <c r="H286" i="37" s="1"/>
  <c r="I286" i="37" s="1"/>
  <c r="D285" i="37"/>
  <c r="B287" i="37"/>
  <c r="C286" i="37"/>
  <c r="J286" i="37" l="1"/>
  <c r="F286" i="37"/>
  <c r="G286" i="37" s="1"/>
  <c r="H287" i="37" s="1"/>
  <c r="I287" i="37" s="1"/>
  <c r="D286" i="37"/>
  <c r="E286" i="37"/>
  <c r="K286" i="37"/>
  <c r="B288" i="37"/>
  <c r="C287" i="37"/>
  <c r="D287" i="37" l="1"/>
  <c r="E287" i="37"/>
  <c r="F287" i="37"/>
  <c r="G287" i="37" s="1"/>
  <c r="H288" i="37" s="1"/>
  <c r="I288" i="37" s="1"/>
  <c r="K287" i="37"/>
  <c r="J287" i="37"/>
  <c r="C288" i="37"/>
  <c r="B289" i="37"/>
  <c r="B290" i="37" l="1"/>
  <c r="C289" i="37"/>
  <c r="F288" i="37"/>
  <c r="G288" i="37" s="1"/>
  <c r="H289" i="37" s="1"/>
  <c r="I289" i="37" s="1"/>
  <c r="J288" i="37"/>
  <c r="E288" i="37"/>
  <c r="D288" i="37"/>
  <c r="K288" i="37"/>
  <c r="D289" i="37" l="1"/>
  <c r="F289" i="37"/>
  <c r="G289" i="37" s="1"/>
  <c r="H290" i="37" s="1"/>
  <c r="I290" i="37" s="1"/>
  <c r="J289" i="37"/>
  <c r="E289" i="37"/>
  <c r="K289" i="37"/>
  <c r="C290" i="37"/>
  <c r="B291" i="37"/>
  <c r="B292" i="37" l="1"/>
  <c r="C291" i="37"/>
  <c r="K290" i="37"/>
  <c r="J290" i="37"/>
  <c r="F290" i="37"/>
  <c r="G290" i="37" s="1"/>
  <c r="H291" i="37" s="1"/>
  <c r="I291" i="37" s="1"/>
  <c r="E290" i="37"/>
  <c r="D290" i="37"/>
  <c r="D291" i="37" l="1"/>
  <c r="K291" i="37"/>
  <c r="E291" i="37"/>
  <c r="F291" i="37"/>
  <c r="G291" i="37" s="1"/>
  <c r="H292" i="37" s="1"/>
  <c r="I292" i="37" s="1"/>
  <c r="J291" i="37"/>
  <c r="B293" i="37"/>
  <c r="C292" i="37"/>
  <c r="F292" i="37" l="1"/>
  <c r="G292" i="37" s="1"/>
  <c r="H293" i="37" s="1"/>
  <c r="I293" i="37" s="1"/>
  <c r="J292" i="37"/>
  <c r="K292" i="37"/>
  <c r="E292" i="37"/>
  <c r="D292" i="37"/>
  <c r="B294" i="37"/>
  <c r="C293" i="37"/>
  <c r="E293" i="37" l="1"/>
  <c r="D293" i="37"/>
  <c r="F293" i="37"/>
  <c r="G293" i="37" s="1"/>
  <c r="H294" i="37" s="1"/>
  <c r="I294" i="37" s="1"/>
  <c r="K293" i="37"/>
  <c r="J293" i="37"/>
  <c r="C294" i="37"/>
  <c r="B295" i="37"/>
  <c r="B296" i="37" l="1"/>
  <c r="C295" i="37"/>
  <c r="K294" i="37"/>
  <c r="J294" i="37"/>
  <c r="F294" i="37"/>
  <c r="G294" i="37" s="1"/>
  <c r="H295" i="37" s="1"/>
  <c r="I295" i="37" s="1"/>
  <c r="D294" i="37"/>
  <c r="E294" i="37"/>
  <c r="D295" i="37" l="1"/>
  <c r="J295" i="37"/>
  <c r="F295" i="37"/>
  <c r="G295" i="37" s="1"/>
  <c r="H296" i="37" s="1"/>
  <c r="I296" i="37" s="1"/>
  <c r="E295" i="37"/>
  <c r="K295" i="37"/>
  <c r="B297" i="37"/>
  <c r="C296" i="37"/>
  <c r="F296" i="37" l="1"/>
  <c r="G296" i="37" s="1"/>
  <c r="H297" i="37" s="1"/>
  <c r="I297" i="37" s="1"/>
  <c r="J296" i="37"/>
  <c r="D296" i="37"/>
  <c r="E296" i="37"/>
  <c r="K296" i="37"/>
  <c r="B298" i="37"/>
  <c r="C297" i="37"/>
  <c r="E297" i="37" l="1"/>
  <c r="D297" i="37"/>
  <c r="K297" i="37"/>
  <c r="F297" i="37"/>
  <c r="G297" i="37" s="1"/>
  <c r="H298" i="37" s="1"/>
  <c r="I298" i="37" s="1"/>
  <c r="J297" i="37"/>
  <c r="C298" i="37"/>
  <c r="B299" i="37"/>
  <c r="B300" i="37" l="1"/>
  <c r="C299" i="37"/>
  <c r="K298" i="37"/>
  <c r="J298" i="37"/>
  <c r="F298" i="37"/>
  <c r="E298" i="37"/>
  <c r="D298" i="37"/>
  <c r="G298" i="37" l="1"/>
  <c r="H299" i="37" s="1"/>
  <c r="I299" i="37" s="1"/>
  <c r="D299" i="37"/>
  <c r="E299" i="37"/>
  <c r="F299" i="37"/>
  <c r="G299" i="37" s="1"/>
  <c r="H300" i="37" s="1"/>
  <c r="I300" i="37" s="1"/>
  <c r="K299" i="37"/>
  <c r="J299" i="37"/>
  <c r="C300" i="37"/>
  <c r="B301" i="37"/>
  <c r="B302" i="37" l="1"/>
  <c r="C301" i="37"/>
  <c r="F300" i="37"/>
  <c r="G300" i="37" s="1"/>
  <c r="H301" i="37" s="1"/>
  <c r="I301" i="37" s="1"/>
  <c r="J300" i="37"/>
  <c r="K300" i="37"/>
  <c r="D300" i="37"/>
  <c r="E300" i="37"/>
  <c r="E301" i="37" l="1"/>
  <c r="D301" i="37"/>
  <c r="J301" i="37"/>
  <c r="F301" i="37"/>
  <c r="G301" i="37" s="1"/>
  <c r="H302" i="37" s="1"/>
  <c r="I302" i="37" s="1"/>
  <c r="K301" i="37"/>
  <c r="C302" i="37"/>
  <c r="B303" i="37"/>
  <c r="B304" i="37" l="1"/>
  <c r="C303" i="37"/>
  <c r="K302" i="37"/>
  <c r="J302" i="37"/>
  <c r="F302" i="37"/>
  <c r="G302" i="37" s="1"/>
  <c r="H303" i="37" s="1"/>
  <c r="I303" i="37" s="1"/>
  <c r="D302" i="37"/>
  <c r="E302" i="37"/>
  <c r="D303" i="37" l="1"/>
  <c r="F303" i="37"/>
  <c r="G303" i="37" s="1"/>
  <c r="H304" i="37" s="1"/>
  <c r="I304" i="37" s="1"/>
  <c r="K303" i="37"/>
  <c r="E303" i="37"/>
  <c r="J303" i="37"/>
  <c r="B305" i="37"/>
  <c r="C304" i="37"/>
  <c r="F304" i="37" l="1"/>
  <c r="G304" i="37" s="1"/>
  <c r="H305" i="37" s="1"/>
  <c r="I305" i="37" s="1"/>
  <c r="J304" i="37"/>
  <c r="E304" i="37"/>
  <c r="D304" i="37"/>
  <c r="K304" i="37"/>
  <c r="B306" i="37"/>
  <c r="C305" i="37"/>
  <c r="E305" i="37" l="1"/>
  <c r="D305" i="37"/>
  <c r="K305" i="37"/>
  <c r="F305" i="37"/>
  <c r="G305" i="37" s="1"/>
  <c r="H306" i="37" s="1"/>
  <c r="I306" i="37" s="1"/>
  <c r="J305" i="37"/>
  <c r="C306" i="37"/>
  <c r="B307" i="37"/>
  <c r="B308" i="37" l="1"/>
  <c r="C307" i="37"/>
  <c r="K306" i="37"/>
  <c r="J306" i="37"/>
  <c r="F306" i="37"/>
  <c r="G306" i="37" s="1"/>
  <c r="H307" i="37" s="1"/>
  <c r="I307" i="37" s="1"/>
  <c r="E306" i="37"/>
  <c r="D306" i="37"/>
  <c r="D307" i="37" l="1"/>
  <c r="E307" i="37"/>
  <c r="J307" i="37"/>
  <c r="F307" i="37"/>
  <c r="G307" i="37" s="1"/>
  <c r="H308" i="37" s="1"/>
  <c r="I308" i="37" s="1"/>
  <c r="K307" i="37"/>
  <c r="B309" i="37"/>
  <c r="C308" i="37"/>
  <c r="F308" i="37" l="1"/>
  <c r="G308" i="37" s="1"/>
  <c r="H309" i="37" s="1"/>
  <c r="I309" i="37" s="1"/>
  <c r="J308" i="37"/>
  <c r="D308" i="37"/>
  <c r="E308" i="37"/>
  <c r="K308" i="37"/>
  <c r="B310" i="37"/>
  <c r="C309" i="37"/>
  <c r="E309" i="37" l="1"/>
  <c r="D309" i="37"/>
  <c r="J309" i="37"/>
  <c r="F309" i="37"/>
  <c r="G309" i="37" s="1"/>
  <c r="H310" i="37" s="1"/>
  <c r="I310" i="37" s="1"/>
  <c r="K309" i="37"/>
  <c r="C310" i="37"/>
  <c r="B311" i="37"/>
  <c r="B312" i="37" l="1"/>
  <c r="C311" i="37"/>
  <c r="K310" i="37"/>
  <c r="J310" i="37"/>
  <c r="F310" i="37"/>
  <c r="G310" i="37" s="1"/>
  <c r="H311" i="37" s="1"/>
  <c r="I311" i="37" s="1"/>
  <c r="E310" i="37"/>
  <c r="D310" i="37"/>
  <c r="D311" i="37" l="1"/>
  <c r="J311" i="37"/>
  <c r="F311" i="37"/>
  <c r="G311" i="37" s="1"/>
  <c r="H312" i="37" s="1"/>
  <c r="I312" i="37" s="1"/>
  <c r="K311" i="37"/>
  <c r="E311" i="37"/>
  <c r="C312" i="37"/>
  <c r="B313" i="37"/>
  <c r="B314" i="37" l="1"/>
  <c r="C313" i="37"/>
  <c r="F312" i="37"/>
  <c r="G312" i="37" s="1"/>
  <c r="H313" i="37" s="1"/>
  <c r="I313" i="37" s="1"/>
  <c r="J312" i="37"/>
  <c r="E312" i="37"/>
  <c r="K312" i="37"/>
  <c r="D312" i="37"/>
  <c r="E313" i="37" l="1"/>
  <c r="D313" i="37"/>
  <c r="F313" i="37"/>
  <c r="G313" i="37" s="1"/>
  <c r="H314" i="37" s="1"/>
  <c r="I314" i="37" s="1"/>
  <c r="J313" i="37"/>
  <c r="K313" i="37"/>
  <c r="C314" i="37"/>
  <c r="B315" i="37"/>
  <c r="B316" i="37" l="1"/>
  <c r="C315" i="37"/>
  <c r="K314" i="37"/>
  <c r="J314" i="37"/>
  <c r="F314" i="37"/>
  <c r="G314" i="37" s="1"/>
  <c r="H315" i="37" s="1"/>
  <c r="I315" i="37" s="1"/>
  <c r="D314" i="37"/>
  <c r="E314" i="37"/>
  <c r="D315" i="37" l="1"/>
  <c r="K315" i="37"/>
  <c r="F315" i="37"/>
  <c r="G315" i="37" s="1"/>
  <c r="H316" i="37" s="1"/>
  <c r="I316" i="37" s="1"/>
  <c r="J315" i="37"/>
  <c r="E315" i="37"/>
  <c r="B317" i="37"/>
  <c r="C316" i="37"/>
  <c r="F316" i="37" l="1"/>
  <c r="G316" i="37" s="1"/>
  <c r="H317" i="37" s="1"/>
  <c r="I317" i="37" s="1"/>
  <c r="J316" i="37"/>
  <c r="D316" i="37"/>
  <c r="E316" i="37"/>
  <c r="K316" i="37"/>
  <c r="B318" i="37"/>
  <c r="C317" i="37"/>
  <c r="E317" i="37" l="1"/>
  <c r="D317" i="37"/>
  <c r="K317" i="37"/>
  <c r="J317" i="37"/>
  <c r="F317" i="37"/>
  <c r="G317" i="37" s="1"/>
  <c r="H318" i="37" s="1"/>
  <c r="I318" i="37" s="1"/>
  <c r="B319" i="37"/>
  <c r="C318" i="37"/>
  <c r="E318" i="37" l="1"/>
  <c r="J318" i="37"/>
  <c r="F318" i="37"/>
  <c r="G318" i="37" s="1"/>
  <c r="H319" i="37" s="1"/>
  <c r="I319" i="37" s="1"/>
  <c r="D318" i="37"/>
  <c r="K318" i="37"/>
  <c r="C319" i="37"/>
  <c r="B320" i="37"/>
  <c r="C320" i="37" l="1"/>
  <c r="B321" i="37"/>
  <c r="E319" i="37"/>
  <c r="K319" i="37"/>
  <c r="F319" i="37"/>
  <c r="G319" i="37" s="1"/>
  <c r="H320" i="37" s="1"/>
  <c r="I320" i="37" s="1"/>
  <c r="D319" i="37"/>
  <c r="J319" i="37"/>
  <c r="B322" i="37" l="1"/>
  <c r="C321" i="37"/>
  <c r="K320" i="37"/>
  <c r="F320" i="37"/>
  <c r="G320" i="37" s="1"/>
  <c r="H321" i="37" s="1"/>
  <c r="I321" i="37" s="1"/>
  <c r="J320" i="37"/>
  <c r="D320" i="37"/>
  <c r="E320" i="37"/>
  <c r="D321" i="37" l="1"/>
  <c r="F321" i="37"/>
  <c r="G321" i="37" s="1"/>
  <c r="H322" i="37" s="1"/>
  <c r="I322" i="37" s="1"/>
  <c r="E321" i="37"/>
  <c r="K321" i="37"/>
  <c r="J321" i="37"/>
  <c r="C322" i="37"/>
  <c r="B323" i="37"/>
  <c r="C323" i="37" l="1"/>
  <c r="B324" i="37"/>
  <c r="E322" i="37"/>
  <c r="J322" i="37"/>
  <c r="D322" i="37"/>
  <c r="F322" i="37"/>
  <c r="G322" i="37" s="1"/>
  <c r="H323" i="37" s="1"/>
  <c r="I323" i="37" s="1"/>
  <c r="K322" i="37"/>
  <c r="C324" i="37" l="1"/>
  <c r="B325" i="37"/>
  <c r="E323" i="37"/>
  <c r="K323" i="37"/>
  <c r="F323" i="37"/>
  <c r="G323" i="37" s="1"/>
  <c r="H324" i="37" s="1"/>
  <c r="I324" i="37" s="1"/>
  <c r="J323" i="37"/>
  <c r="D323" i="37"/>
  <c r="B326" i="37" l="1"/>
  <c r="C325" i="37"/>
  <c r="K324" i="37"/>
  <c r="F324" i="37"/>
  <c r="J324" i="37"/>
  <c r="E324" i="37"/>
  <c r="D324" i="37"/>
  <c r="G324" i="37" l="1"/>
  <c r="H325" i="37" s="1"/>
  <c r="I325" i="37" s="1"/>
  <c r="D325" i="37"/>
  <c r="K325" i="37"/>
  <c r="E325" i="37"/>
  <c r="J325" i="37"/>
  <c r="F325" i="37"/>
  <c r="G325" i="37" s="1"/>
  <c r="H326" i="37" s="1"/>
  <c r="I326" i="37" s="1"/>
  <c r="C326" i="37"/>
  <c r="B327" i="37"/>
  <c r="C327" i="37" l="1"/>
  <c r="B328" i="37"/>
  <c r="E326" i="37"/>
  <c r="J326" i="37"/>
  <c r="F326" i="37"/>
  <c r="D326" i="37"/>
  <c r="K326" i="37"/>
  <c r="G326" i="37" l="1"/>
  <c r="H327" i="37" s="1"/>
  <c r="I327" i="37" s="1"/>
  <c r="C328" i="37"/>
  <c r="B329" i="37"/>
  <c r="E327" i="37"/>
  <c r="K327" i="37"/>
  <c r="F327" i="37"/>
  <c r="G327" i="37" s="1"/>
  <c r="H328" i="37" s="1"/>
  <c r="I328" i="37" s="1"/>
  <c r="D327" i="37"/>
  <c r="J327" i="37"/>
  <c r="B330" i="37" l="1"/>
  <c r="C329" i="37"/>
  <c r="K328" i="37"/>
  <c r="F328" i="37"/>
  <c r="G328" i="37" s="1"/>
  <c r="H329" i="37" s="1"/>
  <c r="I329" i="37" s="1"/>
  <c r="E328" i="37"/>
  <c r="D328" i="37"/>
  <c r="J328" i="37"/>
  <c r="D329" i="37" l="1"/>
  <c r="K329" i="37"/>
  <c r="J329" i="37"/>
  <c r="E329" i="37"/>
  <c r="F329" i="37"/>
  <c r="G329" i="37" s="1"/>
  <c r="H330" i="37" s="1"/>
  <c r="I330" i="37" s="1"/>
  <c r="B331" i="37"/>
  <c r="C330" i="37"/>
  <c r="E330" i="37" l="1"/>
  <c r="J330" i="37"/>
  <c r="F330" i="37"/>
  <c r="G330" i="37" s="1"/>
  <c r="H331" i="37" s="1"/>
  <c r="I331" i="37" s="1"/>
  <c r="K330" i="37"/>
  <c r="D330" i="37"/>
  <c r="C331" i="37"/>
  <c r="B332" i="37"/>
  <c r="C332" i="37" l="1"/>
  <c r="B333" i="37"/>
  <c r="E331" i="37"/>
  <c r="K331" i="37"/>
  <c r="D331" i="37"/>
  <c r="J331" i="37"/>
  <c r="F331" i="37"/>
  <c r="G331" i="37" s="1"/>
  <c r="H332" i="37" s="1"/>
  <c r="I332" i="37" s="1"/>
  <c r="B334" i="37" l="1"/>
  <c r="C333" i="37"/>
  <c r="K332" i="37"/>
  <c r="F332" i="37"/>
  <c r="G332" i="37" s="1"/>
  <c r="H333" i="37" s="1"/>
  <c r="I333" i="37" s="1"/>
  <c r="E332" i="37"/>
  <c r="D332" i="37"/>
  <c r="J332" i="37"/>
  <c r="D333" i="37" l="1"/>
  <c r="J333" i="37"/>
  <c r="K333" i="37"/>
  <c r="E333" i="37"/>
  <c r="F333" i="37"/>
  <c r="G333" i="37" s="1"/>
  <c r="H334" i="37" s="1"/>
  <c r="I334" i="37" s="1"/>
  <c r="B335" i="37"/>
  <c r="C334" i="37"/>
  <c r="E334" i="37" l="1"/>
  <c r="J334" i="37"/>
  <c r="K334" i="37"/>
  <c r="D334" i="37"/>
  <c r="F334" i="37"/>
  <c r="G334" i="37" s="1"/>
  <c r="H335" i="37" s="1"/>
  <c r="I335" i="37" s="1"/>
  <c r="C335" i="37"/>
  <c r="B336" i="37"/>
  <c r="C336" i="37" l="1"/>
  <c r="B337" i="37"/>
  <c r="E335" i="37"/>
  <c r="K335" i="37"/>
  <c r="J335" i="37"/>
  <c r="F335" i="37"/>
  <c r="G335" i="37" s="1"/>
  <c r="H336" i="37" s="1"/>
  <c r="I336" i="37" s="1"/>
  <c r="D335" i="37"/>
  <c r="B338" i="37" l="1"/>
  <c r="C337" i="37"/>
  <c r="K336" i="37"/>
  <c r="F336" i="37"/>
  <c r="G336" i="37" s="1"/>
  <c r="H337" i="37" s="1"/>
  <c r="I337" i="37" s="1"/>
  <c r="E336" i="37"/>
  <c r="D336" i="37"/>
  <c r="J336" i="37"/>
  <c r="D337" i="37" l="1"/>
  <c r="F337" i="37"/>
  <c r="G337" i="37" s="1"/>
  <c r="H338" i="37" s="1"/>
  <c r="I338" i="37" s="1"/>
  <c r="K337" i="37"/>
  <c r="E337" i="37"/>
  <c r="J337" i="37"/>
  <c r="C338" i="37"/>
  <c r="B339" i="37"/>
  <c r="C339" i="37" l="1"/>
  <c r="B340" i="37"/>
  <c r="E338" i="37"/>
  <c r="J338" i="37"/>
  <c r="K338" i="37"/>
  <c r="F338" i="37"/>
  <c r="G338" i="37" s="1"/>
  <c r="H339" i="37" s="1"/>
  <c r="I339" i="37" s="1"/>
  <c r="D338" i="37"/>
  <c r="C340" i="37" l="1"/>
  <c r="B341" i="37"/>
  <c r="E339" i="37"/>
  <c r="K339" i="37"/>
  <c r="F339" i="37"/>
  <c r="G339" i="37" s="1"/>
  <c r="H340" i="37" s="1"/>
  <c r="I340" i="37" s="1"/>
  <c r="J339" i="37"/>
  <c r="D339" i="37"/>
  <c r="B342" i="37" l="1"/>
  <c r="C341" i="37"/>
  <c r="K340" i="37"/>
  <c r="F340" i="37"/>
  <c r="G340" i="37" s="1"/>
  <c r="H341" i="37" s="1"/>
  <c r="I341" i="37" s="1"/>
  <c r="D340" i="37"/>
  <c r="J340" i="37"/>
  <c r="E340" i="37"/>
  <c r="D341" i="37" l="1"/>
  <c r="F341" i="37"/>
  <c r="G341" i="37" s="1"/>
  <c r="H342" i="37" s="1"/>
  <c r="I342" i="37" s="1"/>
  <c r="E341" i="37"/>
  <c r="K341" i="37"/>
  <c r="J341" i="37"/>
  <c r="C342" i="37"/>
  <c r="B343" i="37"/>
  <c r="C343" i="37" l="1"/>
  <c r="B344" i="37"/>
  <c r="E342" i="37"/>
  <c r="J342" i="37"/>
  <c r="K342" i="37"/>
  <c r="D342" i="37"/>
  <c r="F342" i="37"/>
  <c r="G342" i="37" s="1"/>
  <c r="H343" i="37" s="1"/>
  <c r="I343" i="37" s="1"/>
  <c r="C344" i="37" l="1"/>
  <c r="B345" i="37"/>
  <c r="E343" i="37"/>
  <c r="K343" i="37"/>
  <c r="J343" i="37"/>
  <c r="D343" i="37"/>
  <c r="F343" i="37"/>
  <c r="G343" i="37" s="1"/>
  <c r="H344" i="37" s="1"/>
  <c r="I344" i="37" s="1"/>
  <c r="B346" i="37" l="1"/>
  <c r="C345" i="37"/>
  <c r="K344" i="37"/>
  <c r="F344" i="37"/>
  <c r="G344" i="37" s="1"/>
  <c r="H345" i="37" s="1"/>
  <c r="I345" i="37" s="1"/>
  <c r="D344" i="37"/>
  <c r="J344" i="37"/>
  <c r="E344" i="37"/>
  <c r="D345" i="37" l="1"/>
  <c r="E345" i="37"/>
  <c r="J345" i="37"/>
  <c r="F345" i="37"/>
  <c r="G345" i="37" s="1"/>
  <c r="H346" i="37" s="1"/>
  <c r="I346" i="37" s="1"/>
  <c r="K345" i="37"/>
  <c r="B347" i="37"/>
  <c r="C346" i="37"/>
  <c r="E346" i="37" l="1"/>
  <c r="J346" i="37"/>
  <c r="F346" i="37"/>
  <c r="G346" i="37" s="1"/>
  <c r="H347" i="37" s="1"/>
  <c r="I347" i="37" s="1"/>
  <c r="K346" i="37"/>
  <c r="D346" i="37"/>
  <c r="C347" i="37"/>
  <c r="B348" i="37"/>
  <c r="C348" i="37" l="1"/>
  <c r="B349" i="37"/>
  <c r="E347" i="37"/>
  <c r="K347" i="37"/>
  <c r="J347" i="37"/>
  <c r="F347" i="37"/>
  <c r="G347" i="37" s="1"/>
  <c r="H348" i="37" s="1"/>
  <c r="I348" i="37" s="1"/>
  <c r="D347" i="37"/>
  <c r="B350" i="37" l="1"/>
  <c r="C349" i="37"/>
  <c r="K348" i="37"/>
  <c r="F348" i="37"/>
  <c r="G348" i="37" s="1"/>
  <c r="H349" i="37" s="1"/>
  <c r="I349" i="37" s="1"/>
  <c r="E348" i="37"/>
  <c r="D348" i="37"/>
  <c r="J348" i="37"/>
  <c r="D349" i="37" l="1"/>
  <c r="J349" i="37"/>
  <c r="E349" i="37"/>
  <c r="K349" i="37"/>
  <c r="F349" i="37"/>
  <c r="G349" i="37" s="1"/>
  <c r="H350" i="37" s="1"/>
  <c r="I350" i="37" s="1"/>
  <c r="C350" i="37"/>
  <c r="B351" i="37"/>
  <c r="C351" i="37" l="1"/>
  <c r="B352" i="37"/>
  <c r="E350" i="37"/>
  <c r="J350" i="37"/>
  <c r="F350" i="37"/>
  <c r="G350" i="37" s="1"/>
  <c r="H351" i="37" s="1"/>
  <c r="I351" i="37" s="1"/>
  <c r="D350" i="37"/>
  <c r="K350" i="37"/>
  <c r="C352" i="37" l="1"/>
  <c r="B353" i="37"/>
  <c r="E351" i="37"/>
  <c r="K351" i="37"/>
  <c r="J351" i="37"/>
  <c r="D351" i="37"/>
  <c r="F351" i="37"/>
  <c r="G351" i="37" s="1"/>
  <c r="H352" i="37" s="1"/>
  <c r="I352" i="37" s="1"/>
  <c r="B354" i="37" l="1"/>
  <c r="C353" i="37"/>
  <c r="K352" i="37"/>
  <c r="F352" i="37"/>
  <c r="J352" i="37"/>
  <c r="D352" i="37"/>
  <c r="E352" i="37"/>
  <c r="G352" i="37" l="1"/>
  <c r="H353" i="37" s="1"/>
  <c r="I353" i="37" s="1"/>
  <c r="D353" i="37"/>
  <c r="F353" i="37"/>
  <c r="G353" i="37" s="1"/>
  <c r="H354" i="37" s="1"/>
  <c r="I354" i="37" s="1"/>
  <c r="J353" i="37"/>
  <c r="K353" i="37"/>
  <c r="E353" i="37"/>
  <c r="C354" i="37"/>
  <c r="B355" i="37"/>
  <c r="C355" i="37" l="1"/>
  <c r="B356" i="37"/>
  <c r="E354" i="37"/>
  <c r="J354" i="37"/>
  <c r="D354" i="37"/>
  <c r="F354" i="37"/>
  <c r="G354" i="37" s="1"/>
  <c r="H355" i="37" s="1"/>
  <c r="I355" i="37" s="1"/>
  <c r="K354" i="37"/>
  <c r="C356" i="37" l="1"/>
  <c r="B357" i="37"/>
  <c r="E355" i="37"/>
  <c r="K355" i="37"/>
  <c r="F355" i="37"/>
  <c r="G355" i="37" s="1"/>
  <c r="H356" i="37" s="1"/>
  <c r="I356" i="37" s="1"/>
  <c r="J355" i="37"/>
  <c r="D355" i="37"/>
  <c r="B358" i="37" l="1"/>
  <c r="C357" i="37"/>
  <c r="K356" i="37"/>
  <c r="F356" i="37"/>
  <c r="G356" i="37" s="1"/>
  <c r="H357" i="37" s="1"/>
  <c r="I357" i="37" s="1"/>
  <c r="J356" i="37"/>
  <c r="E356" i="37"/>
  <c r="D356" i="37"/>
  <c r="D357" i="37" l="1"/>
  <c r="K357" i="37"/>
  <c r="E357" i="37"/>
  <c r="J357" i="37"/>
  <c r="F357" i="37"/>
  <c r="G357" i="37" s="1"/>
  <c r="H358" i="37" s="1"/>
  <c r="I358" i="37" s="1"/>
  <c r="C358" i="37"/>
  <c r="B359" i="37"/>
  <c r="C359" i="37" l="1"/>
  <c r="B360" i="37"/>
  <c r="E358" i="37"/>
  <c r="J358" i="37"/>
  <c r="F358" i="37"/>
  <c r="G358" i="37" s="1"/>
  <c r="H359" i="37" s="1"/>
  <c r="I359" i="37" s="1"/>
  <c r="K358" i="37"/>
  <c r="D358" i="37"/>
  <c r="C360" i="37" l="1"/>
  <c r="B361" i="37"/>
  <c r="E359" i="37"/>
  <c r="K359" i="37"/>
  <c r="F359" i="37"/>
  <c r="G359" i="37" s="1"/>
  <c r="H360" i="37" s="1"/>
  <c r="I360" i="37" s="1"/>
  <c r="D359" i="37"/>
  <c r="J359" i="37"/>
  <c r="B362" i="37" l="1"/>
  <c r="C361" i="37"/>
  <c r="K360" i="37"/>
  <c r="F360" i="37"/>
  <c r="G360" i="37" s="1"/>
  <c r="H361" i="37" s="1"/>
  <c r="I361" i="37" s="1"/>
  <c r="E360" i="37"/>
  <c r="J360" i="37"/>
  <c r="D360" i="37"/>
  <c r="D361" i="37" l="1"/>
  <c r="K361" i="37"/>
  <c r="J361" i="37"/>
  <c r="E361" i="37"/>
  <c r="F361" i="37"/>
  <c r="G361" i="37" s="1"/>
  <c r="H362" i="37" s="1"/>
  <c r="I362" i="37" s="1"/>
  <c r="B363" i="37"/>
  <c r="C362" i="37"/>
  <c r="E362" i="37" l="1"/>
  <c r="J362" i="37"/>
  <c r="F362" i="37"/>
  <c r="G362" i="37" s="1"/>
  <c r="H363" i="37" s="1"/>
  <c r="I363" i="37" s="1"/>
  <c r="D362" i="37"/>
  <c r="K362" i="37"/>
  <c r="C363" i="37"/>
  <c r="B364" i="37"/>
  <c r="C364" i="37" l="1"/>
  <c r="B365" i="37"/>
  <c r="E363" i="37"/>
  <c r="K363" i="37"/>
  <c r="D363" i="37"/>
  <c r="F363" i="37"/>
  <c r="G363" i="37" s="1"/>
  <c r="H364" i="37" s="1"/>
  <c r="I364" i="37" s="1"/>
  <c r="J363" i="37"/>
  <c r="B366" i="37" l="1"/>
  <c r="C365" i="37"/>
  <c r="K364" i="37"/>
  <c r="F364" i="37"/>
  <c r="G364" i="37" s="1"/>
  <c r="H365" i="37" s="1"/>
  <c r="I365" i="37" s="1"/>
  <c r="E364" i="37"/>
  <c r="J364" i="37"/>
  <c r="D364" i="37"/>
  <c r="D365" i="37" l="1"/>
  <c r="J365" i="37"/>
  <c r="E365" i="37"/>
  <c r="K365" i="37"/>
  <c r="F365" i="37"/>
  <c r="G365" i="37" s="1"/>
  <c r="H366" i="37" s="1"/>
  <c r="I366" i="37" s="1"/>
  <c r="B367" i="37"/>
  <c r="C366" i="37"/>
  <c r="E366" i="37" l="1"/>
  <c r="J366" i="37"/>
  <c r="K366" i="37"/>
  <c r="D366" i="37"/>
  <c r="F366" i="37"/>
  <c r="G366" i="37" s="1"/>
  <c r="H367" i="37" s="1"/>
  <c r="I367" i="37" s="1"/>
  <c r="C367" i="37"/>
  <c r="B368" i="37"/>
  <c r="C368" i="37" l="1"/>
  <c r="B369" i="37"/>
  <c r="E367" i="37"/>
  <c r="K367" i="37"/>
  <c r="F367" i="37"/>
  <c r="G367" i="37" s="1"/>
  <c r="H368" i="37" s="1"/>
  <c r="I368" i="37" s="1"/>
  <c r="D367" i="37"/>
  <c r="J367" i="37"/>
  <c r="B370" i="37" l="1"/>
  <c r="C369" i="37"/>
  <c r="K368" i="37"/>
  <c r="F368" i="37"/>
  <c r="G368" i="37" s="1"/>
  <c r="H369" i="37" s="1"/>
  <c r="I369" i="37" s="1"/>
  <c r="E368" i="37"/>
  <c r="D368" i="37"/>
  <c r="J368" i="37"/>
  <c r="D369" i="37" l="1"/>
  <c r="F369" i="37"/>
  <c r="G369" i="37" s="1"/>
  <c r="H370" i="37" s="1"/>
  <c r="I370" i="37" s="1"/>
  <c r="E369" i="37"/>
  <c r="K369" i="37"/>
  <c r="J369" i="37"/>
  <c r="C370" i="37"/>
  <c r="B371" i="37"/>
  <c r="C371" i="37" l="1"/>
  <c r="B372" i="37"/>
  <c r="E370" i="37"/>
  <c r="J370" i="37"/>
  <c r="K370" i="37"/>
  <c r="D370" i="37"/>
  <c r="F370" i="37"/>
  <c r="G370" i="37" s="1"/>
  <c r="H371" i="37" s="1"/>
  <c r="I371" i="37" s="1"/>
  <c r="C372" i="37" l="1"/>
  <c r="B373" i="37"/>
  <c r="E371" i="37"/>
  <c r="K371" i="37"/>
  <c r="F371" i="37"/>
  <c r="G371" i="37" s="1"/>
  <c r="H372" i="37" s="1"/>
  <c r="I372" i="37" s="1"/>
  <c r="J371" i="37"/>
  <c r="D371" i="37"/>
  <c r="B374" i="37" l="1"/>
  <c r="C373" i="37"/>
  <c r="K372" i="37"/>
  <c r="F372" i="37"/>
  <c r="G372" i="37" s="1"/>
  <c r="H373" i="37" s="1"/>
  <c r="I373" i="37" s="1"/>
  <c r="D372" i="37"/>
  <c r="J372" i="37"/>
  <c r="E372" i="37"/>
  <c r="D373" i="37" l="1"/>
  <c r="F373" i="37"/>
  <c r="G373" i="37" s="1"/>
  <c r="H374" i="37" s="1"/>
  <c r="I374" i="37" s="1"/>
  <c r="E373" i="37"/>
  <c r="K373" i="37"/>
  <c r="J373" i="37"/>
  <c r="B375" i="37"/>
  <c r="C374" i="37"/>
  <c r="E374" i="37" l="1"/>
  <c r="J374" i="37"/>
  <c r="K374" i="37"/>
  <c r="D374" i="37"/>
  <c r="F374" i="37"/>
  <c r="G374" i="37" s="1"/>
  <c r="H375" i="37" s="1"/>
  <c r="I375" i="37" s="1"/>
  <c r="C375" i="37"/>
  <c r="B376" i="37"/>
  <c r="C376" i="37" l="1"/>
  <c r="B377" i="37"/>
  <c r="E375" i="37"/>
  <c r="K375" i="37"/>
  <c r="J375" i="37"/>
  <c r="D375" i="37"/>
  <c r="F375" i="37"/>
  <c r="G375" i="37" s="1"/>
  <c r="H376" i="37" s="1"/>
  <c r="I376" i="37" s="1"/>
  <c r="B378" i="37" l="1"/>
  <c r="C377" i="37"/>
  <c r="K376" i="37"/>
  <c r="F376" i="37"/>
  <c r="J376" i="37"/>
  <c r="E376" i="37"/>
  <c r="D376" i="37"/>
  <c r="G376" i="37" l="1"/>
  <c r="H377" i="37" s="1"/>
  <c r="I377" i="37" s="1"/>
  <c r="D377" i="37"/>
  <c r="E377" i="37"/>
  <c r="J377" i="37"/>
  <c r="F377" i="37"/>
  <c r="G377" i="37" s="1"/>
  <c r="H378" i="37" s="1"/>
  <c r="I378" i="37" s="1"/>
  <c r="K377" i="37"/>
  <c r="B379" i="37"/>
  <c r="C378" i="37"/>
  <c r="E378" i="37" l="1"/>
  <c r="J378" i="37"/>
  <c r="F378" i="37"/>
  <c r="G378" i="37" s="1"/>
  <c r="H379" i="37" s="1"/>
  <c r="I379" i="37" s="1"/>
  <c r="K378" i="37"/>
  <c r="D378" i="37"/>
  <c r="C379" i="37"/>
  <c r="B380" i="37"/>
  <c r="C380" i="37" l="1"/>
  <c r="B381" i="37"/>
  <c r="E379" i="37"/>
  <c r="K379" i="37"/>
  <c r="J379" i="37"/>
  <c r="D379" i="37"/>
  <c r="F379" i="37"/>
  <c r="G379" i="37" s="1"/>
  <c r="H380" i="37" s="1"/>
  <c r="I380" i="37" s="1"/>
  <c r="B382" i="37" l="1"/>
  <c r="C381" i="37"/>
  <c r="K380" i="37"/>
  <c r="F380" i="37"/>
  <c r="G380" i="37" s="1"/>
  <c r="H381" i="37" s="1"/>
  <c r="I381" i="37" s="1"/>
  <c r="E380" i="37"/>
  <c r="J380" i="37"/>
  <c r="D380" i="37"/>
  <c r="D381" i="37" l="1"/>
  <c r="J381" i="37"/>
  <c r="F381" i="37"/>
  <c r="G381" i="37" s="1"/>
  <c r="H382" i="37" s="1"/>
  <c r="I382" i="37" s="1"/>
  <c r="K381" i="37"/>
  <c r="E381" i="37"/>
  <c r="B383" i="37"/>
  <c r="C382" i="37"/>
  <c r="E382" i="37" l="1"/>
  <c r="J382" i="37"/>
  <c r="F382" i="37"/>
  <c r="G382" i="37" s="1"/>
  <c r="H383" i="37" s="1"/>
  <c r="I383" i="37" s="1"/>
  <c r="D382" i="37"/>
  <c r="K382" i="37"/>
  <c r="C383" i="37"/>
  <c r="B384" i="37"/>
  <c r="C384" i="37" l="1"/>
  <c r="B385" i="37"/>
  <c r="E383" i="37"/>
  <c r="K383" i="37"/>
  <c r="J383" i="37"/>
  <c r="F383" i="37"/>
  <c r="G383" i="37" s="1"/>
  <c r="H384" i="37" s="1"/>
  <c r="I384" i="37" s="1"/>
  <c r="D383" i="37"/>
  <c r="B386" i="37" l="1"/>
  <c r="C385" i="37"/>
  <c r="K384" i="37"/>
  <c r="F384" i="37"/>
  <c r="G384" i="37" s="1"/>
  <c r="H385" i="37" s="1"/>
  <c r="I385" i="37" s="1"/>
  <c r="J384" i="37"/>
  <c r="D384" i="37"/>
  <c r="E384" i="37"/>
  <c r="D385" i="37" l="1"/>
  <c r="F385" i="37"/>
  <c r="G385" i="37" s="1"/>
  <c r="H386" i="37" s="1"/>
  <c r="I386" i="37" s="1"/>
  <c r="J385" i="37"/>
  <c r="K385" i="37"/>
  <c r="E385" i="37"/>
  <c r="C386" i="37"/>
  <c r="B387" i="37"/>
  <c r="C387" i="37" l="1"/>
  <c r="B388" i="37"/>
  <c r="E386" i="37"/>
  <c r="J386" i="37"/>
  <c r="D386" i="37"/>
  <c r="K386" i="37"/>
  <c r="F386" i="37"/>
  <c r="G386" i="37" s="1"/>
  <c r="H387" i="37" s="1"/>
  <c r="I387" i="37" s="1"/>
  <c r="C388" i="37" l="1"/>
  <c r="B389" i="37"/>
  <c r="E387" i="37"/>
  <c r="K387" i="37"/>
  <c r="F387" i="37"/>
  <c r="G387" i="37" s="1"/>
  <c r="H388" i="37" s="1"/>
  <c r="I388" i="37" s="1"/>
  <c r="J387" i="37"/>
  <c r="D387" i="37"/>
  <c r="B390" i="37" l="1"/>
  <c r="C389" i="37"/>
  <c r="K388" i="37"/>
  <c r="F388" i="37"/>
  <c r="G388" i="37" s="1"/>
  <c r="H389" i="37" s="1"/>
  <c r="I389" i="37" s="1"/>
  <c r="J388" i="37"/>
  <c r="D388" i="37"/>
  <c r="E388" i="37"/>
  <c r="D389" i="37" l="1"/>
  <c r="K389" i="37"/>
  <c r="E389" i="37"/>
  <c r="J389" i="37"/>
  <c r="F389" i="37"/>
  <c r="G389" i="37" s="1"/>
  <c r="H390" i="37" s="1"/>
  <c r="I390" i="37" s="1"/>
  <c r="C390" i="37"/>
  <c r="B391" i="37"/>
  <c r="C391" i="37" l="1"/>
  <c r="B392" i="37"/>
  <c r="E390" i="37"/>
  <c r="J390" i="37"/>
  <c r="D390" i="37"/>
  <c r="K390" i="37"/>
  <c r="F390" i="37"/>
  <c r="G390" i="37" s="1"/>
  <c r="H391" i="37" s="1"/>
  <c r="I391" i="37" s="1"/>
  <c r="C392" i="37" l="1"/>
  <c r="B393" i="37"/>
  <c r="E391" i="37"/>
  <c r="K391" i="37"/>
  <c r="F391" i="37"/>
  <c r="G391" i="37" s="1"/>
  <c r="H392" i="37" s="1"/>
  <c r="I392" i="37" s="1"/>
  <c r="D391" i="37"/>
  <c r="J391" i="37"/>
  <c r="B394" i="37" l="1"/>
  <c r="C393" i="37"/>
  <c r="K392" i="37"/>
  <c r="F392" i="37"/>
  <c r="G392" i="37" s="1"/>
  <c r="H393" i="37" s="1"/>
  <c r="I393" i="37" s="1"/>
  <c r="J392" i="37"/>
  <c r="E392" i="37"/>
  <c r="D392" i="37"/>
  <c r="D393" i="37" l="1"/>
  <c r="K393" i="37"/>
  <c r="J393" i="37"/>
  <c r="E393" i="37"/>
  <c r="F393" i="37"/>
  <c r="G393" i="37" s="1"/>
  <c r="H394" i="37" s="1"/>
  <c r="I394" i="37" s="1"/>
  <c r="B395" i="37"/>
  <c r="C394" i="37"/>
  <c r="E394" i="37" l="1"/>
  <c r="J394" i="37"/>
  <c r="F394" i="37"/>
  <c r="G394" i="37" s="1"/>
  <c r="H395" i="37" s="1"/>
  <c r="I395" i="37" s="1"/>
  <c r="D394" i="37"/>
  <c r="K394" i="37"/>
  <c r="C395" i="37"/>
  <c r="B396" i="37"/>
  <c r="C396" i="37" l="1"/>
  <c r="B397" i="37"/>
  <c r="E395" i="37"/>
  <c r="K395" i="37"/>
  <c r="D395" i="37"/>
  <c r="F395" i="37"/>
  <c r="G395" i="37" s="1"/>
  <c r="H396" i="37" s="1"/>
  <c r="I396" i="37" s="1"/>
  <c r="J395" i="37"/>
  <c r="B398" i="37" l="1"/>
  <c r="C397" i="37"/>
  <c r="K396" i="37"/>
  <c r="F396" i="37"/>
  <c r="G396" i="37" s="1"/>
  <c r="H397" i="37" s="1"/>
  <c r="I397" i="37" s="1"/>
  <c r="E396" i="37"/>
  <c r="J396" i="37"/>
  <c r="D396" i="37"/>
  <c r="D397" i="37" l="1"/>
  <c r="J397" i="37"/>
  <c r="E397" i="37"/>
  <c r="K397" i="37"/>
  <c r="F397" i="37"/>
  <c r="G397" i="37" s="1"/>
  <c r="H398" i="37" s="1"/>
  <c r="I398" i="37" s="1"/>
  <c r="B399" i="37"/>
  <c r="C398" i="37"/>
  <c r="E398" i="37" l="1"/>
  <c r="J398" i="37"/>
  <c r="K398" i="37"/>
  <c r="D398" i="37"/>
  <c r="F398" i="37"/>
  <c r="G398" i="37" s="1"/>
  <c r="H399" i="37" s="1"/>
  <c r="I399" i="37" s="1"/>
  <c r="C399" i="37"/>
  <c r="B400" i="37"/>
  <c r="C400" i="37" l="1"/>
  <c r="B401" i="37"/>
  <c r="E399" i="37"/>
  <c r="K399" i="37"/>
  <c r="F399" i="37"/>
  <c r="G399" i="37" s="1"/>
  <c r="H400" i="37" s="1"/>
  <c r="I400" i="37" s="1"/>
  <c r="J399" i="37"/>
  <c r="D399" i="37"/>
  <c r="B402" i="37" l="1"/>
  <c r="C401" i="37"/>
  <c r="K400" i="37"/>
  <c r="F400" i="37"/>
  <c r="G400" i="37" s="1"/>
  <c r="H401" i="37" s="1"/>
  <c r="I401" i="37" s="1"/>
  <c r="E400" i="37"/>
  <c r="D400" i="37"/>
  <c r="J400" i="37"/>
  <c r="D401" i="37" l="1"/>
  <c r="F401" i="37"/>
  <c r="G401" i="37" s="1"/>
  <c r="H402" i="37" s="1"/>
  <c r="I402" i="37" s="1"/>
  <c r="E401" i="37"/>
  <c r="J401" i="37"/>
  <c r="K401" i="37"/>
  <c r="C402" i="37"/>
  <c r="B403" i="37"/>
  <c r="C403" i="37" l="1"/>
  <c r="B404" i="37"/>
  <c r="P403" i="37"/>
  <c r="Q403" i="37" s="1"/>
  <c r="E402" i="37"/>
  <c r="J402" i="37"/>
  <c r="K402" i="37"/>
  <c r="D402" i="37"/>
  <c r="F402" i="37"/>
  <c r="G402" i="37" s="1"/>
  <c r="H403" i="37" s="1"/>
  <c r="I403" i="37" s="1"/>
  <c r="B405" i="37" l="1"/>
  <c r="C404" i="37"/>
  <c r="E403" i="37"/>
  <c r="K403" i="37"/>
  <c r="F403" i="37"/>
  <c r="G403" i="37" s="1"/>
  <c r="H404" i="37" s="1"/>
  <c r="I404" i="37" s="1"/>
  <c r="D403" i="37"/>
  <c r="J403" i="37"/>
  <c r="D404" i="37" l="1"/>
  <c r="F404" i="37"/>
  <c r="J404" i="37"/>
  <c r="E404" i="37"/>
  <c r="K404" i="37"/>
  <c r="C405" i="37"/>
  <c r="B406" i="37"/>
  <c r="G404" i="37" l="1"/>
  <c r="H405" i="37" s="1"/>
  <c r="I405" i="37" s="1"/>
  <c r="C406" i="37"/>
  <c r="B407" i="37"/>
  <c r="E405" i="37"/>
  <c r="J405" i="37"/>
  <c r="D405" i="37"/>
  <c r="F405" i="37"/>
  <c r="G405" i="37" s="1"/>
  <c r="H406" i="37" s="1"/>
  <c r="I406" i="37" s="1"/>
  <c r="K405" i="37"/>
  <c r="B408" i="37" l="1"/>
  <c r="C407" i="37"/>
  <c r="E406" i="37"/>
  <c r="K406" i="37"/>
  <c r="F406" i="37"/>
  <c r="G406" i="37" s="1"/>
  <c r="H407" i="37" s="1"/>
  <c r="I407" i="37" s="1"/>
  <c r="J406" i="37"/>
  <c r="D406" i="37"/>
  <c r="K407" i="37" l="1"/>
  <c r="F407" i="37"/>
  <c r="G407" i="37" s="1"/>
  <c r="H408" i="37" s="1"/>
  <c r="I408" i="37" s="1"/>
  <c r="J407" i="37"/>
  <c r="E407" i="37"/>
  <c r="D407" i="37"/>
  <c r="B409" i="37"/>
  <c r="C408" i="37"/>
  <c r="J408" i="37" l="1"/>
  <c r="K408" i="37"/>
  <c r="E408" i="37"/>
  <c r="F408" i="37"/>
  <c r="G408" i="37" s="1"/>
  <c r="H409" i="37" s="1"/>
  <c r="I409" i="37" s="1"/>
  <c r="D408" i="37"/>
  <c r="C409" i="37"/>
  <c r="B410" i="37"/>
  <c r="B411" i="37" l="1"/>
  <c r="C410" i="37"/>
  <c r="J409" i="37"/>
  <c r="D409" i="37"/>
  <c r="E409" i="37"/>
  <c r="K409" i="37"/>
  <c r="F409" i="37"/>
  <c r="G409" i="37" s="1"/>
  <c r="H410" i="37" s="1"/>
  <c r="I410" i="37" s="1"/>
  <c r="F410" i="37" l="1"/>
  <c r="G410" i="37" s="1"/>
  <c r="H411" i="37" s="1"/>
  <c r="I411" i="37" s="1"/>
  <c r="J410" i="37"/>
  <c r="E410" i="37"/>
  <c r="D410" i="37"/>
  <c r="K410" i="37"/>
  <c r="B412" i="37"/>
  <c r="C411" i="37"/>
  <c r="D411" i="37" l="1"/>
  <c r="F411" i="37"/>
  <c r="G411" i="37" s="1"/>
  <c r="H412" i="37" s="1"/>
  <c r="I412" i="37" s="1"/>
  <c r="K411" i="37"/>
  <c r="E411" i="37"/>
  <c r="J411" i="37"/>
  <c r="C412" i="37"/>
  <c r="B413" i="37"/>
  <c r="C413" i="37" l="1"/>
  <c r="B414" i="37"/>
  <c r="J412" i="37"/>
  <c r="E412" i="37"/>
  <c r="K412" i="37"/>
  <c r="D412" i="37"/>
  <c r="F412" i="37"/>
  <c r="G412" i="37" s="1"/>
  <c r="H413" i="37" s="1"/>
  <c r="I413" i="37" s="1"/>
  <c r="B415" i="37" l="1"/>
  <c r="C414" i="37"/>
  <c r="F413" i="37"/>
  <c r="G413" i="37" s="1"/>
  <c r="H414" i="37" s="1"/>
  <c r="I414" i="37" s="1"/>
  <c r="D413" i="37"/>
  <c r="J413" i="37"/>
  <c r="K413" i="37"/>
  <c r="E413" i="37"/>
  <c r="F414" i="37" l="1"/>
  <c r="G414" i="37" s="1"/>
  <c r="H415" i="37" s="1"/>
  <c r="I415" i="37" s="1"/>
  <c r="E414" i="37"/>
  <c r="K414" i="37"/>
  <c r="D414" i="37"/>
  <c r="J414" i="37"/>
  <c r="B416" i="37"/>
  <c r="C415" i="37"/>
  <c r="D415" i="37" l="1"/>
  <c r="E415" i="37"/>
  <c r="K415" i="37"/>
  <c r="F415" i="37"/>
  <c r="G415" i="37" s="1"/>
  <c r="H416" i="37" s="1"/>
  <c r="I416" i="37" s="1"/>
  <c r="J415" i="37"/>
  <c r="B417" i="37"/>
  <c r="C416" i="37"/>
  <c r="J416" i="37" l="1"/>
  <c r="D416" i="37"/>
  <c r="F416" i="37"/>
  <c r="G416" i="37" s="1"/>
  <c r="H417" i="37" s="1"/>
  <c r="I417" i="37" s="1"/>
  <c r="K416" i="37"/>
  <c r="E416" i="37"/>
  <c r="B418" i="37"/>
  <c r="C417" i="37"/>
  <c r="E417" i="37" l="1"/>
  <c r="D417" i="37"/>
  <c r="F417" i="37"/>
  <c r="G417" i="37" s="1"/>
  <c r="H418" i="37" s="1"/>
  <c r="I418" i="37" s="1"/>
  <c r="J417" i="37"/>
  <c r="K417" i="37"/>
  <c r="C418" i="37"/>
  <c r="B419" i="37"/>
  <c r="B420" i="37" l="1"/>
  <c r="C419" i="37"/>
  <c r="K418" i="37"/>
  <c r="F418" i="37"/>
  <c r="G418" i="37" s="1"/>
  <c r="H419" i="37" s="1"/>
  <c r="I419" i="37" s="1"/>
  <c r="E418" i="37"/>
  <c r="D418" i="37"/>
  <c r="J418" i="37"/>
  <c r="D419" i="37" l="1"/>
  <c r="F419" i="37"/>
  <c r="G419" i="37" s="1"/>
  <c r="H420" i="37" s="1"/>
  <c r="I420" i="37" s="1"/>
  <c r="J419" i="37"/>
  <c r="K419" i="37"/>
  <c r="E419" i="37"/>
  <c r="B421" i="37"/>
  <c r="C420" i="37"/>
  <c r="F420" i="37" l="1"/>
  <c r="G420" i="37" s="1"/>
  <c r="H421" i="37" s="1"/>
  <c r="I421" i="37" s="1"/>
  <c r="J420" i="37"/>
  <c r="D420" i="37"/>
  <c r="K420" i="37"/>
  <c r="E420" i="37"/>
  <c r="B422" i="37"/>
  <c r="C421" i="37"/>
  <c r="E421" i="37" l="1"/>
  <c r="D421" i="37"/>
  <c r="J421" i="37"/>
  <c r="K421" i="37"/>
  <c r="F421" i="37"/>
  <c r="G421" i="37" s="1"/>
  <c r="H422" i="37" s="1"/>
  <c r="I422" i="37" s="1"/>
  <c r="C422" i="37"/>
  <c r="B423" i="37"/>
  <c r="B424" i="37" l="1"/>
  <c r="C423" i="37"/>
  <c r="K422" i="37"/>
  <c r="J422" i="37"/>
  <c r="F422" i="37"/>
  <c r="G422" i="37" s="1"/>
  <c r="H423" i="37" s="1"/>
  <c r="I423" i="37" s="1"/>
  <c r="E422" i="37"/>
  <c r="D422" i="37"/>
  <c r="D423" i="37" l="1"/>
  <c r="K423" i="37"/>
  <c r="J423" i="37"/>
  <c r="F423" i="37"/>
  <c r="G423" i="37" s="1"/>
  <c r="H424" i="37" s="1"/>
  <c r="I424" i="37" s="1"/>
  <c r="E423" i="37"/>
  <c r="C424" i="37"/>
  <c r="B425" i="37"/>
  <c r="B426" i="37" l="1"/>
  <c r="C425" i="37"/>
  <c r="F424" i="37"/>
  <c r="G424" i="37" s="1"/>
  <c r="H425" i="37" s="1"/>
  <c r="I425" i="37" s="1"/>
  <c r="J424" i="37"/>
  <c r="E424" i="37"/>
  <c r="K424" i="37"/>
  <c r="D424" i="37"/>
  <c r="E425" i="37" l="1"/>
  <c r="D425" i="37"/>
  <c r="F425" i="37"/>
  <c r="G425" i="37" s="1"/>
  <c r="H426" i="37" s="1"/>
  <c r="I426" i="37" s="1"/>
  <c r="K425" i="37"/>
  <c r="J425" i="37"/>
  <c r="C426" i="37"/>
  <c r="B427" i="37"/>
  <c r="B428" i="37" l="1"/>
  <c r="C427" i="37"/>
  <c r="K426" i="37"/>
  <c r="J426" i="37"/>
  <c r="F426" i="37"/>
  <c r="G426" i="37" s="1"/>
  <c r="H427" i="37" s="1"/>
  <c r="I427" i="37" s="1"/>
  <c r="D426" i="37"/>
  <c r="E426" i="37"/>
  <c r="D427" i="37" l="1"/>
  <c r="K427" i="37"/>
  <c r="F427" i="37"/>
  <c r="G427" i="37" s="1"/>
  <c r="H428" i="37" s="1"/>
  <c r="I428" i="37" s="1"/>
  <c r="E427" i="37"/>
  <c r="J427" i="37"/>
  <c r="C428" i="37"/>
  <c r="B429" i="37"/>
  <c r="P429" i="37" l="1"/>
  <c r="Q429" i="37" s="1"/>
  <c r="Q430" i="37" s="1"/>
  <c r="C429" i="37"/>
  <c r="B430" i="37"/>
  <c r="F428" i="37"/>
  <c r="G428" i="37" s="1"/>
  <c r="H429" i="37" s="1"/>
  <c r="I429" i="37" s="1"/>
  <c r="J428" i="37"/>
  <c r="D428" i="37"/>
  <c r="E428" i="37"/>
  <c r="K428" i="37"/>
  <c r="B431" i="37" l="1"/>
  <c r="C430" i="37"/>
  <c r="E429" i="37"/>
  <c r="D429" i="37"/>
  <c r="K429" i="37"/>
  <c r="F429" i="37"/>
  <c r="G429" i="37" s="1"/>
  <c r="H430" i="37" s="1"/>
  <c r="I430" i="37" s="1"/>
  <c r="J429" i="37"/>
  <c r="D430" i="37" l="1"/>
  <c r="E430" i="37"/>
  <c r="K430" i="37"/>
  <c r="F430" i="37"/>
  <c r="G430" i="37" s="1"/>
  <c r="H431" i="37" s="1"/>
  <c r="I431" i="37" s="1"/>
  <c r="J430" i="37"/>
  <c r="B432" i="37"/>
  <c r="C431" i="37"/>
  <c r="F431" i="37" l="1"/>
  <c r="G431" i="37" s="1"/>
  <c r="H432" i="37" s="1"/>
  <c r="I432" i="37" s="1"/>
  <c r="E431" i="37"/>
  <c r="J431" i="37"/>
  <c r="K431" i="37"/>
  <c r="D431" i="37"/>
  <c r="B433" i="37"/>
  <c r="C432" i="37"/>
  <c r="K432" i="37" l="1"/>
  <c r="J432" i="37"/>
  <c r="F432" i="37"/>
  <c r="G432" i="37" s="1"/>
  <c r="H433" i="37" s="1"/>
  <c r="I433" i="37" s="1"/>
  <c r="D432" i="37"/>
  <c r="E432" i="37"/>
  <c r="B434" i="37"/>
  <c r="C433" i="37"/>
  <c r="D433" i="37" l="1"/>
  <c r="F433" i="37"/>
  <c r="G433" i="37" s="1"/>
  <c r="H434" i="37" s="1"/>
  <c r="I434" i="37" s="1"/>
  <c r="J433" i="37"/>
  <c r="E433" i="37"/>
  <c r="K433" i="37"/>
  <c r="C434" i="37"/>
  <c r="B435" i="37"/>
  <c r="C435" i="37" l="1"/>
  <c r="B436" i="37"/>
  <c r="E434" i="37"/>
  <c r="J434" i="37"/>
  <c r="D434" i="37"/>
  <c r="K434" i="37"/>
  <c r="F434" i="37"/>
  <c r="G434" i="37" s="1"/>
  <c r="H435" i="37" s="1"/>
  <c r="I435" i="37" s="1"/>
  <c r="C436" i="37" l="1"/>
  <c r="B437" i="37"/>
  <c r="E435" i="37"/>
  <c r="K435" i="37"/>
  <c r="F435" i="37"/>
  <c r="G435" i="37" s="1"/>
  <c r="H436" i="37" s="1"/>
  <c r="I436" i="37" s="1"/>
  <c r="J435" i="37"/>
  <c r="D435" i="37"/>
  <c r="B438" i="37" l="1"/>
  <c r="C437" i="37"/>
  <c r="K436" i="37"/>
  <c r="F436" i="37"/>
  <c r="G436" i="37" s="1"/>
  <c r="H437" i="37" s="1"/>
  <c r="I437" i="37" s="1"/>
  <c r="J436" i="37"/>
  <c r="D436" i="37"/>
  <c r="E436" i="37"/>
  <c r="D437" i="37" l="1"/>
  <c r="K437" i="37"/>
  <c r="E437" i="37"/>
  <c r="J437" i="37"/>
  <c r="F437" i="37"/>
  <c r="G437" i="37" s="1"/>
  <c r="H438" i="37" s="1"/>
  <c r="I438" i="37" s="1"/>
  <c r="C438" i="37"/>
  <c r="B439" i="37"/>
  <c r="C439" i="37" l="1"/>
  <c r="B440" i="37"/>
  <c r="E438" i="37"/>
  <c r="J438" i="37"/>
  <c r="D438" i="37"/>
  <c r="K438" i="37"/>
  <c r="F438" i="37"/>
  <c r="G438" i="37" s="1"/>
  <c r="H439" i="37" s="1"/>
  <c r="I439" i="37" s="1"/>
  <c r="C440" i="37" l="1"/>
  <c r="B441" i="37"/>
  <c r="E439" i="37"/>
  <c r="K439" i="37"/>
  <c r="F439" i="37"/>
  <c r="G439" i="37" s="1"/>
  <c r="H440" i="37" s="1"/>
  <c r="I440" i="37" s="1"/>
  <c r="D439" i="37"/>
  <c r="J439" i="37"/>
  <c r="B442" i="37" l="1"/>
  <c r="C441" i="37"/>
  <c r="K440" i="37"/>
  <c r="F440" i="37"/>
  <c r="G440" i="37" s="1"/>
  <c r="H441" i="37" s="1"/>
  <c r="I441" i="37" s="1"/>
  <c r="J440" i="37"/>
  <c r="E440" i="37"/>
  <c r="D440" i="37"/>
  <c r="D441" i="37" l="1"/>
  <c r="K441" i="37"/>
  <c r="J441" i="37"/>
  <c r="E441" i="37"/>
  <c r="F441" i="37"/>
  <c r="G441" i="37" s="1"/>
  <c r="H442" i="37" s="1"/>
  <c r="I442" i="37" s="1"/>
  <c r="B443" i="37"/>
  <c r="C442" i="37"/>
  <c r="E442" i="37" l="1"/>
  <c r="J442" i="37"/>
  <c r="F442" i="37"/>
  <c r="G442" i="37" s="1"/>
  <c r="H443" i="37" s="1"/>
  <c r="I443" i="37" s="1"/>
  <c r="D442" i="37"/>
  <c r="K442" i="37"/>
  <c r="C443" i="37"/>
  <c r="B444" i="37"/>
  <c r="C444" i="37" l="1"/>
  <c r="B445" i="37"/>
  <c r="E443" i="37"/>
  <c r="K443" i="37"/>
  <c r="D443" i="37"/>
  <c r="F443" i="37"/>
  <c r="G443" i="37" s="1"/>
  <c r="H444" i="37" s="1"/>
  <c r="I444" i="37" s="1"/>
  <c r="J443" i="37"/>
  <c r="B446" i="37" l="1"/>
  <c r="C445" i="37"/>
  <c r="K444" i="37"/>
  <c r="F444" i="37"/>
  <c r="G444" i="37" s="1"/>
  <c r="H445" i="37" s="1"/>
  <c r="I445" i="37" s="1"/>
  <c r="E444" i="37"/>
  <c r="J444" i="37"/>
  <c r="D444" i="37"/>
  <c r="D445" i="37" l="1"/>
  <c r="J445" i="37"/>
  <c r="E445" i="37"/>
  <c r="K445" i="37"/>
  <c r="F445" i="37"/>
  <c r="G445" i="37" s="1"/>
  <c r="H446" i="37" s="1"/>
  <c r="I446" i="37" s="1"/>
  <c r="B447" i="37"/>
  <c r="C446" i="37"/>
  <c r="E446" i="37" l="1"/>
  <c r="J446" i="37"/>
  <c r="K446" i="37"/>
  <c r="D446" i="37"/>
  <c r="F446" i="37"/>
  <c r="G446" i="37" s="1"/>
  <c r="H447" i="37" s="1"/>
  <c r="I447" i="37" s="1"/>
  <c r="C447" i="37"/>
  <c r="B448" i="37"/>
  <c r="C448" i="37" l="1"/>
  <c r="B449" i="37"/>
  <c r="E447" i="37"/>
  <c r="K447" i="37"/>
  <c r="F447" i="37"/>
  <c r="G447" i="37" s="1"/>
  <c r="H448" i="37" s="1"/>
  <c r="I448" i="37" s="1"/>
  <c r="J447" i="37"/>
  <c r="D447" i="37"/>
  <c r="B450" i="37" l="1"/>
  <c r="C449" i="37"/>
  <c r="K448" i="37"/>
  <c r="F448" i="37"/>
  <c r="G448" i="37" s="1"/>
  <c r="H449" i="37" s="1"/>
  <c r="I449" i="37" s="1"/>
  <c r="E448" i="37"/>
  <c r="D448" i="37"/>
  <c r="J448" i="37"/>
  <c r="D449" i="37" l="1"/>
  <c r="F449" i="37"/>
  <c r="G449" i="37" s="1"/>
  <c r="H450" i="37" s="1"/>
  <c r="I450" i="37" s="1"/>
  <c r="E449" i="37"/>
  <c r="J449" i="37"/>
  <c r="K449" i="37"/>
  <c r="C450" i="37"/>
  <c r="B451" i="37"/>
  <c r="C451" i="37" l="1"/>
  <c r="B452" i="37"/>
  <c r="E450" i="37"/>
  <c r="J450" i="37"/>
  <c r="K450" i="37"/>
  <c r="D450" i="37"/>
  <c r="F450" i="37"/>
  <c r="G450" i="37" s="1"/>
  <c r="H451" i="37" s="1"/>
  <c r="I451" i="37" s="1"/>
  <c r="C452" i="37" l="1"/>
  <c r="B453" i="37"/>
  <c r="E451" i="37"/>
  <c r="K451" i="37"/>
  <c r="F451" i="37"/>
  <c r="G451" i="37" s="1"/>
  <c r="H452" i="37" s="1"/>
  <c r="I452" i="37" s="1"/>
  <c r="D451" i="37"/>
  <c r="J451" i="37"/>
  <c r="B454" i="37" l="1"/>
  <c r="C453" i="37"/>
  <c r="K452" i="37"/>
  <c r="F452" i="37"/>
  <c r="G452" i="37" s="1"/>
  <c r="H453" i="37" s="1"/>
  <c r="I453" i="37" s="1"/>
  <c r="D452" i="37"/>
  <c r="E452" i="37"/>
  <c r="J452" i="37"/>
  <c r="D453" i="37" l="1"/>
  <c r="F453" i="37"/>
  <c r="G453" i="37" s="1"/>
  <c r="H454" i="37" s="1"/>
  <c r="I454" i="37" s="1"/>
  <c r="E453" i="37"/>
  <c r="K453" i="37"/>
  <c r="J453" i="37"/>
  <c r="B455" i="37"/>
  <c r="C454" i="37"/>
  <c r="E454" i="37" l="1"/>
  <c r="J454" i="37"/>
  <c r="D454" i="37"/>
  <c r="F454" i="37"/>
  <c r="G454" i="37" s="1"/>
  <c r="H455" i="37" s="1"/>
  <c r="I455" i="37" s="1"/>
  <c r="K454" i="37"/>
  <c r="C455" i="37"/>
  <c r="P455" i="37"/>
  <c r="Q455" i="37" s="1"/>
  <c r="B456" i="37"/>
  <c r="Q431" i="37" l="1"/>
  <c r="Q456" i="37"/>
  <c r="B457" i="37"/>
  <c r="C456" i="37"/>
  <c r="E455" i="37"/>
  <c r="K455" i="37"/>
  <c r="J455" i="37"/>
  <c r="D455" i="37"/>
  <c r="F455" i="37"/>
  <c r="G455" i="37" l="1"/>
  <c r="H456" i="37" s="1"/>
  <c r="I456" i="37" s="1"/>
  <c r="J456" i="37"/>
  <c r="D456" i="37"/>
  <c r="E456" i="37"/>
  <c r="K456" i="37"/>
  <c r="F456" i="37"/>
  <c r="G456" i="37" s="1"/>
  <c r="H457" i="37" s="1"/>
  <c r="I457" i="37" s="1"/>
  <c r="B458" i="37"/>
  <c r="C457" i="37"/>
  <c r="F457" i="37" l="1"/>
  <c r="G457" i="37" s="1"/>
  <c r="H458" i="37" s="1"/>
  <c r="I458" i="37" s="1"/>
  <c r="D457" i="37"/>
  <c r="J457" i="37"/>
  <c r="K457" i="37"/>
  <c r="E457" i="37"/>
  <c r="B459" i="37"/>
  <c r="C458" i="37"/>
  <c r="E458" i="37" l="1"/>
  <c r="F458" i="37"/>
  <c r="G458" i="37" s="1"/>
  <c r="H459" i="37" s="1"/>
  <c r="I459" i="37" s="1"/>
  <c r="K458" i="37"/>
  <c r="D458" i="37"/>
  <c r="J458" i="37"/>
  <c r="C459" i="37"/>
  <c r="B460" i="37"/>
  <c r="C460" i="37" l="1"/>
  <c r="B461" i="37"/>
  <c r="K459" i="37"/>
  <c r="E459" i="37"/>
  <c r="J459" i="37"/>
  <c r="D459" i="37"/>
  <c r="F459" i="37"/>
  <c r="G459" i="37" s="1"/>
  <c r="H460" i="37" s="1"/>
  <c r="I460" i="37" s="1"/>
  <c r="B462" i="37" l="1"/>
  <c r="C461" i="37"/>
  <c r="F460" i="37"/>
  <c r="G460" i="37" s="1"/>
  <c r="H461" i="37" s="1"/>
  <c r="I461" i="37" s="1"/>
  <c r="D460" i="37"/>
  <c r="J460" i="37"/>
  <c r="K460" i="37"/>
  <c r="E460" i="37"/>
  <c r="E461" i="37" l="1"/>
  <c r="F461" i="37"/>
  <c r="G461" i="37" s="1"/>
  <c r="H462" i="37" s="1"/>
  <c r="I462" i="37" s="1"/>
  <c r="J461" i="37"/>
  <c r="D461" i="37"/>
  <c r="K461" i="37"/>
  <c r="B463" i="37"/>
  <c r="C462" i="37"/>
  <c r="E462" i="37" l="1"/>
  <c r="D462" i="37"/>
  <c r="K462" i="37"/>
  <c r="J462" i="37"/>
  <c r="F462" i="37"/>
  <c r="G462" i="37" s="1"/>
  <c r="H463" i="37" s="1"/>
  <c r="I463" i="37" s="1"/>
  <c r="C463" i="37"/>
  <c r="B464" i="37"/>
  <c r="B465" i="37" l="1"/>
  <c r="C464" i="37"/>
  <c r="K463" i="37"/>
  <c r="D463" i="37"/>
  <c r="J463" i="37"/>
  <c r="E463" i="37"/>
  <c r="F463" i="37"/>
  <c r="G463" i="37" s="1"/>
  <c r="H464" i="37" s="1"/>
  <c r="I464" i="37" s="1"/>
  <c r="J464" i="37" l="1"/>
  <c r="F464" i="37"/>
  <c r="G464" i="37" s="1"/>
  <c r="H465" i="37" s="1"/>
  <c r="I465" i="37" s="1"/>
  <c r="E464" i="37"/>
  <c r="K464" i="37"/>
  <c r="D464" i="37"/>
  <c r="B466" i="37"/>
  <c r="C465" i="37"/>
  <c r="E465" i="37" l="1"/>
  <c r="J465" i="37"/>
  <c r="K465" i="37"/>
  <c r="F465" i="37"/>
  <c r="G465" i="37" s="1"/>
  <c r="H466" i="37" s="1"/>
  <c r="I466" i="37" s="1"/>
  <c r="D465" i="37"/>
  <c r="C466" i="37"/>
  <c r="B467" i="37"/>
  <c r="C467" i="37" l="1"/>
  <c r="B468" i="37"/>
  <c r="E466" i="37"/>
  <c r="K466" i="37"/>
  <c r="D466" i="37"/>
  <c r="F466" i="37"/>
  <c r="G466" i="37" s="1"/>
  <c r="H467" i="37" s="1"/>
  <c r="I467" i="37" s="1"/>
  <c r="J466" i="37"/>
  <c r="B469" i="37" l="1"/>
  <c r="C468" i="37"/>
  <c r="K467" i="37"/>
  <c r="F467" i="37"/>
  <c r="G467" i="37" s="1"/>
  <c r="H468" i="37" s="1"/>
  <c r="I468" i="37" s="1"/>
  <c r="D467" i="37"/>
  <c r="E467" i="37"/>
  <c r="J467" i="37"/>
  <c r="D468" i="37" l="1"/>
  <c r="J468" i="37"/>
  <c r="F468" i="37"/>
  <c r="G468" i="37" s="1"/>
  <c r="H469" i="37" s="1"/>
  <c r="I469" i="37" s="1"/>
  <c r="E468" i="37"/>
  <c r="K468" i="37"/>
  <c r="B470" i="37"/>
  <c r="C469" i="37"/>
  <c r="E469" i="37" l="1"/>
  <c r="J469" i="37"/>
  <c r="D469" i="37"/>
  <c r="K469" i="37"/>
  <c r="F469" i="37"/>
  <c r="G469" i="37" s="1"/>
  <c r="H470" i="37" s="1"/>
  <c r="I470" i="37" s="1"/>
  <c r="C470" i="37"/>
  <c r="B471" i="37"/>
  <c r="C471" i="37" l="1"/>
  <c r="B472" i="37"/>
  <c r="E470" i="37"/>
  <c r="K470" i="37"/>
  <c r="F470" i="37"/>
  <c r="G470" i="37" s="1"/>
  <c r="H471" i="37" s="1"/>
  <c r="I471" i="37" s="1"/>
  <c r="D470" i="37"/>
  <c r="J470" i="37"/>
  <c r="B473" i="37" l="1"/>
  <c r="C472" i="37"/>
  <c r="K471" i="37"/>
  <c r="F471" i="37"/>
  <c r="G471" i="37" s="1"/>
  <c r="H472" i="37" s="1"/>
  <c r="I472" i="37" s="1"/>
  <c r="E471" i="37"/>
  <c r="J471" i="37"/>
  <c r="D471" i="37"/>
  <c r="D472" i="37" l="1"/>
  <c r="E472" i="37"/>
  <c r="F472" i="37"/>
  <c r="G472" i="37" s="1"/>
  <c r="H473" i="37" s="1"/>
  <c r="I473" i="37" s="1"/>
  <c r="J472" i="37"/>
  <c r="K472" i="37"/>
  <c r="C473" i="37"/>
  <c r="B474" i="37"/>
  <c r="C474" i="37" l="1"/>
  <c r="B475" i="37"/>
  <c r="E473" i="37"/>
  <c r="J473" i="37"/>
  <c r="K473" i="37"/>
  <c r="D473" i="37"/>
  <c r="F473" i="37"/>
  <c r="G473" i="37" s="1"/>
  <c r="H474" i="37" s="1"/>
  <c r="I474" i="37" s="1"/>
  <c r="C475" i="37" l="1"/>
  <c r="B476" i="37"/>
  <c r="E474" i="37"/>
  <c r="K474" i="37"/>
  <c r="J474" i="37"/>
  <c r="F474" i="37"/>
  <c r="G474" i="37" s="1"/>
  <c r="H475" i="37" s="1"/>
  <c r="I475" i="37" s="1"/>
  <c r="D474" i="37"/>
  <c r="B477" i="37" l="1"/>
  <c r="C476" i="37"/>
  <c r="K475" i="37"/>
  <c r="F475" i="37"/>
  <c r="G475" i="37" s="1"/>
  <c r="H476" i="37" s="1"/>
  <c r="I476" i="37" s="1"/>
  <c r="D475" i="37"/>
  <c r="E475" i="37"/>
  <c r="J475" i="37"/>
  <c r="D476" i="37" l="1"/>
  <c r="F476" i="37"/>
  <c r="G476" i="37" s="1"/>
  <c r="H477" i="37" s="1"/>
  <c r="I477" i="37" s="1"/>
  <c r="K476" i="37"/>
  <c r="E476" i="37"/>
  <c r="J476" i="37"/>
  <c r="B478" i="37"/>
  <c r="C477" i="37"/>
  <c r="E477" i="37" l="1"/>
  <c r="J477" i="37"/>
  <c r="F477" i="37"/>
  <c r="G477" i="37" s="1"/>
  <c r="H478" i="37" s="1"/>
  <c r="I478" i="37" s="1"/>
  <c r="D477" i="37"/>
  <c r="K477" i="37"/>
  <c r="C478" i="37"/>
  <c r="B479" i="37"/>
  <c r="C479" i="37" l="1"/>
  <c r="B480" i="37"/>
  <c r="E478" i="37"/>
  <c r="K478" i="37"/>
  <c r="D478" i="37"/>
  <c r="F478" i="37"/>
  <c r="G478" i="37" s="1"/>
  <c r="H479" i="37" s="1"/>
  <c r="I479" i="37" s="1"/>
  <c r="J478" i="37"/>
  <c r="B481" i="37" l="1"/>
  <c r="C480" i="37"/>
  <c r="K479" i="37"/>
  <c r="F479" i="37"/>
  <c r="G479" i="37" s="1"/>
  <c r="H480" i="37" s="1"/>
  <c r="I480" i="37" s="1"/>
  <c r="E479" i="37"/>
  <c r="J479" i="37"/>
  <c r="D479" i="37"/>
  <c r="P481" i="37" l="1"/>
  <c r="Q481" i="37" s="1"/>
  <c r="Q482" i="37" s="1"/>
  <c r="D480" i="37"/>
  <c r="E480" i="37"/>
  <c r="J480" i="37"/>
  <c r="F480" i="37"/>
  <c r="G480" i="37" s="1"/>
  <c r="H481" i="37" s="1"/>
  <c r="I481" i="37" s="1"/>
  <c r="K480" i="37"/>
  <c r="B482" i="37"/>
  <c r="C481" i="37"/>
  <c r="E481" i="37" l="1"/>
  <c r="J481" i="37"/>
  <c r="D481" i="37"/>
  <c r="F481" i="37"/>
  <c r="G481" i="37" s="1"/>
  <c r="H482" i="37" s="1"/>
  <c r="I482" i="37" s="1"/>
  <c r="K481" i="37"/>
  <c r="C482" i="37"/>
  <c r="B483" i="37"/>
  <c r="C483" i="37" l="1"/>
  <c r="B484" i="37"/>
  <c r="E482" i="37"/>
  <c r="K482" i="37"/>
  <c r="J482" i="37"/>
  <c r="F482" i="37"/>
  <c r="D482" i="37"/>
  <c r="G482" i="37" l="1"/>
  <c r="H483" i="37" s="1"/>
  <c r="I483" i="37" s="1"/>
  <c r="B485" i="37"/>
  <c r="C484" i="37"/>
  <c r="K483" i="37"/>
  <c r="F483" i="37"/>
  <c r="G483" i="37" s="1"/>
  <c r="H484" i="37" s="1"/>
  <c r="I484" i="37" s="1"/>
  <c r="J483" i="37"/>
  <c r="E483" i="37"/>
  <c r="D483" i="37"/>
  <c r="D484" i="37" l="1"/>
  <c r="J484" i="37"/>
  <c r="F484" i="37"/>
  <c r="G484" i="37" s="1"/>
  <c r="H485" i="37" s="1"/>
  <c r="I485" i="37" s="1"/>
  <c r="K484" i="37"/>
  <c r="E484" i="37"/>
  <c r="C485" i="37"/>
  <c r="B486" i="37"/>
  <c r="C486" i="37" l="1"/>
  <c r="B487" i="37"/>
  <c r="E485" i="37"/>
  <c r="J485" i="37"/>
  <c r="F485" i="37"/>
  <c r="G485" i="37" s="1"/>
  <c r="H486" i="37" s="1"/>
  <c r="I486" i="37" s="1"/>
  <c r="K485" i="37"/>
  <c r="D485" i="37"/>
  <c r="C487" i="37" l="1"/>
  <c r="B488" i="37"/>
  <c r="E486" i="37"/>
  <c r="K486" i="37"/>
  <c r="F486" i="37"/>
  <c r="G486" i="37" s="1"/>
  <c r="H487" i="37" s="1"/>
  <c r="I487" i="37" s="1"/>
  <c r="J486" i="37"/>
  <c r="D486" i="37"/>
  <c r="B489" i="37" l="1"/>
  <c r="C488" i="37"/>
  <c r="K487" i="37"/>
  <c r="F487" i="37"/>
  <c r="G487" i="37" s="1"/>
  <c r="H488" i="37" s="1"/>
  <c r="I488" i="37" s="1"/>
  <c r="D487" i="37"/>
  <c r="E487" i="37"/>
  <c r="J487" i="37"/>
  <c r="D488" i="37" l="1"/>
  <c r="K488" i="37"/>
  <c r="F488" i="37"/>
  <c r="G488" i="37" s="1"/>
  <c r="H489" i="37" s="1"/>
  <c r="I489" i="37" s="1"/>
  <c r="J488" i="37"/>
  <c r="E488" i="37"/>
  <c r="C489" i="37"/>
  <c r="B490" i="37"/>
  <c r="C490" i="37" l="1"/>
  <c r="B491" i="37"/>
  <c r="E489" i="37"/>
  <c r="J489" i="37"/>
  <c r="D489" i="37"/>
  <c r="K489" i="37"/>
  <c r="F489" i="37"/>
  <c r="G489" i="37" s="1"/>
  <c r="H490" i="37" s="1"/>
  <c r="I490" i="37" s="1"/>
  <c r="C491" i="37" l="1"/>
  <c r="B492" i="37"/>
  <c r="E490" i="37"/>
  <c r="K490" i="37"/>
  <c r="D490" i="37"/>
  <c r="J490" i="37"/>
  <c r="F490" i="37"/>
  <c r="G490" i="37" s="1"/>
  <c r="H491" i="37" s="1"/>
  <c r="I491" i="37" s="1"/>
  <c r="B493" i="37" l="1"/>
  <c r="C492" i="37"/>
  <c r="K491" i="37"/>
  <c r="F491" i="37"/>
  <c r="G491" i="37" s="1"/>
  <c r="H492" i="37" s="1"/>
  <c r="I492" i="37" s="1"/>
  <c r="J491" i="37"/>
  <c r="E491" i="37"/>
  <c r="D491" i="37"/>
  <c r="D492" i="37" l="1"/>
  <c r="J492" i="37"/>
  <c r="E492" i="37"/>
  <c r="K492" i="37"/>
  <c r="F492" i="37"/>
  <c r="G492" i="37" s="1"/>
  <c r="H493" i="37" s="1"/>
  <c r="I493" i="37" s="1"/>
  <c r="C493" i="37"/>
  <c r="B494" i="37"/>
  <c r="C494" i="37" l="1"/>
  <c r="B495" i="37"/>
  <c r="E493" i="37"/>
  <c r="J493" i="37"/>
  <c r="K493" i="37"/>
  <c r="D493" i="37"/>
  <c r="F493" i="37"/>
  <c r="G493" i="37" s="1"/>
  <c r="H494" i="37" s="1"/>
  <c r="I494" i="37" s="1"/>
  <c r="C495" i="37" l="1"/>
  <c r="B496" i="37"/>
  <c r="E494" i="37"/>
  <c r="K494" i="37"/>
  <c r="F494" i="37"/>
  <c r="G494" i="37" s="1"/>
  <c r="H495" i="37" s="1"/>
  <c r="I495" i="37" s="1"/>
  <c r="J494" i="37"/>
  <c r="D494" i="37"/>
  <c r="B497" i="37" l="1"/>
  <c r="C496" i="37"/>
  <c r="K495" i="37"/>
  <c r="F495" i="37"/>
  <c r="G495" i="37" s="1"/>
  <c r="H496" i="37" s="1"/>
  <c r="I496" i="37" s="1"/>
  <c r="E495" i="37"/>
  <c r="J495" i="37"/>
  <c r="D495" i="37"/>
  <c r="D496" i="37" l="1"/>
  <c r="K496" i="37"/>
  <c r="J496" i="37"/>
  <c r="E496" i="37"/>
  <c r="F496" i="37"/>
  <c r="G496" i="37" s="1"/>
  <c r="H497" i="37" s="1"/>
  <c r="I497" i="37" s="1"/>
  <c r="C497" i="37"/>
  <c r="B498" i="37"/>
  <c r="C498" i="37" l="1"/>
  <c r="B499" i="37"/>
  <c r="E497" i="37"/>
  <c r="J497" i="37"/>
  <c r="K497" i="37"/>
  <c r="F497" i="37"/>
  <c r="G497" i="37" s="1"/>
  <c r="H498" i="37" s="1"/>
  <c r="I498" i="37" s="1"/>
  <c r="D497" i="37"/>
  <c r="C499" i="37" l="1"/>
  <c r="B500" i="37"/>
  <c r="E498" i="37"/>
  <c r="K498" i="37"/>
  <c r="D498" i="37"/>
  <c r="J498" i="37"/>
  <c r="F498" i="37"/>
  <c r="G498" i="37" s="1"/>
  <c r="H499" i="37" s="1"/>
  <c r="I499" i="37" s="1"/>
  <c r="B501" i="37" l="1"/>
  <c r="C500" i="37"/>
  <c r="K499" i="37"/>
  <c r="F499" i="37"/>
  <c r="G499" i="37" s="1"/>
  <c r="H500" i="37" s="1"/>
  <c r="I500" i="37" s="1"/>
  <c r="D499" i="37"/>
  <c r="J499" i="37"/>
  <c r="E499" i="37"/>
  <c r="D500" i="37" l="1"/>
  <c r="J500" i="37"/>
  <c r="F500" i="37"/>
  <c r="G500" i="37" s="1"/>
  <c r="H501" i="37" s="1"/>
  <c r="I501" i="37" s="1"/>
  <c r="K500" i="37"/>
  <c r="E500" i="37"/>
  <c r="B502" i="37"/>
  <c r="C501" i="37"/>
  <c r="E501" i="37" l="1"/>
  <c r="J501" i="37"/>
  <c r="D501" i="37"/>
  <c r="K501" i="37"/>
  <c r="F501" i="37"/>
  <c r="G501" i="37" s="1"/>
  <c r="H502" i="37" s="1"/>
  <c r="I502" i="37" s="1"/>
  <c r="C502" i="37"/>
  <c r="B503" i="37"/>
  <c r="C503" i="37" l="1"/>
  <c r="B504" i="37"/>
  <c r="E502" i="37"/>
  <c r="K502" i="37"/>
  <c r="J502" i="37"/>
  <c r="D502" i="37"/>
  <c r="F502" i="37"/>
  <c r="G502" i="37" s="1"/>
  <c r="H503" i="37" s="1"/>
  <c r="I503" i="37" s="1"/>
  <c r="B505" i="37" l="1"/>
  <c r="C504" i="37"/>
  <c r="K503" i="37"/>
  <c r="F503" i="37"/>
  <c r="G503" i="37" s="1"/>
  <c r="H504" i="37" s="1"/>
  <c r="I504" i="37" s="1"/>
  <c r="E503" i="37"/>
  <c r="J503" i="37"/>
  <c r="D503" i="37"/>
  <c r="D504" i="37" l="1"/>
  <c r="E504" i="37"/>
  <c r="K504" i="37"/>
  <c r="J504" i="37"/>
  <c r="F504" i="37"/>
  <c r="G504" i="37" s="1"/>
  <c r="H505" i="37" s="1"/>
  <c r="I505" i="37" s="1"/>
  <c r="C505" i="37"/>
  <c r="B506" i="37"/>
  <c r="C506" i="37" l="1"/>
  <c r="B507" i="37"/>
  <c r="P506" i="37" s="1"/>
  <c r="Q506" i="37" s="1"/>
  <c r="Q507" i="37" s="1"/>
  <c r="E505" i="37"/>
  <c r="J505" i="37"/>
  <c r="K505" i="37"/>
  <c r="D505" i="37"/>
  <c r="F505" i="37"/>
  <c r="G505" i="37" s="1"/>
  <c r="H506" i="37" s="1"/>
  <c r="I506" i="37" s="1"/>
  <c r="C507" i="37" l="1"/>
  <c r="B508" i="37"/>
  <c r="E506" i="37"/>
  <c r="K506" i="37"/>
  <c r="J506" i="37"/>
  <c r="F506" i="37"/>
  <c r="G506" i="37" s="1"/>
  <c r="H507" i="37" s="1"/>
  <c r="I507" i="37" s="1"/>
  <c r="D506" i="37"/>
  <c r="B509" i="37" l="1"/>
  <c r="C508" i="37"/>
  <c r="K507" i="37"/>
  <c r="F507" i="37"/>
  <c r="D507" i="37"/>
  <c r="E507" i="37"/>
  <c r="J507" i="37"/>
  <c r="G507" i="37" l="1"/>
  <c r="H508" i="37" s="1"/>
  <c r="I508" i="37" s="1"/>
  <c r="D508" i="37"/>
  <c r="F508" i="37"/>
  <c r="K508" i="37"/>
  <c r="E508" i="37"/>
  <c r="J508" i="37"/>
  <c r="C509" i="37"/>
  <c r="B510" i="37"/>
  <c r="G508" i="37" l="1"/>
  <c r="H509" i="37" s="1"/>
  <c r="I509" i="37" s="1"/>
  <c r="C510" i="37"/>
  <c r="B511" i="37"/>
  <c r="E509" i="37"/>
  <c r="J509" i="37"/>
  <c r="F509" i="37"/>
  <c r="G509" i="37" s="1"/>
  <c r="H510" i="37" s="1"/>
  <c r="I510" i="37" s="1"/>
  <c r="D509" i="37"/>
  <c r="K509" i="37"/>
  <c r="C511" i="37" l="1"/>
  <c r="B512" i="37"/>
  <c r="E510" i="37"/>
  <c r="K510" i="37"/>
  <c r="D510" i="37"/>
  <c r="F510" i="37"/>
  <c r="G510" i="37" s="1"/>
  <c r="H511" i="37" s="1"/>
  <c r="I511" i="37" s="1"/>
  <c r="J510" i="37"/>
  <c r="B513" i="37" l="1"/>
  <c r="C512" i="37"/>
  <c r="K511" i="37"/>
  <c r="F511" i="37"/>
  <c r="G511" i="37" s="1"/>
  <c r="H512" i="37" s="1"/>
  <c r="I512" i="37" s="1"/>
  <c r="E511" i="37"/>
  <c r="D511" i="37"/>
  <c r="J511" i="37"/>
  <c r="D512" i="37" l="1"/>
  <c r="E512" i="37"/>
  <c r="J512" i="37"/>
  <c r="F512" i="37"/>
  <c r="G512" i="37" s="1"/>
  <c r="H513" i="37" s="1"/>
  <c r="I513" i="37" s="1"/>
  <c r="K512" i="37"/>
  <c r="B514" i="37"/>
  <c r="C513" i="37"/>
  <c r="E513" i="37" l="1"/>
  <c r="J513" i="37"/>
  <c r="D513" i="37"/>
  <c r="F513" i="37"/>
  <c r="G513" i="37" s="1"/>
  <c r="H514" i="37" s="1"/>
  <c r="I514" i="37" s="1"/>
  <c r="K513" i="37"/>
  <c r="C514" i="37"/>
  <c r="B515" i="37"/>
  <c r="C515" i="37" l="1"/>
  <c r="B516" i="37"/>
  <c r="E514" i="37"/>
  <c r="K514" i="37"/>
  <c r="J514" i="37"/>
  <c r="D514" i="37"/>
  <c r="F514" i="37"/>
  <c r="G514" i="37" s="1"/>
  <c r="H515" i="37" s="1"/>
  <c r="I515" i="37" s="1"/>
  <c r="B517" i="37" l="1"/>
  <c r="C516" i="37"/>
  <c r="K515" i="37"/>
  <c r="F515" i="37"/>
  <c r="G515" i="37" s="1"/>
  <c r="H516" i="37" s="1"/>
  <c r="I516" i="37" s="1"/>
  <c r="J515" i="37"/>
  <c r="E515" i="37"/>
  <c r="D515" i="37"/>
  <c r="D516" i="37" l="1"/>
  <c r="E516" i="37"/>
  <c r="J516" i="37"/>
  <c r="K516" i="37"/>
  <c r="F516" i="37"/>
  <c r="G516" i="37" s="1"/>
  <c r="H517" i="37" s="1"/>
  <c r="I517" i="37" s="1"/>
  <c r="C517" i="37"/>
  <c r="B518" i="37"/>
  <c r="C518" i="37" l="1"/>
  <c r="B519" i="37"/>
  <c r="E517" i="37"/>
  <c r="J517" i="37"/>
  <c r="F517" i="37"/>
  <c r="G517" i="37" s="1"/>
  <c r="H518" i="37" s="1"/>
  <c r="I518" i="37" s="1"/>
  <c r="K517" i="37"/>
  <c r="D517" i="37"/>
  <c r="C519" i="37" l="1"/>
  <c r="B520" i="37"/>
  <c r="E518" i="37"/>
  <c r="K518" i="37"/>
  <c r="F518" i="37"/>
  <c r="G518" i="37" s="1"/>
  <c r="H519" i="37" s="1"/>
  <c r="I519" i="37" s="1"/>
  <c r="D518" i="37"/>
  <c r="J518" i="37"/>
  <c r="B521" i="37" l="1"/>
  <c r="C520" i="37"/>
  <c r="K519" i="37"/>
  <c r="F519" i="37"/>
  <c r="G519" i="37" s="1"/>
  <c r="H520" i="37" s="1"/>
  <c r="I520" i="37" s="1"/>
  <c r="D519" i="37"/>
  <c r="E519" i="37"/>
  <c r="J519" i="37"/>
  <c r="D520" i="37" l="1"/>
  <c r="K520" i="37"/>
  <c r="F520" i="37"/>
  <c r="G520" i="37" s="1"/>
  <c r="H521" i="37" s="1"/>
  <c r="I521" i="37" s="1"/>
  <c r="E520" i="37"/>
  <c r="J520" i="37"/>
  <c r="C521" i="37"/>
  <c r="B522" i="37"/>
  <c r="C522" i="37" l="1"/>
  <c r="B523" i="37"/>
  <c r="E521" i="37"/>
  <c r="J521" i="37"/>
  <c r="D521" i="37"/>
  <c r="F521" i="37"/>
  <c r="G521" i="37" s="1"/>
  <c r="H522" i="37" s="1"/>
  <c r="I522" i="37" s="1"/>
  <c r="K521" i="37"/>
  <c r="C523" i="37" l="1"/>
  <c r="B524" i="37"/>
  <c r="K523" i="37"/>
  <c r="J523" i="37"/>
  <c r="D523" i="37"/>
  <c r="E522" i="37"/>
  <c r="E523" i="37" s="1"/>
  <c r="K522" i="37"/>
  <c r="D522" i="37"/>
  <c r="F522" i="37"/>
  <c r="G522" i="37" s="1"/>
  <c r="H523" i="37" s="1"/>
  <c r="I523" i="37" s="1"/>
  <c r="J522" i="37"/>
  <c r="B525" i="37" l="1"/>
  <c r="C524" i="37"/>
  <c r="F523" i="37"/>
  <c r="G523" i="37" s="1"/>
  <c r="H524" i="37" s="1"/>
  <c r="I524" i="37" s="1"/>
  <c r="D524" i="37" l="1"/>
  <c r="E524" i="37"/>
  <c r="K524" i="37"/>
  <c r="J524" i="37"/>
  <c r="F524" i="37"/>
  <c r="G524" i="37" s="1"/>
  <c r="H525" i="37" s="1"/>
  <c r="I525" i="37" s="1"/>
  <c r="B526" i="37"/>
  <c r="C525" i="37"/>
  <c r="F102" i="9"/>
  <c r="C102" i="9"/>
  <c r="B169" i="9" s="1"/>
  <c r="B170" i="9"/>
  <c r="D525" i="37" l="1"/>
  <c r="K525" i="37"/>
  <c r="J525" i="37"/>
  <c r="F525" i="37"/>
  <c r="G525" i="37" s="1"/>
  <c r="H526" i="37" s="1"/>
  <c r="I526" i="37" s="1"/>
  <c r="B527" i="37"/>
  <c r="C526" i="37"/>
  <c r="E525" i="37"/>
  <c r="R5" i="1"/>
  <c r="R24" i="1" l="1"/>
  <c r="AH24" i="1" s="1"/>
  <c r="AP24" i="1" s="1"/>
  <c r="B528" i="37"/>
  <c r="C527" i="37"/>
  <c r="E526" i="37"/>
  <c r="F526" i="37"/>
  <c r="G526" i="37" s="1"/>
  <c r="H527" i="37" s="1"/>
  <c r="I527" i="37" s="1"/>
  <c r="D526" i="37"/>
  <c r="K526" i="37"/>
  <c r="J526" i="37"/>
  <c r="R10" i="1"/>
  <c r="R14" i="1"/>
  <c r="R53" i="1"/>
  <c r="R30" i="1"/>
  <c r="R56" i="1"/>
  <c r="R32" i="1"/>
  <c r="R50" i="1"/>
  <c r="R54" i="1"/>
  <c r="R69" i="1"/>
  <c r="R55" i="1"/>
  <c r="R71" i="1"/>
  <c r="R16" i="1"/>
  <c r="R8" i="1"/>
  <c r="R39" i="1"/>
  <c r="R58" i="1"/>
  <c r="R13" i="1"/>
  <c r="R44" i="1"/>
  <c r="R43" i="1"/>
  <c r="R72" i="1"/>
  <c r="R62" i="1"/>
  <c r="R23" i="1"/>
  <c r="R21" i="1"/>
  <c r="R45" i="1"/>
  <c r="R6" i="1"/>
  <c r="R25" i="1"/>
  <c r="R19" i="1"/>
  <c r="R34" i="1"/>
  <c r="R29" i="1"/>
  <c r="R40" i="1"/>
  <c r="R46" i="1"/>
  <c r="R11" i="1"/>
  <c r="R17" i="1"/>
  <c r="R18" i="1"/>
  <c r="R31" i="1"/>
  <c r="R42" i="1"/>
  <c r="R59" i="1"/>
  <c r="R47" i="1"/>
  <c r="R60" i="1"/>
  <c r="R37" i="1"/>
  <c r="R12" i="1"/>
  <c r="R48" i="1"/>
  <c r="R61" i="1"/>
  <c r="R66" i="1"/>
  <c r="R9" i="1"/>
  <c r="R36" i="1"/>
  <c r="R49" i="1"/>
  <c r="R57" i="1"/>
  <c r="R73" i="1"/>
  <c r="R7" i="1"/>
  <c r="R26" i="1"/>
  <c r="R20" i="1"/>
  <c r="R70" i="1"/>
  <c r="R28" i="1"/>
  <c r="AH28" i="1" s="1"/>
  <c r="AP28" i="1" s="1"/>
  <c r="R63" i="1"/>
  <c r="R51" i="1"/>
  <c r="R64" i="1"/>
  <c r="R22" i="1"/>
  <c r="R15" i="1"/>
  <c r="R65" i="1"/>
  <c r="R35" i="1"/>
  <c r="R52" i="1"/>
  <c r="R27" i="1"/>
  <c r="R41" i="1"/>
  <c r="R33" i="1"/>
  <c r="R38" i="1"/>
  <c r="R67" i="1"/>
  <c r="R68" i="1"/>
  <c r="AS24" i="1" l="1"/>
  <c r="AV24" i="1"/>
  <c r="AQ24" i="1"/>
  <c r="AV28" i="1"/>
  <c r="AS28" i="1"/>
  <c r="AQ28" i="1"/>
  <c r="K527" i="37"/>
  <c r="D527" i="37"/>
  <c r="J527" i="37"/>
  <c r="F527" i="37"/>
  <c r="G527" i="37" s="1"/>
  <c r="H528" i="37" s="1"/>
  <c r="I528" i="37" s="1"/>
  <c r="E527" i="37"/>
  <c r="C528" i="37"/>
  <c r="B529" i="37"/>
  <c r="F528" i="37" l="1"/>
  <c r="G528" i="37" s="1"/>
  <c r="H529" i="37" s="1"/>
  <c r="I529" i="37" s="1"/>
  <c r="J528" i="37"/>
  <c r="D528" i="37"/>
  <c r="K528" i="37"/>
  <c r="E528" i="37"/>
  <c r="B530" i="37"/>
  <c r="C529" i="37"/>
  <c r="D529" i="37" l="1"/>
  <c r="K529" i="37"/>
  <c r="J529" i="37"/>
  <c r="F529" i="37"/>
  <c r="G529" i="37" s="1"/>
  <c r="H530" i="37" s="1"/>
  <c r="I530" i="37" s="1"/>
  <c r="E529" i="37"/>
  <c r="C530" i="37"/>
  <c r="B531" i="37"/>
  <c r="AF70" i="1"/>
  <c r="AG70" i="1" s="1"/>
  <c r="E530" i="37" l="1"/>
  <c r="D530" i="37"/>
  <c r="K530" i="37"/>
  <c r="F530" i="37"/>
  <c r="G530" i="37" s="1"/>
  <c r="H531" i="37" s="1"/>
  <c r="I531" i="37" s="1"/>
  <c r="J530" i="37"/>
  <c r="C531" i="37"/>
  <c r="B532" i="37"/>
  <c r="O70" i="1"/>
  <c r="AH70" i="1"/>
  <c r="AG51" i="34"/>
  <c r="AC51" i="34"/>
  <c r="AI51" i="34"/>
  <c r="AH51" i="34"/>
  <c r="AM51" i="34"/>
  <c r="V70" i="1" l="1"/>
  <c r="W70" i="1" s="1"/>
  <c r="X70" i="1"/>
  <c r="AA70" i="1" s="1"/>
  <c r="L70" i="34"/>
  <c r="M70" i="34" s="1"/>
  <c r="B533" i="37"/>
  <c r="P532" i="37" s="1"/>
  <c r="Q532" i="37" s="1"/>
  <c r="Q533" i="37" s="1"/>
  <c r="Q534" i="37" s="1"/>
  <c r="C532" i="37"/>
  <c r="D531" i="37"/>
  <c r="F531" i="37"/>
  <c r="G531" i="37" s="1"/>
  <c r="H532" i="37" s="1"/>
  <c r="I532" i="37" s="1"/>
  <c r="K531" i="37"/>
  <c r="J531" i="37"/>
  <c r="E531" i="37"/>
  <c r="AD70" i="1" l="1"/>
  <c r="AC70" i="1"/>
  <c r="D532" i="37"/>
  <c r="K532" i="37"/>
  <c r="F532" i="37"/>
  <c r="G532" i="37" s="1"/>
  <c r="H533" i="37" s="1"/>
  <c r="I533" i="37" s="1"/>
  <c r="J532" i="37"/>
  <c r="E532" i="37"/>
  <c r="C533" i="37"/>
  <c r="B534" i="37"/>
  <c r="AE70" i="1" l="1"/>
  <c r="AP70" i="1"/>
  <c r="C534" i="37"/>
  <c r="B535" i="37"/>
  <c r="E533" i="37"/>
  <c r="D533" i="37"/>
  <c r="F533" i="37"/>
  <c r="G533" i="37" s="1"/>
  <c r="H534" i="37" s="1"/>
  <c r="I534" i="37" s="1"/>
  <c r="K533" i="37"/>
  <c r="J533" i="37"/>
  <c r="AQ70" i="1" l="1"/>
  <c r="AS70" i="1"/>
  <c r="AV70" i="1"/>
  <c r="C535" i="37"/>
  <c r="B536" i="37"/>
  <c r="E534" i="37"/>
  <c r="F534" i="37"/>
  <c r="G534" i="37" s="1"/>
  <c r="H535" i="37" s="1"/>
  <c r="I535" i="37" s="1"/>
  <c r="K534" i="37"/>
  <c r="D534" i="37"/>
  <c r="J534" i="37"/>
  <c r="O22" i="1"/>
  <c r="AF22" i="1"/>
  <c r="AG22" i="1" s="1"/>
  <c r="T22" i="1" l="1"/>
  <c r="S22" i="1" s="1"/>
  <c r="L22" i="34"/>
  <c r="M22" i="34" s="1"/>
  <c r="B537" i="37"/>
  <c r="C536" i="37"/>
  <c r="K535" i="37"/>
  <c r="D535" i="37"/>
  <c r="J535" i="37"/>
  <c r="F535" i="37"/>
  <c r="G535" i="37" s="1"/>
  <c r="H536" i="37" s="1"/>
  <c r="I536" i="37" s="1"/>
  <c r="E535" i="37"/>
  <c r="Z22" i="1" l="1"/>
  <c r="V22" i="1"/>
  <c r="W22" i="1" s="1"/>
  <c r="AB22" i="1"/>
  <c r="Y22" i="1"/>
  <c r="X22" i="1"/>
  <c r="F536" i="37"/>
  <c r="G536" i="37" s="1"/>
  <c r="H537" i="37" s="1"/>
  <c r="I537" i="37" s="1"/>
  <c r="K536" i="37"/>
  <c r="J536" i="37"/>
  <c r="E536" i="37"/>
  <c r="D536" i="37"/>
  <c r="B538" i="37"/>
  <c r="C537" i="37"/>
  <c r="AH22" i="1"/>
  <c r="AA22" i="1" l="1"/>
  <c r="B539" i="37"/>
  <c r="C539" i="37" s="1"/>
  <c r="C538" i="37"/>
  <c r="D537" i="37"/>
  <c r="K537" i="37"/>
  <c r="J537" i="37"/>
  <c r="E537" i="37"/>
  <c r="F537" i="37"/>
  <c r="G537" i="37" s="1"/>
  <c r="H538" i="37" s="1"/>
  <c r="I538" i="37" s="1"/>
  <c r="AD22" i="1" l="1"/>
  <c r="E538" i="37"/>
  <c r="E539" i="37" s="1"/>
  <c r="K538" i="37"/>
  <c r="D538" i="37"/>
  <c r="J538" i="37"/>
  <c r="F538" i="37"/>
  <c r="G538" i="37" s="1"/>
  <c r="H539" i="37" s="1"/>
  <c r="I539" i="37" s="1"/>
  <c r="D539" i="37"/>
  <c r="K539" i="37"/>
  <c r="J539" i="37"/>
  <c r="AE22" i="1" l="1"/>
  <c r="AP22" i="1"/>
  <c r="AC22" i="1"/>
  <c r="F539" i="37"/>
  <c r="G539" i="37" s="1"/>
  <c r="AV22" i="1" l="1"/>
  <c r="AS22" i="1"/>
  <c r="AQ22" i="1"/>
  <c r="AT4" i="1"/>
  <c r="AT115" i="1" l="1"/>
  <c r="AU115" i="1" s="1"/>
  <c r="AT28" i="1"/>
  <c r="AU28" i="1" s="1"/>
  <c r="AT24" i="1"/>
  <c r="AU24" i="1" s="1"/>
  <c r="AT70" i="1"/>
  <c r="AU70" i="1" s="1"/>
  <c r="AT22" i="1"/>
  <c r="AU22" i="1" s="1"/>
  <c r="F111" i="9"/>
  <c r="F120" i="9"/>
  <c r="F129" i="9"/>
  <c r="F138" i="9"/>
  <c r="AK88" i="1"/>
  <c r="M88" i="1"/>
  <c r="AK86" i="1"/>
  <c r="M86" i="1"/>
  <c r="O87" i="34" l="1"/>
  <c r="AG87" i="34" s="1"/>
  <c r="AJ87" i="34" s="1"/>
  <c r="AP86" i="1"/>
  <c r="O89" i="34"/>
  <c r="AG89" i="34" s="1"/>
  <c r="AJ89" i="34" s="1"/>
  <c r="AP88" i="1"/>
  <c r="F147" i="9"/>
  <c r="C147" i="9"/>
  <c r="AQ88" i="1" l="1"/>
  <c r="AS88" i="1"/>
  <c r="AT88" i="1"/>
  <c r="AK89" i="34"/>
  <c r="AN89" i="34"/>
  <c r="AQ86" i="1"/>
  <c r="AT86" i="1"/>
  <c r="AV86" i="1"/>
  <c r="AS86" i="1"/>
  <c r="AK87" i="34"/>
  <c r="AN87" i="34"/>
  <c r="AK81" i="1"/>
  <c r="O82" i="34" s="1"/>
  <c r="AG82" i="34" s="1"/>
  <c r="AJ82" i="34" s="1"/>
  <c r="O81" i="1"/>
  <c r="M81" i="1"/>
  <c r="AU86" i="1" l="1"/>
  <c r="AK82" i="34"/>
  <c r="AN82" i="34"/>
  <c r="AU88" i="1"/>
  <c r="AA81" i="1"/>
  <c r="O6" i="1"/>
  <c r="O12" i="1"/>
  <c r="O51" i="1"/>
  <c r="O14" i="1"/>
  <c r="O49" i="1"/>
  <c r="O50" i="1"/>
  <c r="O33" i="1"/>
  <c r="O7" i="1"/>
  <c r="O8" i="1"/>
  <c r="O32" i="1"/>
  <c r="O9" i="1"/>
  <c r="O10" i="1"/>
  <c r="O17" i="1"/>
  <c r="O11" i="1"/>
  <c r="O29" i="1"/>
  <c r="O31" i="1"/>
  <c r="O16" i="1"/>
  <c r="O30" i="1"/>
  <c r="O40" i="1"/>
  <c r="T14" i="1" l="1"/>
  <c r="S14" i="1" s="1"/>
  <c r="T7" i="1"/>
  <c r="T12" i="1"/>
  <c r="T17" i="1"/>
  <c r="S17" i="1"/>
  <c r="T16" i="1"/>
  <c r="S16" i="1"/>
  <c r="V49" i="1"/>
  <c r="W49" i="1" s="1"/>
  <c r="X49" i="1"/>
  <c r="AA49" i="1" s="1"/>
  <c r="X51" i="1"/>
  <c r="AA51" i="1" s="1"/>
  <c r="V51" i="1"/>
  <c r="W51" i="1" s="1"/>
  <c r="T6" i="1"/>
  <c r="S6" i="1"/>
  <c r="X50" i="1"/>
  <c r="AA50" i="1" s="1"/>
  <c r="V50" i="1"/>
  <c r="W50" i="1" s="1"/>
  <c r="T40" i="1"/>
  <c r="S40" i="1" s="1"/>
  <c r="T10" i="1"/>
  <c r="S10" i="1" s="1"/>
  <c r="T11" i="1"/>
  <c r="S11" i="1"/>
  <c r="L51" i="34"/>
  <c r="AD51" i="34" s="1"/>
  <c r="L50" i="34"/>
  <c r="M50" i="34" s="1"/>
  <c r="T32" i="1"/>
  <c r="S32" i="1" s="1"/>
  <c r="T29" i="1"/>
  <c r="S29" i="1" s="1"/>
  <c r="T33" i="1"/>
  <c r="T9" i="1"/>
  <c r="S9" i="1" s="1"/>
  <c r="T8" i="1"/>
  <c r="S8" i="1" s="1"/>
  <c r="T31" i="1"/>
  <c r="S31" i="1" s="1"/>
  <c r="T30" i="1"/>
  <c r="S30" i="1" s="1"/>
  <c r="L33" i="34"/>
  <c r="M33" i="34" s="1"/>
  <c r="L40" i="34"/>
  <c r="M40" i="34" s="1"/>
  <c r="L11" i="34"/>
  <c r="M11" i="34" s="1"/>
  <c r="L8" i="34"/>
  <c r="M8" i="34" s="1"/>
  <c r="L12" i="34"/>
  <c r="M12" i="34" s="1"/>
  <c r="L31" i="34"/>
  <c r="M31" i="34" s="1"/>
  <c r="L32" i="34"/>
  <c r="M32" i="34" s="1"/>
  <c r="L14" i="34"/>
  <c r="M14" i="34" s="1"/>
  <c r="L6" i="34"/>
  <c r="M6" i="34" s="1"/>
  <c r="L30" i="34"/>
  <c r="M30" i="34" s="1"/>
  <c r="L29" i="34"/>
  <c r="M29" i="34" s="1"/>
  <c r="L10" i="34"/>
  <c r="M10" i="34" s="1"/>
  <c r="L16" i="34"/>
  <c r="M16" i="34" s="1"/>
  <c r="L49" i="34"/>
  <c r="M49" i="34" s="1"/>
  <c r="L9" i="34"/>
  <c r="M9" i="34" s="1"/>
  <c r="L17" i="34"/>
  <c r="M17" i="34" s="1"/>
  <c r="L7" i="34"/>
  <c r="M7" i="34" s="1"/>
  <c r="AY74" i="1"/>
  <c r="AX74" i="1"/>
  <c r="O13" i="1"/>
  <c r="O67" i="1"/>
  <c r="O52" i="1"/>
  <c r="O73" i="1"/>
  <c r="O57" i="1"/>
  <c r="O41" i="1"/>
  <c r="O39" i="1"/>
  <c r="O18" i="1"/>
  <c r="O44" i="1"/>
  <c r="O27" i="1"/>
  <c r="O59" i="1"/>
  <c r="O54" i="1"/>
  <c r="O65" i="1"/>
  <c r="O43" i="1"/>
  <c r="O15" i="1"/>
  <c r="O68" i="1"/>
  <c r="O61" i="1"/>
  <c r="O21" i="1"/>
  <c r="O47" i="1"/>
  <c r="O35" i="1"/>
  <c r="O66" i="1"/>
  <c r="O58" i="1"/>
  <c r="T58" i="1" s="1"/>
  <c r="O46" i="1"/>
  <c r="O60" i="1"/>
  <c r="O34" i="1"/>
  <c r="O37" i="1"/>
  <c r="O63" i="1"/>
  <c r="O26" i="1"/>
  <c r="O64" i="1"/>
  <c r="O38" i="1"/>
  <c r="O69" i="1"/>
  <c r="O55" i="1"/>
  <c r="O25" i="1"/>
  <c r="O20" i="1"/>
  <c r="O72" i="1"/>
  <c r="O56" i="1"/>
  <c r="O23" i="1"/>
  <c r="O62" i="1"/>
  <c r="O42" i="1"/>
  <c r="O45" i="1"/>
  <c r="O19" i="1"/>
  <c r="O53" i="1"/>
  <c r="O48" i="1"/>
  <c r="O36" i="1"/>
  <c r="O71" i="1"/>
  <c r="T69" i="1" l="1"/>
  <c r="S69" i="1"/>
  <c r="S58" i="1"/>
  <c r="X58" i="1" s="1"/>
  <c r="T46" i="1"/>
  <c r="T64" i="1"/>
  <c r="V17" i="1"/>
  <c r="W17" i="1" s="1"/>
  <c r="X17" i="1"/>
  <c r="X16" i="1"/>
  <c r="V14" i="1"/>
  <c r="W14" i="1" s="1"/>
  <c r="X14" i="1"/>
  <c r="V16" i="1"/>
  <c r="W16" i="1" s="1"/>
  <c r="S12" i="1"/>
  <c r="AB12" i="1" s="1"/>
  <c r="Y17" i="1"/>
  <c r="Z17" i="1"/>
  <c r="AB17" i="1"/>
  <c r="Z16" i="1"/>
  <c r="AB16" i="1"/>
  <c r="Y16" i="1"/>
  <c r="S7" i="1"/>
  <c r="T15" i="1"/>
  <c r="S15" i="1"/>
  <c r="Y14" i="1"/>
  <c r="Z14" i="1"/>
  <c r="AB14" i="1"/>
  <c r="X53" i="1"/>
  <c r="AA53" i="1" s="1"/>
  <c r="V53" i="1"/>
  <c r="W53" i="1" s="1"/>
  <c r="V41" i="1"/>
  <c r="W41" i="1" s="1"/>
  <c r="X41" i="1"/>
  <c r="AA41" i="1" s="1"/>
  <c r="X36" i="1"/>
  <c r="AA36" i="1" s="1"/>
  <c r="V36" i="1"/>
  <c r="W36" i="1" s="1"/>
  <c r="V73" i="1"/>
  <c r="W73" i="1" s="1"/>
  <c r="X73" i="1"/>
  <c r="AA73" i="1" s="1"/>
  <c r="X65" i="1"/>
  <c r="AA65" i="1" s="1"/>
  <c r="V65" i="1"/>
  <c r="W65" i="1" s="1"/>
  <c r="Z40" i="1"/>
  <c r="X40" i="1"/>
  <c r="AB40" i="1"/>
  <c r="V40" i="1"/>
  <c r="W40" i="1" s="1"/>
  <c r="Y40" i="1"/>
  <c r="V61" i="1"/>
  <c r="W61" i="1" s="1"/>
  <c r="X61" i="1"/>
  <c r="AA61" i="1" s="1"/>
  <c r="T72" i="1"/>
  <c r="V27" i="1"/>
  <c r="W27" i="1" s="1"/>
  <c r="X27" i="1"/>
  <c r="AA27" i="1" s="1"/>
  <c r="V63" i="1"/>
  <c r="W63" i="1" s="1"/>
  <c r="X63" i="1"/>
  <c r="AA63" i="1" s="1"/>
  <c r="V38" i="1"/>
  <c r="W38" i="1" s="1"/>
  <c r="X38" i="1"/>
  <c r="AA38" i="1" s="1"/>
  <c r="X48" i="1"/>
  <c r="AA48" i="1" s="1"/>
  <c r="V48" i="1"/>
  <c r="W48" i="1" s="1"/>
  <c r="X52" i="1"/>
  <c r="AA52" i="1" s="1"/>
  <c r="V52" i="1"/>
  <c r="W52" i="1" s="1"/>
  <c r="V62" i="1"/>
  <c r="W62" i="1" s="1"/>
  <c r="X62" i="1"/>
  <c r="AA62" i="1" s="1"/>
  <c r="X37" i="1"/>
  <c r="AA37" i="1" s="1"/>
  <c r="V37" i="1"/>
  <c r="W37" i="1" s="1"/>
  <c r="AB6" i="1"/>
  <c r="Z6" i="1"/>
  <c r="Y6" i="1"/>
  <c r="X6" i="1"/>
  <c r="V6" i="1"/>
  <c r="W6" i="1" s="1"/>
  <c r="V66" i="1"/>
  <c r="W66" i="1" s="1"/>
  <c r="X66" i="1"/>
  <c r="AA66" i="1" s="1"/>
  <c r="T68" i="1"/>
  <c r="V45" i="1"/>
  <c r="W45" i="1" s="1"/>
  <c r="X45" i="1"/>
  <c r="AA45" i="1" s="1"/>
  <c r="V55" i="1"/>
  <c r="W55" i="1" s="1"/>
  <c r="X55" i="1"/>
  <c r="AA55" i="1" s="1"/>
  <c r="X8" i="1"/>
  <c r="Y8" i="1"/>
  <c r="Z8" i="1"/>
  <c r="AB8" i="1"/>
  <c r="V8" i="1"/>
  <c r="W8" i="1" s="1"/>
  <c r="AB9" i="1"/>
  <c r="V9" i="1"/>
  <c r="W9" i="1" s="1"/>
  <c r="Z9" i="1"/>
  <c r="Y9" i="1"/>
  <c r="X9" i="1"/>
  <c r="AB29" i="1"/>
  <c r="Y29" i="1"/>
  <c r="Z29" i="1"/>
  <c r="X29" i="1"/>
  <c r="V29" i="1"/>
  <c r="W29" i="1" s="1"/>
  <c r="AB30" i="1"/>
  <c r="Z30" i="1"/>
  <c r="Y30" i="1"/>
  <c r="X30" i="1"/>
  <c r="V30" i="1"/>
  <c r="W30" i="1" s="1"/>
  <c r="X11" i="1"/>
  <c r="Z11" i="1"/>
  <c r="V11" i="1"/>
  <c r="W11" i="1" s="1"/>
  <c r="AB11" i="1"/>
  <c r="Y11" i="1"/>
  <c r="Y32" i="1"/>
  <c r="X32" i="1"/>
  <c r="AB32" i="1"/>
  <c r="V32" i="1"/>
  <c r="W32" i="1" s="1"/>
  <c r="Z32" i="1"/>
  <c r="Y31" i="1"/>
  <c r="X31" i="1"/>
  <c r="AB31" i="1"/>
  <c r="V31" i="1"/>
  <c r="W31" i="1" s="1"/>
  <c r="Z31" i="1"/>
  <c r="V10" i="1"/>
  <c r="W10" i="1" s="1"/>
  <c r="Z10" i="1"/>
  <c r="X10" i="1"/>
  <c r="AB10" i="1"/>
  <c r="Y10" i="1"/>
  <c r="T44" i="1"/>
  <c r="T18" i="1"/>
  <c r="T39" i="1"/>
  <c r="T34" i="1"/>
  <c r="S34" i="1" s="1"/>
  <c r="S13" i="1"/>
  <c r="T13" i="1"/>
  <c r="T56" i="1"/>
  <c r="S56" i="1" s="1"/>
  <c r="T60" i="1"/>
  <c r="S60" i="1"/>
  <c r="T19" i="1"/>
  <c r="T20" i="1"/>
  <c r="T23" i="1"/>
  <c r="T26" i="1"/>
  <c r="S26" i="1" s="1"/>
  <c r="T54" i="1"/>
  <c r="T47" i="1"/>
  <c r="S47" i="1" s="1"/>
  <c r="T57" i="1"/>
  <c r="S57" i="1" s="1"/>
  <c r="T71" i="1"/>
  <c r="S71" i="1" s="1"/>
  <c r="T59" i="1"/>
  <c r="S59" i="1" s="1"/>
  <c r="T67" i="1"/>
  <c r="S67" i="1" s="1"/>
  <c r="T42" i="1"/>
  <c r="S42" i="1" s="1"/>
  <c r="T43" i="1"/>
  <c r="T35" i="1"/>
  <c r="S35" i="1" s="1"/>
  <c r="T25" i="1"/>
  <c r="S25" i="1" s="1"/>
  <c r="T21" i="1"/>
  <c r="S21" i="1" s="1"/>
  <c r="L71" i="34"/>
  <c r="M71" i="34" s="1"/>
  <c r="L19" i="34"/>
  <c r="M19" i="34" s="1"/>
  <c r="L20" i="34"/>
  <c r="M20" i="34" s="1"/>
  <c r="L59" i="34"/>
  <c r="M59" i="34" s="1"/>
  <c r="L60" i="34"/>
  <c r="M60" i="34" s="1"/>
  <c r="L13" i="34"/>
  <c r="M13" i="34" s="1"/>
  <c r="L48" i="34"/>
  <c r="M48" i="34" s="1"/>
  <c r="L43" i="34"/>
  <c r="M43" i="34" s="1"/>
  <c r="L23" i="34"/>
  <c r="M23" i="34" s="1"/>
  <c r="L36" i="34"/>
  <c r="M36" i="34" s="1"/>
  <c r="L35" i="34"/>
  <c r="M35" i="34" s="1"/>
  <c r="L65" i="34"/>
  <c r="M65" i="34" s="1"/>
  <c r="L27" i="34"/>
  <c r="M27" i="34" s="1"/>
  <c r="L72" i="34"/>
  <c r="AA72" i="34" s="1"/>
  <c r="L25" i="34"/>
  <c r="M25" i="34" s="1"/>
  <c r="L26" i="34"/>
  <c r="M26" i="34" s="1"/>
  <c r="L21" i="34"/>
  <c r="M21" i="34" s="1"/>
  <c r="L18" i="34"/>
  <c r="M18" i="34" s="1"/>
  <c r="L54" i="34"/>
  <c r="M54" i="34" s="1"/>
  <c r="L37" i="34"/>
  <c r="M37" i="34" s="1"/>
  <c r="L39" i="34"/>
  <c r="M39" i="34" s="1"/>
  <c r="L57" i="34"/>
  <c r="M57" i="34" s="1"/>
  <c r="L56" i="34"/>
  <c r="M56" i="34" s="1"/>
  <c r="L69" i="34"/>
  <c r="M69" i="34" s="1"/>
  <c r="L58" i="34"/>
  <c r="M58" i="34" s="1"/>
  <c r="L47" i="34"/>
  <c r="M47" i="34" s="1"/>
  <c r="L42" i="34"/>
  <c r="M42" i="34" s="1"/>
  <c r="L63" i="34"/>
  <c r="M63" i="34" s="1"/>
  <c r="L52" i="34"/>
  <c r="M52" i="34" s="1"/>
  <c r="L53" i="34"/>
  <c r="M53" i="34" s="1"/>
  <c r="L62" i="34"/>
  <c r="M62" i="34" s="1"/>
  <c r="L68" i="34"/>
  <c r="M68" i="34" s="1"/>
  <c r="L15" i="34"/>
  <c r="M15" i="34" s="1"/>
  <c r="L44" i="34"/>
  <c r="M44" i="34" s="1"/>
  <c r="L73" i="34"/>
  <c r="AD73" i="34" s="1"/>
  <c r="L67" i="34"/>
  <c r="M67" i="34" s="1"/>
  <c r="L41" i="34"/>
  <c r="M41" i="34" s="1"/>
  <c r="L55" i="34"/>
  <c r="M55" i="34" s="1"/>
  <c r="L64" i="34"/>
  <c r="M64" i="34" s="1"/>
  <c r="L34" i="34"/>
  <c r="M34" i="34" s="1"/>
  <c r="L46" i="34"/>
  <c r="M46" i="34" s="1"/>
  <c r="L66" i="34"/>
  <c r="M66" i="34" s="1"/>
  <c r="L45" i="34"/>
  <c r="M45" i="34" s="1"/>
  <c r="L38" i="34"/>
  <c r="M38" i="34" s="1"/>
  <c r="L61" i="34"/>
  <c r="M61" i="34" s="1"/>
  <c r="M51" i="34"/>
  <c r="AF51" i="34"/>
  <c r="AD51" i="1"/>
  <c r="AC50" i="1"/>
  <c r="AD50" i="1"/>
  <c r="AC51" i="1"/>
  <c r="AA51" i="34"/>
  <c r="AD49" i="1"/>
  <c r="AC49" i="1"/>
  <c r="R11" i="39"/>
  <c r="R10" i="39"/>
  <c r="R12" i="39"/>
  <c r="R9" i="39"/>
  <c r="N74" i="1"/>
  <c r="L74" i="34" s="1"/>
  <c r="M74" i="34" s="1"/>
  <c r="AB51" i="34"/>
  <c r="X69" i="1" l="1"/>
  <c r="V69" i="1"/>
  <c r="W69" i="1" s="1"/>
  <c r="X15" i="1"/>
  <c r="V58" i="1"/>
  <c r="W58" i="1" s="1"/>
  <c r="AB58" i="1"/>
  <c r="Z58" i="1"/>
  <c r="Y58" i="1"/>
  <c r="AA17" i="1"/>
  <c r="AD17" i="1" s="1"/>
  <c r="M154" i="34"/>
  <c r="M155" i="34" s="1"/>
  <c r="L154" i="34"/>
  <c r="L155" i="34" s="1"/>
  <c r="S64" i="1"/>
  <c r="Y64" i="1" s="1"/>
  <c r="AB69" i="1"/>
  <c r="Z69" i="1"/>
  <c r="Y69" i="1"/>
  <c r="S46" i="1"/>
  <c r="Y46" i="1" s="1"/>
  <c r="AA16" i="1"/>
  <c r="AD16" i="1" s="1"/>
  <c r="AE16" i="1" s="1"/>
  <c r="V15" i="1"/>
  <c r="W15" i="1" s="1"/>
  <c r="Y12" i="1"/>
  <c r="Z12" i="1"/>
  <c r="V7" i="1"/>
  <c r="W7" i="1" s="1"/>
  <c r="X7" i="1"/>
  <c r="AB7" i="1"/>
  <c r="AA14" i="1"/>
  <c r="Z7" i="1"/>
  <c r="Y15" i="1"/>
  <c r="AB15" i="1"/>
  <c r="Z15" i="1"/>
  <c r="Y7" i="1"/>
  <c r="V12" i="1"/>
  <c r="W12" i="1" s="1"/>
  <c r="X12" i="1"/>
  <c r="AA40" i="1"/>
  <c r="AC40" i="1" s="1"/>
  <c r="S72" i="1"/>
  <c r="X72" i="1" s="1"/>
  <c r="S68" i="1"/>
  <c r="Y68" i="1" s="1"/>
  <c r="AA6" i="1"/>
  <c r="AD6" i="1" s="1"/>
  <c r="AB57" i="1"/>
  <c r="Z57" i="1"/>
  <c r="V57" i="1"/>
  <c r="W57" i="1" s="1"/>
  <c r="Y57" i="1"/>
  <c r="X57" i="1"/>
  <c r="Z47" i="1"/>
  <c r="X47" i="1"/>
  <c r="Y47" i="1"/>
  <c r="AB47" i="1"/>
  <c r="V47" i="1"/>
  <c r="W47" i="1" s="1"/>
  <c r="V54" i="1"/>
  <c r="W54" i="1" s="1"/>
  <c r="X54" i="1"/>
  <c r="AB54" i="1"/>
  <c r="Y54" i="1"/>
  <c r="Z54" i="1"/>
  <c r="Y59" i="1"/>
  <c r="Z59" i="1"/>
  <c r="X59" i="1"/>
  <c r="AB59" i="1"/>
  <c r="V59" i="1"/>
  <c r="W59" i="1" s="1"/>
  <c r="V71" i="1"/>
  <c r="W71" i="1" s="1"/>
  <c r="AB71" i="1"/>
  <c r="Z71" i="1"/>
  <c r="X71" i="1"/>
  <c r="Y71" i="1"/>
  <c r="Z42" i="1"/>
  <c r="Y42" i="1"/>
  <c r="V42" i="1"/>
  <c r="W42" i="1" s="1"/>
  <c r="X42" i="1"/>
  <c r="AB42" i="1"/>
  <c r="Y67" i="1"/>
  <c r="AB67" i="1"/>
  <c r="X67" i="1"/>
  <c r="Z67" i="1"/>
  <c r="V67" i="1"/>
  <c r="W67" i="1" s="1"/>
  <c r="Y21" i="1"/>
  <c r="AB21" i="1"/>
  <c r="Z21" i="1"/>
  <c r="X21" i="1"/>
  <c r="V21" i="1"/>
  <c r="W21" i="1" s="1"/>
  <c r="Z26" i="1"/>
  <c r="V26" i="1"/>
  <c r="W26" i="1" s="1"/>
  <c r="AB26" i="1"/>
  <c r="Y26" i="1"/>
  <c r="X26" i="1"/>
  <c r="Z13" i="1"/>
  <c r="X13" i="1"/>
  <c r="Y13" i="1"/>
  <c r="V13" i="1"/>
  <c r="W13" i="1" s="1"/>
  <c r="AB13" i="1"/>
  <c r="AB35" i="1"/>
  <c r="Y35" i="1"/>
  <c r="V35" i="1"/>
  <c r="W35" i="1" s="1"/>
  <c r="Z35" i="1"/>
  <c r="X35" i="1"/>
  <c r="Z25" i="1"/>
  <c r="X25" i="1"/>
  <c r="V25" i="1"/>
  <c r="W25" i="1" s="1"/>
  <c r="Y25" i="1"/>
  <c r="AB25" i="1"/>
  <c r="X60" i="1"/>
  <c r="AB60" i="1"/>
  <c r="Z60" i="1"/>
  <c r="V60" i="1"/>
  <c r="W60" i="1" s="1"/>
  <c r="Y60" i="1"/>
  <c r="Z34" i="1"/>
  <c r="AB34" i="1"/>
  <c r="Y34" i="1"/>
  <c r="V34" i="1"/>
  <c r="W34" i="1" s="1"/>
  <c r="X34" i="1"/>
  <c r="AB56" i="1"/>
  <c r="Z56" i="1"/>
  <c r="X56" i="1"/>
  <c r="V56" i="1"/>
  <c r="W56" i="1" s="1"/>
  <c r="Y56" i="1"/>
  <c r="AE50" i="1"/>
  <c r="AE51" i="1"/>
  <c r="AE49" i="1"/>
  <c r="AA11" i="1"/>
  <c r="AD11" i="1" s="1"/>
  <c r="AA10" i="1"/>
  <c r="AD10" i="1" s="1"/>
  <c r="S43" i="1"/>
  <c r="S39" i="1"/>
  <c r="S18" i="1"/>
  <c r="S44" i="1"/>
  <c r="M73" i="34"/>
  <c r="AB73" i="34"/>
  <c r="AJ73" i="34" s="1"/>
  <c r="M72" i="34"/>
  <c r="AB72" i="34"/>
  <c r="AJ72" i="34" s="1"/>
  <c r="AA8" i="1"/>
  <c r="AD8" i="1" s="1"/>
  <c r="AA9" i="1"/>
  <c r="AC9" i="1" s="1"/>
  <c r="AA30" i="1"/>
  <c r="AD30" i="1" s="1"/>
  <c r="AA29" i="1"/>
  <c r="AC29" i="1" s="1"/>
  <c r="AA32" i="1"/>
  <c r="AD32" i="1" s="1"/>
  <c r="AA31" i="1"/>
  <c r="AD31" i="1" s="1"/>
  <c r="AJ51" i="34"/>
  <c r="AK51" i="34" s="1"/>
  <c r="AD73" i="1"/>
  <c r="AC61" i="1"/>
  <c r="AD45" i="1"/>
  <c r="AD63" i="1"/>
  <c r="AC38" i="1"/>
  <c r="AC62" i="1"/>
  <c r="AC52" i="1"/>
  <c r="AC41" i="1"/>
  <c r="AC66" i="1"/>
  <c r="AD55" i="1"/>
  <c r="AD53" i="1"/>
  <c r="AD52" i="1"/>
  <c r="AD41" i="1"/>
  <c r="AD66" i="1"/>
  <c r="AC55" i="1"/>
  <c r="AC53" i="1"/>
  <c r="AC73" i="1"/>
  <c r="AD61" i="1"/>
  <c r="AC63" i="1"/>
  <c r="AD38" i="1"/>
  <c r="AD62" i="1"/>
  <c r="AC45" i="1"/>
  <c r="R13" i="39"/>
  <c r="S13" i="39" s="1"/>
  <c r="T9" i="39"/>
  <c r="T12" i="39"/>
  <c r="T10" i="39"/>
  <c r="T11" i="39"/>
  <c r="T74" i="1"/>
  <c r="AA58" i="1" l="1"/>
  <c r="AD58" i="1" s="1"/>
  <c r="AE58" i="1" s="1"/>
  <c r="AC17" i="1"/>
  <c r="AA69" i="1"/>
  <c r="AC69" i="1" s="1"/>
  <c r="AC16" i="1"/>
  <c r="V46" i="1"/>
  <c r="W46" i="1" s="1"/>
  <c r="V64" i="1"/>
  <c r="W64" i="1" s="1"/>
  <c r="X64" i="1"/>
  <c r="Z46" i="1"/>
  <c r="Z64" i="1"/>
  <c r="AB46" i="1"/>
  <c r="X46" i="1"/>
  <c r="AB64" i="1"/>
  <c r="AE17" i="1"/>
  <c r="AA7" i="1"/>
  <c r="AC7" i="1" s="1"/>
  <c r="AA15" i="1"/>
  <c r="AD15" i="1" s="1"/>
  <c r="AA12" i="1"/>
  <c r="AD12" i="1" s="1"/>
  <c r="AB68" i="1"/>
  <c r="V68" i="1"/>
  <c r="W68" i="1" s="1"/>
  <c r="X68" i="1"/>
  <c r="Z68" i="1"/>
  <c r="V72" i="1"/>
  <c r="W72" i="1" s="1"/>
  <c r="Z72" i="1"/>
  <c r="AB72" i="1"/>
  <c r="Y72" i="1"/>
  <c r="X18" i="1"/>
  <c r="AB18" i="1"/>
  <c r="V18" i="1"/>
  <c r="W18" i="1" s="1"/>
  <c r="Z18" i="1"/>
  <c r="Y18" i="1"/>
  <c r="AB39" i="1"/>
  <c r="Y39" i="1"/>
  <c r="V39" i="1"/>
  <c r="W39" i="1" s="1"/>
  <c r="Z39" i="1"/>
  <c r="X39" i="1"/>
  <c r="Y43" i="1"/>
  <c r="V43" i="1"/>
  <c r="W43" i="1" s="1"/>
  <c r="Z43" i="1"/>
  <c r="X43" i="1"/>
  <c r="AB43" i="1"/>
  <c r="AB44" i="1"/>
  <c r="Y44" i="1"/>
  <c r="V44" i="1"/>
  <c r="W44" i="1" s="1"/>
  <c r="Z44" i="1"/>
  <c r="X44" i="1"/>
  <c r="AE10" i="1"/>
  <c r="AE41" i="1"/>
  <c r="AE31" i="1"/>
  <c r="AE30" i="1"/>
  <c r="AE45" i="1"/>
  <c r="AE62" i="1"/>
  <c r="AE63" i="1"/>
  <c r="AE8" i="1"/>
  <c r="AE38" i="1"/>
  <c r="AE52" i="1"/>
  <c r="AE55" i="1"/>
  <c r="W119" i="1"/>
  <c r="AD119" i="1" s="1"/>
  <c r="AE66" i="1"/>
  <c r="AE73" i="1"/>
  <c r="AE11" i="1"/>
  <c r="AE32" i="1"/>
  <c r="AE53" i="1"/>
  <c r="AE61" i="1"/>
  <c r="AA34" i="1"/>
  <c r="AC34" i="1" s="1"/>
  <c r="AA56" i="1"/>
  <c r="AC56" i="1" s="1"/>
  <c r="AA60" i="1"/>
  <c r="AC60" i="1" s="1"/>
  <c r="AA13" i="1"/>
  <c r="AD13" i="1" s="1"/>
  <c r="AW13" i="1" s="1"/>
  <c r="AK72" i="34"/>
  <c r="AN72" i="34"/>
  <c r="AK73" i="34"/>
  <c r="AN73" i="34"/>
  <c r="AA67" i="1"/>
  <c r="AD67" i="1" s="1"/>
  <c r="AA47" i="1"/>
  <c r="AD47" i="1" s="1"/>
  <c r="AA71" i="1"/>
  <c r="AC71" i="1" s="1"/>
  <c r="AA54" i="1"/>
  <c r="AD54" i="1" s="1"/>
  <c r="AD9" i="1"/>
  <c r="AA42" i="1"/>
  <c r="AD42" i="1" s="1"/>
  <c r="AA59" i="1"/>
  <c r="AD59" i="1" s="1"/>
  <c r="AA35" i="1"/>
  <c r="AD35" i="1" s="1"/>
  <c r="AA57" i="1"/>
  <c r="AC57" i="1" s="1"/>
  <c r="AA26" i="1"/>
  <c r="AD26" i="1" s="1"/>
  <c r="AA21" i="1"/>
  <c r="AD21" i="1" s="1"/>
  <c r="AA25" i="1"/>
  <c r="AD25" i="1" s="1"/>
  <c r="AN51" i="34"/>
  <c r="AD29" i="1"/>
  <c r="AC31" i="1"/>
  <c r="AC30" i="1"/>
  <c r="AD27" i="1"/>
  <c r="AD40" i="1"/>
  <c r="AD37" i="1"/>
  <c r="AC10" i="1"/>
  <c r="AC8" i="1"/>
  <c r="AC11" i="1"/>
  <c r="AD36" i="1"/>
  <c r="AC32" i="1"/>
  <c r="AC14" i="1"/>
  <c r="AD65" i="1"/>
  <c r="AD48" i="1"/>
  <c r="AC6" i="1"/>
  <c r="S10" i="39"/>
  <c r="S12" i="39"/>
  <c r="T13" i="39"/>
  <c r="S11" i="39"/>
  <c r="S9" i="39"/>
  <c r="AK77" i="1"/>
  <c r="O78" i="34" s="1"/>
  <c r="AG78" i="34" s="1"/>
  <c r="AJ78" i="34" s="1"/>
  <c r="O77" i="1"/>
  <c r="M77" i="1"/>
  <c r="AI75" i="1"/>
  <c r="AC58" i="1" l="1"/>
  <c r="AC119" i="1"/>
  <c r="AK78" i="34"/>
  <c r="AN78" i="34"/>
  <c r="AD69" i="1"/>
  <c r="AD7" i="1"/>
  <c r="AE7" i="1" s="1"/>
  <c r="AA64" i="1"/>
  <c r="AD64" i="1" s="1"/>
  <c r="AA68" i="1"/>
  <c r="AC68" i="1" s="1"/>
  <c r="AA46" i="1"/>
  <c r="AD46" i="1" s="1"/>
  <c r="AE46" i="1" s="1"/>
  <c r="AC15" i="1"/>
  <c r="AW15" i="1"/>
  <c r="AE15" i="1"/>
  <c r="AA72" i="1"/>
  <c r="AC72" i="1" s="1"/>
  <c r="AA39" i="1"/>
  <c r="AD39" i="1" s="1"/>
  <c r="AE39" i="1" s="1"/>
  <c r="AA18" i="1"/>
  <c r="AD18" i="1" s="1"/>
  <c r="AA43" i="1"/>
  <c r="AD43" i="1" s="1"/>
  <c r="AE43" i="1" s="1"/>
  <c r="W121" i="1"/>
  <c r="AC121" i="1" s="1"/>
  <c r="AA44" i="1"/>
  <c r="AC44" i="1" s="1"/>
  <c r="AV119" i="1"/>
  <c r="AZ119" i="1" s="1"/>
  <c r="BE119" i="1" s="1"/>
  <c r="AC25" i="1"/>
  <c r="AE26" i="1"/>
  <c r="AE42" i="1"/>
  <c r="AE12" i="1"/>
  <c r="W117" i="1"/>
  <c r="AC117" i="1" s="1"/>
  <c r="AE54" i="1"/>
  <c r="W122" i="1" s="1"/>
  <c r="AD122" i="1" s="1"/>
  <c r="AE40" i="1"/>
  <c r="AE47" i="1"/>
  <c r="W120" i="1"/>
  <c r="AD120" i="1" s="1"/>
  <c r="AE67" i="1"/>
  <c r="AE48" i="1"/>
  <c r="AE59" i="1"/>
  <c r="AE36" i="1"/>
  <c r="AE21" i="1"/>
  <c r="AE27" i="1"/>
  <c r="AE65" i="1"/>
  <c r="AE37" i="1"/>
  <c r="AE29" i="1"/>
  <c r="AE13" i="1"/>
  <c r="AE9" i="1"/>
  <c r="AE35" i="1"/>
  <c r="AD34" i="1"/>
  <c r="AC13" i="1"/>
  <c r="AD56" i="1"/>
  <c r="AE25" i="1"/>
  <c r="W114" i="1"/>
  <c r="AD114" i="1" s="1"/>
  <c r="W118" i="1"/>
  <c r="AD118" i="1" s="1"/>
  <c r="W116" i="1"/>
  <c r="W113" i="1"/>
  <c r="AC67" i="1"/>
  <c r="AC47" i="1"/>
  <c r="AC42" i="1"/>
  <c r="W77" i="1"/>
  <c r="AA77" i="1"/>
  <c r="AC21" i="1"/>
  <c r="AC27" i="1"/>
  <c r="AC35" i="1"/>
  <c r="AD57" i="1"/>
  <c r="AC54" i="1"/>
  <c r="AD71" i="1"/>
  <c r="AC37" i="1"/>
  <c r="AC59" i="1"/>
  <c r="AD14" i="1"/>
  <c r="AD60" i="1"/>
  <c r="AC26" i="1"/>
  <c r="AC36" i="1"/>
  <c r="AC48" i="1"/>
  <c r="AC12" i="1"/>
  <c r="AC65" i="1"/>
  <c r="AD121" i="1" l="1"/>
  <c r="AV121" i="1" s="1"/>
  <c r="AZ121" i="1" s="1"/>
  <c r="BE121" i="1" s="1"/>
  <c r="AC122" i="1"/>
  <c r="AD117" i="1"/>
  <c r="AV117" i="1" s="1"/>
  <c r="AZ117" i="1" s="1"/>
  <c r="BE117" i="1" s="1"/>
  <c r="AC120" i="1"/>
  <c r="AD68" i="1"/>
  <c r="AE68" i="1" s="1"/>
  <c r="AE69" i="1"/>
  <c r="W127" i="1" s="1"/>
  <c r="AC64" i="1"/>
  <c r="U101" i="1"/>
  <c r="W101" i="1" s="1"/>
  <c r="AD101" i="1" s="1"/>
  <c r="AD72" i="1"/>
  <c r="AE72" i="1" s="1"/>
  <c r="AC46" i="1"/>
  <c r="U112" i="1"/>
  <c r="W112" i="1" s="1"/>
  <c r="AD112" i="1" s="1"/>
  <c r="AE64" i="1"/>
  <c r="AC39" i="1"/>
  <c r="AC18" i="1"/>
  <c r="AE18" i="1"/>
  <c r="AD44" i="1"/>
  <c r="AE44" i="1" s="1"/>
  <c r="AC43" i="1"/>
  <c r="AV120" i="1"/>
  <c r="AZ120" i="1" s="1"/>
  <c r="BE120" i="1" s="1"/>
  <c r="AV118" i="1"/>
  <c r="AZ118" i="1" s="1"/>
  <c r="BE118" i="1" s="1"/>
  <c r="AV114" i="1"/>
  <c r="AZ114" i="1" s="1"/>
  <c r="BE114" i="1" s="1"/>
  <c r="AV122" i="1"/>
  <c r="AZ122" i="1" s="1"/>
  <c r="BE122" i="1" s="1"/>
  <c r="W108" i="1"/>
  <c r="AD108" i="1" s="1"/>
  <c r="W111" i="1"/>
  <c r="AD111" i="1" s="1"/>
  <c r="AE57" i="1"/>
  <c r="AE56" i="1"/>
  <c r="AE14" i="1"/>
  <c r="W100" i="1" s="1"/>
  <c r="AD100" i="1" s="1"/>
  <c r="AE60" i="1"/>
  <c r="AE71" i="1"/>
  <c r="U104" i="1"/>
  <c r="W104" i="1" s="1"/>
  <c r="AC104" i="1" s="1"/>
  <c r="AE34" i="1"/>
  <c r="AD77" i="1"/>
  <c r="AC114" i="1"/>
  <c r="W106" i="1"/>
  <c r="AD106" i="1" s="1"/>
  <c r="W110" i="1"/>
  <c r="AC110" i="1" s="1"/>
  <c r="AC118" i="1"/>
  <c r="W123" i="1"/>
  <c r="AD116" i="1"/>
  <c r="AC116" i="1"/>
  <c r="AD113" i="1"/>
  <c r="AC113" i="1"/>
  <c r="AC77" i="1"/>
  <c r="AC100" i="1" l="1"/>
  <c r="AD127" i="1"/>
  <c r="AC127" i="1"/>
  <c r="AC111" i="1"/>
  <c r="AC108" i="1"/>
  <c r="AC101" i="1"/>
  <c r="AV101" i="1"/>
  <c r="AZ101" i="1" s="1"/>
  <c r="BE101" i="1" s="1"/>
  <c r="AV112" i="1"/>
  <c r="AZ112" i="1" s="1"/>
  <c r="BE112" i="1" s="1"/>
  <c r="AC112" i="1"/>
  <c r="U92" i="1"/>
  <c r="W92" i="1" s="1"/>
  <c r="AD92" i="1" s="1"/>
  <c r="AV100" i="1"/>
  <c r="AZ100" i="1" s="1"/>
  <c r="BE100" i="1" s="1"/>
  <c r="AV116" i="1"/>
  <c r="AZ116" i="1" s="1"/>
  <c r="BE116" i="1" s="1"/>
  <c r="AV113" i="1"/>
  <c r="AZ113" i="1" s="1"/>
  <c r="BE113" i="1" s="1"/>
  <c r="AV111" i="1"/>
  <c r="AZ111" i="1" s="1"/>
  <c r="BE111" i="1" s="1"/>
  <c r="AV106" i="1"/>
  <c r="AZ106" i="1" s="1"/>
  <c r="BE106" i="1" s="1"/>
  <c r="AV108" i="1"/>
  <c r="AZ108" i="1" s="1"/>
  <c r="BE108" i="1" s="1"/>
  <c r="AP77" i="1"/>
  <c r="AD104" i="1"/>
  <c r="AV104" i="1" s="1"/>
  <c r="AZ104" i="1" s="1"/>
  <c r="BE104" i="1" s="1"/>
  <c r="AD110" i="1"/>
  <c r="AC106" i="1"/>
  <c r="AD123" i="1"/>
  <c r="AC123" i="1"/>
  <c r="E12" i="28" l="1"/>
  <c r="AV127" i="1"/>
  <c r="AZ127" i="1" s="1"/>
  <c r="BE127" i="1" s="1"/>
  <c r="AC92" i="1"/>
  <c r="AV123" i="1"/>
  <c r="AZ123" i="1" s="1"/>
  <c r="BE123" i="1" s="1"/>
  <c r="AV110" i="1"/>
  <c r="AZ110" i="1" s="1"/>
  <c r="BE110" i="1" s="1"/>
  <c r="AQ77" i="1"/>
  <c r="AV77" i="1"/>
  <c r="AT77" i="1"/>
  <c r="AS77" i="1"/>
  <c r="AV92" i="1"/>
  <c r="AU77" i="1" l="1"/>
  <c r="AB44" i="34"/>
  <c r="AD44" i="34"/>
  <c r="AF44" i="34"/>
  <c r="AC44" i="34"/>
  <c r="AA44" i="34"/>
  <c r="AI44" i="34"/>
  <c r="AH44" i="34"/>
  <c r="AM44" i="34"/>
  <c r="AG44" i="34"/>
  <c r="AJ44" i="34" l="1"/>
  <c r="AN44" i="34" s="1"/>
  <c r="AK44" i="34" l="1"/>
  <c r="J172" i="34" l="1"/>
  <c r="H172" i="34"/>
  <c r="J171" i="34"/>
  <c r="H171" i="34"/>
  <c r="D171" i="34"/>
  <c r="C171" i="34"/>
  <c r="J168" i="34"/>
  <c r="H168" i="34"/>
  <c r="J167" i="34"/>
  <c r="H167" i="34"/>
  <c r="D167" i="34"/>
  <c r="C167" i="34"/>
  <c r="Q168" i="34" l="1"/>
  <c r="C168" i="34"/>
  <c r="D168" i="34"/>
  <c r="Q172" i="34"/>
  <c r="D172" i="34"/>
  <c r="C172" i="34"/>
  <c r="B172" i="34"/>
  <c r="B168" i="34"/>
  <c r="AI168" i="34"/>
  <c r="AC168" i="34"/>
  <c r="AB168" i="34"/>
  <c r="AD168" i="34"/>
  <c r="AF168" i="34"/>
  <c r="AM168" i="34"/>
  <c r="S171" i="34"/>
  <c r="R171" i="34"/>
  <c r="AD172" i="34"/>
  <c r="AC172" i="34"/>
  <c r="AI172" i="34"/>
  <c r="AF172" i="34"/>
  <c r="AA172" i="34"/>
  <c r="AM172" i="34"/>
  <c r="AD167" i="34"/>
  <c r="AI167" i="34"/>
  <c r="AF167" i="34"/>
  <c r="AB167" i="34"/>
  <c r="AC167" i="34"/>
  <c r="AM167" i="34"/>
  <c r="S167" i="34"/>
  <c r="R167" i="34"/>
  <c r="AA171" i="34"/>
  <c r="AF171" i="34"/>
  <c r="AI171" i="34"/>
  <c r="AC171" i="34"/>
  <c r="AD171" i="34"/>
  <c r="AM171" i="34"/>
  <c r="J163" i="34"/>
  <c r="H163" i="34"/>
  <c r="J162" i="34"/>
  <c r="H162" i="34"/>
  <c r="J161" i="34"/>
  <c r="H161" i="34"/>
  <c r="J160" i="34"/>
  <c r="H160" i="34"/>
  <c r="J155" i="34"/>
  <c r="H155" i="34"/>
  <c r="J154" i="34"/>
  <c r="H154" i="34"/>
  <c r="X551" i="44" l="1"/>
  <c r="X461" i="44"/>
  <c r="X460" i="44"/>
  <c r="X459" i="44"/>
  <c r="X458" i="44"/>
  <c r="X457" i="44"/>
  <c r="X451" i="44"/>
  <c r="X467" i="44"/>
  <c r="X472" i="44"/>
  <c r="X469" i="44"/>
  <c r="X474" i="44"/>
  <c r="X470" i="44"/>
  <c r="X468" i="44"/>
  <c r="X473" i="44"/>
  <c r="X471" i="44"/>
  <c r="X445" i="44"/>
  <c r="X439" i="44"/>
  <c r="X420" i="44"/>
  <c r="X415" i="44"/>
  <c r="X409" i="44"/>
  <c r="X298" i="44"/>
  <c r="X284" i="44"/>
  <c r="X391" i="44"/>
  <c r="X275" i="44"/>
  <c r="X389" i="44"/>
  <c r="X225" i="44"/>
  <c r="X211" i="44"/>
  <c r="X208" i="44"/>
  <c r="X133" i="44"/>
  <c r="X132" i="44"/>
  <c r="X306" i="44"/>
  <c r="X301" i="44"/>
  <c r="X297" i="44"/>
  <c r="X397" i="44"/>
  <c r="X292" i="44"/>
  <c r="X396" i="44"/>
  <c r="X286" i="44"/>
  <c r="X395" i="44"/>
  <c r="X283" i="44"/>
  <c r="X249" i="44"/>
  <c r="X387" i="44"/>
  <c r="X384" i="44"/>
  <c r="X383" i="44"/>
  <c r="X380" i="44"/>
  <c r="X435" i="44"/>
  <c r="X449" i="44"/>
  <c r="X448" i="44"/>
  <c r="X421" i="44"/>
  <c r="X401" i="44"/>
  <c r="X282" i="44"/>
  <c r="X400" i="44"/>
  <c r="X278" i="44"/>
  <c r="X312" i="44"/>
  <c r="X274" i="44"/>
  <c r="X269" i="44"/>
  <c r="X261" i="44"/>
  <c r="X394" i="44"/>
  <c r="X304" i="44"/>
  <c r="X393" i="44"/>
  <c r="X218" i="44"/>
  <c r="X296" i="44"/>
  <c r="X202" i="44"/>
  <c r="X295" i="44"/>
  <c r="X196" i="44"/>
  <c r="X288" i="44"/>
  <c r="X322" i="44"/>
  <c r="X287" i="44"/>
  <c r="X38" i="44"/>
  <c r="X321" i="44"/>
  <c r="X320" i="44"/>
  <c r="X319" i="44"/>
  <c r="X433" i="44"/>
  <c r="X432" i="44"/>
  <c r="X431" i="44"/>
  <c r="X430" i="44"/>
  <c r="X429" i="44"/>
  <c r="X410" i="44"/>
  <c r="X428" i="44"/>
  <c r="X412" i="44"/>
  <c r="X427" i="44"/>
  <c r="X411" i="44"/>
  <c r="X331" i="44"/>
  <c r="X171" i="44"/>
  <c r="X329" i="44"/>
  <c r="X307" i="44"/>
  <c r="X248" i="44"/>
  <c r="X219" i="44"/>
  <c r="X170" i="44"/>
  <c r="X369" i="44"/>
  <c r="X328" i="44"/>
  <c r="X318" i="44"/>
  <c r="X245" i="44"/>
  <c r="X136" i="44"/>
  <c r="X368" i="44"/>
  <c r="X326" i="44"/>
  <c r="X294" i="44"/>
  <c r="X233" i="44"/>
  <c r="X217" i="44"/>
  <c r="X135" i="44"/>
  <c r="X367" i="44"/>
  <c r="X325" i="44"/>
  <c r="X314" i="44"/>
  <c r="X259" i="44"/>
  <c r="X232" i="44"/>
  <c r="X216" i="44"/>
  <c r="X191" i="44"/>
  <c r="X386" i="44"/>
  <c r="X363" i="44"/>
  <c r="X324" i="44"/>
  <c r="X291" i="44"/>
  <c r="X281" i="44"/>
  <c r="X257" i="44"/>
  <c r="X230" i="44"/>
  <c r="X215" i="44"/>
  <c r="X187" i="44"/>
  <c r="X385" i="44"/>
  <c r="X355" i="44"/>
  <c r="X290" i="44"/>
  <c r="X255" i="44"/>
  <c r="X229" i="44"/>
  <c r="X214" i="44"/>
  <c r="X186" i="44"/>
  <c r="X339" i="44"/>
  <c r="X277" i="44"/>
  <c r="X254" i="44"/>
  <c r="X227" i="44"/>
  <c r="X184" i="44"/>
  <c r="X550" i="44"/>
  <c r="X542" i="44"/>
  <c r="X534" i="44"/>
  <c r="X526" i="44"/>
  <c r="X518" i="44"/>
  <c r="X517" i="44"/>
  <c r="X548" i="44"/>
  <c r="X540" i="44"/>
  <c r="X524" i="44"/>
  <c r="X516" i="44"/>
  <c r="X547" i="44"/>
  <c r="X546" i="44"/>
  <c r="X529" i="44"/>
  <c r="X527" i="44"/>
  <c r="X549" i="44"/>
  <c r="X541" i="44"/>
  <c r="X533" i="44"/>
  <c r="X525" i="44"/>
  <c r="X532" i="44"/>
  <c r="X539" i="44"/>
  <c r="X530" i="44"/>
  <c r="X520" i="44"/>
  <c r="X531" i="44"/>
  <c r="X522" i="44"/>
  <c r="X535" i="44"/>
  <c r="X523" i="44"/>
  <c r="X537" i="44"/>
  <c r="X543" i="44"/>
  <c r="X538" i="44"/>
  <c r="X536" i="44"/>
  <c r="X545" i="44"/>
  <c r="X521" i="44"/>
  <c r="X519" i="44"/>
  <c r="X544" i="44"/>
  <c r="X528" i="44"/>
  <c r="X408" i="44"/>
  <c r="X392" i="44"/>
  <c r="X376" i="44"/>
  <c r="X360" i="44"/>
  <c r="X352" i="44"/>
  <c r="X344" i="44"/>
  <c r="X336" i="44"/>
  <c r="X280" i="44"/>
  <c r="X272" i="44"/>
  <c r="X264" i="44"/>
  <c r="X256" i="44"/>
  <c r="X240" i="44"/>
  <c r="X224" i="44"/>
  <c r="X200" i="44"/>
  <c r="X192" i="44"/>
  <c r="X176" i="44"/>
  <c r="X168" i="44"/>
  <c r="X160" i="44"/>
  <c r="X152" i="44"/>
  <c r="X144" i="44"/>
  <c r="X128" i="44"/>
  <c r="X120" i="44"/>
  <c r="X112" i="44"/>
  <c r="X104" i="44"/>
  <c r="X96" i="44"/>
  <c r="X88" i="44"/>
  <c r="X80" i="44"/>
  <c r="X72" i="44"/>
  <c r="X64" i="44"/>
  <c r="X56" i="44"/>
  <c r="X48" i="44"/>
  <c r="X40" i="44"/>
  <c r="X32" i="44"/>
  <c r="X24" i="44"/>
  <c r="X16" i="44"/>
  <c r="X8" i="44"/>
  <c r="X407" i="44"/>
  <c r="X375" i="44"/>
  <c r="X359" i="44"/>
  <c r="X351" i="44"/>
  <c r="X343" i="44"/>
  <c r="X335" i="44"/>
  <c r="X327" i="44"/>
  <c r="X303" i="44"/>
  <c r="X279" i="44"/>
  <c r="X271" i="44"/>
  <c r="X263" i="44"/>
  <c r="X247" i="44"/>
  <c r="X239" i="44"/>
  <c r="X231" i="44"/>
  <c r="X223" i="44"/>
  <c r="X207" i="44"/>
  <c r="X199" i="44"/>
  <c r="X183" i="44"/>
  <c r="X175" i="44"/>
  <c r="X167" i="44"/>
  <c r="X159" i="44"/>
  <c r="X151" i="44"/>
  <c r="X143" i="44"/>
  <c r="X127" i="44"/>
  <c r="X119" i="44"/>
  <c r="X111" i="44"/>
  <c r="X103" i="44"/>
  <c r="X95" i="44"/>
  <c r="X87" i="44"/>
  <c r="X79" i="44"/>
  <c r="X71" i="44"/>
  <c r="X63" i="44"/>
  <c r="X55" i="44"/>
  <c r="X47" i="44"/>
  <c r="X39" i="44"/>
  <c r="X31" i="44"/>
  <c r="X23" i="44"/>
  <c r="X15" i="44"/>
  <c r="X7" i="44"/>
  <c r="X406" i="44"/>
  <c r="X382" i="44"/>
  <c r="X374" i="44"/>
  <c r="X366" i="44"/>
  <c r="X358" i="44"/>
  <c r="X350" i="44"/>
  <c r="X342" i="44"/>
  <c r="X334" i="44"/>
  <c r="X270" i="44"/>
  <c r="X262" i="44"/>
  <c r="X246" i="44"/>
  <c r="X238" i="44"/>
  <c r="X222" i="44"/>
  <c r="X206" i="44"/>
  <c r="X198" i="44"/>
  <c r="X190" i="44"/>
  <c r="X182" i="44"/>
  <c r="X174" i="44"/>
  <c r="X166" i="44"/>
  <c r="X158" i="44"/>
  <c r="X150" i="44"/>
  <c r="X142" i="44"/>
  <c r="X134" i="44"/>
  <c r="X126" i="44"/>
  <c r="X118" i="44"/>
  <c r="X110" i="44"/>
  <c r="X102" i="44"/>
  <c r="X94" i="44"/>
  <c r="X86" i="44"/>
  <c r="X78" i="44"/>
  <c r="X70" i="44"/>
  <c r="X62" i="44"/>
  <c r="X54" i="44"/>
  <c r="X46" i="44"/>
  <c r="X30" i="44"/>
  <c r="X22" i="44"/>
  <c r="X14" i="44"/>
  <c r="X6" i="44"/>
  <c r="X405" i="44"/>
  <c r="X381" i="44"/>
  <c r="X373" i="44"/>
  <c r="X365" i="44"/>
  <c r="X357" i="44"/>
  <c r="X349" i="44"/>
  <c r="X341" i="44"/>
  <c r="X333" i="44"/>
  <c r="X317" i="44"/>
  <c r="X309" i="44"/>
  <c r="X293" i="44"/>
  <c r="X285" i="44"/>
  <c r="X253" i="44"/>
  <c r="X237" i="44"/>
  <c r="X221" i="44"/>
  <c r="X205" i="44"/>
  <c r="X197" i="44"/>
  <c r="X189" i="44"/>
  <c r="X181" i="44"/>
  <c r="X173" i="44"/>
  <c r="X165" i="44"/>
  <c r="X157" i="44"/>
  <c r="X149" i="44"/>
  <c r="X141" i="44"/>
  <c r="X125" i="44"/>
  <c r="X117" i="44"/>
  <c r="X109" i="44"/>
  <c r="X101" i="44"/>
  <c r="X93" i="44"/>
  <c r="X85" i="44"/>
  <c r="X77" i="44"/>
  <c r="X69" i="44"/>
  <c r="X61" i="44"/>
  <c r="X53" i="44"/>
  <c r="X45" i="44"/>
  <c r="X37" i="44"/>
  <c r="X29" i="44"/>
  <c r="X21" i="44"/>
  <c r="X13" i="44"/>
  <c r="X5" i="44"/>
  <c r="X404" i="44"/>
  <c r="X388" i="44"/>
  <c r="X372" i="44"/>
  <c r="X364" i="44"/>
  <c r="X356" i="44"/>
  <c r="X348" i="44"/>
  <c r="X340" i="44"/>
  <c r="X332" i="44"/>
  <c r="X316" i="44"/>
  <c r="X308" i="44"/>
  <c r="X300" i="44"/>
  <c r="X276" i="44"/>
  <c r="X268" i="44"/>
  <c r="X260" i="44"/>
  <c r="X252" i="44"/>
  <c r="X244" i="44"/>
  <c r="X236" i="44"/>
  <c r="X228" i="44"/>
  <c r="X220" i="44"/>
  <c r="X212" i="44"/>
  <c r="X204" i="44"/>
  <c r="X188" i="44"/>
  <c r="X180" i="44"/>
  <c r="X172" i="44"/>
  <c r="X164" i="44"/>
  <c r="X156" i="44"/>
  <c r="X148" i="44"/>
  <c r="X140" i="44"/>
  <c r="X124" i="44"/>
  <c r="X116" i="44"/>
  <c r="X108" i="44"/>
  <c r="X100" i="44"/>
  <c r="X92" i="44"/>
  <c r="X84" i="44"/>
  <c r="X76" i="44"/>
  <c r="X60" i="44"/>
  <c r="X52" i="44"/>
  <c r="X44" i="44"/>
  <c r="X36" i="44"/>
  <c r="X28" i="44"/>
  <c r="X20" i="44"/>
  <c r="X12" i="44"/>
  <c r="X4" i="44"/>
  <c r="X403" i="44"/>
  <c r="X379" i="44"/>
  <c r="X371" i="44"/>
  <c r="X347" i="44"/>
  <c r="X323" i="44"/>
  <c r="X299" i="44"/>
  <c r="X267" i="44"/>
  <c r="X251" i="44"/>
  <c r="X243" i="44"/>
  <c r="X235" i="44"/>
  <c r="X203" i="44"/>
  <c r="X195" i="44"/>
  <c r="X179" i="44"/>
  <c r="X163" i="44"/>
  <c r="X155" i="44"/>
  <c r="X147" i="44"/>
  <c r="X139" i="44"/>
  <c r="X131" i="44"/>
  <c r="X123" i="44"/>
  <c r="X115" i="44"/>
  <c r="X107" i="44"/>
  <c r="X99" i="44"/>
  <c r="X91" i="44"/>
  <c r="X83" i="44"/>
  <c r="X75" i="44"/>
  <c r="X67" i="44"/>
  <c r="X59" i="44"/>
  <c r="X51" i="44"/>
  <c r="X43" i="44"/>
  <c r="X35" i="44"/>
  <c r="X27" i="44"/>
  <c r="X19" i="44"/>
  <c r="X11" i="44"/>
  <c r="X3" i="44"/>
  <c r="X402" i="44"/>
  <c r="X378" i="44"/>
  <c r="X370" i="44"/>
  <c r="X362" i="44"/>
  <c r="X354" i="44"/>
  <c r="X346" i="44"/>
  <c r="X338" i="44"/>
  <c r="X330" i="44"/>
  <c r="X266" i="44"/>
  <c r="X258" i="44"/>
  <c r="X250" i="44"/>
  <c r="X242" i="44"/>
  <c r="X234" i="44"/>
  <c r="X226" i="44"/>
  <c r="X210" i="44"/>
  <c r="X194" i="44"/>
  <c r="X178" i="44"/>
  <c r="X162" i="44"/>
  <c r="X154" i="44"/>
  <c r="X146" i="44"/>
  <c r="X138" i="44"/>
  <c r="X130" i="44"/>
  <c r="X122" i="44"/>
  <c r="X114" i="44"/>
  <c r="X106" i="44"/>
  <c r="X98" i="44"/>
  <c r="X90" i="44"/>
  <c r="X82" i="44"/>
  <c r="X74" i="44"/>
  <c r="X66" i="44"/>
  <c r="X58" i="44"/>
  <c r="X50" i="44"/>
  <c r="X42" i="44"/>
  <c r="X34" i="44"/>
  <c r="X26" i="44"/>
  <c r="X18" i="44"/>
  <c r="X10" i="44"/>
  <c r="X377" i="44"/>
  <c r="X361" i="44"/>
  <c r="X353" i="44"/>
  <c r="X345" i="44"/>
  <c r="X337" i="44"/>
  <c r="X289" i="44"/>
  <c r="X273" i="44"/>
  <c r="X265" i="44"/>
  <c r="X241" i="44"/>
  <c r="X209" i="44"/>
  <c r="X201" i="44"/>
  <c r="X193" i="44"/>
  <c r="X185" i="44"/>
  <c r="X177" i="44"/>
  <c r="X169" i="44"/>
  <c r="X161" i="44"/>
  <c r="X153" i="44"/>
  <c r="X145" i="44"/>
  <c r="X137" i="44"/>
  <c r="X129" i="44"/>
  <c r="X121" i="44"/>
  <c r="X113" i="44"/>
  <c r="X105" i="44"/>
  <c r="X97" i="44"/>
  <c r="X89" i="44"/>
  <c r="X81" i="44"/>
  <c r="X73" i="44"/>
  <c r="X65" i="44"/>
  <c r="X57" i="44"/>
  <c r="X49" i="44"/>
  <c r="X41" i="44"/>
  <c r="X33" i="44"/>
  <c r="X25" i="44"/>
  <c r="X17" i="44"/>
  <c r="X9" i="44"/>
  <c r="S168" i="34"/>
  <c r="S172" i="34"/>
  <c r="J16" i="28"/>
  <c r="D155" i="34"/>
  <c r="Q162" i="34"/>
  <c r="D162" i="34"/>
  <c r="C162" i="34"/>
  <c r="R172" i="34"/>
  <c r="Q163" i="34"/>
  <c r="D163" i="34"/>
  <c r="C163" i="34"/>
  <c r="R168" i="34"/>
  <c r="B162" i="34"/>
  <c r="B163" i="34"/>
  <c r="AD161" i="34"/>
  <c r="AI161" i="34"/>
  <c r="AF161" i="34"/>
  <c r="AC161" i="34"/>
  <c r="AA161" i="34"/>
  <c r="AM161" i="34"/>
  <c r="AI154" i="34"/>
  <c r="AF154" i="34"/>
  <c r="AC154" i="34"/>
  <c r="AD154" i="34"/>
  <c r="AB154" i="34"/>
  <c r="AM154" i="34"/>
  <c r="B155" i="34"/>
  <c r="AF163" i="34"/>
  <c r="AD163" i="34"/>
  <c r="AC163" i="34"/>
  <c r="AI163" i="34"/>
  <c r="AA163" i="34"/>
  <c r="AM163" i="34"/>
  <c r="AA162" i="34"/>
  <c r="AF162" i="34"/>
  <c r="AD162" i="34"/>
  <c r="AC162" i="34"/>
  <c r="AI162" i="34"/>
  <c r="AM162" i="34"/>
  <c r="AC155" i="34"/>
  <c r="AI155" i="34"/>
  <c r="AF155" i="34"/>
  <c r="AD155" i="34"/>
  <c r="AB155" i="34"/>
  <c r="AM155" i="34"/>
  <c r="AI160" i="34"/>
  <c r="AD160" i="34"/>
  <c r="AC160" i="34"/>
  <c r="AF160" i="34"/>
  <c r="AA160" i="34"/>
  <c r="AM160" i="34"/>
  <c r="C1" i="1" l="1"/>
  <c r="C155" i="34"/>
  <c r="S162" i="34"/>
  <c r="S163" i="34"/>
  <c r="R162" i="34"/>
  <c r="R163" i="34"/>
  <c r="AF36" i="1" l="1"/>
  <c r="AF37" i="1"/>
  <c r="AF60" i="1"/>
  <c r="P132" i="1"/>
  <c r="K132" i="34" s="1"/>
  <c r="AF16" i="1"/>
  <c r="AH59" i="1"/>
  <c r="AF59" i="1"/>
  <c r="AF17" i="1"/>
  <c r="AF53" i="1"/>
  <c r="AH64" i="1"/>
  <c r="AF64" i="1"/>
  <c r="AF25" i="1"/>
  <c r="AF63" i="1"/>
  <c r="AF8" i="1"/>
  <c r="AF26" i="1"/>
  <c r="AF61" i="1"/>
  <c r="AH9" i="1"/>
  <c r="AF9" i="1"/>
  <c r="AF14" i="1"/>
  <c r="AF21" i="1"/>
  <c r="AF27" i="1"/>
  <c r="AF29" i="1"/>
  <c r="AF31" i="1"/>
  <c r="AH47" i="1"/>
  <c r="AF47" i="1"/>
  <c r="AF51" i="1"/>
  <c r="AH41" i="1"/>
  <c r="AF41" i="1"/>
  <c r="AF68" i="1"/>
  <c r="AF40" i="1"/>
  <c r="AF48" i="1"/>
  <c r="AF62" i="1"/>
  <c r="AF11" i="1"/>
  <c r="AF23" i="1"/>
  <c r="AF43" i="1"/>
  <c r="AF45" i="1"/>
  <c r="AH49" i="1"/>
  <c r="AF49" i="1"/>
  <c r="AF56" i="1"/>
  <c r="AH58" i="1"/>
  <c r="AF58" i="1"/>
  <c r="AF65" i="1"/>
  <c r="AF72" i="1"/>
  <c r="AH6" i="1"/>
  <c r="AF6" i="1"/>
  <c r="AF12" i="1"/>
  <c r="AF33" i="1"/>
  <c r="AF38" i="1"/>
  <c r="AF46" i="1"/>
  <c r="AF50" i="1"/>
  <c r="AF54" i="1"/>
  <c r="AF57" i="1"/>
  <c r="AH66" i="1"/>
  <c r="AF66" i="1"/>
  <c r="AF73" i="1"/>
  <c r="AF20" i="1"/>
  <c r="AF39" i="1"/>
  <c r="AF71" i="1"/>
  <c r="AF13" i="1"/>
  <c r="AH10" i="1"/>
  <c r="AF10" i="1"/>
  <c r="AF18" i="1"/>
  <c r="AF30" i="1"/>
  <c r="AH35" i="1"/>
  <c r="AF35" i="1"/>
  <c r="AH42" i="1"/>
  <c r="AF42" i="1"/>
  <c r="AF44" i="1"/>
  <c r="AF7" i="1"/>
  <c r="AH15" i="1"/>
  <c r="AF15" i="1"/>
  <c r="AF19" i="1"/>
  <c r="AF32" i="1"/>
  <c r="AF34" i="1"/>
  <c r="AH52" i="1"/>
  <c r="AF52" i="1"/>
  <c r="AF55" i="1"/>
  <c r="AF67" i="1"/>
  <c r="AF69" i="1"/>
  <c r="AH60" i="1"/>
  <c r="K171" i="34"/>
  <c r="K172" i="34"/>
  <c r="K160" i="34"/>
  <c r="K161" i="34"/>
  <c r="K167" i="34"/>
  <c r="K168" i="34"/>
  <c r="AO74" i="1"/>
  <c r="N85" i="1" s="1"/>
  <c r="L86" i="34" s="1"/>
  <c r="AH63" i="1"/>
  <c r="AH34" i="1"/>
  <c r="AH48" i="1"/>
  <c r="M86" i="34" l="1"/>
  <c r="AI86" i="34"/>
  <c r="T86" i="34"/>
  <c r="U86" i="34" s="1"/>
  <c r="AL86" i="34" s="1"/>
  <c r="O85" i="1"/>
  <c r="AD85" i="1" s="1"/>
  <c r="F9" i="28"/>
  <c r="AF74" i="1"/>
  <c r="AH43" i="1"/>
  <c r="AH61" i="1"/>
  <c r="AH62" i="1"/>
  <c r="AH53" i="1"/>
  <c r="AH71" i="1"/>
  <c r="AH44" i="1"/>
  <c r="AH67" i="1"/>
  <c r="AH8" i="1"/>
  <c r="AH11" i="1"/>
  <c r="AH72" i="1"/>
  <c r="AH16" i="1"/>
  <c r="AH14" i="1"/>
  <c r="AH68" i="1"/>
  <c r="AH36" i="1"/>
  <c r="AH27" i="1"/>
  <c r="AH17" i="1"/>
  <c r="AH40" i="1"/>
  <c r="AH65" i="1"/>
  <c r="AH51" i="1"/>
  <c r="AH7" i="1"/>
  <c r="AH37" i="1"/>
  <c r="AH38" i="1"/>
  <c r="AH56" i="1"/>
  <c r="AH18" i="1"/>
  <c r="AH50" i="1"/>
  <c r="AH55" i="1"/>
  <c r="AH26" i="1"/>
  <c r="AH39" i="1"/>
  <c r="AH69" i="1"/>
  <c r="AH45" i="1"/>
  <c r="AH54" i="1"/>
  <c r="AH13" i="1"/>
  <c r="AH57" i="1"/>
  <c r="AH46" i="1"/>
  <c r="AH12" i="1"/>
  <c r="AH73" i="1"/>
  <c r="R132" i="1"/>
  <c r="K35" i="28" l="1"/>
  <c r="D11" i="28"/>
  <c r="K162" i="34" l="1"/>
  <c r="K163" i="34" l="1"/>
  <c r="AG36" i="1" l="1"/>
  <c r="AP36" i="1" s="1"/>
  <c r="AF28" i="34"/>
  <c r="AG26" i="1"/>
  <c r="AP26" i="1" s="1"/>
  <c r="AG21" i="1"/>
  <c r="AD6" i="34"/>
  <c r="AG6" i="1"/>
  <c r="AP6" i="1" s="1"/>
  <c r="AC69" i="34"/>
  <c r="AG71" i="1"/>
  <c r="AP71" i="1" s="1"/>
  <c r="AG45" i="1"/>
  <c r="AP45" i="1" s="1"/>
  <c r="AF66" i="34"/>
  <c r="AG32" i="1"/>
  <c r="AF21" i="34"/>
  <c r="AG23" i="1"/>
  <c r="AF8" i="34"/>
  <c r="AG8" i="1"/>
  <c r="AP8" i="1" s="1"/>
  <c r="AH6" i="34"/>
  <c r="AM28" i="34"/>
  <c r="AN129" i="1"/>
  <c r="AN132" i="1" s="1"/>
  <c r="AO129" i="1"/>
  <c r="AO132" i="1" s="1"/>
  <c r="AG29" i="1"/>
  <c r="AG51" i="1"/>
  <c r="AP51" i="1" s="1"/>
  <c r="AG50" i="1"/>
  <c r="AP50" i="1" s="1"/>
  <c r="AG6" i="34"/>
  <c r="AG64" i="1"/>
  <c r="AP64" i="1" s="1"/>
  <c r="AG49" i="1"/>
  <c r="AP49" i="1" s="1"/>
  <c r="AG28" i="34"/>
  <c r="AG21" i="34"/>
  <c r="AT71" i="1" l="1"/>
  <c r="AS71" i="1"/>
  <c r="AV71" i="1"/>
  <c r="AQ71" i="1"/>
  <c r="AS45" i="1"/>
  <c r="AV45" i="1"/>
  <c r="AT45" i="1"/>
  <c r="AQ45" i="1"/>
  <c r="AT50" i="1"/>
  <c r="AS50" i="1"/>
  <c r="AV50" i="1"/>
  <c r="AZ50" i="1" s="1"/>
  <c r="AV26" i="1"/>
  <c r="AT26" i="1"/>
  <c r="AS26" i="1"/>
  <c r="AQ26" i="1"/>
  <c r="AS36" i="1"/>
  <c r="AV36" i="1"/>
  <c r="AT36" i="1"/>
  <c r="AQ36" i="1"/>
  <c r="AV49" i="1"/>
  <c r="AZ49" i="1" s="1"/>
  <c r="AT49" i="1"/>
  <c r="AS49" i="1"/>
  <c r="AV51" i="1"/>
  <c r="AZ51" i="1" s="1"/>
  <c r="AT51" i="1"/>
  <c r="AS51" i="1"/>
  <c r="AV64" i="1"/>
  <c r="AS64" i="1"/>
  <c r="AT64" i="1"/>
  <c r="AQ64" i="1"/>
  <c r="AT6" i="1"/>
  <c r="AS6" i="1"/>
  <c r="AV6" i="1"/>
  <c r="AQ6" i="1"/>
  <c r="AS8" i="1"/>
  <c r="AT8" i="1"/>
  <c r="AV8" i="1"/>
  <c r="AQ8" i="1"/>
  <c r="AA69" i="34"/>
  <c r="AF6" i="34"/>
  <c r="AM69" i="34"/>
  <c r="AA28" i="34"/>
  <c r="AM6" i="34"/>
  <c r="AF69" i="34"/>
  <c r="AH28" i="34"/>
  <c r="AC6" i="34"/>
  <c r="AH23" i="34"/>
  <c r="AD69" i="34"/>
  <c r="AA21" i="34"/>
  <c r="AI8" i="34"/>
  <c r="AH69" i="34"/>
  <c r="AD28" i="34"/>
  <c r="AB6" i="34"/>
  <c r="AG69" i="34"/>
  <c r="AI28" i="34"/>
  <c r="AI6" i="34"/>
  <c r="AI69" i="34"/>
  <c r="AC28" i="34"/>
  <c r="AH21" i="34"/>
  <c r="AM21" i="34"/>
  <c r="AC21" i="34"/>
  <c r="AD21" i="34"/>
  <c r="AM66" i="34"/>
  <c r="AM23" i="34"/>
  <c r="AB8" i="34"/>
  <c r="AG66" i="34"/>
  <c r="AA23" i="34"/>
  <c r="AD8" i="34"/>
  <c r="AC66" i="34"/>
  <c r="AG8" i="34"/>
  <c r="AC23" i="34"/>
  <c r="AD66" i="34"/>
  <c r="AG23" i="34"/>
  <c r="AF23" i="34"/>
  <c r="AM8" i="34"/>
  <c r="AA66" i="34"/>
  <c r="AD23" i="34"/>
  <c r="AH8" i="34"/>
  <c r="AH66" i="34"/>
  <c r="AC8" i="34"/>
  <c r="AI66" i="34"/>
  <c r="AG62" i="1"/>
  <c r="AP62" i="1" s="1"/>
  <c r="AI57" i="34"/>
  <c r="AG61" i="1"/>
  <c r="AP61" i="1" s="1"/>
  <c r="AG41" i="1"/>
  <c r="AP41" i="1" s="1"/>
  <c r="AF70" i="34"/>
  <c r="AG72" i="1"/>
  <c r="AP72" i="1" s="1"/>
  <c r="AG59" i="1"/>
  <c r="AP59" i="1" s="1"/>
  <c r="AH12" i="34"/>
  <c r="AG12" i="1"/>
  <c r="AP12" i="1" s="1"/>
  <c r="AG25" i="34"/>
  <c r="AI47" i="34"/>
  <c r="AG46" i="1"/>
  <c r="AP46" i="1" s="1"/>
  <c r="AH19" i="34"/>
  <c r="AG19" i="1"/>
  <c r="AM35" i="34"/>
  <c r="AG34" i="1"/>
  <c r="AP34" i="1" s="1"/>
  <c r="AG68" i="1"/>
  <c r="AP68" i="1" s="1"/>
  <c r="AG53" i="34"/>
  <c r="AG54" i="1"/>
  <c r="AP54" i="1" s="1"/>
  <c r="AD59" i="34"/>
  <c r="AA43" i="34"/>
  <c r="AG34" i="34"/>
  <c r="AF45" i="34"/>
  <c r="AG55" i="1"/>
  <c r="AP55" i="1" s="1"/>
  <c r="AM60" i="34"/>
  <c r="AG48" i="1"/>
  <c r="AP48" i="1" s="1"/>
  <c r="AF18" i="34"/>
  <c r="AG18" i="1"/>
  <c r="AP18" i="1" s="1"/>
  <c r="AG53" i="1"/>
  <c r="AP53" i="1" s="1"/>
  <c r="AG60" i="1"/>
  <c r="AP60" i="1" s="1"/>
  <c r="AG65" i="1"/>
  <c r="AP65" i="1" s="1"/>
  <c r="AF11" i="34"/>
  <c r="AG11" i="1"/>
  <c r="AP11" i="1" s="1"/>
  <c r="AF24" i="34"/>
  <c r="AG26" i="34"/>
  <c r="AH32" i="34"/>
  <c r="AM36" i="34"/>
  <c r="AG31" i="34"/>
  <c r="AH9" i="34"/>
  <c r="AG9" i="1"/>
  <c r="AP9" i="1" s="1"/>
  <c r="AF13" i="34"/>
  <c r="AG13" i="1"/>
  <c r="AP13" i="1" s="1"/>
  <c r="AQ13" i="1" s="1"/>
  <c r="AG25" i="1"/>
  <c r="AF41" i="34"/>
  <c r="AD46" i="34"/>
  <c r="AG47" i="1"/>
  <c r="AP47" i="1" s="1"/>
  <c r="AG29" i="34"/>
  <c r="AG31" i="1"/>
  <c r="AG42" i="1"/>
  <c r="AP42" i="1" s="1"/>
  <c r="AG66" i="1"/>
  <c r="AP66" i="1" s="1"/>
  <c r="AG67" i="1"/>
  <c r="AP67" i="1" s="1"/>
  <c r="AG38" i="1"/>
  <c r="AP38" i="1" s="1"/>
  <c r="AH17" i="34"/>
  <c r="AG17" i="1"/>
  <c r="AP17" i="1" s="1"/>
  <c r="AI22" i="34"/>
  <c r="AG30" i="34"/>
  <c r="AG33" i="1"/>
  <c r="AG43" i="1"/>
  <c r="AP43" i="1" s="1"/>
  <c r="AG58" i="1"/>
  <c r="AP58" i="1" s="1"/>
  <c r="AA63" i="34"/>
  <c r="AC10" i="34"/>
  <c r="AG10" i="1"/>
  <c r="AP10" i="1" s="1"/>
  <c r="AG33" i="34"/>
  <c r="AG30" i="1"/>
  <c r="AG37" i="34"/>
  <c r="AG52" i="34"/>
  <c r="AH67" i="34"/>
  <c r="AG69" i="1"/>
  <c r="AP69" i="1" s="1"/>
  <c r="AG40" i="1"/>
  <c r="AP40" i="1" s="1"/>
  <c r="AG37" i="1"/>
  <c r="AP37" i="1" s="1"/>
  <c r="AF40" i="34"/>
  <c r="AB68" i="34"/>
  <c r="AG52" i="1"/>
  <c r="AP52" i="1" s="1"/>
  <c r="AI7" i="34"/>
  <c r="AG7" i="1"/>
  <c r="AP7" i="1" s="1"/>
  <c r="AH20" i="34"/>
  <c r="AG20" i="1"/>
  <c r="AG27" i="1"/>
  <c r="AP27" i="1" s="1"/>
  <c r="AD27" i="34"/>
  <c r="AG35" i="1"/>
  <c r="AP35" i="1" s="1"/>
  <c r="AC55" i="34"/>
  <c r="AG57" i="1"/>
  <c r="AP57" i="1" s="1"/>
  <c r="AG14" i="34"/>
  <c r="AG14" i="1"/>
  <c r="AP14" i="1" s="1"/>
  <c r="AG58" i="34"/>
  <c r="AD71" i="34"/>
  <c r="AG73" i="1"/>
  <c r="AP73" i="1" s="1"/>
  <c r="AC42" i="34"/>
  <c r="AG15" i="1"/>
  <c r="AP15" i="1" s="1"/>
  <c r="AQ15" i="1" s="1"/>
  <c r="AG54" i="34"/>
  <c r="AG56" i="1"/>
  <c r="AP56" i="1" s="1"/>
  <c r="AG44" i="1"/>
  <c r="AP44" i="1" s="1"/>
  <c r="AG16" i="34"/>
  <c r="AG16" i="1"/>
  <c r="AP16" i="1" s="1"/>
  <c r="AB38" i="34"/>
  <c r="AD39" i="34"/>
  <c r="AG39" i="1"/>
  <c r="AP39" i="1" s="1"/>
  <c r="AG61" i="34"/>
  <c r="AG63" i="1"/>
  <c r="AP63" i="1" s="1"/>
  <c r="AM19" i="34"/>
  <c r="AB17" i="34"/>
  <c r="AI12" i="34"/>
  <c r="AM70" i="34"/>
  <c r="AF48" i="34"/>
  <c r="AH48" i="34"/>
  <c r="AC48" i="34"/>
  <c r="AI48" i="34"/>
  <c r="AB48" i="34"/>
  <c r="AA48" i="34"/>
  <c r="AD48" i="34"/>
  <c r="AM48" i="34"/>
  <c r="AG48" i="34"/>
  <c r="AF35" i="34"/>
  <c r="AI24" i="34"/>
  <c r="AI32" i="34"/>
  <c r="AF37" i="34"/>
  <c r="AD47" i="34"/>
  <c r="AD68" i="34"/>
  <c r="AM14" i="34"/>
  <c r="AI10" i="34"/>
  <c r="AD43" i="34"/>
  <c r="AF34" i="34"/>
  <c r="AM45" i="34"/>
  <c r="AI61" i="34"/>
  <c r="AG56" i="34"/>
  <c r="AM55" i="34"/>
  <c r="AH57" i="34"/>
  <c r="AM31" i="34"/>
  <c r="P171" i="34"/>
  <c r="AH171" i="34" s="1"/>
  <c r="P172" i="34"/>
  <c r="AH172" i="34" s="1"/>
  <c r="O172" i="34"/>
  <c r="AG172" i="34" s="1"/>
  <c r="O171" i="34"/>
  <c r="AG171" i="34" s="1"/>
  <c r="O167" i="34"/>
  <c r="AG167" i="34" s="1"/>
  <c r="O168" i="34"/>
  <c r="AG168" i="34" s="1"/>
  <c r="O161" i="34"/>
  <c r="AG161" i="34" s="1"/>
  <c r="O163" i="34"/>
  <c r="AG163" i="34" s="1"/>
  <c r="P160" i="34"/>
  <c r="AH160" i="34" s="1"/>
  <c r="P162" i="34"/>
  <c r="AH162" i="34" s="1"/>
  <c r="P167" i="34"/>
  <c r="AH167" i="34" s="1"/>
  <c r="P168" i="34"/>
  <c r="AH168" i="34" s="1"/>
  <c r="O160" i="34"/>
  <c r="AG160" i="34" s="1"/>
  <c r="O162" i="34"/>
  <c r="AG162" i="34" s="1"/>
  <c r="AH154" i="34"/>
  <c r="AH155" i="34"/>
  <c r="P161" i="34"/>
  <c r="AH161" i="34" s="1"/>
  <c r="P163" i="34"/>
  <c r="AH163" i="34" s="1"/>
  <c r="AG154" i="34"/>
  <c r="AG155" i="34"/>
  <c r="BE51" i="1" l="1"/>
  <c r="T51" i="34"/>
  <c r="BE49" i="1"/>
  <c r="T49" i="34"/>
  <c r="BE50" i="1"/>
  <c r="T50" i="34"/>
  <c r="AU50" i="1"/>
  <c r="AU6" i="1"/>
  <c r="AU71" i="1"/>
  <c r="AU49" i="1"/>
  <c r="AU8" i="1"/>
  <c r="AV69" i="1"/>
  <c r="AS69" i="1"/>
  <c r="AT69" i="1"/>
  <c r="AQ69" i="1"/>
  <c r="AV59" i="1"/>
  <c r="AS59" i="1"/>
  <c r="AT59" i="1"/>
  <c r="AQ59" i="1"/>
  <c r="AU26" i="1"/>
  <c r="AV7" i="1"/>
  <c r="AS7" i="1"/>
  <c r="AT7" i="1"/>
  <c r="AQ7" i="1"/>
  <c r="AS35" i="1"/>
  <c r="AV35" i="1"/>
  <c r="AT35" i="1"/>
  <c r="AQ35" i="1"/>
  <c r="AV72" i="1"/>
  <c r="AT72" i="1"/>
  <c r="AS72" i="1"/>
  <c r="AQ72" i="1"/>
  <c r="AS63" i="1"/>
  <c r="AV63" i="1"/>
  <c r="AT63" i="1"/>
  <c r="AQ63" i="1"/>
  <c r="AV73" i="1"/>
  <c r="AT73" i="1"/>
  <c r="AS73" i="1"/>
  <c r="AQ73" i="1"/>
  <c r="AT38" i="1"/>
  <c r="AV38" i="1"/>
  <c r="AS38" i="1"/>
  <c r="AQ38" i="1"/>
  <c r="AT60" i="1"/>
  <c r="AS60" i="1"/>
  <c r="AV60" i="1"/>
  <c r="AQ60" i="1"/>
  <c r="AU51" i="1"/>
  <c r="AS44" i="1"/>
  <c r="AV44" i="1"/>
  <c r="AT44" i="1"/>
  <c r="AQ44" i="1"/>
  <c r="AV52" i="1"/>
  <c r="AT52" i="1"/>
  <c r="AS52" i="1"/>
  <c r="AQ52" i="1"/>
  <c r="AV27" i="1"/>
  <c r="AT27" i="1"/>
  <c r="AS27" i="1"/>
  <c r="AQ27" i="1"/>
  <c r="AV16" i="1"/>
  <c r="AS16" i="1"/>
  <c r="AT16" i="1"/>
  <c r="AQ16" i="1"/>
  <c r="AS57" i="1"/>
  <c r="AV57" i="1"/>
  <c r="AT57" i="1"/>
  <c r="AQ57" i="1"/>
  <c r="AT67" i="1"/>
  <c r="AV67" i="1"/>
  <c r="AS67" i="1"/>
  <c r="AQ67" i="1"/>
  <c r="AV48" i="1"/>
  <c r="AT48" i="1"/>
  <c r="AS48" i="1"/>
  <c r="AQ48" i="1"/>
  <c r="AT34" i="1"/>
  <c r="AV34" i="1"/>
  <c r="AS34" i="1"/>
  <c r="AQ34" i="1"/>
  <c r="AU64" i="1"/>
  <c r="AT65" i="1"/>
  <c r="AS65" i="1"/>
  <c r="AV65" i="1"/>
  <c r="AQ65" i="1"/>
  <c r="AV58" i="1"/>
  <c r="AT58" i="1"/>
  <c r="AS58" i="1"/>
  <c r="AQ58" i="1"/>
  <c r="AS53" i="1"/>
  <c r="AV53" i="1"/>
  <c r="AT53" i="1"/>
  <c r="AQ53" i="1"/>
  <c r="AS43" i="1"/>
  <c r="AV43" i="1"/>
  <c r="AT43" i="1"/>
  <c r="AQ43" i="1"/>
  <c r="AS40" i="1"/>
  <c r="AV40" i="1"/>
  <c r="AT40" i="1"/>
  <c r="AQ40" i="1"/>
  <c r="AT55" i="1"/>
  <c r="AS55" i="1"/>
  <c r="AV55" i="1"/>
  <c r="AQ55" i="1"/>
  <c r="AU36" i="1"/>
  <c r="AQ17" i="1"/>
  <c r="AT17" i="1"/>
  <c r="AS17" i="1"/>
  <c r="AV17" i="1"/>
  <c r="AS42" i="1"/>
  <c r="AV42" i="1"/>
  <c r="AT42" i="1"/>
  <c r="AQ42" i="1"/>
  <c r="AU45" i="1"/>
  <c r="AT39" i="1"/>
  <c r="AV39" i="1"/>
  <c r="AS39" i="1"/>
  <c r="AQ39" i="1"/>
  <c r="AV18" i="1"/>
  <c r="AT18" i="1"/>
  <c r="AS18" i="1"/>
  <c r="AQ18" i="1"/>
  <c r="AV66" i="1"/>
  <c r="AS66" i="1"/>
  <c r="AT66" i="1"/>
  <c r="AQ66" i="1"/>
  <c r="AS13" i="1"/>
  <c r="AV13" i="1"/>
  <c r="AZ13" i="1" s="1"/>
  <c r="AT13" i="1"/>
  <c r="AV46" i="1"/>
  <c r="AT46" i="1"/>
  <c r="AS46" i="1"/>
  <c r="AQ46" i="1"/>
  <c r="AT61" i="1"/>
  <c r="AV61" i="1"/>
  <c r="AS61" i="1"/>
  <c r="AQ61" i="1"/>
  <c r="AT9" i="1"/>
  <c r="AS9" i="1"/>
  <c r="AV9" i="1"/>
  <c r="AQ9" i="1"/>
  <c r="AT41" i="1"/>
  <c r="AS41" i="1"/>
  <c r="AV41" i="1"/>
  <c r="AQ41" i="1"/>
  <c r="AS11" i="1"/>
  <c r="AV11" i="1"/>
  <c r="AT11" i="1"/>
  <c r="AQ11" i="1"/>
  <c r="AS68" i="1"/>
  <c r="AV68" i="1"/>
  <c r="AT68" i="1"/>
  <c r="AQ68" i="1"/>
  <c r="AV56" i="1"/>
  <c r="AS56" i="1"/>
  <c r="AT56" i="1"/>
  <c r="AQ56" i="1"/>
  <c r="AT37" i="1"/>
  <c r="AV37" i="1"/>
  <c r="AS37" i="1"/>
  <c r="AQ37" i="1"/>
  <c r="AS12" i="1"/>
  <c r="AT12" i="1"/>
  <c r="AV12" i="1"/>
  <c r="AQ12" i="1"/>
  <c r="AT14" i="1"/>
  <c r="AV14" i="1"/>
  <c r="AS14" i="1"/>
  <c r="AQ14" i="1"/>
  <c r="AT15" i="1"/>
  <c r="AS15" i="1"/>
  <c r="AV15" i="1"/>
  <c r="AZ15" i="1" s="1"/>
  <c r="AS54" i="1"/>
  <c r="AV54" i="1"/>
  <c r="AT54" i="1"/>
  <c r="AQ54" i="1"/>
  <c r="AT10" i="1"/>
  <c r="AS10" i="1"/>
  <c r="AV10" i="1"/>
  <c r="AQ10" i="1"/>
  <c r="AV47" i="1"/>
  <c r="AS47" i="1"/>
  <c r="AT47" i="1"/>
  <c r="AQ47" i="1"/>
  <c r="AV62" i="1"/>
  <c r="AT62" i="1"/>
  <c r="AS62" i="1"/>
  <c r="AQ62" i="1"/>
  <c r="G6" i="28"/>
  <c r="G12" i="28"/>
  <c r="G15" i="28"/>
  <c r="G16" i="28"/>
  <c r="G17" i="28"/>
  <c r="G21" i="28"/>
  <c r="G10" i="28"/>
  <c r="G7" i="28"/>
  <c r="G19" i="28"/>
  <c r="G18" i="28"/>
  <c r="G11" i="28"/>
  <c r="G24" i="28"/>
  <c r="G9" i="28"/>
  <c r="G14" i="28"/>
  <c r="G8" i="28"/>
  <c r="AG57" i="34"/>
  <c r="AM61" i="34"/>
  <c r="AG35" i="34"/>
  <c r="AF39" i="34"/>
  <c r="AM57" i="34"/>
  <c r="AC61" i="34"/>
  <c r="AA42" i="34"/>
  <c r="AH68" i="34"/>
  <c r="AM37" i="34"/>
  <c r="AA32" i="34"/>
  <c r="AC59" i="34"/>
  <c r="AH35" i="34"/>
  <c r="AG11" i="34"/>
  <c r="AA12" i="34"/>
  <c r="AC17" i="34"/>
  <c r="AF57" i="34"/>
  <c r="AH61" i="34"/>
  <c r="AG32" i="34"/>
  <c r="AI14" i="34"/>
  <c r="AF68" i="34"/>
  <c r="AA37" i="34"/>
  <c r="AD32" i="34"/>
  <c r="AM11" i="34"/>
  <c r="AA35" i="34"/>
  <c r="AD12" i="34"/>
  <c r="AF19" i="34"/>
  <c r="AA57" i="34"/>
  <c r="AH14" i="34"/>
  <c r="AI68" i="34"/>
  <c r="AD37" i="34"/>
  <c r="AC32" i="34"/>
  <c r="AH11" i="34"/>
  <c r="AI35" i="34"/>
  <c r="AF12" i="34"/>
  <c r="AC19" i="34"/>
  <c r="AA61" i="34"/>
  <c r="AC57" i="34"/>
  <c r="AF61" i="34"/>
  <c r="AC14" i="34"/>
  <c r="AF30" i="34"/>
  <c r="AC68" i="34"/>
  <c r="AI37" i="34"/>
  <c r="AF32" i="34"/>
  <c r="AI11" i="34"/>
  <c r="AI46" i="34"/>
  <c r="AD35" i="34"/>
  <c r="AC12" i="34"/>
  <c r="AD19" i="34"/>
  <c r="AD57" i="34"/>
  <c r="AD61" i="34"/>
  <c r="AF14" i="34"/>
  <c r="AG68" i="34"/>
  <c r="AH37" i="34"/>
  <c r="AD11" i="34"/>
  <c r="AG12" i="34"/>
  <c r="AA19" i="34"/>
  <c r="AB14" i="34"/>
  <c r="AM68" i="34"/>
  <c r="AC37" i="34"/>
  <c r="AM32" i="34"/>
  <c r="AC11" i="34"/>
  <c r="AM12" i="34"/>
  <c r="AG19" i="34"/>
  <c r="AD14" i="34"/>
  <c r="AG17" i="34"/>
  <c r="AI17" i="34"/>
  <c r="AG15" i="34"/>
  <c r="AH27" i="34"/>
  <c r="AC33" i="34"/>
  <c r="AI25" i="34"/>
  <c r="AH53" i="34"/>
  <c r="AH33" i="34"/>
  <c r="AM53" i="34"/>
  <c r="AF25" i="34"/>
  <c r="AC71" i="34"/>
  <c r="AC29" i="34"/>
  <c r="AF60" i="34"/>
  <c r="AI60" i="34"/>
  <c r="AA39" i="34"/>
  <c r="AH26" i="34"/>
  <c r="AG55" i="34"/>
  <c r="AH42" i="34"/>
  <c r="AC34" i="34"/>
  <c r="AD10" i="34"/>
  <c r="AH31" i="34"/>
  <c r="AF55" i="34"/>
  <c r="AB10" i="34"/>
  <c r="AC31" i="34"/>
  <c r="AH39" i="34"/>
  <c r="AM26" i="34"/>
  <c r="AA55" i="34"/>
  <c r="AM58" i="34"/>
  <c r="AM34" i="34"/>
  <c r="AF31" i="34"/>
  <c r="AC39" i="34"/>
  <c r="AF26" i="34"/>
  <c r="AD55" i="34"/>
  <c r="AH58" i="34"/>
  <c r="AH34" i="34"/>
  <c r="AI52" i="34"/>
  <c r="AD31" i="34"/>
  <c r="AG39" i="34"/>
  <c r="AA26" i="34"/>
  <c r="AH55" i="34"/>
  <c r="AC58" i="34"/>
  <c r="AA34" i="34"/>
  <c r="AA31" i="34"/>
  <c r="AM39" i="34"/>
  <c r="AC26" i="34"/>
  <c r="AI55" i="34"/>
  <c r="AG42" i="34"/>
  <c r="AA58" i="34"/>
  <c r="AI34" i="34"/>
  <c r="AM10" i="34"/>
  <c r="AI31" i="34"/>
  <c r="AD26" i="34"/>
  <c r="AD42" i="34"/>
  <c r="AD58" i="34"/>
  <c r="AD34" i="34"/>
  <c r="AH10" i="34"/>
  <c r="AM29" i="34"/>
  <c r="AD53" i="34"/>
  <c r="AA25" i="34"/>
  <c r="AD60" i="34"/>
  <c r="AA71" i="34"/>
  <c r="AC67" i="34"/>
  <c r="AA29" i="34"/>
  <c r="AM33" i="34"/>
  <c r="AF53" i="34"/>
  <c r="AC25" i="34"/>
  <c r="AH60" i="34"/>
  <c r="AF67" i="34"/>
  <c r="AA67" i="34"/>
  <c r="AF29" i="34"/>
  <c r="AD33" i="34"/>
  <c r="AC53" i="34"/>
  <c r="AH25" i="34"/>
  <c r="AC60" i="34"/>
  <c r="AI67" i="34"/>
  <c r="AH36" i="34"/>
  <c r="AH29" i="34"/>
  <c r="AI33" i="34"/>
  <c r="AG18" i="34"/>
  <c r="AI53" i="34"/>
  <c r="AG22" i="34"/>
  <c r="AA60" i="34"/>
  <c r="AD36" i="34"/>
  <c r="AM52" i="34"/>
  <c r="AH16" i="34"/>
  <c r="AD29" i="34"/>
  <c r="AB33" i="34"/>
  <c r="AA53" i="34"/>
  <c r="AG60" i="34"/>
  <c r="AG71" i="34"/>
  <c r="AC36" i="34"/>
  <c r="AI29" i="34"/>
  <c r="AF33" i="34"/>
  <c r="AM25" i="34"/>
  <c r="AF71" i="34"/>
  <c r="AA56" i="34"/>
  <c r="AB40" i="34"/>
  <c r="AG45" i="34"/>
  <c r="AH30" i="34"/>
  <c r="AA47" i="34"/>
  <c r="AD24" i="34"/>
  <c r="AH59" i="34"/>
  <c r="AG9" i="34"/>
  <c r="AC9" i="34"/>
  <c r="AM56" i="34"/>
  <c r="AG40" i="34"/>
  <c r="AI45" i="34"/>
  <c r="AG43" i="34"/>
  <c r="AD30" i="34"/>
  <c r="AC47" i="34"/>
  <c r="AG24" i="34"/>
  <c r="AF59" i="34"/>
  <c r="AC46" i="34"/>
  <c r="AM15" i="34"/>
  <c r="AI9" i="34"/>
  <c r="AC56" i="34"/>
  <c r="AM40" i="34"/>
  <c r="AB45" i="34"/>
  <c r="AM43" i="34"/>
  <c r="AF47" i="34"/>
  <c r="AM24" i="34"/>
  <c r="AD15" i="34"/>
  <c r="AF56" i="34"/>
  <c r="AH40" i="34"/>
  <c r="AC45" i="34"/>
  <c r="AC43" i="34"/>
  <c r="AM30" i="34"/>
  <c r="AG47" i="34"/>
  <c r="AC24" i="34"/>
  <c r="AB15" i="34"/>
  <c r="AD56" i="34"/>
  <c r="AA40" i="34"/>
  <c r="AH45" i="34"/>
  <c r="AF43" i="34"/>
  <c r="AM38" i="34"/>
  <c r="AA30" i="34"/>
  <c r="AM47" i="34"/>
  <c r="AA24" i="34"/>
  <c r="AH56" i="34"/>
  <c r="AG38" i="34"/>
  <c r="AI40" i="34"/>
  <c r="AH43" i="34"/>
  <c r="AH38" i="34"/>
  <c r="AI30" i="34"/>
  <c r="AH47" i="34"/>
  <c r="AH24" i="34"/>
  <c r="AD38" i="34"/>
  <c r="AC30" i="34"/>
  <c r="AM59" i="34"/>
  <c r="AM9" i="34"/>
  <c r="AF46" i="34"/>
  <c r="AF38" i="34"/>
  <c r="AA59" i="34"/>
  <c r="AG46" i="34"/>
  <c r="AC38" i="34"/>
  <c r="AI59" i="34"/>
  <c r="AM46" i="34"/>
  <c r="AG59" i="34"/>
  <c r="AH46" i="34"/>
  <c r="AG27" i="34"/>
  <c r="AC27" i="34"/>
  <c r="AF27" i="34"/>
  <c r="AM63" i="34"/>
  <c r="AD22" i="34"/>
  <c r="AM20" i="34"/>
  <c r="AH54" i="34"/>
  <c r="AA18" i="34"/>
  <c r="AG41" i="34"/>
  <c r="AG13" i="34"/>
  <c r="AH13" i="34"/>
  <c r="AI16" i="34"/>
  <c r="AM54" i="34"/>
  <c r="AA41" i="34"/>
  <c r="AH63" i="34"/>
  <c r="AF20" i="34"/>
  <c r="AM22" i="34"/>
  <c r="AM18" i="34"/>
  <c r="AB13" i="34"/>
  <c r="AA54" i="34"/>
  <c r="AF63" i="34"/>
  <c r="AC20" i="34"/>
  <c r="AF22" i="34"/>
  <c r="AH18" i="34"/>
  <c r="AC13" i="34"/>
  <c r="AH71" i="34"/>
  <c r="AD67" i="34"/>
  <c r="AI36" i="34"/>
  <c r="AM16" i="34"/>
  <c r="AD54" i="34"/>
  <c r="AD41" i="34"/>
  <c r="AG63" i="34"/>
  <c r="AH22" i="34"/>
  <c r="AD18" i="34"/>
  <c r="AI13" i="34"/>
  <c r="AG20" i="34"/>
  <c r="AM71" i="34"/>
  <c r="AG67" i="34"/>
  <c r="AA36" i="34"/>
  <c r="AF16" i="34"/>
  <c r="AF54" i="34"/>
  <c r="AM41" i="34"/>
  <c r="AD63" i="34"/>
  <c r="AC22" i="34"/>
  <c r="AI18" i="34"/>
  <c r="AG36" i="34"/>
  <c r="AI71" i="34"/>
  <c r="AM67" i="34"/>
  <c r="AF36" i="34"/>
  <c r="AB16" i="34"/>
  <c r="AC54" i="34"/>
  <c r="AH41" i="34"/>
  <c r="AI63" i="34"/>
  <c r="AD20" i="34"/>
  <c r="AA22" i="34"/>
  <c r="AC18" i="34"/>
  <c r="AM13" i="34"/>
  <c r="AC16" i="34"/>
  <c r="AI54" i="34"/>
  <c r="AC41" i="34"/>
  <c r="AC63" i="34"/>
  <c r="AA20" i="34"/>
  <c r="AD13" i="34"/>
  <c r="AD16" i="34"/>
  <c r="AC15" i="34"/>
  <c r="AD17" i="34"/>
  <c r="AA27" i="34"/>
  <c r="AA15" i="34"/>
  <c r="AF17" i="34"/>
  <c r="AI27" i="34"/>
  <c r="AD9" i="34"/>
  <c r="AH15" i="34"/>
  <c r="AM17" i="34"/>
  <c r="AM27" i="34"/>
  <c r="AF9" i="34"/>
  <c r="AI15" i="34"/>
  <c r="AF7" i="34"/>
  <c r="AH52" i="34"/>
  <c r="AG70" i="34"/>
  <c r="AC7" i="34"/>
  <c r="AG10" i="34"/>
  <c r="AM42" i="34"/>
  <c r="AF58" i="34"/>
  <c r="AF10" i="34"/>
  <c r="AD52" i="34"/>
  <c r="AH70" i="34"/>
  <c r="AC52" i="34"/>
  <c r="AI70" i="34"/>
  <c r="AM7" i="34"/>
  <c r="AF42" i="34"/>
  <c r="AI58" i="34"/>
  <c r="AC70" i="34"/>
  <c r="AH7" i="34"/>
  <c r="AF52" i="34"/>
  <c r="AA70" i="34"/>
  <c r="AD7" i="34"/>
  <c r="AG7" i="34"/>
  <c r="AD70" i="34"/>
  <c r="AA7" i="34"/>
  <c r="AB29" i="34"/>
  <c r="AH33" i="1"/>
  <c r="AH31" i="1"/>
  <c r="AP31" i="1" s="1"/>
  <c r="AB30" i="34"/>
  <c r="AH23" i="1"/>
  <c r="AH32" i="1"/>
  <c r="AP32" i="1" s="1"/>
  <c r="AH21" i="1"/>
  <c r="AP21" i="1" s="1"/>
  <c r="AH29" i="1"/>
  <c r="AP29" i="1" s="1"/>
  <c r="AB62" i="34"/>
  <c r="AB64" i="34"/>
  <c r="AA6" i="34"/>
  <c r="AJ6" i="34" s="1"/>
  <c r="AN6" i="34" s="1"/>
  <c r="AI21" i="34"/>
  <c r="AH65" i="34"/>
  <c r="AA65" i="34"/>
  <c r="AI65" i="34"/>
  <c r="AC65" i="34"/>
  <c r="AD65" i="34"/>
  <c r="AF65" i="34"/>
  <c r="AB65" i="34"/>
  <c r="AM65" i="34"/>
  <c r="AG65" i="34"/>
  <c r="AJ48" i="34"/>
  <c r="AN48" i="34" s="1"/>
  <c r="AC50" i="34"/>
  <c r="AB50" i="34"/>
  <c r="AD50" i="34"/>
  <c r="AH50" i="34"/>
  <c r="AI50" i="34"/>
  <c r="AF50" i="34"/>
  <c r="AM50" i="34"/>
  <c r="AG50" i="34"/>
  <c r="AI23" i="34"/>
  <c r="AC49" i="34"/>
  <c r="AI49" i="34"/>
  <c r="AA49" i="34"/>
  <c r="AB49" i="34"/>
  <c r="AD49" i="34"/>
  <c r="AH49" i="34"/>
  <c r="AF49" i="34"/>
  <c r="AM49" i="34"/>
  <c r="AG49" i="34"/>
  <c r="AA64" i="34"/>
  <c r="AH64" i="34"/>
  <c r="AI64" i="34"/>
  <c r="AC64" i="34"/>
  <c r="AF64" i="34"/>
  <c r="AD64" i="34"/>
  <c r="AM64" i="34"/>
  <c r="AG64" i="34"/>
  <c r="AA8" i="34"/>
  <c r="AJ8" i="34" s="1"/>
  <c r="AB69" i="34"/>
  <c r="AJ69" i="34" s="1"/>
  <c r="AN69" i="34" s="1"/>
  <c r="AB66" i="34"/>
  <c r="AJ66" i="34" s="1"/>
  <c r="AN66" i="34" s="1"/>
  <c r="AA62" i="34"/>
  <c r="AF62" i="34"/>
  <c r="AC62" i="34"/>
  <c r="AH62" i="34"/>
  <c r="AD62" i="34"/>
  <c r="AI62" i="34"/>
  <c r="AM62" i="34"/>
  <c r="AG62" i="34"/>
  <c r="AH25" i="1"/>
  <c r="AP25" i="1" s="1"/>
  <c r="L167" i="34"/>
  <c r="L168" i="34"/>
  <c r="AC35" i="34"/>
  <c r="AB46" i="34"/>
  <c r="AA45" i="34"/>
  <c r="AI41" i="34"/>
  <c r="AI39" i="34"/>
  <c r="AI43" i="34"/>
  <c r="AC40" i="34"/>
  <c r="AI42" i="34"/>
  <c r="AI26" i="34"/>
  <c r="AA11" i="34"/>
  <c r="AI56" i="34"/>
  <c r="AA52" i="34"/>
  <c r="AB25" i="34"/>
  <c r="AA9" i="34"/>
  <c r="AI38" i="34"/>
  <c r="BE15" i="1" l="1"/>
  <c r="T15" i="34"/>
  <c r="BE13" i="1"/>
  <c r="T13" i="34"/>
  <c r="AU60" i="1"/>
  <c r="AU65" i="1"/>
  <c r="AU58" i="1"/>
  <c r="AU38" i="1"/>
  <c r="AU73" i="1"/>
  <c r="AU10" i="1"/>
  <c r="AU14" i="1"/>
  <c r="AU61" i="1"/>
  <c r="AU15" i="1"/>
  <c r="AU55" i="1"/>
  <c r="AU48" i="1"/>
  <c r="AU17" i="1"/>
  <c r="AU9" i="1"/>
  <c r="AU40" i="1"/>
  <c r="AU39" i="1"/>
  <c r="AU67" i="1"/>
  <c r="AU52" i="1"/>
  <c r="AU59" i="1"/>
  <c r="AU44" i="1"/>
  <c r="AU18" i="1"/>
  <c r="AU16" i="1"/>
  <c r="AU69" i="1"/>
  <c r="AU68" i="1"/>
  <c r="AS31" i="1"/>
  <c r="AT31" i="1"/>
  <c r="AV31" i="1"/>
  <c r="AQ31" i="1"/>
  <c r="AS25" i="1"/>
  <c r="AV25" i="1"/>
  <c r="AT25" i="1"/>
  <c r="AQ25" i="1"/>
  <c r="AU13" i="1"/>
  <c r="AU66" i="1"/>
  <c r="AU63" i="1"/>
  <c r="AU54" i="1"/>
  <c r="AU35" i="1"/>
  <c r="AU7" i="1"/>
  <c r="AU12" i="1"/>
  <c r="AU43" i="1"/>
  <c r="AU62" i="1"/>
  <c r="AU34" i="1"/>
  <c r="AQ21" i="1"/>
  <c r="AT21" i="1"/>
  <c r="AS21" i="1"/>
  <c r="AV21" i="1"/>
  <c r="AU57" i="1"/>
  <c r="AU72" i="1"/>
  <c r="AU42" i="1"/>
  <c r="AU37" i="1"/>
  <c r="AU41" i="1"/>
  <c r="AU46" i="1"/>
  <c r="AV29" i="1"/>
  <c r="AS29" i="1"/>
  <c r="AT29" i="1"/>
  <c r="AQ29" i="1"/>
  <c r="AU47" i="1"/>
  <c r="AU53" i="1"/>
  <c r="AU11" i="1"/>
  <c r="AV32" i="1"/>
  <c r="AS32" i="1"/>
  <c r="AT32" i="1"/>
  <c r="AQ32" i="1"/>
  <c r="AU56" i="1"/>
  <c r="AU27" i="1"/>
  <c r="G22" i="28"/>
  <c r="H9" i="28"/>
  <c r="AJ29" i="34"/>
  <c r="AN29" i="34" s="1"/>
  <c r="AJ30" i="34"/>
  <c r="AN30" i="34" s="1"/>
  <c r="AB31" i="34"/>
  <c r="AJ31" i="34" s="1"/>
  <c r="AN31" i="34" s="1"/>
  <c r="AB22" i="34"/>
  <c r="AJ22" i="34" s="1"/>
  <c r="AN22" i="34" s="1"/>
  <c r="AH20" i="1"/>
  <c r="AH19" i="1"/>
  <c r="AH30" i="1"/>
  <c r="AP30" i="1" s="1"/>
  <c r="AK8" i="34"/>
  <c r="AN8" i="34"/>
  <c r="AA50" i="34"/>
  <c r="AJ50" i="34" s="1"/>
  <c r="AN50" i="34" s="1"/>
  <c r="AJ49" i="34"/>
  <c r="AN49" i="34" s="1"/>
  <c r="AB47" i="34"/>
  <c r="AA33" i="34"/>
  <c r="AB36" i="34"/>
  <c r="AJ36" i="34" s="1"/>
  <c r="AN36" i="34" s="1"/>
  <c r="AB60" i="34"/>
  <c r="AJ60" i="34" s="1"/>
  <c r="AN60" i="34" s="1"/>
  <c r="AB57" i="34"/>
  <c r="AJ57" i="34" s="1"/>
  <c r="AN57" i="34" s="1"/>
  <c r="AB61" i="34"/>
  <c r="AB26" i="34"/>
  <c r="AB12" i="34"/>
  <c r="AJ12" i="34" s="1"/>
  <c r="AN12" i="34" s="1"/>
  <c r="AD40" i="34"/>
  <c r="AJ40" i="34" s="1"/>
  <c r="AN40" i="34" s="1"/>
  <c r="AF15" i="34"/>
  <c r="AB58" i="34"/>
  <c r="AJ58" i="34" s="1"/>
  <c r="AN58" i="34" s="1"/>
  <c r="AA46" i="34"/>
  <c r="AB24" i="34"/>
  <c r="AJ24" i="34" s="1"/>
  <c r="AN24" i="34" s="1"/>
  <c r="AB34" i="34"/>
  <c r="AJ34" i="34" s="1"/>
  <c r="AN34" i="34" s="1"/>
  <c r="M168" i="34"/>
  <c r="AA168" i="34"/>
  <c r="AJ168" i="34" s="1"/>
  <c r="AN168" i="34" s="1"/>
  <c r="AK66" i="34"/>
  <c r="AK69" i="34"/>
  <c r="AA10" i="34"/>
  <c r="AJ10" i="34" s="1"/>
  <c r="AN10" i="34" s="1"/>
  <c r="AB54" i="34"/>
  <c r="AB63" i="34"/>
  <c r="AJ63" i="34" s="1"/>
  <c r="AN63" i="34" s="1"/>
  <c r="AA14" i="34"/>
  <c r="AJ14" i="34" s="1"/>
  <c r="AN14" i="34" s="1"/>
  <c r="AB37" i="34"/>
  <c r="AJ37" i="34" s="1"/>
  <c r="AN37" i="34" s="1"/>
  <c r="AD45" i="34"/>
  <c r="AJ45" i="34" s="1"/>
  <c r="AN45" i="34" s="1"/>
  <c r="AI19" i="34"/>
  <c r="L160" i="34"/>
  <c r="AA38" i="34"/>
  <c r="AJ38" i="34" s="1"/>
  <c r="AN38" i="34" s="1"/>
  <c r="AB70" i="34"/>
  <c r="AJ70" i="34" s="1"/>
  <c r="AN70" i="34" s="1"/>
  <c r="AB42" i="34"/>
  <c r="AJ42" i="34" s="1"/>
  <c r="AN42" i="34" s="1"/>
  <c r="AB71" i="34"/>
  <c r="AJ71" i="34" s="1"/>
  <c r="AN71" i="34" s="1"/>
  <c r="AB41" i="34"/>
  <c r="AB7" i="34"/>
  <c r="AI20" i="34"/>
  <c r="AJ64" i="34"/>
  <c r="AN64" i="34" s="1"/>
  <c r="AJ65" i="34"/>
  <c r="AN65" i="34" s="1"/>
  <c r="AB55" i="34"/>
  <c r="AB9" i="34"/>
  <c r="AB59" i="34"/>
  <c r="AJ59" i="34" s="1"/>
  <c r="AN59" i="34" s="1"/>
  <c r="M167" i="34"/>
  <c r="AA167" i="34"/>
  <c r="AJ167" i="34" s="1"/>
  <c r="AJ62" i="34"/>
  <c r="AN62" i="34" s="1"/>
  <c r="AA17" i="34"/>
  <c r="AB67" i="34"/>
  <c r="AJ67" i="34" s="1"/>
  <c r="AN67" i="34" s="1"/>
  <c r="AB56" i="34"/>
  <c r="AB11" i="34"/>
  <c r="AB43" i="34"/>
  <c r="AJ43" i="34" s="1"/>
  <c r="AN43" i="34" s="1"/>
  <c r="AB27" i="34"/>
  <c r="AJ27" i="34" s="1"/>
  <c r="AN27" i="34" s="1"/>
  <c r="AB39" i="34"/>
  <c r="AJ39" i="34" s="1"/>
  <c r="AN39" i="34" s="1"/>
  <c r="AA68" i="34"/>
  <c r="AB18" i="34"/>
  <c r="AJ18" i="34" s="1"/>
  <c r="AN18" i="34" s="1"/>
  <c r="AA13" i="34"/>
  <c r="AJ13" i="34" s="1"/>
  <c r="AN13" i="34" s="1"/>
  <c r="AB23" i="34"/>
  <c r="AJ23" i="34" s="1"/>
  <c r="AN23" i="34" s="1"/>
  <c r="AB28" i="34"/>
  <c r="AJ28" i="34" s="1"/>
  <c r="AN28" i="34" s="1"/>
  <c r="AK48" i="34"/>
  <c r="AK6" i="34"/>
  <c r="AB53" i="34"/>
  <c r="AJ53" i="34" s="1"/>
  <c r="AN53" i="34" s="1"/>
  <c r="AD25" i="34"/>
  <c r="AJ25" i="34" s="1"/>
  <c r="AN25" i="34" s="1"/>
  <c r="AB52" i="34"/>
  <c r="AA16" i="34"/>
  <c r="AJ16" i="34" s="1"/>
  <c r="AN16" i="34" s="1"/>
  <c r="AB35" i="34"/>
  <c r="AJ35" i="34" s="1"/>
  <c r="AN35" i="34" s="1"/>
  <c r="AB21" i="34"/>
  <c r="AJ21" i="34" s="1"/>
  <c r="AN21" i="34" s="1"/>
  <c r="L162" i="34"/>
  <c r="L172" i="34"/>
  <c r="L171" i="34"/>
  <c r="L161" i="34"/>
  <c r="L163" i="34"/>
  <c r="AU21" i="1" l="1"/>
  <c r="AU29" i="1"/>
  <c r="AU31" i="1"/>
  <c r="AV30" i="1"/>
  <c r="AS30" i="1"/>
  <c r="AT30" i="1"/>
  <c r="AQ30" i="1"/>
  <c r="AU25" i="1"/>
  <c r="AU32" i="1"/>
  <c r="AJ61" i="34"/>
  <c r="AN61" i="34" s="1"/>
  <c r="AK30" i="34"/>
  <c r="AK29" i="34"/>
  <c r="AK31" i="34"/>
  <c r="AK22" i="34"/>
  <c r="C23" i="28"/>
  <c r="D10" i="28"/>
  <c r="F10" i="28"/>
  <c r="D6" i="28"/>
  <c r="D23" i="28"/>
  <c r="AK49" i="34"/>
  <c r="AK168" i="34"/>
  <c r="M163" i="34"/>
  <c r="AB163" i="34"/>
  <c r="AJ163" i="34" s="1"/>
  <c r="M172" i="34"/>
  <c r="AB172" i="34"/>
  <c r="M171" i="34"/>
  <c r="AB171" i="34"/>
  <c r="AJ171" i="34" s="1"/>
  <c r="M162" i="34"/>
  <c r="AB162" i="34"/>
  <c r="AJ162" i="34" s="1"/>
  <c r="AK23" i="34"/>
  <c r="AJ68" i="34"/>
  <c r="AN68" i="34" s="1"/>
  <c r="AK67" i="34"/>
  <c r="AA154" i="34"/>
  <c r="AJ154" i="34" s="1"/>
  <c r="AJ55" i="34"/>
  <c r="AN55" i="34" s="1"/>
  <c r="AK71" i="34"/>
  <c r="AK70" i="34"/>
  <c r="AK38" i="34"/>
  <c r="AB19" i="34"/>
  <c r="AJ19" i="34" s="1"/>
  <c r="AN19" i="34" s="1"/>
  <c r="AA155" i="34"/>
  <c r="AJ155" i="34" s="1"/>
  <c r="AK34" i="34"/>
  <c r="AJ26" i="34"/>
  <c r="AN26" i="34" s="1"/>
  <c r="AK57" i="34"/>
  <c r="AK36" i="34"/>
  <c r="AJ11" i="34"/>
  <c r="AN11" i="34" s="1"/>
  <c r="AK59" i="34"/>
  <c r="AB20" i="34"/>
  <c r="AJ20" i="34" s="1"/>
  <c r="AN20" i="34" s="1"/>
  <c r="AK42" i="34"/>
  <c r="AK45" i="34"/>
  <c r="AK14" i="34"/>
  <c r="AB32" i="34"/>
  <c r="AJ32" i="34" s="1"/>
  <c r="AN32" i="34" s="1"/>
  <c r="AJ15" i="34"/>
  <c r="AN15" i="34" s="1"/>
  <c r="AK25" i="34"/>
  <c r="AK28" i="34"/>
  <c r="M161" i="34"/>
  <c r="AB161" i="34"/>
  <c r="AJ161" i="34" s="1"/>
  <c r="AK16" i="34"/>
  <c r="AK53" i="34"/>
  <c r="AK27" i="34"/>
  <c r="AK43" i="34"/>
  <c r="AJ17" i="34"/>
  <c r="AN17" i="34" s="1"/>
  <c r="AK62" i="34"/>
  <c r="AN167" i="34"/>
  <c r="AK167" i="34"/>
  <c r="AJ9" i="34"/>
  <c r="AN9" i="34" s="1"/>
  <c r="AK65" i="34"/>
  <c r="AK64" i="34"/>
  <c r="AJ41" i="34"/>
  <c r="AN41" i="34" s="1"/>
  <c r="M160" i="34"/>
  <c r="AB160" i="34"/>
  <c r="AJ160" i="34" s="1"/>
  <c r="AK37" i="34"/>
  <c r="AK10" i="34"/>
  <c r="AK50" i="34"/>
  <c r="AK24" i="34"/>
  <c r="AK40" i="34"/>
  <c r="AK18" i="34"/>
  <c r="AK21" i="34"/>
  <c r="AK35" i="34"/>
  <c r="AJ52" i="34"/>
  <c r="AN52" i="34" s="1"/>
  <c r="AK13" i="34"/>
  <c r="AK39" i="34"/>
  <c r="AJ56" i="34"/>
  <c r="AN56" i="34" s="1"/>
  <c r="AJ7" i="34"/>
  <c r="AN7" i="34" s="1"/>
  <c r="AK63" i="34"/>
  <c r="AJ54" i="34"/>
  <c r="AN54" i="34" s="1"/>
  <c r="AJ46" i="34"/>
  <c r="AN46" i="34" s="1"/>
  <c r="AK58" i="34"/>
  <c r="AK12" i="34"/>
  <c r="AK60" i="34"/>
  <c r="AJ33" i="34"/>
  <c r="AN33" i="34" s="1"/>
  <c r="AJ47" i="34"/>
  <c r="AN47" i="34" s="1"/>
  <c r="AU30" i="1" l="1"/>
  <c r="AH74" i="1"/>
  <c r="B23" i="28"/>
  <c r="C24" i="28"/>
  <c r="C20" i="28"/>
  <c r="C6" i="28"/>
  <c r="B6" i="28" s="1"/>
  <c r="D15" i="28"/>
  <c r="B15" i="28" s="1"/>
  <c r="F21" i="28"/>
  <c r="AK61" i="34"/>
  <c r="D12" i="28"/>
  <c r="C11" i="28"/>
  <c r="B11" i="28" s="1"/>
  <c r="C17" i="28"/>
  <c r="D21" i="28"/>
  <c r="C9" i="28"/>
  <c r="C19" i="28"/>
  <c r="C13" i="28"/>
  <c r="AK46" i="34"/>
  <c r="AK56" i="34"/>
  <c r="AK47" i="34"/>
  <c r="AK33" i="34"/>
  <c r="AK54" i="34"/>
  <c r="AK41" i="34"/>
  <c r="AK9" i="34"/>
  <c r="AK32" i="34"/>
  <c r="AK26" i="34"/>
  <c r="AK19" i="34"/>
  <c r="AK171" i="34"/>
  <c r="AN171" i="34"/>
  <c r="AK52" i="34"/>
  <c r="AN160" i="34"/>
  <c r="AK160" i="34"/>
  <c r="AK15" i="34"/>
  <c r="AN155" i="34"/>
  <c r="AK155" i="34"/>
  <c r="AK55" i="34"/>
  <c r="AK154" i="34"/>
  <c r="AN154" i="34"/>
  <c r="AK162" i="34"/>
  <c r="AN162" i="34"/>
  <c r="AK20" i="34"/>
  <c r="AK11" i="34"/>
  <c r="AN163" i="34"/>
  <c r="AK163" i="34"/>
  <c r="AK7" i="34"/>
  <c r="AK17" i="34"/>
  <c r="AN161" i="34"/>
  <c r="AK161" i="34"/>
  <c r="AK68" i="34"/>
  <c r="AJ172" i="34"/>
  <c r="AY129" i="1"/>
  <c r="AY132" i="1" s="1"/>
  <c r="AX129" i="1"/>
  <c r="AX132" i="1" s="1"/>
  <c r="L9" i="28" l="1"/>
  <c r="M9" i="28" s="1"/>
  <c r="B9" i="28"/>
  <c r="D24" i="28"/>
  <c r="B24" i="28" s="1"/>
  <c r="D8" i="28"/>
  <c r="C16" i="28"/>
  <c r="AO140" i="1"/>
  <c r="AK172" i="34"/>
  <c r="AN172" i="34"/>
  <c r="BD132" i="1" l="1"/>
  <c r="Q9" i="28"/>
  <c r="S74" i="34" l="1"/>
  <c r="N9" i="28"/>
  <c r="AI74" i="34" l="1"/>
  <c r="G13" i="28"/>
  <c r="G25" i="28" l="1"/>
  <c r="G23" i="28"/>
  <c r="AG74" i="1"/>
  <c r="G20" i="28"/>
  <c r="AG74" i="34"/>
  <c r="AM74" i="34"/>
  <c r="AH74" i="34"/>
  <c r="AD74" i="34"/>
  <c r="AA74" i="34"/>
  <c r="AF74" i="34"/>
  <c r="AC74" i="34"/>
  <c r="AK118" i="1"/>
  <c r="M118" i="1"/>
  <c r="H118" i="34"/>
  <c r="AK120" i="1"/>
  <c r="M120" i="1"/>
  <c r="H120" i="34"/>
  <c r="AK119" i="1"/>
  <c r="M119" i="1"/>
  <c r="H119" i="34"/>
  <c r="O118" i="34" l="1"/>
  <c r="AP118" i="1"/>
  <c r="O119" i="34"/>
  <c r="AP119" i="1"/>
  <c r="O120" i="34"/>
  <c r="AP120" i="1"/>
  <c r="AB74" i="34"/>
  <c r="J120" i="34"/>
  <c r="J118" i="34"/>
  <c r="J119" i="34"/>
  <c r="AQ119" i="1" l="1"/>
  <c r="AT119" i="1"/>
  <c r="AS119" i="1"/>
  <c r="AU119" i="1" s="1"/>
  <c r="AS120" i="1"/>
  <c r="AT120" i="1"/>
  <c r="AQ120" i="1"/>
  <c r="AQ118" i="1"/>
  <c r="AT118" i="1"/>
  <c r="AS118" i="1"/>
  <c r="AF118" i="34"/>
  <c r="AB118" i="34"/>
  <c r="AA118" i="34"/>
  <c r="AI118" i="34"/>
  <c r="AD118" i="34"/>
  <c r="T118" i="34"/>
  <c r="U118" i="34" s="1"/>
  <c r="AL118" i="34" s="1"/>
  <c r="AH118" i="34"/>
  <c r="AG118" i="34"/>
  <c r="AC118" i="34"/>
  <c r="AM118" i="34"/>
  <c r="AJ74" i="34"/>
  <c r="AN74" i="34" s="1"/>
  <c r="AD119" i="34"/>
  <c r="AI119" i="34"/>
  <c r="AH119" i="34"/>
  <c r="AA119" i="34"/>
  <c r="T119" i="34"/>
  <c r="U119" i="34" s="1"/>
  <c r="AL119" i="34" s="1"/>
  <c r="AG119" i="34"/>
  <c r="AF119" i="34"/>
  <c r="AB119" i="34"/>
  <c r="AC119" i="34"/>
  <c r="AM119" i="34"/>
  <c r="T120" i="34"/>
  <c r="U120" i="34" s="1"/>
  <c r="AL120" i="34" s="1"/>
  <c r="AC120" i="34"/>
  <c r="AB120" i="34"/>
  <c r="AF120" i="34"/>
  <c r="AA120" i="34"/>
  <c r="AD120" i="34"/>
  <c r="AI120" i="34"/>
  <c r="AG120" i="34"/>
  <c r="AH120" i="34"/>
  <c r="AM120" i="34"/>
  <c r="AU118" i="1" l="1"/>
  <c r="AU120" i="1"/>
  <c r="AJ120" i="34"/>
  <c r="AN120" i="34" s="1"/>
  <c r="AJ119" i="34"/>
  <c r="AN119" i="34" s="1"/>
  <c r="AK74" i="34"/>
  <c r="AJ118" i="34"/>
  <c r="AN118" i="34" s="1"/>
  <c r="AE120" i="1"/>
  <c r="AE119" i="1"/>
  <c r="AE118" i="1"/>
  <c r="AK118" i="34" l="1"/>
  <c r="AK119" i="34"/>
  <c r="AK120" i="34"/>
  <c r="E10" i="5" l="1"/>
  <c r="BB74" i="1" l="1"/>
  <c r="BB129" i="1" s="1"/>
  <c r="BB132" i="1" s="1"/>
  <c r="J10" i="5"/>
  <c r="C10" i="5" s="1"/>
  <c r="E15" i="5"/>
  <c r="J15" i="5" s="1"/>
  <c r="E14" i="5"/>
  <c r="J14" i="5" s="1"/>
  <c r="E13" i="5"/>
  <c r="J13" i="5" s="1"/>
  <c r="E12" i="5"/>
  <c r="J12" i="5" s="1"/>
  <c r="E11" i="5"/>
  <c r="J11" i="5" s="1"/>
  <c r="G10" i="5"/>
  <c r="I10" i="5" s="1"/>
  <c r="E9" i="5"/>
  <c r="J9" i="5" s="1"/>
  <c r="E8" i="5"/>
  <c r="J8" i="5" s="1"/>
  <c r="E7" i="5"/>
  <c r="E6" i="5"/>
  <c r="E5" i="5"/>
  <c r="J5" i="5" s="1"/>
  <c r="E4" i="5"/>
  <c r="J4" i="5" s="1"/>
  <c r="E3" i="5"/>
  <c r="AK105" i="1"/>
  <c r="O106" i="34" s="1"/>
  <c r="M105" i="1"/>
  <c r="H106" i="34"/>
  <c r="AK114" i="1"/>
  <c r="AP114" i="1" s="1"/>
  <c r="M114" i="1"/>
  <c r="H115" i="34"/>
  <c r="AK113" i="1"/>
  <c r="AP113" i="1" s="1"/>
  <c r="M113" i="1"/>
  <c r="H114" i="34"/>
  <c r="AK112" i="1"/>
  <c r="AP112" i="1" s="1"/>
  <c r="M112" i="1"/>
  <c r="H113" i="34"/>
  <c r="AK103" i="1"/>
  <c r="O104" i="34" s="1"/>
  <c r="M103" i="1"/>
  <c r="H104" i="34"/>
  <c r="AK124" i="1"/>
  <c r="O124" i="34" s="1"/>
  <c r="M124" i="1"/>
  <c r="H124" i="34"/>
  <c r="AK111" i="1"/>
  <c r="M111" i="1"/>
  <c r="H112" i="34"/>
  <c r="AK102" i="1"/>
  <c r="O103" i="34" s="1"/>
  <c r="M102" i="1"/>
  <c r="H103" i="34"/>
  <c r="AK107" i="1"/>
  <c r="O108" i="34" s="1"/>
  <c r="M107" i="1"/>
  <c r="H108" i="34"/>
  <c r="AK126" i="1"/>
  <c r="O126" i="34" s="1"/>
  <c r="M126" i="1"/>
  <c r="H126" i="34"/>
  <c r="AK125" i="1"/>
  <c r="O125" i="34" s="1"/>
  <c r="M125" i="1"/>
  <c r="H125" i="34"/>
  <c r="AK109" i="1"/>
  <c r="M109" i="1"/>
  <c r="H110" i="34"/>
  <c r="AK127" i="1"/>
  <c r="M127" i="1"/>
  <c r="H127" i="34"/>
  <c r="AK110" i="1"/>
  <c r="AP110" i="1" s="1"/>
  <c r="M110" i="1"/>
  <c r="H111" i="34"/>
  <c r="AK117" i="1"/>
  <c r="M117" i="1"/>
  <c r="H117" i="34"/>
  <c r="AK116" i="1"/>
  <c r="M116" i="1"/>
  <c r="H116" i="34"/>
  <c r="AK100" i="1"/>
  <c r="AP100" i="1" s="1"/>
  <c r="M100" i="1"/>
  <c r="H101" i="34"/>
  <c r="AK123" i="1"/>
  <c r="M123" i="1"/>
  <c r="H123" i="34"/>
  <c r="AK106" i="1"/>
  <c r="AP106" i="1" s="1"/>
  <c r="M106" i="1"/>
  <c r="H107" i="34"/>
  <c r="AK108" i="1"/>
  <c r="AP108" i="1" s="1"/>
  <c r="M108" i="1"/>
  <c r="H109" i="34"/>
  <c r="AK128" i="1"/>
  <c r="O128" i="34" s="1"/>
  <c r="M128" i="1"/>
  <c r="AN12" i="28"/>
  <c r="AK122" i="1"/>
  <c r="M122" i="1"/>
  <c r="H122" i="34"/>
  <c r="AK121" i="1"/>
  <c r="M121" i="1"/>
  <c r="H121" i="34"/>
  <c r="AK101" i="1"/>
  <c r="AP101" i="1" s="1"/>
  <c r="M101" i="1"/>
  <c r="H102" i="34"/>
  <c r="AK104" i="1"/>
  <c r="AP104" i="1" s="1"/>
  <c r="M104" i="1"/>
  <c r="H105" i="34"/>
  <c r="M99" i="1"/>
  <c r="J100" i="34"/>
  <c r="H100" i="34"/>
  <c r="AK98" i="1"/>
  <c r="O99" i="34" s="1"/>
  <c r="AG99" i="34" s="1"/>
  <c r="AJ99" i="34" s="1"/>
  <c r="O98" i="1"/>
  <c r="M98" i="1"/>
  <c r="M97" i="1"/>
  <c r="M96" i="1"/>
  <c r="AK95" i="1"/>
  <c r="O96" i="34" s="1"/>
  <c r="AG96" i="34" s="1"/>
  <c r="AJ96" i="34" s="1"/>
  <c r="O95" i="1"/>
  <c r="M95" i="1"/>
  <c r="M94" i="1"/>
  <c r="M93" i="1"/>
  <c r="M92" i="1"/>
  <c r="M91" i="1"/>
  <c r="M90" i="1"/>
  <c r="M89" i="1"/>
  <c r="AK87" i="1"/>
  <c r="M87" i="1"/>
  <c r="M85" i="1"/>
  <c r="M84" i="1"/>
  <c r="M83" i="1"/>
  <c r="M82" i="1"/>
  <c r="M80" i="1"/>
  <c r="M79" i="1"/>
  <c r="M78" i="1"/>
  <c r="AK76" i="1"/>
  <c r="O77" i="34" s="1"/>
  <c r="AG77" i="34" s="1"/>
  <c r="AJ77" i="34" s="1"/>
  <c r="O76" i="1"/>
  <c r="M76" i="1"/>
  <c r="AK75" i="1"/>
  <c r="O76" i="34" s="1"/>
  <c r="AG76" i="34" s="1"/>
  <c r="AJ76" i="34" s="1"/>
  <c r="O75" i="1"/>
  <c r="M75" i="1"/>
  <c r="AW3" i="1"/>
  <c r="AT100" i="1" l="1"/>
  <c r="AS100" i="1"/>
  <c r="AQ100" i="1"/>
  <c r="O122" i="34"/>
  <c r="AP122" i="1"/>
  <c r="AR122" i="1" s="1"/>
  <c r="O88" i="34"/>
  <c r="AG88" i="34" s="1"/>
  <c r="AJ88" i="34" s="1"/>
  <c r="AK88" i="34" s="1"/>
  <c r="AP87" i="1"/>
  <c r="O117" i="34"/>
  <c r="AP117" i="1"/>
  <c r="AR117" i="1" s="1"/>
  <c r="AQ104" i="1"/>
  <c r="AS104" i="1"/>
  <c r="AT104" i="1"/>
  <c r="AS114" i="1"/>
  <c r="AT114" i="1"/>
  <c r="AQ114" i="1"/>
  <c r="O112" i="34"/>
  <c r="AP111" i="1"/>
  <c r="O116" i="34"/>
  <c r="AP116" i="1"/>
  <c r="AR116" i="1" s="1"/>
  <c r="AW24" i="1"/>
  <c r="AZ24" i="1" s="1"/>
  <c r="T98" i="34"/>
  <c r="U98" i="34" s="1"/>
  <c r="AL98" i="34" s="1"/>
  <c r="T80" i="34"/>
  <c r="U80" i="34" s="1"/>
  <c r="AL80" i="34" s="1"/>
  <c r="T84" i="34"/>
  <c r="U84" i="34" s="1"/>
  <c r="AL84" i="34" s="1"/>
  <c r="T99" i="34"/>
  <c r="U99" i="34" s="1"/>
  <c r="AL99" i="34" s="1"/>
  <c r="T90" i="34"/>
  <c r="U90" i="34" s="1"/>
  <c r="AL90" i="34" s="1"/>
  <c r="T97" i="34"/>
  <c r="U97" i="34" s="1"/>
  <c r="AL97" i="34" s="1"/>
  <c r="T82" i="34"/>
  <c r="U82" i="34" s="1"/>
  <c r="AL82" i="34" s="1"/>
  <c r="T79" i="34"/>
  <c r="U79" i="34" s="1"/>
  <c r="AL79" i="34" s="1"/>
  <c r="T87" i="34"/>
  <c r="U87" i="34" s="1"/>
  <c r="AL87" i="34" s="1"/>
  <c r="T93" i="34"/>
  <c r="U93" i="34" s="1"/>
  <c r="AL93" i="34" s="1"/>
  <c r="T81" i="34"/>
  <c r="U81" i="34" s="1"/>
  <c r="AL81" i="34" s="1"/>
  <c r="T92" i="34"/>
  <c r="U92" i="34" s="1"/>
  <c r="AL92" i="34" s="1"/>
  <c r="T96" i="34"/>
  <c r="U96" i="34" s="1"/>
  <c r="AL96" i="34" s="1"/>
  <c r="T78" i="34"/>
  <c r="U78" i="34" s="1"/>
  <c r="AL78" i="34" s="1"/>
  <c r="T91" i="34"/>
  <c r="U91" i="34" s="1"/>
  <c r="AL91" i="34" s="1"/>
  <c r="U76" i="34"/>
  <c r="AL76" i="34" s="1"/>
  <c r="T77" i="34"/>
  <c r="U77" i="34" s="1"/>
  <c r="AL77" i="34" s="1"/>
  <c r="T83" i="34"/>
  <c r="U83" i="34" s="1"/>
  <c r="AL83" i="34" s="1"/>
  <c r="T85" i="34"/>
  <c r="U85" i="34" s="1"/>
  <c r="AL85" i="34" s="1"/>
  <c r="T94" i="34"/>
  <c r="U94" i="34" s="1"/>
  <c r="AL94" i="34" s="1"/>
  <c r="T95" i="34"/>
  <c r="U95" i="34" s="1"/>
  <c r="AL95" i="34" s="1"/>
  <c r="AW78" i="1"/>
  <c r="AW86" i="1"/>
  <c r="AZ86" i="1" s="1"/>
  <c r="BE86" i="1" s="1"/>
  <c r="AW82" i="1"/>
  <c r="AW79" i="1"/>
  <c r="AW28" i="1"/>
  <c r="AZ28" i="1" s="1"/>
  <c r="AW70" i="1"/>
  <c r="AZ70" i="1" s="1"/>
  <c r="AW22" i="1"/>
  <c r="AZ22" i="1" s="1"/>
  <c r="AW17" i="1"/>
  <c r="AZ17" i="1" s="1"/>
  <c r="AW41" i="1"/>
  <c r="AZ41" i="1" s="1"/>
  <c r="AW31" i="1"/>
  <c r="AZ31" i="1" s="1"/>
  <c r="AW45" i="1"/>
  <c r="AZ45" i="1" s="1"/>
  <c r="AW38" i="1"/>
  <c r="AZ38" i="1" s="1"/>
  <c r="AW32" i="1"/>
  <c r="AZ32" i="1" s="1"/>
  <c r="AW73" i="1"/>
  <c r="AZ73" i="1" s="1"/>
  <c r="AW63" i="1"/>
  <c r="AZ63" i="1" s="1"/>
  <c r="AW55" i="1"/>
  <c r="AZ55" i="1" s="1"/>
  <c r="AW53" i="1"/>
  <c r="AZ53" i="1" s="1"/>
  <c r="AW66" i="1"/>
  <c r="AZ66" i="1" s="1"/>
  <c r="AW62" i="1"/>
  <c r="AZ62" i="1" s="1"/>
  <c r="AW25" i="1"/>
  <c r="AZ25" i="1" s="1"/>
  <c r="AW36" i="1"/>
  <c r="AZ36" i="1" s="1"/>
  <c r="AW35" i="1"/>
  <c r="AZ35" i="1" s="1"/>
  <c r="AW67" i="1"/>
  <c r="AZ67" i="1" s="1"/>
  <c r="AW40" i="1"/>
  <c r="AZ40" i="1" s="1"/>
  <c r="AW37" i="1"/>
  <c r="AZ37" i="1" s="1"/>
  <c r="AW27" i="1"/>
  <c r="AZ27" i="1" s="1"/>
  <c r="AW65" i="1"/>
  <c r="AZ65" i="1" s="1"/>
  <c r="AW58" i="1"/>
  <c r="AZ58" i="1" s="1"/>
  <c r="AW26" i="1"/>
  <c r="AZ26" i="1" s="1"/>
  <c r="AW18" i="1"/>
  <c r="AZ18" i="1" s="1"/>
  <c r="AW57" i="1"/>
  <c r="AZ57" i="1" s="1"/>
  <c r="AW60" i="1"/>
  <c r="AZ60" i="1" s="1"/>
  <c r="AW71" i="1"/>
  <c r="AZ71" i="1" s="1"/>
  <c r="AW64" i="1"/>
  <c r="AZ64" i="1" s="1"/>
  <c r="AW7" i="1"/>
  <c r="AZ7" i="1" s="1"/>
  <c r="AW69" i="1"/>
  <c r="AZ69" i="1" s="1"/>
  <c r="AW56" i="1"/>
  <c r="AZ56" i="1" s="1"/>
  <c r="AW14" i="1"/>
  <c r="AZ14" i="1" s="1"/>
  <c r="AW77" i="1"/>
  <c r="AZ77" i="1" s="1"/>
  <c r="BE77" i="1" s="1"/>
  <c r="AW92" i="1"/>
  <c r="AZ92" i="1" s="1"/>
  <c r="BE92" i="1" s="1"/>
  <c r="AW8" i="1"/>
  <c r="AZ8" i="1" s="1"/>
  <c r="AW6" i="1"/>
  <c r="AZ6" i="1" s="1"/>
  <c r="AW59" i="1"/>
  <c r="AZ59" i="1" s="1"/>
  <c r="AW12" i="1"/>
  <c r="AZ12" i="1" s="1"/>
  <c r="AW11" i="1"/>
  <c r="AZ11" i="1" s="1"/>
  <c r="AW72" i="1"/>
  <c r="AZ72" i="1" s="1"/>
  <c r="AW61" i="1"/>
  <c r="AZ61" i="1" s="1"/>
  <c r="AW44" i="1"/>
  <c r="AZ44" i="1" s="1"/>
  <c r="AW16" i="1"/>
  <c r="AZ16" i="1" s="1"/>
  <c r="AW52" i="1"/>
  <c r="AZ52" i="1" s="1"/>
  <c r="AW34" i="1"/>
  <c r="AZ34" i="1" s="1"/>
  <c r="AW54" i="1"/>
  <c r="AZ54" i="1" s="1"/>
  <c r="AW46" i="1"/>
  <c r="AZ46" i="1" s="1"/>
  <c r="AW47" i="1"/>
  <c r="AZ47" i="1" s="1"/>
  <c r="AW68" i="1"/>
  <c r="AZ68" i="1" s="1"/>
  <c r="AW39" i="1"/>
  <c r="AZ39" i="1" s="1"/>
  <c r="AW10" i="1"/>
  <c r="AZ10" i="1" s="1"/>
  <c r="AW42" i="1"/>
  <c r="AZ42" i="1" s="1"/>
  <c r="AW9" i="1"/>
  <c r="AZ9" i="1" s="1"/>
  <c r="AW48" i="1"/>
  <c r="AZ48" i="1" s="1"/>
  <c r="AW43" i="1"/>
  <c r="AZ43" i="1" s="1"/>
  <c r="AW29" i="1"/>
  <c r="AZ29" i="1" s="1"/>
  <c r="AW21" i="1"/>
  <c r="AZ21" i="1" s="1"/>
  <c r="AW30" i="1"/>
  <c r="AZ30" i="1" s="1"/>
  <c r="AT106" i="1"/>
  <c r="AS106" i="1"/>
  <c r="AQ106" i="1"/>
  <c r="O127" i="34"/>
  <c r="AP127" i="1"/>
  <c r="AS108" i="1"/>
  <c r="AT108" i="1"/>
  <c r="AQ108" i="1"/>
  <c r="AQ101" i="1"/>
  <c r="AS101" i="1"/>
  <c r="AT101" i="1"/>
  <c r="O121" i="34"/>
  <c r="AP121" i="1"/>
  <c r="AR121" i="1" s="1"/>
  <c r="AQ110" i="1"/>
  <c r="AT110" i="1"/>
  <c r="AS110" i="1"/>
  <c r="AK76" i="34"/>
  <c r="AN76" i="34"/>
  <c r="AK77" i="34"/>
  <c r="AN77" i="34"/>
  <c r="O123" i="34"/>
  <c r="AP123" i="1"/>
  <c r="AQ112" i="1"/>
  <c r="AS112" i="1"/>
  <c r="AT112" i="1"/>
  <c r="AQ113" i="1"/>
  <c r="AT113" i="1"/>
  <c r="AS113" i="1"/>
  <c r="AK96" i="34"/>
  <c r="AN96" i="34"/>
  <c r="AK99" i="34"/>
  <c r="AN99" i="34"/>
  <c r="AR115" i="1"/>
  <c r="BF115" i="1" s="1"/>
  <c r="BG115" i="1" s="1"/>
  <c r="AR70" i="1"/>
  <c r="AR119" i="1"/>
  <c r="BF119" i="1" s="1"/>
  <c r="BG119" i="1" s="1"/>
  <c r="AR101" i="1"/>
  <c r="AR120" i="1"/>
  <c r="BF120" i="1" s="1"/>
  <c r="BG120" i="1" s="1"/>
  <c r="AR118" i="1"/>
  <c r="BF118" i="1" s="1"/>
  <c r="BG118" i="1" s="1"/>
  <c r="AR100" i="1"/>
  <c r="AR6" i="1"/>
  <c r="AR45" i="1"/>
  <c r="AR36" i="1"/>
  <c r="AR8" i="1"/>
  <c r="AR26" i="1"/>
  <c r="AR7" i="1"/>
  <c r="AR52" i="1"/>
  <c r="AR9" i="1"/>
  <c r="AR15" i="1"/>
  <c r="BF15" i="1" s="1"/>
  <c r="BG15" i="1" s="1"/>
  <c r="AR44" i="1"/>
  <c r="AR14" i="1"/>
  <c r="AR55" i="1"/>
  <c r="AR16" i="1"/>
  <c r="AR12" i="1"/>
  <c r="AR46" i="1"/>
  <c r="AR11" i="1"/>
  <c r="AR17" i="1"/>
  <c r="AR43" i="1"/>
  <c r="AR13" i="1"/>
  <c r="BF13" i="1" s="1"/>
  <c r="BG13" i="1" s="1"/>
  <c r="AR54" i="1"/>
  <c r="AR10" i="1"/>
  <c r="AR35" i="1"/>
  <c r="AR42" i="1"/>
  <c r="AR25" i="1"/>
  <c r="W76" i="1"/>
  <c r="AA76" i="1"/>
  <c r="AA95" i="1"/>
  <c r="AA98" i="1"/>
  <c r="W75" i="1"/>
  <c r="AA75" i="1"/>
  <c r="K10" i="5"/>
  <c r="BK75" i="1"/>
  <c r="BK76" i="1" s="1"/>
  <c r="BM76" i="1" s="1"/>
  <c r="O111" i="34"/>
  <c r="I21" i="28"/>
  <c r="I8" i="28"/>
  <c r="O154" i="34"/>
  <c r="O155" i="34" s="1"/>
  <c r="O114" i="34"/>
  <c r="I24" i="28"/>
  <c r="O109" i="34"/>
  <c r="I19" i="28"/>
  <c r="I6" i="28"/>
  <c r="O115" i="34"/>
  <c r="I25" i="28"/>
  <c r="AS25" i="28" s="1"/>
  <c r="O105" i="34"/>
  <c r="I15" i="28"/>
  <c r="O107" i="34"/>
  <c r="I17" i="28"/>
  <c r="O102" i="34"/>
  <c r="I11" i="28"/>
  <c r="O101" i="34"/>
  <c r="I10" i="28"/>
  <c r="O110" i="34"/>
  <c r="I20" i="28"/>
  <c r="O113" i="34"/>
  <c r="I23" i="28"/>
  <c r="O129" i="1"/>
  <c r="O132" i="1" s="1"/>
  <c r="AR12" i="28"/>
  <c r="AT12" i="28"/>
  <c r="AS12" i="28"/>
  <c r="AP12" i="28"/>
  <c r="AQ12" i="28"/>
  <c r="N10" i="5"/>
  <c r="J6" i="5"/>
  <c r="C6" i="5" s="1"/>
  <c r="J7" i="5"/>
  <c r="C7" i="5" s="1"/>
  <c r="J3" i="5"/>
  <c r="C3" i="5" s="1"/>
  <c r="F5" i="28"/>
  <c r="AN11" i="28"/>
  <c r="AN9" i="28"/>
  <c r="AN7" i="28"/>
  <c r="D5" i="28"/>
  <c r="C5" i="5"/>
  <c r="C12" i="5"/>
  <c r="G13" i="5"/>
  <c r="I13" i="5" s="1"/>
  <c r="C13" i="5"/>
  <c r="G14" i="5"/>
  <c r="I14" i="5" s="1"/>
  <c r="C14" i="5"/>
  <c r="G8" i="5"/>
  <c r="I8" i="5" s="1"/>
  <c r="C8" i="5"/>
  <c r="N8" i="5" s="1"/>
  <c r="G15" i="5"/>
  <c r="I15" i="5" s="1"/>
  <c r="C15" i="5"/>
  <c r="G9" i="5"/>
  <c r="I9" i="5" s="1"/>
  <c r="C9" i="5"/>
  <c r="C4" i="5"/>
  <c r="G11" i="5"/>
  <c r="I11" i="5" s="1"/>
  <c r="C11" i="5"/>
  <c r="AT25" i="28"/>
  <c r="AQ25" i="28"/>
  <c r="AP25" i="28"/>
  <c r="AR25" i="28"/>
  <c r="H128" i="34"/>
  <c r="G54" i="28"/>
  <c r="AQ54" i="28" s="1"/>
  <c r="I41" i="28"/>
  <c r="C46" i="28"/>
  <c r="D41" i="28"/>
  <c r="AN41" i="28" s="1"/>
  <c r="E40" i="28"/>
  <c r="AO40" i="28" s="1"/>
  <c r="E41" i="28"/>
  <c r="AO41" i="28" s="1"/>
  <c r="F45" i="28"/>
  <c r="AP45" i="28" s="1"/>
  <c r="G45" i="28"/>
  <c r="AQ45" i="28" s="1"/>
  <c r="G47" i="28"/>
  <c r="AQ47" i="28" s="1"/>
  <c r="H39" i="28"/>
  <c r="AR39" i="28" s="1"/>
  <c r="D39" i="28"/>
  <c r="AN39" i="28" s="1"/>
  <c r="C39" i="28"/>
  <c r="J48" i="28"/>
  <c r="AT48" i="28" s="1"/>
  <c r="J44" i="28"/>
  <c r="AT44" i="28" s="1"/>
  <c r="J45" i="28"/>
  <c r="AT45" i="28" s="1"/>
  <c r="H35" i="28"/>
  <c r="AR35" i="28" s="1"/>
  <c r="F47" i="28"/>
  <c r="J50" i="28"/>
  <c r="AT50" i="28" s="1"/>
  <c r="I36" i="28"/>
  <c r="I44" i="28"/>
  <c r="G48" i="28"/>
  <c r="AQ48" i="28" s="1"/>
  <c r="G39" i="28"/>
  <c r="AQ39" i="28" s="1"/>
  <c r="H40" i="28"/>
  <c r="AR40" i="28" s="1"/>
  <c r="N41" i="28"/>
  <c r="F36" i="28"/>
  <c r="AP36" i="28" s="1"/>
  <c r="F44" i="28"/>
  <c r="AP44" i="28" s="1"/>
  <c r="H46" i="28"/>
  <c r="AR46" i="28" s="1"/>
  <c r="H50" i="28"/>
  <c r="AR50" i="28" s="1"/>
  <c r="G49" i="28"/>
  <c r="AQ49" i="28" s="1"/>
  <c r="G46" i="28"/>
  <c r="AQ46" i="28" s="1"/>
  <c r="C36" i="28"/>
  <c r="C49" i="28"/>
  <c r="F50" i="28"/>
  <c r="AP50" i="28" s="1"/>
  <c r="H48" i="28"/>
  <c r="AR48" i="28" s="1"/>
  <c r="F54" i="28"/>
  <c r="AP54" i="28" s="1"/>
  <c r="H44" i="28"/>
  <c r="AR44" i="28" s="1"/>
  <c r="G50" i="28"/>
  <c r="G44" i="28"/>
  <c r="AQ44" i="28" s="1"/>
  <c r="C41" i="28"/>
  <c r="C47" i="28"/>
  <c r="H36" i="28"/>
  <c r="AR36" i="28" s="1"/>
  <c r="I54" i="28"/>
  <c r="F35" i="28"/>
  <c r="AP35" i="28" s="1"/>
  <c r="I45" i="28"/>
  <c r="F49" i="28"/>
  <c r="AP49" i="28" s="1"/>
  <c r="J41" i="28"/>
  <c r="AT41" i="28" s="1"/>
  <c r="E39" i="28"/>
  <c r="AO39" i="28" s="1"/>
  <c r="C48" i="28"/>
  <c r="G35" i="28"/>
  <c r="AQ35" i="28" s="1"/>
  <c r="G41" i="28"/>
  <c r="AQ41" i="28" s="1"/>
  <c r="D40" i="28"/>
  <c r="AN40" i="28" s="1"/>
  <c r="J47" i="28"/>
  <c r="AT47" i="28" s="1"/>
  <c r="H45" i="28"/>
  <c r="AR45" i="28" s="1"/>
  <c r="I50" i="28"/>
  <c r="J39" i="28"/>
  <c r="AT39" i="28" s="1"/>
  <c r="H54" i="28"/>
  <c r="AR54" i="28" s="1"/>
  <c r="J49" i="28"/>
  <c r="AT49" i="28" s="1"/>
  <c r="I40" i="28"/>
  <c r="G36" i="28"/>
  <c r="AQ36" i="28" s="1"/>
  <c r="D36" i="28"/>
  <c r="AN36" i="28" s="1"/>
  <c r="C50" i="28"/>
  <c r="H47" i="28"/>
  <c r="AR47" i="28" s="1"/>
  <c r="J46" i="28"/>
  <c r="AT46" i="28" s="1"/>
  <c r="J40" i="28"/>
  <c r="AT40" i="28" s="1"/>
  <c r="J35" i="28"/>
  <c r="AT35" i="28" s="1"/>
  <c r="J36" i="28"/>
  <c r="AT36" i="28" s="1"/>
  <c r="G40" i="28"/>
  <c r="AQ40" i="28" s="1"/>
  <c r="F41" i="28"/>
  <c r="D45" i="28"/>
  <c r="AN45" i="28" s="1"/>
  <c r="D44" i="28"/>
  <c r="AN44" i="28" s="1"/>
  <c r="Q41" i="28"/>
  <c r="AZ41" i="28" s="1"/>
  <c r="J54" i="28"/>
  <c r="AT54" i="28" s="1"/>
  <c r="C54" i="28"/>
  <c r="F46" i="28"/>
  <c r="AP46" i="28" s="1"/>
  <c r="I39" i="28"/>
  <c r="H49" i="28"/>
  <c r="AR49" i="28" s="1"/>
  <c r="F48" i="28"/>
  <c r="AP48" i="28" s="1"/>
  <c r="H41" i="28"/>
  <c r="AR41" i="28" s="1"/>
  <c r="D50" i="28"/>
  <c r="AN50" i="28" s="1"/>
  <c r="C40" i="28"/>
  <c r="T168" i="34"/>
  <c r="U168" i="34" s="1"/>
  <c r="AL168" i="34" s="1"/>
  <c r="T167" i="34"/>
  <c r="U167" i="34" s="1"/>
  <c r="AL167" i="34" s="1"/>
  <c r="T171" i="34"/>
  <c r="U171" i="34" s="1"/>
  <c r="AL171" i="34" s="1"/>
  <c r="T172" i="34"/>
  <c r="U172" i="34" s="1"/>
  <c r="AL172" i="34" s="1"/>
  <c r="T163" i="34"/>
  <c r="U163" i="34" s="1"/>
  <c r="AL163" i="34" s="1"/>
  <c r="T160" i="34"/>
  <c r="U160" i="34" s="1"/>
  <c r="AL160" i="34" s="1"/>
  <c r="T162" i="34"/>
  <c r="U162" i="34" s="1"/>
  <c r="AL162" i="34" s="1"/>
  <c r="T161" i="34"/>
  <c r="U161" i="34" s="1"/>
  <c r="AL161" i="34" s="1"/>
  <c r="J105" i="34"/>
  <c r="J121" i="34"/>
  <c r="J107" i="34"/>
  <c r="J116" i="34"/>
  <c r="J125" i="34"/>
  <c r="J112" i="34"/>
  <c r="J114" i="34"/>
  <c r="J106" i="34"/>
  <c r="J102" i="34"/>
  <c r="J109" i="34"/>
  <c r="J101" i="34"/>
  <c r="J127" i="34"/>
  <c r="J110" i="34"/>
  <c r="J103" i="34"/>
  <c r="J113" i="34"/>
  <c r="J128" i="34"/>
  <c r="J123" i="34"/>
  <c r="J111" i="34"/>
  <c r="J108" i="34"/>
  <c r="J104" i="34"/>
  <c r="AB100" i="34"/>
  <c r="AA100" i="34"/>
  <c r="AD100" i="34"/>
  <c r="AI100" i="34"/>
  <c r="T100" i="34"/>
  <c r="U100" i="34" s="1"/>
  <c r="AL100" i="34" s="1"/>
  <c r="AF100" i="34"/>
  <c r="AH100" i="34"/>
  <c r="AC100" i="34"/>
  <c r="AM100" i="34"/>
  <c r="J122" i="34"/>
  <c r="J117" i="34"/>
  <c r="J126" i="34"/>
  <c r="J124" i="34"/>
  <c r="J115" i="34"/>
  <c r="N129" i="1"/>
  <c r="I5" i="28"/>
  <c r="AS5" i="28" s="1"/>
  <c r="AO9" i="28"/>
  <c r="AP8" i="28"/>
  <c r="AR20" i="28"/>
  <c r="AP6" i="28"/>
  <c r="AR24" i="28"/>
  <c r="AP20" i="28"/>
  <c r="AT19" i="28"/>
  <c r="AR23" i="28"/>
  <c r="AQ17" i="28"/>
  <c r="AQ11" i="28"/>
  <c r="G5" i="28"/>
  <c r="AQ5" i="28" s="1"/>
  <c r="AQ9" i="28"/>
  <c r="AQ15" i="28"/>
  <c r="AP17" i="28"/>
  <c r="AP18" i="28"/>
  <c r="AP19" i="28"/>
  <c r="AP13" i="28"/>
  <c r="AT10" i="28"/>
  <c r="AT14" i="28"/>
  <c r="AR10" i="28"/>
  <c r="AT18" i="28"/>
  <c r="AT15" i="28"/>
  <c r="AO7" i="28"/>
  <c r="AQ19" i="28"/>
  <c r="AQ7" i="28"/>
  <c r="AR8" i="28"/>
  <c r="AQ20" i="28"/>
  <c r="H5" i="28"/>
  <c r="AR5" i="28" s="1"/>
  <c r="AT11" i="28"/>
  <c r="AQ22" i="28"/>
  <c r="AT16" i="28"/>
  <c r="AT13" i="28"/>
  <c r="AR19" i="28"/>
  <c r="AQ18" i="28"/>
  <c r="AP22" i="28"/>
  <c r="AR15" i="28"/>
  <c r="AR18" i="28"/>
  <c r="AQ13" i="28"/>
  <c r="AQ10" i="28"/>
  <c r="AR7" i="28"/>
  <c r="AR17" i="28"/>
  <c r="AT23" i="28"/>
  <c r="AR11" i="28"/>
  <c r="AT6" i="28"/>
  <c r="AP16" i="28"/>
  <c r="J5" i="28"/>
  <c r="AT5" i="28" s="1"/>
  <c r="AQ24" i="28"/>
  <c r="AQ23" i="28"/>
  <c r="AQ16" i="28"/>
  <c r="AQ14" i="28"/>
  <c r="AT9" i="28"/>
  <c r="AR16" i="28"/>
  <c r="AQ21" i="28"/>
  <c r="AP9" i="28"/>
  <c r="AQ8" i="28"/>
  <c r="AR6" i="28"/>
  <c r="AT20" i="28"/>
  <c r="AT21" i="28"/>
  <c r="AT24" i="28"/>
  <c r="AT8" i="28"/>
  <c r="AR14" i="28"/>
  <c r="AT22" i="28"/>
  <c r="AR13" i="28"/>
  <c r="AP23" i="28"/>
  <c r="AQ6" i="28"/>
  <c r="AP7" i="28"/>
  <c r="AT17" i="28"/>
  <c r="AT7" i="28"/>
  <c r="G5" i="5"/>
  <c r="I5" i="5" s="1"/>
  <c r="AK83" i="1"/>
  <c r="O84" i="34" s="1"/>
  <c r="AG84" i="34" s="1"/>
  <c r="AJ84" i="34" s="1"/>
  <c r="K8" i="5"/>
  <c r="K9" i="5"/>
  <c r="G6" i="5"/>
  <c r="I6" i="5" s="1"/>
  <c r="G3" i="5"/>
  <c r="I3" i="5" s="1"/>
  <c r="K11" i="5"/>
  <c r="G7" i="5"/>
  <c r="I7" i="5" s="1"/>
  <c r="G12" i="5"/>
  <c r="I12" i="5" s="1"/>
  <c r="G4" i="5"/>
  <c r="I4" i="5" s="1"/>
  <c r="K15" i="5"/>
  <c r="AK79" i="1"/>
  <c r="AK93" i="1"/>
  <c r="AK99" i="1"/>
  <c r="I49" i="28" s="1"/>
  <c r="AK85" i="1"/>
  <c r="AK89" i="1"/>
  <c r="O90" i="34" s="1"/>
  <c r="AG90" i="34" s="1"/>
  <c r="AJ90" i="34" s="1"/>
  <c r="AK96" i="1"/>
  <c r="O97" i="34" s="1"/>
  <c r="AG97" i="34" s="1"/>
  <c r="AJ97" i="34" s="1"/>
  <c r="AK84" i="1"/>
  <c r="AK90" i="1"/>
  <c r="O91" i="34" s="1"/>
  <c r="AG91" i="34" s="1"/>
  <c r="AJ91" i="34" s="1"/>
  <c r="AK92" i="1"/>
  <c r="E129" i="1"/>
  <c r="AJ129" i="1"/>
  <c r="AJ132" i="1" s="1"/>
  <c r="AK80" i="1"/>
  <c r="O81" i="34" s="1"/>
  <c r="AG81" i="34" s="1"/>
  <c r="AJ81" i="34" s="1"/>
  <c r="AK82" i="1"/>
  <c r="AK78" i="1"/>
  <c r="AK91" i="1"/>
  <c r="O92" i="34" s="1"/>
  <c r="AG92" i="34" s="1"/>
  <c r="AJ92" i="34" s="1"/>
  <c r="AK97" i="1"/>
  <c r="AK94" i="1"/>
  <c r="BE9" i="1" l="1"/>
  <c r="T9" i="34"/>
  <c r="BE24" i="1"/>
  <c r="T24" i="34"/>
  <c r="BE42" i="1"/>
  <c r="BF42" i="1" s="1"/>
  <c r="BG42" i="1" s="1"/>
  <c r="T42" i="34"/>
  <c r="BE14" i="1"/>
  <c r="T14" i="34"/>
  <c r="BE66" i="1"/>
  <c r="T66" i="34"/>
  <c r="BE53" i="1"/>
  <c r="T53" i="34"/>
  <c r="BE68" i="1"/>
  <c r="T68" i="34"/>
  <c r="BE7" i="1"/>
  <c r="BF7" i="1" s="1"/>
  <c r="BG7" i="1" s="1"/>
  <c r="T7" i="34"/>
  <c r="BE63" i="1"/>
  <c r="T63" i="34"/>
  <c r="BE47" i="1"/>
  <c r="T47" i="34"/>
  <c r="BE71" i="1"/>
  <c r="T71" i="34"/>
  <c r="BE52" i="1"/>
  <c r="T52" i="34"/>
  <c r="BE31" i="1"/>
  <c r="T31" i="34"/>
  <c r="BE65" i="1"/>
  <c r="T65" i="34"/>
  <c r="BE70" i="1"/>
  <c r="BF70" i="1" s="1"/>
  <c r="BG70" i="1" s="1"/>
  <c r="T70" i="34"/>
  <c r="BE12" i="1"/>
  <c r="T12" i="34"/>
  <c r="BE40" i="1"/>
  <c r="T40" i="34"/>
  <c r="BE21" i="1"/>
  <c r="T21" i="34"/>
  <c r="BE59" i="1"/>
  <c r="T59" i="34"/>
  <c r="BE67" i="1"/>
  <c r="T67" i="34"/>
  <c r="BE62" i="1"/>
  <c r="T62" i="34"/>
  <c r="BE10" i="1"/>
  <c r="T10" i="34"/>
  <c r="BE69" i="1"/>
  <c r="T69" i="34"/>
  <c r="BE54" i="1"/>
  <c r="T54" i="34"/>
  <c r="BE60" i="1"/>
  <c r="T60" i="34"/>
  <c r="BE38" i="1"/>
  <c r="T38" i="34"/>
  <c r="BE34" i="1"/>
  <c r="T34" i="34"/>
  <c r="BE57" i="1"/>
  <c r="T57" i="34"/>
  <c r="BE45" i="1"/>
  <c r="BF45" i="1" s="1"/>
  <c r="BG45" i="1" s="1"/>
  <c r="T45" i="34"/>
  <c r="BE18" i="1"/>
  <c r="T18" i="34"/>
  <c r="BE16" i="1"/>
  <c r="T16" i="34"/>
  <c r="BE61" i="1"/>
  <c r="T61" i="34"/>
  <c r="BE27" i="1"/>
  <c r="T27" i="34"/>
  <c r="BE11" i="1"/>
  <c r="BF11" i="1" s="1"/>
  <c r="BG11" i="1" s="1"/>
  <c r="T11" i="34"/>
  <c r="BE28" i="1"/>
  <c r="T28" i="34"/>
  <c r="BE30" i="1"/>
  <c r="T30" i="34"/>
  <c r="BE6" i="1"/>
  <c r="BF6" i="1" s="1"/>
  <c r="BG6" i="1" s="1"/>
  <c r="T6" i="34"/>
  <c r="BE35" i="1"/>
  <c r="BF35" i="1" s="1"/>
  <c r="BG35" i="1" s="1"/>
  <c r="T35" i="34"/>
  <c r="BE43" i="1"/>
  <c r="T43" i="34"/>
  <c r="BE8" i="1"/>
  <c r="BF8" i="1" s="1"/>
  <c r="BG8" i="1" s="1"/>
  <c r="T8" i="34"/>
  <c r="BE36" i="1"/>
  <c r="T36" i="34"/>
  <c r="BE56" i="1"/>
  <c r="T56" i="34"/>
  <c r="BE39" i="1"/>
  <c r="T39" i="34"/>
  <c r="BE55" i="1"/>
  <c r="BF55" i="1" s="1"/>
  <c r="BG55" i="1" s="1"/>
  <c r="T55" i="34"/>
  <c r="BE64" i="1"/>
  <c r="T64" i="34"/>
  <c r="BE73" i="1"/>
  <c r="T73" i="34"/>
  <c r="BE46" i="1"/>
  <c r="T46" i="34"/>
  <c r="BE32" i="1"/>
  <c r="T32" i="34"/>
  <c r="BE26" i="1"/>
  <c r="BF26" i="1" s="1"/>
  <c r="BG26" i="1" s="1"/>
  <c r="T26" i="34"/>
  <c r="BE41" i="1"/>
  <c r="T41" i="34"/>
  <c r="BE44" i="1"/>
  <c r="T44" i="34"/>
  <c r="BE58" i="1"/>
  <c r="T58" i="34"/>
  <c r="BE17" i="1"/>
  <c r="BF17" i="1" s="1"/>
  <c r="BG17" i="1" s="1"/>
  <c r="T17" i="34"/>
  <c r="BE22" i="1"/>
  <c r="T22" i="34"/>
  <c r="BE72" i="1"/>
  <c r="T72" i="34"/>
  <c r="BE37" i="1"/>
  <c r="T37" i="34"/>
  <c r="BE29" i="1"/>
  <c r="T29" i="34"/>
  <c r="BE48" i="1"/>
  <c r="T48" i="34"/>
  <c r="BE25" i="1"/>
  <c r="T25" i="34"/>
  <c r="AU100" i="1"/>
  <c r="BF100" i="1" s="1"/>
  <c r="BG100" i="1" s="1"/>
  <c r="AU113" i="1"/>
  <c r="BF36" i="1"/>
  <c r="BG36" i="1" s="1"/>
  <c r="AU110" i="1"/>
  <c r="AU106" i="1"/>
  <c r="BF14" i="1"/>
  <c r="BG14" i="1" s="1"/>
  <c r="BF10" i="1"/>
  <c r="BG10" i="1" s="1"/>
  <c r="BF46" i="1"/>
  <c r="BG46" i="1" s="1"/>
  <c r="BF44" i="1"/>
  <c r="BG44" i="1" s="1"/>
  <c r="BF52" i="1"/>
  <c r="BG52" i="1" s="1"/>
  <c r="BF16" i="1"/>
  <c r="BG16" i="1" s="1"/>
  <c r="AU112" i="1"/>
  <c r="BF12" i="1"/>
  <c r="BG12" i="1" s="1"/>
  <c r="BF43" i="1"/>
  <c r="BG43" i="1" s="1"/>
  <c r="AT127" i="1"/>
  <c r="AS127" i="1"/>
  <c r="AQ127" i="1"/>
  <c r="AU114" i="1"/>
  <c r="AQ121" i="1"/>
  <c r="AT121" i="1"/>
  <c r="AS121" i="1"/>
  <c r="AU101" i="1"/>
  <c r="BF101" i="1" s="1"/>
  <c r="BG101" i="1" s="1"/>
  <c r="O83" i="34"/>
  <c r="AG83" i="34" s="1"/>
  <c r="AJ83" i="34" s="1"/>
  <c r="AP82" i="1"/>
  <c r="AQ117" i="1"/>
  <c r="AS117" i="1"/>
  <c r="AT117" i="1"/>
  <c r="AK81" i="34"/>
  <c r="AN81" i="34"/>
  <c r="BF54" i="1"/>
  <c r="BG54" i="1" s="1"/>
  <c r="O80" i="34"/>
  <c r="AG80" i="34" s="1"/>
  <c r="AJ80" i="34" s="1"/>
  <c r="AP79" i="1"/>
  <c r="AR79" i="1" s="1"/>
  <c r="I22" i="28"/>
  <c r="O95" i="34"/>
  <c r="AG95" i="34" s="1"/>
  <c r="AJ95" i="34" s="1"/>
  <c r="I48" i="28"/>
  <c r="AS48" i="28" s="1"/>
  <c r="O98" i="34"/>
  <c r="AG98" i="34" s="1"/>
  <c r="AJ98" i="34" s="1"/>
  <c r="I46" i="28"/>
  <c r="AS46" i="28" s="1"/>
  <c r="O93" i="34"/>
  <c r="AG93" i="34" s="1"/>
  <c r="AJ93" i="34" s="1"/>
  <c r="AP92" i="1"/>
  <c r="AR92" i="1" s="1"/>
  <c r="AK97" i="34"/>
  <c r="AN97" i="34"/>
  <c r="AQ123" i="1"/>
  <c r="AS123" i="1"/>
  <c r="AT123" i="1"/>
  <c r="AQ116" i="1"/>
  <c r="AT116" i="1"/>
  <c r="AS116" i="1"/>
  <c r="AS122" i="1"/>
  <c r="AQ122" i="1"/>
  <c r="AT122" i="1"/>
  <c r="AU104" i="1"/>
  <c r="AT87" i="1"/>
  <c r="AS87" i="1"/>
  <c r="BF9" i="1"/>
  <c r="BG9" i="1" s="1"/>
  <c r="AU108" i="1"/>
  <c r="AK92" i="34"/>
  <c r="AN92" i="34"/>
  <c r="AK91" i="34"/>
  <c r="AN91" i="34"/>
  <c r="I16" i="28"/>
  <c r="O85" i="34"/>
  <c r="AG85" i="34" s="1"/>
  <c r="AJ85" i="34" s="1"/>
  <c r="AK90" i="34"/>
  <c r="AN90" i="34"/>
  <c r="O86" i="34"/>
  <c r="AG86" i="34" s="1"/>
  <c r="AJ86" i="34" s="1"/>
  <c r="AP85" i="1"/>
  <c r="AT111" i="1"/>
  <c r="AS111" i="1"/>
  <c r="AQ111" i="1"/>
  <c r="O79" i="34"/>
  <c r="AG79" i="34" s="1"/>
  <c r="AJ79" i="34" s="1"/>
  <c r="AP78" i="1"/>
  <c r="AR78" i="1" s="1"/>
  <c r="AK84" i="34"/>
  <c r="AN84" i="34"/>
  <c r="BF25" i="1"/>
  <c r="BG25" i="1" s="1"/>
  <c r="I47" i="28"/>
  <c r="AS47" i="28" s="1"/>
  <c r="O94" i="34"/>
  <c r="AG94" i="34" s="1"/>
  <c r="AJ94" i="34" s="1"/>
  <c r="AR69" i="1"/>
  <c r="BF69" i="1" s="1"/>
  <c r="BG69" i="1" s="1"/>
  <c r="AR110" i="1"/>
  <c r="AR39" i="1"/>
  <c r="BF39" i="1" s="1"/>
  <c r="BG39" i="1" s="1"/>
  <c r="AR40" i="1"/>
  <c r="BF40" i="1" s="1"/>
  <c r="BG40" i="1" s="1"/>
  <c r="AR34" i="1"/>
  <c r="BF34" i="1" s="1"/>
  <c r="BG34" i="1" s="1"/>
  <c r="AR108" i="1"/>
  <c r="AR71" i="1"/>
  <c r="BF71" i="1" s="1"/>
  <c r="BG71" i="1" s="1"/>
  <c r="AR18" i="1"/>
  <c r="AR112" i="1"/>
  <c r="AR114" i="1"/>
  <c r="AR113" i="1"/>
  <c r="AR111" i="1"/>
  <c r="AR50" i="1"/>
  <c r="BF50" i="1" s="1"/>
  <c r="BG50" i="1" s="1"/>
  <c r="AR49" i="1"/>
  <c r="BF49" i="1" s="1"/>
  <c r="BG49" i="1" s="1"/>
  <c r="AR51" i="1"/>
  <c r="BF51" i="1" s="1"/>
  <c r="BG51" i="1" s="1"/>
  <c r="AR41" i="1"/>
  <c r="BF41" i="1" s="1"/>
  <c r="BG41" i="1" s="1"/>
  <c r="AR47" i="1"/>
  <c r="AR48" i="1"/>
  <c r="AR104" i="1"/>
  <c r="AR27" i="1"/>
  <c r="AR28" i="1"/>
  <c r="AR24" i="1"/>
  <c r="BF24" i="1" s="1"/>
  <c r="BG24" i="1" s="1"/>
  <c r="AR22" i="1"/>
  <c r="BF22" i="1" s="1"/>
  <c r="BG22" i="1" s="1"/>
  <c r="AR77" i="1"/>
  <c r="BF77" i="1" s="1"/>
  <c r="BG77" i="1" s="1"/>
  <c r="AR21" i="1"/>
  <c r="AR87" i="1"/>
  <c r="AR88" i="1"/>
  <c r="BF88" i="1" s="1"/>
  <c r="BG88" i="1" s="1"/>
  <c r="AR86" i="1"/>
  <c r="BF86" i="1" s="1"/>
  <c r="BG86" i="1" s="1"/>
  <c r="AR106" i="1"/>
  <c r="AR31" i="1"/>
  <c r="BF31" i="1" s="1"/>
  <c r="BG31" i="1" s="1"/>
  <c r="AR29" i="1"/>
  <c r="BF29" i="1" s="1"/>
  <c r="BG29" i="1" s="1"/>
  <c r="AR32" i="1"/>
  <c r="BF32" i="1" s="1"/>
  <c r="BG32" i="1" s="1"/>
  <c r="AR30" i="1"/>
  <c r="BF30" i="1" s="1"/>
  <c r="BG30" i="1" s="1"/>
  <c r="AR123" i="1"/>
  <c r="AR64" i="1"/>
  <c r="BF64" i="1" s="1"/>
  <c r="BG64" i="1" s="1"/>
  <c r="AR58" i="1"/>
  <c r="BF58" i="1" s="1"/>
  <c r="BG58" i="1" s="1"/>
  <c r="AR63" i="1"/>
  <c r="AR66" i="1"/>
  <c r="AR65" i="1"/>
  <c r="AR56" i="1"/>
  <c r="BF56" i="1" s="1"/>
  <c r="BG56" i="1" s="1"/>
  <c r="AR57" i="1"/>
  <c r="AR61" i="1"/>
  <c r="BF61" i="1" s="1"/>
  <c r="BG61" i="1" s="1"/>
  <c r="AR60" i="1"/>
  <c r="AR53" i="1"/>
  <c r="AR68" i="1"/>
  <c r="BF68" i="1" s="1"/>
  <c r="BG68" i="1" s="1"/>
  <c r="AR59" i="1"/>
  <c r="AR62" i="1"/>
  <c r="BF62" i="1" s="1"/>
  <c r="BG62" i="1" s="1"/>
  <c r="AR67" i="1"/>
  <c r="AR127" i="1"/>
  <c r="AR38" i="1"/>
  <c r="AR72" i="1"/>
  <c r="BF72" i="1" s="1"/>
  <c r="BG72" i="1" s="1"/>
  <c r="AR37" i="1"/>
  <c r="BF37" i="1" s="1"/>
  <c r="BG37" i="1" s="1"/>
  <c r="AR73" i="1"/>
  <c r="BF73" i="1" s="1"/>
  <c r="BG73" i="1" s="1"/>
  <c r="BM77" i="1"/>
  <c r="B50" i="28"/>
  <c r="B41" i="28"/>
  <c r="B40" i="28"/>
  <c r="B39" i="28"/>
  <c r="B36" i="28"/>
  <c r="AD75" i="1"/>
  <c r="AP41" i="28"/>
  <c r="U311" i="36"/>
  <c r="W311" i="36" s="1"/>
  <c r="U296" i="36"/>
  <c r="W296" i="36" s="1"/>
  <c r="U288" i="36"/>
  <c r="W288" i="36" s="1"/>
  <c r="U287" i="36"/>
  <c r="W287" i="36" s="1"/>
  <c r="U285" i="36"/>
  <c r="W285" i="36" s="1"/>
  <c r="U282" i="36"/>
  <c r="W282" i="36" s="1"/>
  <c r="U283" i="36"/>
  <c r="W283" i="36" s="1"/>
  <c r="U307" i="36"/>
  <c r="W307" i="36" s="1"/>
  <c r="U268" i="36"/>
  <c r="W268" i="36" s="1"/>
  <c r="U284" i="36"/>
  <c r="W284" i="36" s="1"/>
  <c r="U271" i="36"/>
  <c r="W271" i="36" s="1"/>
  <c r="U261" i="36"/>
  <c r="W261" i="36" s="1"/>
  <c r="U278" i="36"/>
  <c r="W278" i="36" s="1"/>
  <c r="U305" i="36"/>
  <c r="W305" i="36" s="1"/>
  <c r="U302" i="36"/>
  <c r="W302" i="36" s="1"/>
  <c r="U260" i="36"/>
  <c r="W260" i="36" s="1"/>
  <c r="U280" i="36"/>
  <c r="W280" i="36" s="1"/>
  <c r="U266" i="36"/>
  <c r="W266" i="36" s="1"/>
  <c r="U275" i="36"/>
  <c r="W275" i="36" s="1"/>
  <c r="U274" i="36"/>
  <c r="W274" i="36" s="1"/>
  <c r="U262" i="36"/>
  <c r="W262" i="36" s="1"/>
  <c r="U298" i="36"/>
  <c r="W298" i="36" s="1"/>
  <c r="U300" i="36"/>
  <c r="W300" i="36" s="1"/>
  <c r="U276" i="36"/>
  <c r="W276" i="36" s="1"/>
  <c r="U281" i="36"/>
  <c r="W281" i="36" s="1"/>
  <c r="U314" i="36"/>
  <c r="W314" i="36" s="1"/>
  <c r="U270" i="36"/>
  <c r="W270" i="36" s="1"/>
  <c r="U269" i="36"/>
  <c r="W269" i="36" s="1"/>
  <c r="U279" i="36"/>
  <c r="W279" i="36" s="1"/>
  <c r="U272" i="36"/>
  <c r="W272" i="36" s="1"/>
  <c r="U265" i="36"/>
  <c r="W265" i="36" s="1"/>
  <c r="U308" i="36"/>
  <c r="W308" i="36" s="1"/>
  <c r="U277" i="36"/>
  <c r="W277" i="36" s="1"/>
  <c r="U310" i="36"/>
  <c r="W310" i="36" s="1"/>
  <c r="U263" i="36"/>
  <c r="W263" i="36" s="1"/>
  <c r="U264" i="36"/>
  <c r="W264" i="36" s="1"/>
  <c r="U309" i="36"/>
  <c r="W309" i="36" s="1"/>
  <c r="U303" i="36"/>
  <c r="W303" i="36" s="1"/>
  <c r="U306" i="36"/>
  <c r="W306" i="36" s="1"/>
  <c r="U301" i="36"/>
  <c r="W301" i="36" s="1"/>
  <c r="U273" i="36"/>
  <c r="W273" i="36" s="1"/>
  <c r="U295" i="36"/>
  <c r="W295" i="36" s="1"/>
  <c r="U267" i="36"/>
  <c r="W267" i="36" s="1"/>
  <c r="U286" i="36"/>
  <c r="W286" i="36" s="1"/>
  <c r="U299" i="36"/>
  <c r="W299" i="36" s="1"/>
  <c r="AD76" i="1"/>
  <c r="N9" i="5"/>
  <c r="N13" i="5"/>
  <c r="N15" i="5"/>
  <c r="N12" i="5"/>
  <c r="N5" i="5"/>
  <c r="H165" i="36"/>
  <c r="H137" i="36"/>
  <c r="H200" i="36" s="1"/>
  <c r="H264" i="36" s="1"/>
  <c r="H134" i="36"/>
  <c r="H197" i="36" s="1"/>
  <c r="H261" i="36" s="1"/>
  <c r="H173" i="36"/>
  <c r="H236" i="36" s="1"/>
  <c r="H300" i="36" s="1"/>
  <c r="H167" i="36"/>
  <c r="H229" i="36" s="1"/>
  <c r="H293" i="36" s="1"/>
  <c r="H136" i="36"/>
  <c r="H199" i="36" s="1"/>
  <c r="H263" i="36" s="1"/>
  <c r="H175" i="36"/>
  <c r="H238" i="36" s="1"/>
  <c r="H302" i="36" s="1"/>
  <c r="H144" i="36"/>
  <c r="H207" i="36" s="1"/>
  <c r="H271" i="36" s="1"/>
  <c r="H140" i="36"/>
  <c r="H203" i="36" s="1"/>
  <c r="H267" i="36" s="1"/>
  <c r="H177" i="36"/>
  <c r="H185" i="36"/>
  <c r="H176" i="36"/>
  <c r="H239" i="36" s="1"/>
  <c r="H303" i="36" s="1"/>
  <c r="H174" i="36"/>
  <c r="H237" i="36" s="1"/>
  <c r="H301" i="36" s="1"/>
  <c r="H172" i="36"/>
  <c r="H235" i="36" s="1"/>
  <c r="H299" i="36" s="1"/>
  <c r="H171" i="36"/>
  <c r="H234" i="36" s="1"/>
  <c r="H298" i="36" s="1"/>
  <c r="K6" i="5"/>
  <c r="K7" i="5"/>
  <c r="AC75" i="1"/>
  <c r="AC76" i="1"/>
  <c r="K3" i="5"/>
  <c r="BC74" i="1"/>
  <c r="BJ86" i="1"/>
  <c r="BA129" i="1"/>
  <c r="BA132" i="1" s="1"/>
  <c r="G188" i="36"/>
  <c r="G251" i="36" s="1"/>
  <c r="G314" i="36" s="1"/>
  <c r="M171" i="36"/>
  <c r="M234" i="36" s="1"/>
  <c r="M298" i="36" s="1"/>
  <c r="D171" i="36"/>
  <c r="D234" i="36" s="1"/>
  <c r="D298" i="36" s="1"/>
  <c r="Q171" i="36"/>
  <c r="Q234" i="36" s="1"/>
  <c r="Q298" i="36" s="1"/>
  <c r="G180" i="36"/>
  <c r="G183" i="36"/>
  <c r="G179" i="36"/>
  <c r="G242" i="36" s="1"/>
  <c r="G306" i="36" s="1"/>
  <c r="G178" i="36"/>
  <c r="G181" i="36"/>
  <c r="G182" i="36"/>
  <c r="G171" i="36"/>
  <c r="G234" i="36" s="1"/>
  <c r="G298" i="36" s="1"/>
  <c r="K171" i="36"/>
  <c r="K234" i="36" s="1"/>
  <c r="K298" i="36" s="1"/>
  <c r="F171" i="36"/>
  <c r="F234" i="36" s="1"/>
  <c r="F298" i="36" s="1"/>
  <c r="I171" i="36"/>
  <c r="I234" i="36" s="1"/>
  <c r="I298" i="36" s="1"/>
  <c r="L171" i="36"/>
  <c r="L234" i="36" s="1"/>
  <c r="L298" i="36" s="1"/>
  <c r="P171" i="36"/>
  <c r="P234" i="36" s="1"/>
  <c r="P298" i="36" s="1"/>
  <c r="C171" i="36"/>
  <c r="N171" i="36"/>
  <c r="N234" i="36" s="1"/>
  <c r="N298" i="36" s="1"/>
  <c r="I18" i="28"/>
  <c r="I14" i="28"/>
  <c r="I13" i="28"/>
  <c r="F129" i="34"/>
  <c r="R129" i="34" s="1"/>
  <c r="N11" i="5"/>
  <c r="N3" i="5"/>
  <c r="N7" i="5"/>
  <c r="N6" i="5"/>
  <c r="N14" i="5"/>
  <c r="N4" i="5"/>
  <c r="K14" i="5"/>
  <c r="K13" i="5"/>
  <c r="K4" i="5"/>
  <c r="K12" i="5"/>
  <c r="K5" i="5"/>
  <c r="AG108" i="34"/>
  <c r="K152" i="36"/>
  <c r="K215" i="36" s="1"/>
  <c r="K279" i="36" s="1"/>
  <c r="AG113" i="34"/>
  <c r="AG115" i="34"/>
  <c r="AG117" i="34"/>
  <c r="N136" i="36"/>
  <c r="N199" i="36" s="1"/>
  <c r="N263" i="36" s="1"/>
  <c r="G167" i="36"/>
  <c r="C167" i="36"/>
  <c r="C229" i="36" s="1"/>
  <c r="C293" i="36" s="1"/>
  <c r="I167" i="36"/>
  <c r="D167" i="36"/>
  <c r="P167" i="36"/>
  <c r="M167" i="36"/>
  <c r="F167" i="36"/>
  <c r="F229" i="36" s="1"/>
  <c r="G144" i="36"/>
  <c r="G207" i="36" s="1"/>
  <c r="G271" i="36" s="1"/>
  <c r="Q174" i="36"/>
  <c r="M134" i="36"/>
  <c r="M197" i="36" s="1"/>
  <c r="M261" i="36" s="1"/>
  <c r="AW41" i="28"/>
  <c r="L41" i="28"/>
  <c r="AM25" i="28"/>
  <c r="M174" i="36"/>
  <c r="P173" i="36"/>
  <c r="D174" i="36"/>
  <c r="G137" i="36"/>
  <c r="G200" i="36" s="1"/>
  <c r="G264" i="36" s="1"/>
  <c r="K174" i="36"/>
  <c r="C175" i="36"/>
  <c r="C238" i="36" s="1"/>
  <c r="C302" i="36" s="1"/>
  <c r="D177" i="36"/>
  <c r="N137" i="36"/>
  <c r="G165" i="36"/>
  <c r="N173" i="36"/>
  <c r="M136" i="36"/>
  <c r="M199" i="36" s="1"/>
  <c r="M263" i="36" s="1"/>
  <c r="I172" i="36"/>
  <c r="D140" i="36"/>
  <c r="D203" i="36" s="1"/>
  <c r="F173" i="36"/>
  <c r="I140" i="36"/>
  <c r="I203" i="36" s="1"/>
  <c r="I267" i="36" s="1"/>
  <c r="G133" i="36"/>
  <c r="G159" i="36"/>
  <c r="G222" i="36" s="1"/>
  <c r="G286" i="36" s="1"/>
  <c r="L175" i="36"/>
  <c r="C165" i="36"/>
  <c r="P134" i="36"/>
  <c r="P197" i="36" s="1"/>
  <c r="P261" i="36" s="1"/>
  <c r="Q136" i="36"/>
  <c r="L173" i="36"/>
  <c r="N140" i="36"/>
  <c r="N203" i="36" s="1"/>
  <c r="N267" i="36" s="1"/>
  <c r="G173" i="36"/>
  <c r="G177" i="36"/>
  <c r="C177" i="36"/>
  <c r="C140" i="36"/>
  <c r="C203" i="36" s="1"/>
  <c r="C267" i="36" s="1"/>
  <c r="P137" i="36"/>
  <c r="P200" i="36" s="1"/>
  <c r="P264" i="36" s="1"/>
  <c r="G140" i="36"/>
  <c r="G203" i="36" s="1"/>
  <c r="G267" i="36" s="1"/>
  <c r="G141" i="36"/>
  <c r="G204" i="36" s="1"/>
  <c r="G268" i="36" s="1"/>
  <c r="L174" i="36"/>
  <c r="K137" i="36"/>
  <c r="K200" i="36" s="1"/>
  <c r="K264" i="36" s="1"/>
  <c r="C172" i="36"/>
  <c r="C235" i="36" s="1"/>
  <c r="C299" i="36" s="1"/>
  <c r="G139" i="36"/>
  <c r="G202" i="36" s="1"/>
  <c r="G266" i="36" s="1"/>
  <c r="M137" i="36"/>
  <c r="M200" i="36" s="1"/>
  <c r="M264" i="36" s="1"/>
  <c r="G143" i="36"/>
  <c r="G206" i="36" s="1"/>
  <c r="G270" i="36" s="1"/>
  <c r="P172" i="36"/>
  <c r="O137" i="36"/>
  <c r="O200" i="36" s="1"/>
  <c r="O264" i="36" s="1"/>
  <c r="K140" i="36"/>
  <c r="K203" i="36" s="1"/>
  <c r="K267" i="36" s="1"/>
  <c r="L172" i="36"/>
  <c r="G134" i="36"/>
  <c r="G197" i="36" s="1"/>
  <c r="G261" i="36" s="1"/>
  <c r="P177" i="36"/>
  <c r="C174" i="36"/>
  <c r="C237" i="36" s="1"/>
  <c r="C301" i="36" s="1"/>
  <c r="I136" i="36"/>
  <c r="I199" i="36" s="1"/>
  <c r="I263" i="36" s="1"/>
  <c r="Q173" i="36"/>
  <c r="D137" i="36"/>
  <c r="D200" i="36" s="1"/>
  <c r="G185" i="36"/>
  <c r="K175" i="36"/>
  <c r="D134" i="36"/>
  <c r="D197" i="36" s="1"/>
  <c r="D261" i="36" s="1"/>
  <c r="Q176" i="36"/>
  <c r="M177" i="36"/>
  <c r="G145" i="36"/>
  <c r="G208" i="36" s="1"/>
  <c r="G272" i="36" s="1"/>
  <c r="I137" i="36"/>
  <c r="I200" i="36" s="1"/>
  <c r="I264" i="36" s="1"/>
  <c r="L137" i="36"/>
  <c r="L200" i="36" s="1"/>
  <c r="L264" i="36" s="1"/>
  <c r="Q172" i="36"/>
  <c r="I176" i="36"/>
  <c r="G170" i="36"/>
  <c r="C137" i="36"/>
  <c r="C200" i="36" s="1"/>
  <c r="C264" i="36" s="1"/>
  <c r="G146" i="36"/>
  <c r="G209" i="36" s="1"/>
  <c r="G273" i="36" s="1"/>
  <c r="N174" i="36"/>
  <c r="F174" i="36"/>
  <c r="P136" i="36"/>
  <c r="P199" i="36" s="1"/>
  <c r="P263" i="36" s="1"/>
  <c r="G153" i="36"/>
  <c r="G216" i="36" s="1"/>
  <c r="G280" i="36" s="1"/>
  <c r="G138" i="36"/>
  <c r="G201" i="36" s="1"/>
  <c r="G265" i="36" s="1"/>
  <c r="G149" i="36"/>
  <c r="G212" i="36" s="1"/>
  <c r="G276" i="36" s="1"/>
  <c r="G176" i="36"/>
  <c r="G175" i="36"/>
  <c r="G160" i="36"/>
  <c r="G223" i="36" s="1"/>
  <c r="G287" i="36" s="1"/>
  <c r="K172" i="36"/>
  <c r="Q140" i="36"/>
  <c r="Q203" i="36" s="1"/>
  <c r="Q267" i="36" s="1"/>
  <c r="M172" i="36"/>
  <c r="L136" i="36"/>
  <c r="L199" i="36" s="1"/>
  <c r="L263" i="36" s="1"/>
  <c r="N134" i="36"/>
  <c r="N197" i="36" s="1"/>
  <c r="N261" i="36" s="1"/>
  <c r="K173" i="36"/>
  <c r="N176" i="36"/>
  <c r="M173" i="36"/>
  <c r="G147" i="36"/>
  <c r="G210" i="36" s="1"/>
  <c r="G274" i="36" s="1"/>
  <c r="P174" i="36"/>
  <c r="F136" i="36"/>
  <c r="F199" i="36" s="1"/>
  <c r="F263" i="36" s="1"/>
  <c r="I177" i="36"/>
  <c r="P140" i="36"/>
  <c r="P203" i="36" s="1"/>
  <c r="P267" i="36" s="1"/>
  <c r="F165" i="36"/>
  <c r="D136" i="36"/>
  <c r="D199" i="36" s="1"/>
  <c r="D263" i="36" s="1"/>
  <c r="G135" i="36"/>
  <c r="G198" i="36" s="1"/>
  <c r="G262" i="36" s="1"/>
  <c r="G152" i="36"/>
  <c r="G215" i="36" s="1"/>
  <c r="G279" i="36" s="1"/>
  <c r="D175" i="36"/>
  <c r="K136" i="36"/>
  <c r="K199" i="36" s="1"/>
  <c r="K263" i="36" s="1"/>
  <c r="G169" i="36"/>
  <c r="M176" i="36"/>
  <c r="N172" i="36"/>
  <c r="F175" i="36"/>
  <c r="D173" i="36"/>
  <c r="F137" i="36"/>
  <c r="F200" i="36" s="1"/>
  <c r="F264" i="36" s="1"/>
  <c r="I134" i="36"/>
  <c r="I197" i="36" s="1"/>
  <c r="I261" i="36" s="1"/>
  <c r="G174" i="36"/>
  <c r="D172" i="36"/>
  <c r="G156" i="36"/>
  <c r="G219" i="36" s="1"/>
  <c r="G283" i="36" s="1"/>
  <c r="G148" i="36"/>
  <c r="G211" i="36" s="1"/>
  <c r="G275" i="36" s="1"/>
  <c r="I165" i="36"/>
  <c r="P176" i="36"/>
  <c r="G151" i="36"/>
  <c r="G214" i="36" s="1"/>
  <c r="G278" i="36" s="1"/>
  <c r="F177" i="36"/>
  <c r="I175" i="36"/>
  <c r="M140" i="36"/>
  <c r="M203" i="36" s="1"/>
  <c r="M267" i="36" s="1"/>
  <c r="G158" i="36"/>
  <c r="G221" i="36" s="1"/>
  <c r="G285" i="36" s="1"/>
  <c r="Q134" i="36"/>
  <c r="Q197" i="36" s="1"/>
  <c r="Q261" i="36" s="1"/>
  <c r="F172" i="36"/>
  <c r="I173" i="36"/>
  <c r="G184" i="36"/>
  <c r="G157" i="36"/>
  <c r="G220" i="36" s="1"/>
  <c r="G284" i="36" s="1"/>
  <c r="D176" i="36"/>
  <c r="Q137" i="36"/>
  <c r="Q200" i="36" s="1"/>
  <c r="Q264" i="36" s="1"/>
  <c r="G136" i="36"/>
  <c r="G199" i="36" s="1"/>
  <c r="G263" i="36" s="1"/>
  <c r="F134" i="36"/>
  <c r="F197" i="36" s="1"/>
  <c r="F261" i="36" s="1"/>
  <c r="C134" i="36"/>
  <c r="C197" i="36" s="1"/>
  <c r="C136" i="36"/>
  <c r="C199" i="36" s="1"/>
  <c r="K176" i="36"/>
  <c r="L140" i="36"/>
  <c r="L203" i="36" s="1"/>
  <c r="L267" i="36" s="1"/>
  <c r="G172" i="36"/>
  <c r="P175" i="36"/>
  <c r="M165" i="36"/>
  <c r="C173" i="36"/>
  <c r="C236" i="36" s="1"/>
  <c r="C300" i="36" s="1"/>
  <c r="C176" i="36"/>
  <c r="C239" i="36" s="1"/>
  <c r="C303" i="36" s="1"/>
  <c r="L134" i="36"/>
  <c r="L197" i="36" s="1"/>
  <c r="L261" i="36" s="1"/>
  <c r="G150" i="36"/>
  <c r="G213" i="36" s="1"/>
  <c r="G277" i="36" s="1"/>
  <c r="Q175" i="36"/>
  <c r="M175" i="36"/>
  <c r="O134" i="36"/>
  <c r="O197" i="36" s="1"/>
  <c r="O261" i="36" s="1"/>
  <c r="G154" i="36"/>
  <c r="G217" i="36" s="1"/>
  <c r="G281" i="36" s="1"/>
  <c r="F140" i="36"/>
  <c r="F203" i="36" s="1"/>
  <c r="F267" i="36" s="1"/>
  <c r="N175" i="36"/>
  <c r="I174" i="36"/>
  <c r="G161" i="36"/>
  <c r="G224" i="36" s="1"/>
  <c r="G288" i="36" s="1"/>
  <c r="K134" i="36"/>
  <c r="K197" i="36" s="1"/>
  <c r="K261" i="36" s="1"/>
  <c r="F176" i="36"/>
  <c r="L176" i="36"/>
  <c r="G142" i="36"/>
  <c r="G205" i="36" s="1"/>
  <c r="G269" i="36" s="1"/>
  <c r="G155" i="36"/>
  <c r="G218" i="36" s="1"/>
  <c r="G282" i="36" s="1"/>
  <c r="P165" i="36"/>
  <c r="D165" i="36"/>
  <c r="AS49" i="28"/>
  <c r="AS7" i="28"/>
  <c r="AS8" i="28"/>
  <c r="AS39" i="28"/>
  <c r="AM54" i="28"/>
  <c r="AM41" i="28"/>
  <c r="AM46" i="28"/>
  <c r="AS17" i="28"/>
  <c r="AS11" i="28"/>
  <c r="AM40" i="28"/>
  <c r="AM50" i="28"/>
  <c r="AS45" i="28"/>
  <c r="AM36" i="28"/>
  <c r="AS36" i="28"/>
  <c r="AM39" i="28"/>
  <c r="AM47" i="28"/>
  <c r="AM49" i="28"/>
  <c r="AS21" i="28"/>
  <c r="AS6" i="28"/>
  <c r="AS41" i="28"/>
  <c r="AS15" i="28"/>
  <c r="AP47" i="28"/>
  <c r="AS24" i="28"/>
  <c r="AM48" i="28"/>
  <c r="AQ50" i="28"/>
  <c r="AM15" i="28"/>
  <c r="AS23" i="28"/>
  <c r="AM18" i="28"/>
  <c r="AS40" i="28"/>
  <c r="I35" i="28"/>
  <c r="AS54" i="28"/>
  <c r="AS9" i="28"/>
  <c r="AS10" i="28"/>
  <c r="AS20" i="28"/>
  <c r="AS50" i="28"/>
  <c r="AS44" i="28"/>
  <c r="AB3" i="34"/>
  <c r="T124" i="34"/>
  <c r="U124" i="34" s="1"/>
  <c r="AL124" i="34" s="1"/>
  <c r="AB124" i="34"/>
  <c r="D181" i="36" s="1"/>
  <c r="AA124" i="34"/>
  <c r="C181" i="36" s="1"/>
  <c r="AH124" i="34"/>
  <c r="L181" i="36" s="1"/>
  <c r="AF124" i="34"/>
  <c r="I181" i="36" s="1"/>
  <c r="AI124" i="34"/>
  <c r="M181" i="36" s="1"/>
  <c r="AG124" i="34"/>
  <c r="AC124" i="34"/>
  <c r="AD124" i="34"/>
  <c r="F181" i="36" s="1"/>
  <c r="AM124" i="34"/>
  <c r="P181" i="36" s="1"/>
  <c r="H156" i="36"/>
  <c r="H219" i="36" s="1"/>
  <c r="H283" i="36" s="1"/>
  <c r="AA3" i="34"/>
  <c r="AC3" i="34"/>
  <c r="H138" i="36"/>
  <c r="H201" i="36" s="1"/>
  <c r="H265" i="36" s="1"/>
  <c r="D138" i="36"/>
  <c r="D201" i="36" s="1"/>
  <c r="D265" i="36" s="1"/>
  <c r="K138" i="36"/>
  <c r="K201" i="36" s="1"/>
  <c r="K265" i="36" s="1"/>
  <c r="M138" i="36"/>
  <c r="M201" i="36" s="1"/>
  <c r="M265" i="36" s="1"/>
  <c r="H152" i="36"/>
  <c r="H215" i="36" s="1"/>
  <c r="H279" i="36" s="1"/>
  <c r="AI123" i="34"/>
  <c r="M180" i="36" s="1"/>
  <c r="AC123" i="34"/>
  <c r="AD123" i="34"/>
  <c r="F180" i="36" s="1"/>
  <c r="AB123" i="34"/>
  <c r="D180" i="36" s="1"/>
  <c r="AG123" i="34"/>
  <c r="T123" i="34"/>
  <c r="U123" i="34" s="1"/>
  <c r="AL123" i="34" s="1"/>
  <c r="AH123" i="34"/>
  <c r="L180" i="36" s="1"/>
  <c r="AF123" i="34"/>
  <c r="I180" i="36" s="1"/>
  <c r="AA123" i="34"/>
  <c r="C180" i="36" s="1"/>
  <c r="AM123" i="34"/>
  <c r="P180" i="36" s="1"/>
  <c r="F135" i="36"/>
  <c r="F198" i="36" s="1"/>
  <c r="F262" i="36" s="1"/>
  <c r="M135" i="36"/>
  <c r="M198" i="36" s="1"/>
  <c r="M262" i="36" s="1"/>
  <c r="D135" i="36"/>
  <c r="D198" i="36" s="1"/>
  <c r="D262" i="36" s="1"/>
  <c r="L135" i="36"/>
  <c r="L198" i="36" s="1"/>
  <c r="L262" i="36" s="1"/>
  <c r="K135" i="36"/>
  <c r="K198" i="36" s="1"/>
  <c r="K262" i="36" s="1"/>
  <c r="P135" i="36"/>
  <c r="P198" i="36" s="1"/>
  <c r="P262" i="36" s="1"/>
  <c r="AI113" i="34"/>
  <c r="AF113" i="34"/>
  <c r="H158" i="36" s="1"/>
  <c r="H221" i="36" s="1"/>
  <c r="H285" i="36" s="1"/>
  <c r="AH113" i="34"/>
  <c r="T113" i="34"/>
  <c r="U113" i="34" s="1"/>
  <c r="AL113" i="34" s="1"/>
  <c r="AC113" i="34"/>
  <c r="AD113" i="34"/>
  <c r="AB113" i="34"/>
  <c r="AA113" i="34"/>
  <c r="AM113" i="34"/>
  <c r="AC110" i="34"/>
  <c r="AH110" i="34"/>
  <c r="AG110" i="34"/>
  <c r="AA110" i="34"/>
  <c r="AF110" i="34"/>
  <c r="H154" i="36" s="1"/>
  <c r="H217" i="36" s="1"/>
  <c r="H281" i="36" s="1"/>
  <c r="AB110" i="34"/>
  <c r="AI110" i="34"/>
  <c r="T110" i="34"/>
  <c r="U110" i="34" s="1"/>
  <c r="AL110" i="34" s="1"/>
  <c r="AD110" i="34"/>
  <c r="AM110" i="34"/>
  <c r="AD101" i="34"/>
  <c r="F141" i="36" s="1"/>
  <c r="F204" i="36" s="1"/>
  <c r="F268" i="36" s="1"/>
  <c r="AB101" i="34"/>
  <c r="D141" i="36" s="1"/>
  <c r="D204" i="36" s="1"/>
  <c r="D268" i="36" s="1"/>
  <c r="AI101" i="34"/>
  <c r="AH101" i="34"/>
  <c r="AC101" i="34"/>
  <c r="AG101" i="34"/>
  <c r="K141" i="36" s="1"/>
  <c r="K204" i="36" s="1"/>
  <c r="K268" i="36" s="1"/>
  <c r="T101" i="34"/>
  <c r="U101" i="34" s="1"/>
  <c r="AL101" i="34" s="1"/>
  <c r="AA101" i="34"/>
  <c r="AF101" i="34"/>
  <c r="H141" i="36" s="1"/>
  <c r="H204" i="36" s="1"/>
  <c r="H268" i="36" s="1"/>
  <c r="AM101" i="34"/>
  <c r="AB102" i="34"/>
  <c r="D142" i="36" s="1"/>
  <c r="D205" i="36" s="1"/>
  <c r="D269" i="36" s="1"/>
  <c r="AI102" i="34"/>
  <c r="M142" i="36" s="1"/>
  <c r="M205" i="36" s="1"/>
  <c r="M269" i="36" s="1"/>
  <c r="AA102" i="34"/>
  <c r="C142" i="36" s="1"/>
  <c r="C205" i="36" s="1"/>
  <c r="AC102" i="34"/>
  <c r="AD102" i="34"/>
  <c r="F142" i="36" s="1"/>
  <c r="F205" i="36" s="1"/>
  <c r="F269" i="36" s="1"/>
  <c r="AF102" i="34"/>
  <c r="AH102" i="34"/>
  <c r="L142" i="36" s="1"/>
  <c r="L205" i="36" s="1"/>
  <c r="L269" i="36" s="1"/>
  <c r="T102" i="34"/>
  <c r="U102" i="34" s="1"/>
  <c r="AL102" i="34" s="1"/>
  <c r="AG102" i="34"/>
  <c r="K144" i="36" s="1"/>
  <c r="K207" i="36" s="1"/>
  <c r="K271" i="36" s="1"/>
  <c r="AM102" i="34"/>
  <c r="P142" i="36" s="1"/>
  <c r="P205" i="36" s="1"/>
  <c r="P269" i="36" s="1"/>
  <c r="H145" i="36"/>
  <c r="H208" i="36" s="1"/>
  <c r="H272" i="36" s="1"/>
  <c r="AI107" i="34"/>
  <c r="AF107" i="34"/>
  <c r="H150" i="36" s="1"/>
  <c r="H213" i="36" s="1"/>
  <c r="H277" i="36" s="1"/>
  <c r="AB107" i="34"/>
  <c r="AG107" i="34"/>
  <c r="AH107" i="34"/>
  <c r="T107" i="34"/>
  <c r="U107" i="34" s="1"/>
  <c r="AL107" i="34" s="1"/>
  <c r="AA107" i="34"/>
  <c r="AD107" i="34"/>
  <c r="AC107" i="34"/>
  <c r="AM107" i="34"/>
  <c r="N132" i="1"/>
  <c r="L132" i="34" s="1"/>
  <c r="L129" i="34"/>
  <c r="T129" i="1"/>
  <c r="T132" i="1" s="1"/>
  <c r="M139" i="36"/>
  <c r="M202" i="36" s="1"/>
  <c r="M266" i="36" s="1"/>
  <c r="D139" i="36"/>
  <c r="D202" i="36" s="1"/>
  <c r="D266" i="36" s="1"/>
  <c r="K139" i="36"/>
  <c r="K202" i="36" s="1"/>
  <c r="K266" i="36" s="1"/>
  <c r="H139" i="36"/>
  <c r="H202" i="36" s="1"/>
  <c r="H266" i="36" s="1"/>
  <c r="K133" i="36"/>
  <c r="AF3" i="34"/>
  <c r="AC108" i="34"/>
  <c r="AA108" i="34"/>
  <c r="AI108" i="34"/>
  <c r="AB108" i="34"/>
  <c r="AH108" i="34"/>
  <c r="AF108" i="34"/>
  <c r="H151" i="36" s="1"/>
  <c r="H214" i="36" s="1"/>
  <c r="H278" i="36" s="1"/>
  <c r="AD108" i="34"/>
  <c r="T108" i="34"/>
  <c r="U108" i="34" s="1"/>
  <c r="AL108" i="34" s="1"/>
  <c r="AM108" i="34"/>
  <c r="AG114" i="34"/>
  <c r="AB114" i="34"/>
  <c r="AH114" i="34"/>
  <c r="AA114" i="34"/>
  <c r="AI114" i="34"/>
  <c r="AF114" i="34"/>
  <c r="H159" i="36" s="1"/>
  <c r="H222" i="36" s="1"/>
  <c r="H286" i="36" s="1"/>
  <c r="T114" i="34"/>
  <c r="U114" i="34" s="1"/>
  <c r="AL114" i="34" s="1"/>
  <c r="AD114" i="34"/>
  <c r="AC114" i="34"/>
  <c r="AM114" i="34"/>
  <c r="AB125" i="34"/>
  <c r="D182" i="36" s="1"/>
  <c r="AG125" i="34"/>
  <c r="AI125" i="34"/>
  <c r="M182" i="36" s="1"/>
  <c r="AA125" i="34"/>
  <c r="C182" i="36" s="1"/>
  <c r="AF125" i="34"/>
  <c r="I182" i="36" s="1"/>
  <c r="AH125" i="34"/>
  <c r="L182" i="36" s="1"/>
  <c r="T125" i="34"/>
  <c r="U125" i="34" s="1"/>
  <c r="AL125" i="34" s="1"/>
  <c r="AD125" i="34"/>
  <c r="F182" i="36" s="1"/>
  <c r="AC125" i="34"/>
  <c r="AM125" i="34"/>
  <c r="P182" i="36" s="1"/>
  <c r="AI121" i="34"/>
  <c r="M178" i="36" s="1"/>
  <c r="M241" i="36" s="1"/>
  <c r="M305" i="36" s="1"/>
  <c r="AB121" i="34"/>
  <c r="D178" i="36" s="1"/>
  <c r="D241" i="36" s="1"/>
  <c r="D305" i="36" s="1"/>
  <c r="AF121" i="34"/>
  <c r="AD121" i="34"/>
  <c r="F178" i="36" s="1"/>
  <c r="F241" i="36" s="1"/>
  <c r="F305" i="36" s="1"/>
  <c r="AG121" i="34"/>
  <c r="K178" i="36" s="1"/>
  <c r="K241" i="36" s="1"/>
  <c r="K305" i="36" s="1"/>
  <c r="AA121" i="34"/>
  <c r="C178" i="36" s="1"/>
  <c r="C241" i="36" s="1"/>
  <c r="C305" i="36" s="1"/>
  <c r="AC121" i="34"/>
  <c r="AH121" i="34"/>
  <c r="L178" i="36" s="1"/>
  <c r="L241" i="36" s="1"/>
  <c r="L305" i="36" s="1"/>
  <c r="T121" i="34"/>
  <c r="U121" i="34" s="1"/>
  <c r="AL121" i="34" s="1"/>
  <c r="AM121" i="34"/>
  <c r="P178" i="36" s="1"/>
  <c r="P241" i="36" s="1"/>
  <c r="P305" i="36" s="1"/>
  <c r="AB115" i="34"/>
  <c r="AF115" i="34"/>
  <c r="H160" i="36" s="1"/>
  <c r="H223" i="36" s="1"/>
  <c r="H287" i="36" s="1"/>
  <c r="AD115" i="34"/>
  <c r="AI115" i="34"/>
  <c r="AA115" i="34"/>
  <c r="AH115" i="34"/>
  <c r="T115" i="34"/>
  <c r="U115" i="34" s="1"/>
  <c r="AL115" i="34" s="1"/>
  <c r="AC115" i="34"/>
  <c r="AM115" i="34"/>
  <c r="AB126" i="34"/>
  <c r="D183" i="36" s="1"/>
  <c r="AF126" i="34"/>
  <c r="I183" i="36" s="1"/>
  <c r="AD126" i="34"/>
  <c r="F183" i="36" s="1"/>
  <c r="AI126" i="34"/>
  <c r="M183" i="36" s="1"/>
  <c r="AA126" i="34"/>
  <c r="C185" i="36" s="1"/>
  <c r="T126" i="34"/>
  <c r="U126" i="34" s="1"/>
  <c r="AL126" i="34" s="1"/>
  <c r="AH126" i="34"/>
  <c r="L183" i="36" s="1"/>
  <c r="AC126" i="34"/>
  <c r="AG126" i="34"/>
  <c r="AM126" i="34"/>
  <c r="P183" i="36" s="1"/>
  <c r="D133" i="36"/>
  <c r="F133" i="36"/>
  <c r="AD3" i="34"/>
  <c r="AG104" i="34"/>
  <c r="AA104" i="34"/>
  <c r="AC104" i="34"/>
  <c r="AD104" i="34"/>
  <c r="AB104" i="34"/>
  <c r="AH104" i="34"/>
  <c r="AI104" i="34"/>
  <c r="T104" i="34"/>
  <c r="U104" i="34" s="1"/>
  <c r="AL104" i="34" s="1"/>
  <c r="AF104" i="34"/>
  <c r="AM104" i="34"/>
  <c r="AC111" i="34"/>
  <c r="T111" i="34"/>
  <c r="U111" i="34" s="1"/>
  <c r="AL111" i="34" s="1"/>
  <c r="AH111" i="34"/>
  <c r="AB111" i="34"/>
  <c r="AG111" i="34"/>
  <c r="AA111" i="34"/>
  <c r="AD111" i="34"/>
  <c r="AI111" i="34"/>
  <c r="AF111" i="34"/>
  <c r="H155" i="36" s="1"/>
  <c r="H218" i="36" s="1"/>
  <c r="H282" i="36" s="1"/>
  <c r="AM111" i="34"/>
  <c r="AB128" i="34"/>
  <c r="D188" i="36" s="1"/>
  <c r="D251" i="36" s="1"/>
  <c r="D314" i="36" s="1"/>
  <c r="AI128" i="34"/>
  <c r="M188" i="36" s="1"/>
  <c r="M251" i="36" s="1"/>
  <c r="M314" i="36" s="1"/>
  <c r="AH128" i="34"/>
  <c r="L188" i="36" s="1"/>
  <c r="L251" i="36" s="1"/>
  <c r="L314" i="36" s="1"/>
  <c r="AA128" i="34"/>
  <c r="C188" i="36" s="1"/>
  <c r="C251" i="36" s="1"/>
  <c r="C314" i="36" s="1"/>
  <c r="AF128" i="34"/>
  <c r="AC128" i="34"/>
  <c r="AD128" i="34"/>
  <c r="F188" i="36" s="1"/>
  <c r="F251" i="36" s="1"/>
  <c r="F314" i="36" s="1"/>
  <c r="AG128" i="34"/>
  <c r="K188" i="36" s="1"/>
  <c r="K251" i="36" s="1"/>
  <c r="K314" i="36" s="1"/>
  <c r="T128" i="34"/>
  <c r="U128" i="34" s="1"/>
  <c r="AL128" i="34" s="1"/>
  <c r="AM128" i="34"/>
  <c r="P188" i="36" s="1"/>
  <c r="P251" i="36" s="1"/>
  <c r="P314" i="36" s="1"/>
  <c r="AA103" i="34"/>
  <c r="AB103" i="34"/>
  <c r="AF103" i="34"/>
  <c r="AG103" i="34"/>
  <c r="AI103" i="34"/>
  <c r="AC103" i="34"/>
  <c r="AH103" i="34"/>
  <c r="T103" i="34"/>
  <c r="U103" i="34" s="1"/>
  <c r="AL103" i="34" s="1"/>
  <c r="AD103" i="34"/>
  <c r="AM103" i="34"/>
  <c r="AC127" i="34"/>
  <c r="AD127" i="34"/>
  <c r="AI127" i="34"/>
  <c r="AG127" i="34"/>
  <c r="AH127" i="34"/>
  <c r="AB127" i="34"/>
  <c r="AF127" i="34"/>
  <c r="H184" i="36" s="1"/>
  <c r="H247" i="36" s="1"/>
  <c r="H311" i="36" s="1"/>
  <c r="AA127" i="34"/>
  <c r="T127" i="34"/>
  <c r="U127" i="34" s="1"/>
  <c r="AL127" i="34" s="1"/>
  <c r="AM127" i="34"/>
  <c r="AA109" i="34"/>
  <c r="T109" i="34"/>
  <c r="U109" i="34" s="1"/>
  <c r="AL109" i="34" s="1"/>
  <c r="AG109" i="34"/>
  <c r="AB109" i="34"/>
  <c r="AD109" i="34"/>
  <c r="AI109" i="34"/>
  <c r="AH109" i="34"/>
  <c r="AC109" i="34"/>
  <c r="AF109" i="34"/>
  <c r="H153" i="36" s="1"/>
  <c r="H216" i="36" s="1"/>
  <c r="H280" i="36" s="1"/>
  <c r="AM109" i="34"/>
  <c r="M143" i="36"/>
  <c r="M206" i="36" s="1"/>
  <c r="M270" i="36" s="1"/>
  <c r="F143" i="36"/>
  <c r="F206" i="36" s="1"/>
  <c r="F270" i="36" s="1"/>
  <c r="C143" i="36"/>
  <c r="C206" i="36" s="1"/>
  <c r="L143" i="36"/>
  <c r="L206" i="36" s="1"/>
  <c r="L270" i="36" s="1"/>
  <c r="P143" i="36"/>
  <c r="P206" i="36" s="1"/>
  <c r="P270" i="36" s="1"/>
  <c r="AI116" i="34"/>
  <c r="AC116" i="34"/>
  <c r="AD116" i="34"/>
  <c r="AB116" i="34"/>
  <c r="T116" i="34"/>
  <c r="U116" i="34" s="1"/>
  <c r="AL116" i="34" s="1"/>
  <c r="AA116" i="34"/>
  <c r="AG116" i="34"/>
  <c r="AH116" i="34"/>
  <c r="AF116" i="34"/>
  <c r="AM116" i="34"/>
  <c r="O100" i="34"/>
  <c r="AG100" i="34" s="1"/>
  <c r="AF117" i="34"/>
  <c r="H170" i="36" s="1"/>
  <c r="H232" i="36" s="1"/>
  <c r="H296" i="36" s="1"/>
  <c r="AC117" i="34"/>
  <c r="AD117" i="34"/>
  <c r="F170" i="36" s="1"/>
  <c r="AB117" i="34"/>
  <c r="D170" i="36" s="1"/>
  <c r="AH117" i="34"/>
  <c r="AA117" i="34"/>
  <c r="AI117" i="34"/>
  <c r="M170" i="36" s="1"/>
  <c r="T117" i="34"/>
  <c r="U117" i="34" s="1"/>
  <c r="AL117" i="34" s="1"/>
  <c r="AM117" i="34"/>
  <c r="AG122" i="34"/>
  <c r="K179" i="36" s="1"/>
  <c r="K242" i="36" s="1"/>
  <c r="K306" i="36" s="1"/>
  <c r="AI122" i="34"/>
  <c r="M179" i="36" s="1"/>
  <c r="M242" i="36" s="1"/>
  <c r="M306" i="36" s="1"/>
  <c r="AH122" i="34"/>
  <c r="L179" i="36" s="1"/>
  <c r="L242" i="36" s="1"/>
  <c r="L306" i="36" s="1"/>
  <c r="AB122" i="34"/>
  <c r="D179" i="36" s="1"/>
  <c r="D242" i="36" s="1"/>
  <c r="D306" i="36" s="1"/>
  <c r="AF122" i="34"/>
  <c r="AD122" i="34"/>
  <c r="F179" i="36" s="1"/>
  <c r="F242" i="36" s="1"/>
  <c r="F306" i="36" s="1"/>
  <c r="AA122" i="34"/>
  <c r="C179" i="36" s="1"/>
  <c r="AC122" i="34"/>
  <c r="T122" i="34"/>
  <c r="U122" i="34" s="1"/>
  <c r="AL122" i="34" s="1"/>
  <c r="AM122" i="34"/>
  <c r="P179" i="36" s="1"/>
  <c r="P242" i="36" s="1"/>
  <c r="P306" i="36" s="1"/>
  <c r="AI3" i="34"/>
  <c r="AF106" i="34"/>
  <c r="H149" i="36" s="1"/>
  <c r="H212" i="36" s="1"/>
  <c r="H276" i="36" s="1"/>
  <c r="AG106" i="34"/>
  <c r="AB106" i="34"/>
  <c r="AI106" i="34"/>
  <c r="AA106" i="34"/>
  <c r="T106" i="34"/>
  <c r="U106" i="34" s="1"/>
  <c r="AL106" i="34" s="1"/>
  <c r="AH106" i="34"/>
  <c r="AC106" i="34"/>
  <c r="AD106" i="34"/>
  <c r="AM106" i="34"/>
  <c r="AD112" i="34"/>
  <c r="AI112" i="34"/>
  <c r="AA112" i="34"/>
  <c r="AF112" i="34"/>
  <c r="H157" i="36" s="1"/>
  <c r="H220" i="36" s="1"/>
  <c r="H284" i="36" s="1"/>
  <c r="AB112" i="34"/>
  <c r="T112" i="34"/>
  <c r="U112" i="34" s="1"/>
  <c r="AL112" i="34" s="1"/>
  <c r="AH112" i="34"/>
  <c r="AC112" i="34"/>
  <c r="AG112" i="34"/>
  <c r="AM112" i="34"/>
  <c r="AI105" i="34"/>
  <c r="T105" i="34"/>
  <c r="U105" i="34" s="1"/>
  <c r="AL105" i="34" s="1"/>
  <c r="AH105" i="34"/>
  <c r="AB105" i="34"/>
  <c r="AF105" i="34"/>
  <c r="H148" i="36" s="1"/>
  <c r="H211" i="36" s="1"/>
  <c r="H275" i="36" s="1"/>
  <c r="AC105" i="34"/>
  <c r="AD105" i="34"/>
  <c r="AA105" i="34"/>
  <c r="AG105" i="34"/>
  <c r="AM105" i="34"/>
  <c r="E22" i="28"/>
  <c r="E11" i="28"/>
  <c r="L11" i="28" s="1"/>
  <c r="E24" i="28"/>
  <c r="J37" i="28"/>
  <c r="AT37" i="28" s="1"/>
  <c r="E10" i="28"/>
  <c r="E6" i="28"/>
  <c r="L6" i="28" s="1"/>
  <c r="E23" i="28"/>
  <c r="L23" i="28" s="1"/>
  <c r="E17" i="28"/>
  <c r="E21" i="28"/>
  <c r="AP14" i="28"/>
  <c r="E15" i="28"/>
  <c r="L15" i="28" s="1"/>
  <c r="E8" i="28"/>
  <c r="G37" i="28"/>
  <c r="AQ37" i="28" s="1"/>
  <c r="F51" i="28"/>
  <c r="I42" i="28"/>
  <c r="H37" i="28"/>
  <c r="AR37" i="28" s="1"/>
  <c r="J42" i="28"/>
  <c r="J51" i="28"/>
  <c r="J26" i="28"/>
  <c r="E42" i="28"/>
  <c r="H51" i="28"/>
  <c r="G26" i="28"/>
  <c r="G51" i="28"/>
  <c r="F37" i="28"/>
  <c r="AP37" i="28" s="1"/>
  <c r="G42" i="28"/>
  <c r="AF129" i="1"/>
  <c r="AF132" i="1" s="1"/>
  <c r="AM129" i="1"/>
  <c r="AI129" i="1"/>
  <c r="AI132" i="1" s="1"/>
  <c r="AK129" i="1"/>
  <c r="AL129" i="1"/>
  <c r="M129" i="1"/>
  <c r="BF38" i="1" l="1"/>
  <c r="BG38" i="1" s="1"/>
  <c r="BF67" i="1"/>
  <c r="BG67" i="1" s="1"/>
  <c r="BF18" i="1"/>
  <c r="BG18" i="1" s="1"/>
  <c r="BF57" i="1"/>
  <c r="BG57" i="1" s="1"/>
  <c r="BF27" i="1"/>
  <c r="BG27" i="1" s="1"/>
  <c r="BF65" i="1"/>
  <c r="BG65" i="1" s="1"/>
  <c r="BF21" i="1"/>
  <c r="BG21" i="1" s="1"/>
  <c r="BF53" i="1"/>
  <c r="BG53" i="1" s="1"/>
  <c r="BF28" i="1"/>
  <c r="BG28" i="1" s="1"/>
  <c r="BF48" i="1"/>
  <c r="BG48" i="1" s="1"/>
  <c r="BF59" i="1"/>
  <c r="BG59" i="1" s="1"/>
  <c r="BF60" i="1"/>
  <c r="BG60" i="1" s="1"/>
  <c r="BF66" i="1"/>
  <c r="BG66" i="1" s="1"/>
  <c r="BF63" i="1"/>
  <c r="BG63" i="1" s="1"/>
  <c r="BF47" i="1"/>
  <c r="BG47" i="1" s="1"/>
  <c r="BF113" i="1"/>
  <c r="BG113" i="1" s="1"/>
  <c r="AU87" i="1"/>
  <c r="BF87" i="1" s="1"/>
  <c r="BG87" i="1" s="1"/>
  <c r="AU111" i="1"/>
  <c r="BF111" i="1" s="1"/>
  <c r="BG111" i="1" s="1"/>
  <c r="BF110" i="1"/>
  <c r="BG110" i="1" s="1"/>
  <c r="AU127" i="1"/>
  <c r="BF127" i="1" s="1"/>
  <c r="BG127" i="1" s="1"/>
  <c r="BF106" i="1"/>
  <c r="BG106" i="1" s="1"/>
  <c r="BF112" i="1"/>
  <c r="BG112" i="1" s="1"/>
  <c r="AU121" i="1"/>
  <c r="BF121" i="1" s="1"/>
  <c r="BG121" i="1" s="1"/>
  <c r="BF114" i="1"/>
  <c r="BG114" i="1" s="1"/>
  <c r="AU123" i="1"/>
  <c r="BF123" i="1" s="1"/>
  <c r="BG123" i="1" s="1"/>
  <c r="AU117" i="1"/>
  <c r="BF117" i="1" s="1"/>
  <c r="BG117" i="1" s="1"/>
  <c r="AK85" i="34"/>
  <c r="AN85" i="34"/>
  <c r="AK93" i="34"/>
  <c r="AN93" i="34"/>
  <c r="AV82" i="1"/>
  <c r="AZ82" i="1" s="1"/>
  <c r="BE82" i="1" s="1"/>
  <c r="AT82" i="1"/>
  <c r="AQ82" i="1"/>
  <c r="AS82" i="1"/>
  <c r="AR82" i="1"/>
  <c r="AU122" i="1"/>
  <c r="BF122" i="1" s="1"/>
  <c r="BG122" i="1" s="1"/>
  <c r="AK98" i="34"/>
  <c r="AN98" i="34"/>
  <c r="AK83" i="34"/>
  <c r="AN83" i="34"/>
  <c r="AS78" i="1"/>
  <c r="AT78" i="1"/>
  <c r="AV78" i="1"/>
  <c r="AZ78" i="1" s="1"/>
  <c r="BE78" i="1" s="1"/>
  <c r="AQ78" i="1"/>
  <c r="AU116" i="1"/>
  <c r="BF116" i="1" s="1"/>
  <c r="BG116" i="1" s="1"/>
  <c r="AK94" i="34"/>
  <c r="AN94" i="34"/>
  <c r="AT79" i="1"/>
  <c r="AV79" i="1"/>
  <c r="AZ79" i="1" s="1"/>
  <c r="BE79" i="1" s="1"/>
  <c r="AS79" i="1"/>
  <c r="AU79" i="1" s="1"/>
  <c r="AQ79" i="1"/>
  <c r="AK95" i="34"/>
  <c r="AN95" i="34"/>
  <c r="BF104" i="1"/>
  <c r="BG104" i="1" s="1"/>
  <c r="AN86" i="34"/>
  <c r="AK86" i="34"/>
  <c r="AQ92" i="1"/>
  <c r="AT92" i="1"/>
  <c r="AS92" i="1"/>
  <c r="AK79" i="34"/>
  <c r="AN79" i="34"/>
  <c r="AK80" i="34"/>
  <c r="AN80" i="34"/>
  <c r="BF108" i="1"/>
  <c r="BG108" i="1" s="1"/>
  <c r="AV85" i="1"/>
  <c r="AZ85" i="1" s="1"/>
  <c r="BE85" i="1" s="1"/>
  <c r="AQ85" i="1"/>
  <c r="AS85" i="1"/>
  <c r="AT85" i="1"/>
  <c r="AR85" i="1"/>
  <c r="P152" i="36"/>
  <c r="P215" i="36" s="1"/>
  <c r="P279" i="36" s="1"/>
  <c r="C147" i="36"/>
  <c r="C210" i="36" s="1"/>
  <c r="C274" i="36" s="1"/>
  <c r="AP75" i="1"/>
  <c r="AW75" i="1"/>
  <c r="AW76" i="1"/>
  <c r="AP76" i="1"/>
  <c r="N200" i="36"/>
  <c r="N264" i="36" s="1"/>
  <c r="Q199" i="36"/>
  <c r="Q263" i="36" s="1"/>
  <c r="AV41" i="28"/>
  <c r="M41" i="28"/>
  <c r="AM132" i="1"/>
  <c r="Q132" i="34" s="1"/>
  <c r="Q129" i="34"/>
  <c r="G196" i="36"/>
  <c r="G162" i="36"/>
  <c r="D196" i="36"/>
  <c r="K196" i="36"/>
  <c r="F196" i="36"/>
  <c r="H169" i="36"/>
  <c r="H231" i="36" s="1"/>
  <c r="H295" i="36" s="1"/>
  <c r="H146" i="36"/>
  <c r="H209" i="36" s="1"/>
  <c r="H273" i="36" s="1"/>
  <c r="H182" i="36"/>
  <c r="H245" i="36" s="1"/>
  <c r="H309" i="36" s="1"/>
  <c r="H147" i="36"/>
  <c r="H210" i="36" s="1"/>
  <c r="H274" i="36" s="1"/>
  <c r="I179" i="36"/>
  <c r="I242" i="36" s="1"/>
  <c r="I306" i="36" s="1"/>
  <c r="H179" i="36"/>
  <c r="H242" i="36" s="1"/>
  <c r="H306" i="36" s="1"/>
  <c r="I178" i="36"/>
  <c r="I241" i="36" s="1"/>
  <c r="I305" i="36" s="1"/>
  <c r="H178" i="36"/>
  <c r="H241" i="36" s="1"/>
  <c r="H305" i="36" s="1"/>
  <c r="H183" i="36"/>
  <c r="H246" i="36" s="1"/>
  <c r="H310" i="36" s="1"/>
  <c r="H181" i="36"/>
  <c r="H244" i="36" s="1"/>
  <c r="H308" i="36" s="1"/>
  <c r="H180" i="36"/>
  <c r="H243" i="36" s="1"/>
  <c r="H307" i="36" s="1"/>
  <c r="I135" i="36"/>
  <c r="I198" i="36" s="1"/>
  <c r="I262" i="36" s="1"/>
  <c r="H135" i="36"/>
  <c r="H198" i="36" s="1"/>
  <c r="H262" i="36" s="1"/>
  <c r="I133" i="36"/>
  <c r="H133" i="36"/>
  <c r="I144" i="36"/>
  <c r="I207" i="36" s="1"/>
  <c r="I271" i="36" s="1"/>
  <c r="H142" i="36"/>
  <c r="H205" i="36" s="1"/>
  <c r="H269" i="36" s="1"/>
  <c r="I143" i="36"/>
  <c r="I206" i="36" s="1"/>
  <c r="I270" i="36" s="1"/>
  <c r="H143" i="36"/>
  <c r="H206" i="36" s="1"/>
  <c r="H270" i="36" s="1"/>
  <c r="I188" i="36"/>
  <c r="I251" i="36" s="1"/>
  <c r="I314" i="36" s="1"/>
  <c r="H188" i="36"/>
  <c r="H251" i="36" s="1"/>
  <c r="H314" i="36" s="1"/>
  <c r="H161" i="36"/>
  <c r="H224" i="36" s="1"/>
  <c r="H288" i="36" s="1"/>
  <c r="M23" i="28"/>
  <c r="M6" i="28"/>
  <c r="M11" i="28"/>
  <c r="M15" i="28"/>
  <c r="P9" i="28"/>
  <c r="AT51" i="28"/>
  <c r="AQ51" i="28"/>
  <c r="G52" i="28"/>
  <c r="AP51" i="28"/>
  <c r="AR51" i="28"/>
  <c r="AT26" i="28"/>
  <c r="J27" i="28"/>
  <c r="J56" i="28" s="1"/>
  <c r="AT56" i="28" s="1"/>
  <c r="AQ26" i="28"/>
  <c r="G27" i="28"/>
  <c r="S129" i="34"/>
  <c r="R74" i="34"/>
  <c r="BC129" i="1"/>
  <c r="BC132" i="1" s="1"/>
  <c r="BJ87" i="1"/>
  <c r="BJ88" i="1" s="1"/>
  <c r="K145" i="36"/>
  <c r="K208" i="36" s="1"/>
  <c r="K272" i="36" s="1"/>
  <c r="K183" i="36"/>
  <c r="D232" i="36"/>
  <c r="D296" i="36" s="1"/>
  <c r="G231" i="36"/>
  <c r="G295" i="36" s="1"/>
  <c r="G232" i="36"/>
  <c r="G296" i="36" s="1"/>
  <c r="I229" i="36"/>
  <c r="I293" i="36" s="1"/>
  <c r="F232" i="36"/>
  <c r="F296" i="36" s="1"/>
  <c r="G229" i="36"/>
  <c r="G293" i="36" s="1"/>
  <c r="M229" i="36"/>
  <c r="M293" i="36" s="1"/>
  <c r="M232" i="36"/>
  <c r="M296" i="36" s="1"/>
  <c r="P229" i="36"/>
  <c r="P293" i="36" s="1"/>
  <c r="D229" i="36"/>
  <c r="D293" i="36" s="1"/>
  <c r="K160" i="36"/>
  <c r="K223" i="36" s="1"/>
  <c r="K287" i="36" s="1"/>
  <c r="I158" i="36"/>
  <c r="I221" i="36" s="1"/>
  <c r="I285" i="36" s="1"/>
  <c r="K151" i="36"/>
  <c r="K214" i="36" s="1"/>
  <c r="K278" i="36" s="1"/>
  <c r="I150" i="36"/>
  <c r="I213" i="36" s="1"/>
  <c r="I277" i="36" s="1"/>
  <c r="E19" i="28"/>
  <c r="C242" i="36"/>
  <c r="C306" i="36" s="1"/>
  <c r="K182" i="36"/>
  <c r="K181" i="36"/>
  <c r="G241" i="36"/>
  <c r="G305" i="36" s="1"/>
  <c r="K180" i="36"/>
  <c r="K243" i="36" s="1"/>
  <c r="K307" i="36" s="1"/>
  <c r="C234" i="36"/>
  <c r="C298" i="36" s="1"/>
  <c r="C183" i="36"/>
  <c r="E25" i="28"/>
  <c r="D154" i="36"/>
  <c r="D217" i="36" s="1"/>
  <c r="D281" i="36" s="1"/>
  <c r="P156" i="36"/>
  <c r="P219" i="36" s="1"/>
  <c r="P283" i="36" s="1"/>
  <c r="C152" i="36"/>
  <c r="C215" i="36" s="1"/>
  <c r="C279" i="36" s="1"/>
  <c r="L156" i="36"/>
  <c r="L219" i="36" s="1"/>
  <c r="L283" i="36" s="1"/>
  <c r="I160" i="36"/>
  <c r="I223" i="36" s="1"/>
  <c r="I287" i="36" s="1"/>
  <c r="D243" i="36"/>
  <c r="D307" i="36" s="1"/>
  <c r="M154" i="36"/>
  <c r="M217" i="36" s="1"/>
  <c r="M281" i="36" s="1"/>
  <c r="I156" i="36"/>
  <c r="I219" i="36" s="1"/>
  <c r="I283" i="36" s="1"/>
  <c r="F150" i="36"/>
  <c r="F213" i="36" s="1"/>
  <c r="F277" i="36" s="1"/>
  <c r="D145" i="36"/>
  <c r="D208" i="36" s="1"/>
  <c r="D272" i="36" s="1"/>
  <c r="C146" i="36"/>
  <c r="C209" i="36" s="1"/>
  <c r="C273" i="36" s="1"/>
  <c r="K155" i="36"/>
  <c r="K218" i="36" s="1"/>
  <c r="K282" i="36" s="1"/>
  <c r="D157" i="36"/>
  <c r="D220" i="36" s="1"/>
  <c r="D284" i="36" s="1"/>
  <c r="C184" i="36"/>
  <c r="C247" i="36" s="1"/>
  <c r="C311" i="36" s="1"/>
  <c r="M156" i="36"/>
  <c r="M219" i="36" s="1"/>
  <c r="M283" i="36" s="1"/>
  <c r="L160" i="36"/>
  <c r="L223" i="36" s="1"/>
  <c r="L287" i="36" s="1"/>
  <c r="F152" i="36"/>
  <c r="F215" i="36" s="1"/>
  <c r="F279" i="36" s="1"/>
  <c r="K149" i="36"/>
  <c r="K212" i="36" s="1"/>
  <c r="K276" i="36" s="1"/>
  <c r="K154" i="36"/>
  <c r="K217" i="36" s="1"/>
  <c r="K281" i="36" s="1"/>
  <c r="I152" i="36"/>
  <c r="I215" i="36" s="1"/>
  <c r="I279" i="36" s="1"/>
  <c r="P158" i="36"/>
  <c r="P221" i="36" s="1"/>
  <c r="P285" i="36" s="1"/>
  <c r="M150" i="36"/>
  <c r="M213" i="36" s="1"/>
  <c r="M277" i="36" s="1"/>
  <c r="F158" i="36"/>
  <c r="F221" i="36" s="1"/>
  <c r="F285" i="36" s="1"/>
  <c r="D150" i="36"/>
  <c r="D213" i="36" s="1"/>
  <c r="D277" i="36" s="1"/>
  <c r="D244" i="36"/>
  <c r="D308" i="36" s="1"/>
  <c r="I154" i="36"/>
  <c r="I217" i="36" s="1"/>
  <c r="I281" i="36" s="1"/>
  <c r="D156" i="36"/>
  <c r="D219" i="36" s="1"/>
  <c r="D283" i="36" s="1"/>
  <c r="D161" i="36"/>
  <c r="D224" i="36" s="1"/>
  <c r="D288" i="36" s="1"/>
  <c r="D159" i="36"/>
  <c r="D222" i="36" s="1"/>
  <c r="D286" i="36" s="1"/>
  <c r="F157" i="36"/>
  <c r="F220" i="36" s="1"/>
  <c r="F284" i="36" s="1"/>
  <c r="D158" i="36"/>
  <c r="D221" i="36" s="1"/>
  <c r="D285" i="36" s="1"/>
  <c r="L150" i="36"/>
  <c r="L213" i="36" s="1"/>
  <c r="L277" i="36" s="1"/>
  <c r="F154" i="36"/>
  <c r="F217" i="36" s="1"/>
  <c r="F281" i="36" s="1"/>
  <c r="C148" i="36"/>
  <c r="C211" i="36" s="1"/>
  <c r="C275" i="36" s="1"/>
  <c r="D151" i="36"/>
  <c r="D214" i="36" s="1"/>
  <c r="D278" i="36" s="1"/>
  <c r="K159" i="36"/>
  <c r="K222" i="36" s="1"/>
  <c r="K286" i="36" s="1"/>
  <c r="I159" i="36"/>
  <c r="I222" i="36" s="1"/>
  <c r="I286" i="36" s="1"/>
  <c r="K143" i="36"/>
  <c r="K206" i="36" s="1"/>
  <c r="K270" i="36" s="1"/>
  <c r="K153" i="36"/>
  <c r="K216" i="36" s="1"/>
  <c r="K280" i="36" s="1"/>
  <c r="D160" i="36"/>
  <c r="D223" i="36" s="1"/>
  <c r="D287" i="36" s="1"/>
  <c r="K156" i="36"/>
  <c r="K219" i="36" s="1"/>
  <c r="K283" i="36" s="1"/>
  <c r="L152" i="36"/>
  <c r="L215" i="36" s="1"/>
  <c r="L279" i="36" s="1"/>
  <c r="D146" i="36"/>
  <c r="D209" i="36" s="1"/>
  <c r="D273" i="36" s="1"/>
  <c r="D245" i="36"/>
  <c r="D309" i="36" s="1"/>
  <c r="C153" i="36"/>
  <c r="C216" i="36" s="1"/>
  <c r="C280" i="36" s="1"/>
  <c r="K142" i="36"/>
  <c r="K205" i="36" s="1"/>
  <c r="K269" i="36" s="1"/>
  <c r="D143" i="36"/>
  <c r="D206" i="36" s="1"/>
  <c r="D270" i="36" s="1"/>
  <c r="D155" i="36"/>
  <c r="D218" i="36" s="1"/>
  <c r="D282" i="36" s="1"/>
  <c r="F149" i="36"/>
  <c r="F212" i="36" s="1"/>
  <c r="F276" i="36" s="1"/>
  <c r="K157" i="36"/>
  <c r="K220" i="36" s="1"/>
  <c r="K284" i="36" s="1"/>
  <c r="P150" i="36"/>
  <c r="P213" i="36" s="1"/>
  <c r="P277" i="36" s="1"/>
  <c r="D148" i="36"/>
  <c r="D211" i="36" s="1"/>
  <c r="D275" i="36" s="1"/>
  <c r="M152" i="36"/>
  <c r="M215" i="36" s="1"/>
  <c r="M279" i="36" s="1"/>
  <c r="F159" i="36"/>
  <c r="F222" i="36" s="1"/>
  <c r="F286" i="36" s="1"/>
  <c r="I142" i="36"/>
  <c r="I205" i="36" s="1"/>
  <c r="I269" i="36" s="1"/>
  <c r="K146" i="36"/>
  <c r="K209" i="36" s="1"/>
  <c r="K273" i="36" s="1"/>
  <c r="G243" i="36"/>
  <c r="G307" i="36" s="1"/>
  <c r="G247" i="36"/>
  <c r="G311" i="36" s="1"/>
  <c r="G237" i="36"/>
  <c r="G301" i="36" s="1"/>
  <c r="G235" i="36"/>
  <c r="G299" i="36" s="1"/>
  <c r="G236" i="36"/>
  <c r="G300" i="36" s="1"/>
  <c r="G238" i="36"/>
  <c r="G302" i="36" s="1"/>
  <c r="G246" i="36"/>
  <c r="G310" i="36" s="1"/>
  <c r="G239" i="36"/>
  <c r="G303" i="36" s="1"/>
  <c r="G244" i="36"/>
  <c r="G308" i="36" s="1"/>
  <c r="G245" i="36"/>
  <c r="G309" i="36" s="1"/>
  <c r="D235" i="36"/>
  <c r="D299" i="36" s="1"/>
  <c r="N235" i="36"/>
  <c r="N299" i="36" s="1"/>
  <c r="N239" i="36"/>
  <c r="N303" i="36" s="1"/>
  <c r="K235" i="36"/>
  <c r="K299" i="36" s="1"/>
  <c r="Q239" i="36"/>
  <c r="Q303" i="36" s="1"/>
  <c r="L238" i="36"/>
  <c r="L302" i="36" s="1"/>
  <c r="N236" i="36"/>
  <c r="N300" i="36" s="1"/>
  <c r="D237" i="36"/>
  <c r="D301" i="36" s="1"/>
  <c r="F239" i="36"/>
  <c r="F303" i="36" s="1"/>
  <c r="F238" i="36"/>
  <c r="F302" i="36" s="1"/>
  <c r="Q236" i="36"/>
  <c r="Q300" i="36" s="1"/>
  <c r="M238" i="36"/>
  <c r="M302" i="36" s="1"/>
  <c r="P238" i="36"/>
  <c r="P302" i="36" s="1"/>
  <c r="C261" i="36"/>
  <c r="R261" i="36" s="1"/>
  <c r="T261" i="36" s="1"/>
  <c r="R197" i="36"/>
  <c r="I236" i="36"/>
  <c r="I300" i="36" s="1"/>
  <c r="I238" i="36"/>
  <c r="I302" i="36" s="1"/>
  <c r="M239" i="36"/>
  <c r="M303" i="36" s="1"/>
  <c r="K236" i="36"/>
  <c r="K300" i="36" s="1"/>
  <c r="I239" i="36"/>
  <c r="I303" i="36" s="1"/>
  <c r="P235" i="36"/>
  <c r="P299" i="36" s="1"/>
  <c r="L237" i="36"/>
  <c r="L301" i="36" s="1"/>
  <c r="P236" i="36"/>
  <c r="P300" i="36" s="1"/>
  <c r="C270" i="36"/>
  <c r="Q235" i="36"/>
  <c r="Q299" i="36" s="1"/>
  <c r="K238" i="36"/>
  <c r="K302" i="36" s="1"/>
  <c r="M244" i="36"/>
  <c r="M308" i="36" s="1"/>
  <c r="I237" i="36"/>
  <c r="I301" i="36" s="1"/>
  <c r="F237" i="36"/>
  <c r="F301" i="36" s="1"/>
  <c r="M237" i="36"/>
  <c r="M301" i="36" s="1"/>
  <c r="Q237" i="36"/>
  <c r="Q301" i="36" s="1"/>
  <c r="N238" i="36"/>
  <c r="N302" i="36" s="1"/>
  <c r="P239" i="36"/>
  <c r="P303" i="36" s="1"/>
  <c r="D238" i="36"/>
  <c r="D302" i="36" s="1"/>
  <c r="P237" i="36"/>
  <c r="P301" i="36" s="1"/>
  <c r="N237" i="36"/>
  <c r="N301" i="36" s="1"/>
  <c r="L236" i="36"/>
  <c r="L300" i="36" s="1"/>
  <c r="F236" i="36"/>
  <c r="F300" i="36" s="1"/>
  <c r="Q238" i="36"/>
  <c r="Q302" i="36" s="1"/>
  <c r="F235" i="36"/>
  <c r="F299" i="36" s="1"/>
  <c r="K239" i="36"/>
  <c r="K303" i="36" s="1"/>
  <c r="C269" i="36"/>
  <c r="D236" i="36"/>
  <c r="D300" i="36" s="1"/>
  <c r="M235" i="36"/>
  <c r="M299" i="36" s="1"/>
  <c r="L235" i="36"/>
  <c r="L299" i="36" s="1"/>
  <c r="D267" i="36"/>
  <c r="L239" i="36"/>
  <c r="L303" i="36" s="1"/>
  <c r="C263" i="36"/>
  <c r="D239" i="36"/>
  <c r="D303" i="36" s="1"/>
  <c r="M236" i="36"/>
  <c r="M300" i="36" s="1"/>
  <c r="D264" i="36"/>
  <c r="I235" i="36"/>
  <c r="I299" i="36" s="1"/>
  <c r="K237" i="36"/>
  <c r="K301" i="36" s="1"/>
  <c r="AT42" i="28"/>
  <c r="AO42" i="28"/>
  <c r="AQ42" i="28"/>
  <c r="P41" i="28"/>
  <c r="AY41" i="28" s="1"/>
  <c r="AU35" i="28"/>
  <c r="R137" i="36"/>
  <c r="R134" i="36"/>
  <c r="AS42" i="28"/>
  <c r="E35" i="28"/>
  <c r="E46" i="28"/>
  <c r="AO46" i="28" s="1"/>
  <c r="AS35" i="28"/>
  <c r="E36" i="28"/>
  <c r="L36" i="28" s="1"/>
  <c r="M36" i="28" s="1"/>
  <c r="AS14" i="28"/>
  <c r="E50" i="28"/>
  <c r="L50" i="28" s="1"/>
  <c r="M50" i="28" s="1"/>
  <c r="AS13" i="28"/>
  <c r="AS16" i="28"/>
  <c r="AS18" i="28"/>
  <c r="E45" i="28"/>
  <c r="E44" i="28"/>
  <c r="AS22" i="28"/>
  <c r="C133" i="36"/>
  <c r="AJ110" i="34"/>
  <c r="AN110" i="34" s="1"/>
  <c r="C155" i="36"/>
  <c r="C218" i="36" s="1"/>
  <c r="C135" i="36"/>
  <c r="C198" i="36" s="1"/>
  <c r="AJ124" i="34"/>
  <c r="AN124" i="34" s="1"/>
  <c r="K184" i="36"/>
  <c r="I148" i="36"/>
  <c r="I211" i="36" s="1"/>
  <c r="I275" i="36" s="1"/>
  <c r="I153" i="36"/>
  <c r="I216" i="36" s="1"/>
  <c r="I280" i="36" s="1"/>
  <c r="I185" i="36"/>
  <c r="I155" i="36"/>
  <c r="I218" i="36" s="1"/>
  <c r="I282" i="36" s="1"/>
  <c r="I161" i="36"/>
  <c r="I224" i="36" s="1"/>
  <c r="I288" i="36" s="1"/>
  <c r="I184" i="36"/>
  <c r="I170" i="36"/>
  <c r="I138" i="36"/>
  <c r="I201" i="36" s="1"/>
  <c r="I265" i="36" s="1"/>
  <c r="I139" i="36"/>
  <c r="I202" i="36" s="1"/>
  <c r="I266" i="36" s="1"/>
  <c r="I169" i="36"/>
  <c r="I149" i="36"/>
  <c r="I212" i="36" s="1"/>
  <c r="I276" i="36" s="1"/>
  <c r="I146" i="36"/>
  <c r="I209" i="36" s="1"/>
  <c r="I273" i="36" s="1"/>
  <c r="I157" i="36"/>
  <c r="I220" i="36" s="1"/>
  <c r="I284" i="36" s="1"/>
  <c r="I147" i="36"/>
  <c r="I210" i="36" s="1"/>
  <c r="I274" i="36" s="1"/>
  <c r="I145" i="36"/>
  <c r="I208" i="36" s="1"/>
  <c r="I272" i="36" s="1"/>
  <c r="I151" i="36"/>
  <c r="I214" i="36" s="1"/>
  <c r="I278" i="36" s="1"/>
  <c r="I141" i="36"/>
  <c r="I204" i="36" s="1"/>
  <c r="I268" i="36" s="1"/>
  <c r="I51" i="28"/>
  <c r="I52" i="28" s="1"/>
  <c r="C170" i="36"/>
  <c r="C232" i="36" s="1"/>
  <c r="C296" i="36" s="1"/>
  <c r="AJ117" i="34"/>
  <c r="AN117" i="34" s="1"/>
  <c r="K150" i="36"/>
  <c r="K213" i="36" s="1"/>
  <c r="K277" i="36" s="1"/>
  <c r="AJ103" i="34"/>
  <c r="AN103" i="34" s="1"/>
  <c r="AJ128" i="34"/>
  <c r="AN128" i="34" s="1"/>
  <c r="Q188" i="36" s="1"/>
  <c r="Q251" i="36" s="1"/>
  <c r="Q314" i="36" s="1"/>
  <c r="C149" i="36"/>
  <c r="C212" i="36" s="1"/>
  <c r="C276" i="36" s="1"/>
  <c r="AJ104" i="34"/>
  <c r="AN104" i="34" s="1"/>
  <c r="AJ126" i="34"/>
  <c r="AN126" i="34" s="1"/>
  <c r="T129" i="34"/>
  <c r="M129" i="34"/>
  <c r="AJ107" i="34"/>
  <c r="AN107" i="34" s="1"/>
  <c r="C151" i="36"/>
  <c r="C214" i="36" s="1"/>
  <c r="AJ101" i="34"/>
  <c r="AN101" i="34" s="1"/>
  <c r="C141" i="36"/>
  <c r="C204" i="36" s="1"/>
  <c r="C138" i="36"/>
  <c r="C201" i="36" s="1"/>
  <c r="K158" i="36"/>
  <c r="K221" i="36" s="1"/>
  <c r="K285" i="36" s="1"/>
  <c r="AJ112" i="34"/>
  <c r="AN112" i="34" s="1"/>
  <c r="C158" i="36"/>
  <c r="C221" i="36" s="1"/>
  <c r="D153" i="36"/>
  <c r="D216" i="36" s="1"/>
  <c r="D152" i="36"/>
  <c r="D215" i="36" s="1"/>
  <c r="D279" i="36" s="1"/>
  <c r="D169" i="36"/>
  <c r="D144" i="36"/>
  <c r="D207" i="36" s="1"/>
  <c r="D271" i="36" s="1"/>
  <c r="D147" i="36"/>
  <c r="D210" i="36" s="1"/>
  <c r="D274" i="36" s="1"/>
  <c r="D185" i="36"/>
  <c r="AJ106" i="34"/>
  <c r="AN106" i="34" s="1"/>
  <c r="C150" i="36"/>
  <c r="C213" i="36" s="1"/>
  <c r="AJ122" i="34"/>
  <c r="AN122" i="34" s="1"/>
  <c r="Q179" i="36" s="1"/>
  <c r="Q242" i="36" s="1"/>
  <c r="Q306" i="36" s="1"/>
  <c r="C244" i="36"/>
  <c r="C308" i="36" s="1"/>
  <c r="P149" i="36"/>
  <c r="P212" i="36" s="1"/>
  <c r="P276" i="36" s="1"/>
  <c r="P185" i="36"/>
  <c r="P155" i="36"/>
  <c r="P218" i="36" s="1"/>
  <c r="P282" i="36" s="1"/>
  <c r="P170" i="36"/>
  <c r="P133" i="36"/>
  <c r="P138" i="36"/>
  <c r="P201" i="36" s="1"/>
  <c r="P265" i="36" s="1"/>
  <c r="P161" i="36"/>
  <c r="P224" i="36" s="1"/>
  <c r="P288" i="36" s="1"/>
  <c r="P169" i="36"/>
  <c r="P139" i="36"/>
  <c r="P202" i="36" s="1"/>
  <c r="P266" i="36" s="1"/>
  <c r="P154" i="36"/>
  <c r="P217" i="36" s="1"/>
  <c r="P281" i="36" s="1"/>
  <c r="P157" i="36"/>
  <c r="P220" i="36" s="1"/>
  <c r="P284" i="36" s="1"/>
  <c r="P145" i="36"/>
  <c r="P208" i="36" s="1"/>
  <c r="P272" i="36" s="1"/>
  <c r="P144" i="36"/>
  <c r="P207" i="36" s="1"/>
  <c r="P271" i="36" s="1"/>
  <c r="P146" i="36"/>
  <c r="P209" i="36" s="1"/>
  <c r="P273" i="36" s="1"/>
  <c r="P153" i="36"/>
  <c r="P216" i="36" s="1"/>
  <c r="P280" i="36" s="1"/>
  <c r="P147" i="36"/>
  <c r="P210" i="36" s="1"/>
  <c r="P274" i="36" s="1"/>
  <c r="P148" i="36"/>
  <c r="P211" i="36" s="1"/>
  <c r="P275" i="36" s="1"/>
  <c r="P141" i="36"/>
  <c r="P204" i="36" s="1"/>
  <c r="P268" i="36" s="1"/>
  <c r="P184" i="36"/>
  <c r="P160" i="36"/>
  <c r="P223" i="36" s="1"/>
  <c r="P287" i="36" s="1"/>
  <c r="P151" i="36"/>
  <c r="P214" i="36" s="1"/>
  <c r="P278" i="36" s="1"/>
  <c r="P159" i="36"/>
  <c r="P222" i="36" s="1"/>
  <c r="P286" i="36" s="1"/>
  <c r="F156" i="36"/>
  <c r="F219" i="36" s="1"/>
  <c r="F283" i="36" s="1"/>
  <c r="F139" i="36"/>
  <c r="F202" i="36" s="1"/>
  <c r="F266" i="36" s="1"/>
  <c r="F148" i="36"/>
  <c r="F211" i="36" s="1"/>
  <c r="F275" i="36" s="1"/>
  <c r="F153" i="36"/>
  <c r="F216" i="36" s="1"/>
  <c r="F280" i="36" s="1"/>
  <c r="F169" i="36"/>
  <c r="F160" i="36"/>
  <c r="F223" i="36" s="1"/>
  <c r="F287" i="36" s="1"/>
  <c r="F144" i="36"/>
  <c r="F207" i="36" s="1"/>
  <c r="F271" i="36" s="1"/>
  <c r="F146" i="36"/>
  <c r="F209" i="36" s="1"/>
  <c r="F273" i="36" s="1"/>
  <c r="F138" i="36"/>
  <c r="F201" i="36" s="1"/>
  <c r="F265" i="36" s="1"/>
  <c r="F185" i="36"/>
  <c r="F184" i="36"/>
  <c r="F145" i="36"/>
  <c r="F208" i="36" s="1"/>
  <c r="F272" i="36" s="1"/>
  <c r="F147" i="36"/>
  <c r="F210" i="36" s="1"/>
  <c r="F274" i="36" s="1"/>
  <c r="F161" i="36"/>
  <c r="F224" i="36" s="1"/>
  <c r="F288" i="36" s="1"/>
  <c r="F151" i="36"/>
  <c r="F214" i="36" s="1"/>
  <c r="F278" i="36" s="1"/>
  <c r="F155" i="36"/>
  <c r="F218" i="36" s="1"/>
  <c r="F282" i="36" s="1"/>
  <c r="AJ111" i="34"/>
  <c r="AN111" i="34" s="1"/>
  <c r="C156" i="36"/>
  <c r="C219" i="36" s="1"/>
  <c r="AJ121" i="34"/>
  <c r="AN121" i="34" s="1"/>
  <c r="Q178" i="36" s="1"/>
  <c r="Q241" i="36" s="1"/>
  <c r="Q305" i="36" s="1"/>
  <c r="C243" i="36"/>
  <c r="C307" i="36" s="1"/>
  <c r="AJ114" i="34"/>
  <c r="AN114" i="34" s="1"/>
  <c r="C160" i="36"/>
  <c r="C223" i="36" s="1"/>
  <c r="AJ108" i="34"/>
  <c r="AN108" i="34" s="1"/>
  <c r="C139" i="36"/>
  <c r="C202" i="36" s="1"/>
  <c r="M132" i="34"/>
  <c r="T132" i="34"/>
  <c r="U132" i="34" s="1"/>
  <c r="AL132" i="34" s="1"/>
  <c r="AJ113" i="34"/>
  <c r="AN113" i="34" s="1"/>
  <c r="C159" i="36"/>
  <c r="C222" i="36" s="1"/>
  <c r="D149" i="36"/>
  <c r="D212" i="36" s="1"/>
  <c r="AL132" i="1"/>
  <c r="P132" i="34" s="1"/>
  <c r="AH132" i="34" s="1"/>
  <c r="P129" i="34"/>
  <c r="AH129" i="34" s="1"/>
  <c r="AJ105" i="34"/>
  <c r="AN105" i="34" s="1"/>
  <c r="AJ116" i="34"/>
  <c r="AN116" i="34" s="1"/>
  <c r="Q143" i="36"/>
  <c r="Q206" i="36" s="1"/>
  <c r="Q270" i="36" s="1"/>
  <c r="C145" i="36"/>
  <c r="AJ109" i="34"/>
  <c r="AN109" i="34" s="1"/>
  <c r="C154" i="36"/>
  <c r="C217" i="36" s="1"/>
  <c r="AJ127" i="34"/>
  <c r="AN127" i="34" s="1"/>
  <c r="C169" i="36"/>
  <c r="C231" i="36" s="1"/>
  <c r="C295" i="36" s="1"/>
  <c r="M158" i="36"/>
  <c r="M221" i="36" s="1"/>
  <c r="M285" i="36" s="1"/>
  <c r="M184" i="36"/>
  <c r="M160" i="36"/>
  <c r="M223" i="36" s="1"/>
  <c r="M287" i="36" s="1"/>
  <c r="M149" i="36"/>
  <c r="M212" i="36" s="1"/>
  <c r="M276" i="36" s="1"/>
  <c r="M153" i="36"/>
  <c r="M216" i="36" s="1"/>
  <c r="M280" i="36" s="1"/>
  <c r="M133" i="36"/>
  <c r="M151" i="36"/>
  <c r="M214" i="36" s="1"/>
  <c r="M278" i="36" s="1"/>
  <c r="M147" i="36"/>
  <c r="M210" i="36" s="1"/>
  <c r="M274" i="36" s="1"/>
  <c r="M157" i="36"/>
  <c r="M220" i="36" s="1"/>
  <c r="M284" i="36" s="1"/>
  <c r="M185" i="36"/>
  <c r="M161" i="36"/>
  <c r="M224" i="36" s="1"/>
  <c r="M288" i="36" s="1"/>
  <c r="M159" i="36"/>
  <c r="M222" i="36" s="1"/>
  <c r="M286" i="36" s="1"/>
  <c r="M144" i="36"/>
  <c r="M207" i="36" s="1"/>
  <c r="M271" i="36" s="1"/>
  <c r="M145" i="36"/>
  <c r="M208" i="36" s="1"/>
  <c r="M272" i="36" s="1"/>
  <c r="M146" i="36"/>
  <c r="M209" i="36" s="1"/>
  <c r="M273" i="36" s="1"/>
  <c r="M155" i="36"/>
  <c r="M218" i="36" s="1"/>
  <c r="M282" i="36" s="1"/>
  <c r="M141" i="36"/>
  <c r="M204" i="36" s="1"/>
  <c r="M268" i="36" s="1"/>
  <c r="M169" i="36"/>
  <c r="M148" i="36"/>
  <c r="M211" i="36" s="1"/>
  <c r="M275" i="36" s="1"/>
  <c r="AJ115" i="34"/>
  <c r="AN115" i="34" s="1"/>
  <c r="C161" i="36"/>
  <c r="C224" i="36" s="1"/>
  <c r="C288" i="36" s="1"/>
  <c r="AJ125" i="34"/>
  <c r="AN125" i="34" s="1"/>
  <c r="AJ100" i="34"/>
  <c r="AN100" i="34" s="1"/>
  <c r="AJ102" i="34"/>
  <c r="AN102" i="34" s="1"/>
  <c r="Q142" i="36" s="1"/>
  <c r="Q205" i="36" s="1"/>
  <c r="Q269" i="36" s="1"/>
  <c r="C144" i="36"/>
  <c r="C207" i="36" s="1"/>
  <c r="AJ123" i="34"/>
  <c r="AN123" i="34" s="1"/>
  <c r="C245" i="36"/>
  <c r="C309" i="36" s="1"/>
  <c r="C157" i="36"/>
  <c r="C220" i="36" s="1"/>
  <c r="C284" i="36" s="1"/>
  <c r="D184" i="36"/>
  <c r="AK132" i="1"/>
  <c r="O132" i="34" s="1"/>
  <c r="AG132" i="34" s="1"/>
  <c r="O129" i="34"/>
  <c r="AG129" i="34" s="1"/>
  <c r="I37" i="28"/>
  <c r="AO17" i="28"/>
  <c r="AO21" i="28"/>
  <c r="AO24" i="28"/>
  <c r="AO22" i="28"/>
  <c r="AO23" i="28"/>
  <c r="AO8" i="28"/>
  <c r="AO6" i="28"/>
  <c r="AO10" i="28"/>
  <c r="AO11" i="28"/>
  <c r="AO15" i="28"/>
  <c r="AE85" i="1"/>
  <c r="I26" i="28"/>
  <c r="AN10" i="28"/>
  <c r="AN6" i="28"/>
  <c r="AN23" i="28"/>
  <c r="AE100" i="1"/>
  <c r="AE122" i="1"/>
  <c r="AE104" i="1"/>
  <c r="AE108" i="1"/>
  <c r="AE116" i="1"/>
  <c r="AE127" i="1"/>
  <c r="AE123" i="1"/>
  <c r="AE106" i="1"/>
  <c r="AE110" i="1"/>
  <c r="AE113" i="1"/>
  <c r="AE121" i="1"/>
  <c r="AE114" i="1"/>
  <c r="AE117" i="1"/>
  <c r="AE111" i="1"/>
  <c r="AG129" i="1"/>
  <c r="AG132" i="1" s="1"/>
  <c r="AE101" i="1"/>
  <c r="AU82" i="1" l="1"/>
  <c r="BF82" i="1" s="1"/>
  <c r="BG82" i="1" s="1"/>
  <c r="BF79" i="1"/>
  <c r="BG79" i="1" s="1"/>
  <c r="AU92" i="1"/>
  <c r="BF92" i="1" s="1"/>
  <c r="BG92" i="1" s="1"/>
  <c r="AU85" i="1"/>
  <c r="BF85" i="1" s="1"/>
  <c r="BG85" i="1" s="1"/>
  <c r="AU78" i="1"/>
  <c r="BF78" i="1" s="1"/>
  <c r="BG78" i="1" s="1"/>
  <c r="AQ76" i="1"/>
  <c r="AR76" i="1"/>
  <c r="AS76" i="1"/>
  <c r="AT76" i="1"/>
  <c r="AV76" i="1"/>
  <c r="AZ76" i="1" s="1"/>
  <c r="BE76" i="1" s="1"/>
  <c r="AR75" i="1"/>
  <c r="AT75" i="1"/>
  <c r="AS75" i="1"/>
  <c r="AV75" i="1"/>
  <c r="AZ75" i="1" s="1"/>
  <c r="BE75" i="1" s="1"/>
  <c r="AQ75" i="1"/>
  <c r="R200" i="36"/>
  <c r="I27" i="28"/>
  <c r="R264" i="36"/>
  <c r="T264" i="36" s="1"/>
  <c r="C208" i="36"/>
  <c r="C272" i="36" s="1"/>
  <c r="G260" i="36"/>
  <c r="G225" i="36"/>
  <c r="P196" i="36"/>
  <c r="P162" i="36"/>
  <c r="M196" i="36"/>
  <c r="M162" i="36"/>
  <c r="C196" i="36"/>
  <c r="C162" i="36"/>
  <c r="F162" i="36"/>
  <c r="H196" i="36"/>
  <c r="H162" i="36"/>
  <c r="F260" i="36"/>
  <c r="F225" i="36"/>
  <c r="I196" i="36"/>
  <c r="I162" i="36"/>
  <c r="K260" i="36"/>
  <c r="D162" i="36"/>
  <c r="D260" i="36"/>
  <c r="D225" i="36"/>
  <c r="P15" i="28"/>
  <c r="P6" i="28"/>
  <c r="P23" i="28"/>
  <c r="G56" i="28"/>
  <c r="AQ56" i="28" s="1"/>
  <c r="U129" i="34"/>
  <c r="AL129" i="34" s="1"/>
  <c r="M231" i="36"/>
  <c r="M295" i="36" s="1"/>
  <c r="I232" i="36"/>
  <c r="I296" i="36" s="1"/>
  <c r="D231" i="36"/>
  <c r="D295" i="36" s="1"/>
  <c r="F231" i="36"/>
  <c r="F295" i="36" s="1"/>
  <c r="P232" i="36"/>
  <c r="P296" i="36" s="1"/>
  <c r="P231" i="36"/>
  <c r="P295" i="36" s="1"/>
  <c r="I231" i="36"/>
  <c r="I295" i="36" s="1"/>
  <c r="F293" i="36"/>
  <c r="AO19" i="28"/>
  <c r="C246" i="36"/>
  <c r="C310" i="36" s="1"/>
  <c r="M246" i="36"/>
  <c r="M310" i="36" s="1"/>
  <c r="D276" i="36"/>
  <c r="C283" i="36"/>
  <c r="F247" i="36"/>
  <c r="F311" i="36" s="1"/>
  <c r="P244" i="36"/>
  <c r="P308" i="36" s="1"/>
  <c r="C268" i="36"/>
  <c r="D246" i="36"/>
  <c r="D310" i="36" s="1"/>
  <c r="M243" i="36"/>
  <c r="M307" i="36" s="1"/>
  <c r="P245" i="36"/>
  <c r="P309" i="36" s="1"/>
  <c r="P246" i="36"/>
  <c r="P310" i="36" s="1"/>
  <c r="I244" i="36"/>
  <c r="I308" i="36" s="1"/>
  <c r="C286" i="36"/>
  <c r="C277" i="36"/>
  <c r="D280" i="36"/>
  <c r="C278" i="36"/>
  <c r="C271" i="36"/>
  <c r="C281" i="36"/>
  <c r="C285" i="36"/>
  <c r="F243" i="36"/>
  <c r="F307" i="36" s="1"/>
  <c r="P247" i="36"/>
  <c r="P311" i="36" s="1"/>
  <c r="I246" i="36"/>
  <c r="I310" i="36" s="1"/>
  <c r="I243" i="36"/>
  <c r="I307" i="36" s="1"/>
  <c r="I247" i="36"/>
  <c r="I311" i="36" s="1"/>
  <c r="I245" i="36"/>
  <c r="I309" i="36" s="1"/>
  <c r="C262" i="36"/>
  <c r="F245" i="36"/>
  <c r="F309" i="36" s="1"/>
  <c r="D247" i="36"/>
  <c r="D311" i="36" s="1"/>
  <c r="C287" i="36"/>
  <c r="P243" i="36"/>
  <c r="P307" i="36" s="1"/>
  <c r="K247" i="36"/>
  <c r="K311" i="36" s="1"/>
  <c r="C266" i="36"/>
  <c r="F244" i="36"/>
  <c r="F308" i="36" s="1"/>
  <c r="F246" i="36"/>
  <c r="F310" i="36" s="1"/>
  <c r="C265" i="36"/>
  <c r="M247" i="36"/>
  <c r="M311" i="36" s="1"/>
  <c r="M245" i="36"/>
  <c r="M309" i="36" s="1"/>
  <c r="C282" i="36"/>
  <c r="K167" i="36"/>
  <c r="K177" i="36"/>
  <c r="K165" i="36"/>
  <c r="K185" i="36"/>
  <c r="L165" i="36"/>
  <c r="L167" i="36"/>
  <c r="L177" i="36"/>
  <c r="K170" i="36"/>
  <c r="K37" i="28"/>
  <c r="K56" i="28" s="1"/>
  <c r="AU56" i="28" s="1"/>
  <c r="AV23" i="28"/>
  <c r="AV6" i="28"/>
  <c r="AO25" i="28"/>
  <c r="AM19" i="28"/>
  <c r="AM17" i="28"/>
  <c r="AM6" i="28"/>
  <c r="AO45" i="28"/>
  <c r="AS51" i="28"/>
  <c r="AM23" i="28"/>
  <c r="AS37" i="28"/>
  <c r="AO36" i="28"/>
  <c r="AV36" i="28"/>
  <c r="AO35" i="28"/>
  <c r="AS26" i="28"/>
  <c r="AO50" i="28"/>
  <c r="AV50" i="28"/>
  <c r="AM22" i="28"/>
  <c r="AM24" i="28"/>
  <c r="AM20" i="28"/>
  <c r="AM13" i="28"/>
  <c r="AO44" i="28"/>
  <c r="AJ129" i="34"/>
  <c r="AK129" i="34" s="1"/>
  <c r="Q153" i="36"/>
  <c r="Q216" i="36" s="1"/>
  <c r="Q280" i="36" s="1"/>
  <c r="Q146" i="36"/>
  <c r="Q209" i="36" s="1"/>
  <c r="Q273" i="36" s="1"/>
  <c r="AK125" i="34"/>
  <c r="N182" i="36" s="1"/>
  <c r="AK127" i="34"/>
  <c r="Q145" i="36"/>
  <c r="Q208" i="36" s="1"/>
  <c r="Q272" i="36" s="1"/>
  <c r="Q138" i="36"/>
  <c r="Q201" i="36" s="1"/>
  <c r="Q265" i="36" s="1"/>
  <c r="N138" i="36"/>
  <c r="N201" i="36" s="1"/>
  <c r="N265" i="36" s="1"/>
  <c r="AK126" i="34"/>
  <c r="AK128" i="34"/>
  <c r="N188" i="36" s="1"/>
  <c r="N251" i="36" s="1"/>
  <c r="N314" i="36" s="1"/>
  <c r="Q144" i="36"/>
  <c r="Q207" i="36" s="1"/>
  <c r="Q271" i="36" s="1"/>
  <c r="AK102" i="34"/>
  <c r="AK116" i="34"/>
  <c r="Q184" i="36"/>
  <c r="AK108" i="34"/>
  <c r="AK114" i="34"/>
  <c r="Q160" i="36"/>
  <c r="Q223" i="36" s="1"/>
  <c r="Q287" i="36" s="1"/>
  <c r="AK122" i="34"/>
  <c r="N179" i="36" s="1"/>
  <c r="AK106" i="34"/>
  <c r="AK107" i="34"/>
  <c r="Q151" i="36"/>
  <c r="Q214" i="36" s="1"/>
  <c r="Q278" i="36" s="1"/>
  <c r="AK104" i="34"/>
  <c r="AK117" i="34"/>
  <c r="AK123" i="34"/>
  <c r="AK115" i="34"/>
  <c r="Q161" i="36"/>
  <c r="Q224" i="36" s="1"/>
  <c r="Q288" i="36" s="1"/>
  <c r="AK109" i="34"/>
  <c r="Q154" i="36"/>
  <c r="Q217" i="36" s="1"/>
  <c r="Q281" i="36" s="1"/>
  <c r="AK113" i="34"/>
  <c r="Q159" i="36"/>
  <c r="Q222" i="36" s="1"/>
  <c r="Q286" i="36" s="1"/>
  <c r="N139" i="36"/>
  <c r="N202" i="36" s="1"/>
  <c r="N266" i="36" s="1"/>
  <c r="Q139" i="36"/>
  <c r="Q202" i="36" s="1"/>
  <c r="Q266" i="36" s="1"/>
  <c r="AK112" i="34"/>
  <c r="AK101" i="34"/>
  <c r="N141" i="36" s="1"/>
  <c r="N204" i="36" s="1"/>
  <c r="N268" i="36" s="1"/>
  <c r="Q141" i="36"/>
  <c r="Q204" i="36" s="1"/>
  <c r="Q268" i="36" s="1"/>
  <c r="AK103" i="34"/>
  <c r="AJ132" i="34"/>
  <c r="AK132" i="34" s="1"/>
  <c r="K161" i="36"/>
  <c r="K224" i="36" s="1"/>
  <c r="K288" i="36" s="1"/>
  <c r="K169" i="36"/>
  <c r="K246" i="36"/>
  <c r="K310" i="36" s="1"/>
  <c r="K147" i="36"/>
  <c r="K210" i="36" s="1"/>
  <c r="K274" i="36" s="1"/>
  <c r="K148" i="36"/>
  <c r="K211" i="36" s="1"/>
  <c r="AK100" i="34"/>
  <c r="Q149" i="36"/>
  <c r="Q212" i="36" s="1"/>
  <c r="Q276" i="36" s="1"/>
  <c r="AK105" i="34"/>
  <c r="L184" i="36"/>
  <c r="L138" i="36"/>
  <c r="L201" i="36" s="1"/>
  <c r="L265" i="36" s="1"/>
  <c r="L155" i="36"/>
  <c r="L218" i="36" s="1"/>
  <c r="L282" i="36" s="1"/>
  <c r="L153" i="36"/>
  <c r="L216" i="36" s="1"/>
  <c r="L280" i="36" s="1"/>
  <c r="L144" i="36"/>
  <c r="L207" i="36" s="1"/>
  <c r="L271" i="36" s="1"/>
  <c r="L149" i="36"/>
  <c r="L212" i="36" s="1"/>
  <c r="L276" i="36" s="1"/>
  <c r="L169" i="36"/>
  <c r="L151" i="36"/>
  <c r="L214" i="36" s="1"/>
  <c r="L278" i="36" s="1"/>
  <c r="L146" i="36"/>
  <c r="L209" i="36" s="1"/>
  <c r="L273" i="36" s="1"/>
  <c r="L145" i="36"/>
  <c r="L208" i="36" s="1"/>
  <c r="L139" i="36"/>
  <c r="L202" i="36" s="1"/>
  <c r="L266" i="36" s="1"/>
  <c r="L147" i="36"/>
  <c r="L210" i="36" s="1"/>
  <c r="L274" i="36" s="1"/>
  <c r="L141" i="36"/>
  <c r="L204" i="36" s="1"/>
  <c r="L268" i="36" s="1"/>
  <c r="L159" i="36"/>
  <c r="L222" i="36" s="1"/>
  <c r="L286" i="36" s="1"/>
  <c r="L148" i="36"/>
  <c r="L211" i="36" s="1"/>
  <c r="L275" i="36" s="1"/>
  <c r="L185" i="36"/>
  <c r="L133" i="36"/>
  <c r="L157" i="36"/>
  <c r="L220" i="36" s="1"/>
  <c r="L284" i="36" s="1"/>
  <c r="L158" i="36"/>
  <c r="L221" i="36" s="1"/>
  <c r="L285" i="36" s="1"/>
  <c r="L154" i="36"/>
  <c r="L217" i="36" s="1"/>
  <c r="L281" i="36" s="1"/>
  <c r="L161" i="36"/>
  <c r="L224" i="36" s="1"/>
  <c r="L288" i="36" s="1"/>
  <c r="L170" i="36"/>
  <c r="AK121" i="34"/>
  <c r="N178" i="36" s="1"/>
  <c r="Q156" i="36"/>
  <c r="Q219" i="36" s="1"/>
  <c r="Q283" i="36" s="1"/>
  <c r="AK111" i="34"/>
  <c r="AK124" i="34"/>
  <c r="Q155" i="36"/>
  <c r="Q218" i="36" s="1"/>
  <c r="Q282" i="36" s="1"/>
  <c r="AK110" i="34"/>
  <c r="E37" i="28"/>
  <c r="AO37" i="28" s="1"/>
  <c r="Q15" i="28"/>
  <c r="Q6" i="28"/>
  <c r="Q23" i="28"/>
  <c r="Q11" i="28"/>
  <c r="AN5" i="28"/>
  <c r="AR22" i="28"/>
  <c r="AP10" i="28"/>
  <c r="AP5" i="28"/>
  <c r="AN21" i="28"/>
  <c r="C42" i="28"/>
  <c r="AN8" i="28"/>
  <c r="AP11" i="28"/>
  <c r="AR9" i="28"/>
  <c r="AR21" i="28"/>
  <c r="AP21" i="28"/>
  <c r="AE6" i="1"/>
  <c r="AN24" i="28"/>
  <c r="AE82" i="1"/>
  <c r="AE92" i="1"/>
  <c r="AE79" i="1"/>
  <c r="AE78" i="1"/>
  <c r="AU75" i="1" l="1"/>
  <c r="BF75" i="1" s="1"/>
  <c r="BG75" i="1" s="1"/>
  <c r="AU76" i="1"/>
  <c r="BF76" i="1" s="1"/>
  <c r="BG76" i="1" s="1"/>
  <c r="I56" i="28"/>
  <c r="AS56" i="28" s="1"/>
  <c r="N15" i="28"/>
  <c r="N23" i="28"/>
  <c r="N36" i="28"/>
  <c r="AW36" i="28" s="1"/>
  <c r="N11" i="28"/>
  <c r="N6" i="28"/>
  <c r="P260" i="36"/>
  <c r="P225" i="36"/>
  <c r="K225" i="36"/>
  <c r="H260" i="36"/>
  <c r="H225" i="36"/>
  <c r="K162" i="36"/>
  <c r="L196" i="36"/>
  <c r="L162" i="36"/>
  <c r="C260" i="36"/>
  <c r="C225" i="36"/>
  <c r="I260" i="36"/>
  <c r="I225" i="36"/>
  <c r="M260" i="36"/>
  <c r="M225" i="36"/>
  <c r="L231" i="36"/>
  <c r="L295" i="36" s="1"/>
  <c r="L229" i="36"/>
  <c r="L293" i="36" s="1"/>
  <c r="L232" i="36"/>
  <c r="L296" i="36" s="1"/>
  <c r="K231" i="36"/>
  <c r="K295" i="36" s="1"/>
  <c r="K229" i="36"/>
  <c r="K232" i="36"/>
  <c r="K296" i="36" s="1"/>
  <c r="N183" i="36"/>
  <c r="N151" i="36"/>
  <c r="N214" i="36" s="1"/>
  <c r="N278" i="36" s="1"/>
  <c r="N241" i="36"/>
  <c r="N305" i="36" s="1"/>
  <c r="N181" i="36"/>
  <c r="N244" i="36" s="1"/>
  <c r="N308" i="36" s="1"/>
  <c r="N180" i="36"/>
  <c r="N243" i="36" s="1"/>
  <c r="N307" i="36" s="1"/>
  <c r="N242" i="36"/>
  <c r="N306" i="36" s="1"/>
  <c r="P11" i="28"/>
  <c r="AY11" i="28" s="1"/>
  <c r="N156" i="36"/>
  <c r="N219" i="36" s="1"/>
  <c r="N283" i="36" s="1"/>
  <c r="N155" i="36"/>
  <c r="N218" i="36" s="1"/>
  <c r="N282" i="36" s="1"/>
  <c r="N159" i="36"/>
  <c r="N222" i="36" s="1"/>
  <c r="N286" i="36" s="1"/>
  <c r="N160" i="36"/>
  <c r="N223" i="36" s="1"/>
  <c r="N287" i="36" s="1"/>
  <c r="AY23" i="28"/>
  <c r="N144" i="36"/>
  <c r="N207" i="36" s="1"/>
  <c r="N271" i="36" s="1"/>
  <c r="N142" i="36"/>
  <c r="N205" i="36" s="1"/>
  <c r="N269" i="36" s="1"/>
  <c r="N145" i="36"/>
  <c r="N208" i="36" s="1"/>
  <c r="N272" i="36" s="1"/>
  <c r="N143" i="36"/>
  <c r="N206" i="36" s="1"/>
  <c r="N270" i="36" s="1"/>
  <c r="N154" i="36"/>
  <c r="N217" i="36" s="1"/>
  <c r="N281" i="36" s="1"/>
  <c r="N148" i="36"/>
  <c r="N211" i="36" s="1"/>
  <c r="N275" i="36" s="1"/>
  <c r="N184" i="36"/>
  <c r="N247" i="36" s="1"/>
  <c r="N311" i="36" s="1"/>
  <c r="N161" i="36"/>
  <c r="N224" i="36" s="1"/>
  <c r="N288" i="36" s="1"/>
  <c r="N146" i="36"/>
  <c r="N209" i="36" s="1"/>
  <c r="N273" i="36" s="1"/>
  <c r="N153" i="36"/>
  <c r="N216" i="36" s="1"/>
  <c r="N280" i="36" s="1"/>
  <c r="L244" i="36"/>
  <c r="L308" i="36" s="1"/>
  <c r="L246" i="36"/>
  <c r="L310" i="36" s="1"/>
  <c r="L272" i="36"/>
  <c r="Q247" i="36"/>
  <c r="Q311" i="36" s="1"/>
  <c r="K245" i="36"/>
  <c r="K309" i="36" s="1"/>
  <c r="K275" i="36"/>
  <c r="K244" i="36"/>
  <c r="K308" i="36" s="1"/>
  <c r="N245" i="36"/>
  <c r="N309" i="36" s="1"/>
  <c r="L247" i="36"/>
  <c r="L311" i="36" s="1"/>
  <c r="L243" i="36"/>
  <c r="L307" i="36" s="1"/>
  <c r="L245" i="36"/>
  <c r="L309" i="36" s="1"/>
  <c r="N170" i="36"/>
  <c r="N165" i="36"/>
  <c r="N167" i="36"/>
  <c r="N177" i="36"/>
  <c r="AU37" i="28"/>
  <c r="AV11" i="28"/>
  <c r="AV9" i="28"/>
  <c r="AN129" i="34"/>
  <c r="AN15" i="28"/>
  <c r="AM9" i="28"/>
  <c r="AM11" i="28"/>
  <c r="AM42" i="28"/>
  <c r="Q169" i="36"/>
  <c r="N185" i="36"/>
  <c r="AN132" i="34"/>
  <c r="N158" i="36"/>
  <c r="N221" i="36" s="1"/>
  <c r="N285" i="36" s="1"/>
  <c r="N169" i="36"/>
  <c r="N150" i="36"/>
  <c r="N213" i="36" s="1"/>
  <c r="N152" i="36"/>
  <c r="N215" i="36" s="1"/>
  <c r="N157" i="36"/>
  <c r="N220" i="36" s="1"/>
  <c r="N284" i="36" s="1"/>
  <c r="N133" i="36"/>
  <c r="N135" i="36"/>
  <c r="N198" i="36" s="1"/>
  <c r="Q147" i="36"/>
  <c r="Q210" i="36" s="1"/>
  <c r="Q274" i="36" s="1"/>
  <c r="N147" i="36"/>
  <c r="N210" i="36" s="1"/>
  <c r="N274" i="36" s="1"/>
  <c r="Q157" i="36"/>
  <c r="Q220" i="36" s="1"/>
  <c r="Q284" i="36" s="1"/>
  <c r="Q135" i="36"/>
  <c r="Q198" i="36" s="1"/>
  <c r="Q262" i="36" s="1"/>
  <c r="Q152" i="36"/>
  <c r="Q215" i="36" s="1"/>
  <c r="Q279" i="36" s="1"/>
  <c r="Q158" i="36"/>
  <c r="Q221" i="36" s="1"/>
  <c r="Q285" i="36" s="1"/>
  <c r="Q148" i="36"/>
  <c r="Q211" i="36" s="1"/>
  <c r="Q275" i="36" s="1"/>
  <c r="N149" i="36"/>
  <c r="N212" i="36" s="1"/>
  <c r="N276" i="36" s="1"/>
  <c r="D42" i="28"/>
  <c r="AZ23" i="28"/>
  <c r="AY9" i="28"/>
  <c r="AZ9" i="28"/>
  <c r="AY6" i="28"/>
  <c r="H26" i="28"/>
  <c r="AZ6" i="28"/>
  <c r="AZ11" i="28"/>
  <c r="H42" i="28"/>
  <c r="T65" i="28" l="1"/>
  <c r="T71" i="28" s="1"/>
  <c r="B42" i="28"/>
  <c r="E5" i="28"/>
  <c r="N196" i="36"/>
  <c r="N162" i="36"/>
  <c r="L260" i="36"/>
  <c r="L225" i="36"/>
  <c r="U61" i="34"/>
  <c r="AL61" i="34" s="1"/>
  <c r="U59" i="34"/>
  <c r="AL59" i="34" s="1"/>
  <c r="U50" i="34"/>
  <c r="AL50" i="34" s="1"/>
  <c r="U73" i="34"/>
  <c r="AL73" i="34" s="1"/>
  <c r="U70" i="34"/>
  <c r="AL70" i="34" s="1"/>
  <c r="U56" i="34"/>
  <c r="AL56" i="34" s="1"/>
  <c r="U55" i="34"/>
  <c r="AL55" i="34" s="1"/>
  <c r="U65" i="34"/>
  <c r="AL65" i="34" s="1"/>
  <c r="U63" i="34"/>
  <c r="AL63" i="34" s="1"/>
  <c r="U53" i="34"/>
  <c r="AL53" i="34" s="1"/>
  <c r="U51" i="34"/>
  <c r="AL51" i="34" s="1"/>
  <c r="U68" i="34"/>
  <c r="AL68" i="34" s="1"/>
  <c r="U62" i="34"/>
  <c r="AL62" i="34" s="1"/>
  <c r="U57" i="34"/>
  <c r="AL57" i="34" s="1"/>
  <c r="U60" i="34"/>
  <c r="AL60" i="34" s="1"/>
  <c r="U71" i="34"/>
  <c r="AL71" i="34" s="1"/>
  <c r="U66" i="34"/>
  <c r="AL66" i="34" s="1"/>
  <c r="U54" i="34"/>
  <c r="AL54" i="34" s="1"/>
  <c r="U67" i="34"/>
  <c r="AL67" i="34" s="1"/>
  <c r="U64" i="34"/>
  <c r="AL64" i="34" s="1"/>
  <c r="U40" i="34"/>
  <c r="AL40" i="34" s="1"/>
  <c r="U49" i="34"/>
  <c r="AL49" i="34" s="1"/>
  <c r="U44" i="34"/>
  <c r="AL44" i="34" s="1"/>
  <c r="U43" i="34"/>
  <c r="AL43" i="34" s="1"/>
  <c r="U41" i="34"/>
  <c r="AL41" i="34" s="1"/>
  <c r="U48" i="34"/>
  <c r="AL48" i="34" s="1"/>
  <c r="U47" i="34"/>
  <c r="AL47" i="34" s="1"/>
  <c r="U45" i="34"/>
  <c r="AL45" i="34" s="1"/>
  <c r="U42" i="34"/>
  <c r="AL42" i="34" s="1"/>
  <c r="U58" i="34"/>
  <c r="AL58" i="34" s="1"/>
  <c r="U52" i="34"/>
  <c r="AL52" i="34" s="1"/>
  <c r="U72" i="34"/>
  <c r="AL72" i="34" s="1"/>
  <c r="U46" i="34"/>
  <c r="AL46" i="34" s="1"/>
  <c r="U39" i="34"/>
  <c r="AL39" i="34" s="1"/>
  <c r="U37" i="34"/>
  <c r="AL37" i="34" s="1"/>
  <c r="U32" i="34"/>
  <c r="AL32" i="34" s="1"/>
  <c r="U69" i="34"/>
  <c r="AL69" i="34" s="1"/>
  <c r="U36" i="34"/>
  <c r="AL36" i="34" s="1"/>
  <c r="U28" i="34"/>
  <c r="AL28" i="34" s="1"/>
  <c r="U31" i="34"/>
  <c r="AL31" i="34" s="1"/>
  <c r="U35" i="34"/>
  <c r="AL35" i="34" s="1"/>
  <c r="U29" i="34"/>
  <c r="AL29" i="34" s="1"/>
  <c r="U26" i="34"/>
  <c r="AL26" i="34" s="1"/>
  <c r="U30" i="34"/>
  <c r="AL30" i="34" s="1"/>
  <c r="U38" i="34"/>
  <c r="AL38" i="34" s="1"/>
  <c r="U34" i="34"/>
  <c r="AL34" i="34" s="1"/>
  <c r="U25" i="34"/>
  <c r="AL25" i="34" s="1"/>
  <c r="U16" i="34"/>
  <c r="AL16" i="34" s="1"/>
  <c r="U14" i="34"/>
  <c r="AL14" i="34" s="1"/>
  <c r="U24" i="34"/>
  <c r="AL24" i="34" s="1"/>
  <c r="U21" i="34"/>
  <c r="AL21" i="34" s="1"/>
  <c r="U9" i="34"/>
  <c r="AL9" i="34" s="1"/>
  <c r="U22" i="34"/>
  <c r="AL22" i="34" s="1"/>
  <c r="U18" i="34"/>
  <c r="AL18" i="34" s="1"/>
  <c r="U8" i="34"/>
  <c r="AL8" i="34" s="1"/>
  <c r="U7" i="34"/>
  <c r="AL7" i="34" s="1"/>
  <c r="U15" i="34"/>
  <c r="AL15" i="34" s="1"/>
  <c r="U10" i="34"/>
  <c r="AL10" i="34" s="1"/>
  <c r="U11" i="34"/>
  <c r="AL11" i="34" s="1"/>
  <c r="U6" i="34"/>
  <c r="AL6" i="34" s="1"/>
  <c r="U13" i="34"/>
  <c r="AL13" i="34" s="1"/>
  <c r="U27" i="34"/>
  <c r="AL27" i="34" s="1"/>
  <c r="U17" i="34"/>
  <c r="AL17" i="34" s="1"/>
  <c r="U12" i="34"/>
  <c r="AL12" i="34" s="1"/>
  <c r="AR26" i="28"/>
  <c r="H56" i="28"/>
  <c r="AR56" i="28" s="1"/>
  <c r="N231" i="36"/>
  <c r="N295" i="36" s="1"/>
  <c r="Q231" i="36"/>
  <c r="Q295" i="36" s="1"/>
  <c r="N229" i="36"/>
  <c r="N293" i="36" s="1"/>
  <c r="K293" i="36"/>
  <c r="N232" i="36"/>
  <c r="N296" i="36" s="1"/>
  <c r="Q150" i="36"/>
  <c r="Q213" i="36" s="1"/>
  <c r="Q277" i="36" s="1"/>
  <c r="Q181" i="36"/>
  <c r="Q182" i="36"/>
  <c r="Q183" i="36"/>
  <c r="Q246" i="36" s="1"/>
  <c r="Q310" i="36" s="1"/>
  <c r="Q180" i="36"/>
  <c r="Q243" i="36" s="1"/>
  <c r="Q307" i="36" s="1"/>
  <c r="AZ15" i="28"/>
  <c r="Q185" i="36"/>
  <c r="N277" i="36"/>
  <c r="N262" i="36"/>
  <c r="N279" i="36"/>
  <c r="N246" i="36"/>
  <c r="N310" i="36" s="1"/>
  <c r="Q167" i="36"/>
  <c r="Q177" i="36"/>
  <c r="Q165" i="36"/>
  <c r="Q170" i="36"/>
  <c r="AR42" i="28"/>
  <c r="AN42" i="28"/>
  <c r="AM16" i="28"/>
  <c r="T154" i="34" l="1"/>
  <c r="T155" i="34" s="1"/>
  <c r="AO5" i="28"/>
  <c r="N260" i="36"/>
  <c r="N225" i="36"/>
  <c r="O173" i="36"/>
  <c r="O236" i="36" s="1"/>
  <c r="R236" i="36" s="1"/>
  <c r="Q229" i="36"/>
  <c r="Q293" i="36" s="1"/>
  <c r="Q232" i="36"/>
  <c r="Q296" i="36" s="1"/>
  <c r="O188" i="36"/>
  <c r="O251" i="36" s="1"/>
  <c r="O314" i="36" s="1"/>
  <c r="O23" i="28"/>
  <c r="R23" i="28" s="1"/>
  <c r="O6" i="28"/>
  <c r="O46" i="28"/>
  <c r="O179" i="36"/>
  <c r="Q245" i="36"/>
  <c r="Q309" i="36" s="1"/>
  <c r="Q244" i="36"/>
  <c r="Q308" i="36" s="1"/>
  <c r="O181" i="36"/>
  <c r="R181" i="36" s="1"/>
  <c r="O171" i="36"/>
  <c r="O183" i="36"/>
  <c r="R183" i="36" s="1"/>
  <c r="O178" i="36"/>
  <c r="O11" i="28"/>
  <c r="R11" i="28" s="1"/>
  <c r="O180" i="36"/>
  <c r="R180" i="36" s="1"/>
  <c r="O9" i="28"/>
  <c r="R9" i="28" s="1"/>
  <c r="O15" i="28"/>
  <c r="R15" i="28" s="1"/>
  <c r="O182" i="36"/>
  <c r="R182" i="36" s="1"/>
  <c r="O175" i="36"/>
  <c r="O238" i="36" s="1"/>
  <c r="O136" i="36"/>
  <c r="O199" i="36" s="1"/>
  <c r="O176" i="36"/>
  <c r="O239" i="36" s="1"/>
  <c r="O172" i="36"/>
  <c r="O235" i="36" s="1"/>
  <c r="O174" i="36"/>
  <c r="O237" i="36" s="1"/>
  <c r="O140" i="36"/>
  <c r="O203" i="36" s="1"/>
  <c r="O148" i="36"/>
  <c r="O211" i="36" s="1"/>
  <c r="O169" i="36"/>
  <c r="O231" i="36" s="1"/>
  <c r="O295" i="36" s="1"/>
  <c r="R295" i="36" s="1"/>
  <c r="O153" i="36"/>
  <c r="O161" i="36"/>
  <c r="O224" i="36" s="1"/>
  <c r="O156" i="36"/>
  <c r="O219" i="36" s="1"/>
  <c r="O138" i="36"/>
  <c r="O201" i="36" s="1"/>
  <c r="O142" i="36"/>
  <c r="O205" i="36" s="1"/>
  <c r="O150" i="36"/>
  <c r="O213" i="36" s="1"/>
  <c r="O135" i="36"/>
  <c r="O198" i="36" s="1"/>
  <c r="R198" i="36" s="1"/>
  <c r="O143" i="36"/>
  <c r="O206" i="36" s="1"/>
  <c r="O154" i="36"/>
  <c r="O217" i="36" s="1"/>
  <c r="O133" i="36"/>
  <c r="O141" i="36"/>
  <c r="O204" i="36" s="1"/>
  <c r="O158" i="36"/>
  <c r="O221" i="36" s="1"/>
  <c r="O144" i="36"/>
  <c r="O207" i="36" s="1"/>
  <c r="O157" i="36"/>
  <c r="O220" i="36" s="1"/>
  <c r="O159" i="36"/>
  <c r="O222" i="36" s="1"/>
  <c r="O184" i="36"/>
  <c r="O247" i="36" s="1"/>
  <c r="O160" i="36"/>
  <c r="O223" i="36" s="1"/>
  <c r="O155" i="36"/>
  <c r="O218" i="36" s="1"/>
  <c r="O139" i="36"/>
  <c r="O202" i="36" s="1"/>
  <c r="O152" i="36"/>
  <c r="O215" i="36" s="1"/>
  <c r="O165" i="36"/>
  <c r="O167" i="36"/>
  <c r="O229" i="36" s="1"/>
  <c r="O293" i="36" s="1"/>
  <c r="O170" i="36"/>
  <c r="O232" i="36" s="1"/>
  <c r="O296" i="36" s="1"/>
  <c r="AV15" i="28"/>
  <c r="AP15" i="28"/>
  <c r="S289" i="36"/>
  <c r="T290" i="36" s="1"/>
  <c r="AW11" i="28"/>
  <c r="AW23" i="28"/>
  <c r="P50" i="28"/>
  <c r="AY50" i="28" s="1"/>
  <c r="P36" i="28"/>
  <c r="AY36" i="28" s="1"/>
  <c r="P46" i="28"/>
  <c r="AY46" i="28" s="1"/>
  <c r="AW9" i="28"/>
  <c r="AW6" i="28"/>
  <c r="AY15" i="28"/>
  <c r="O36" i="28"/>
  <c r="O147" i="36" l="1"/>
  <c r="O210" i="36" s="1"/>
  <c r="R210" i="36" s="1"/>
  <c r="U154" i="34"/>
  <c r="O50" i="28"/>
  <c r="T9" i="28"/>
  <c r="U9" i="28" s="1"/>
  <c r="S9" i="28"/>
  <c r="AX6" i="28"/>
  <c r="R6" i="28"/>
  <c r="S15" i="28"/>
  <c r="T15" i="28"/>
  <c r="AX46" i="28"/>
  <c r="T23" i="28"/>
  <c r="U23" i="28" s="1"/>
  <c r="S23" i="28"/>
  <c r="S11" i="28"/>
  <c r="T11" i="28"/>
  <c r="U11" i="28" s="1"/>
  <c r="O196" i="36"/>
  <c r="R173" i="36"/>
  <c r="O300" i="36"/>
  <c r="R300" i="36" s="1"/>
  <c r="R247" i="36"/>
  <c r="O311" i="36"/>
  <c r="R311" i="36" s="1"/>
  <c r="R237" i="36"/>
  <c r="O301" i="36"/>
  <c r="R301" i="36" s="1"/>
  <c r="R296" i="36"/>
  <c r="T296" i="36" s="1"/>
  <c r="R235" i="36"/>
  <c r="O299" i="36"/>
  <c r="R299" i="36" s="1"/>
  <c r="R293" i="36"/>
  <c r="T293" i="36" s="1"/>
  <c r="R239" i="36"/>
  <c r="O303" i="36"/>
  <c r="R303" i="36" s="1"/>
  <c r="R238" i="36"/>
  <c r="O302" i="36"/>
  <c r="R302" i="36" s="1"/>
  <c r="R231" i="36"/>
  <c r="R229" i="36"/>
  <c r="R188" i="36"/>
  <c r="R251" i="36"/>
  <c r="O243" i="36"/>
  <c r="AX9" i="28"/>
  <c r="O244" i="36"/>
  <c r="O246" i="36"/>
  <c r="O241" i="36"/>
  <c r="R178" i="36"/>
  <c r="O234" i="36"/>
  <c r="R171" i="36"/>
  <c r="O242" i="36"/>
  <c r="R179" i="36"/>
  <c r="R176" i="36"/>
  <c r="R174" i="36"/>
  <c r="O268" i="36"/>
  <c r="R268" i="36" s="1"/>
  <c r="T268" i="36" s="1"/>
  <c r="R204" i="36"/>
  <c r="O277" i="36"/>
  <c r="R277" i="36" s="1"/>
  <c r="T277" i="36" s="1"/>
  <c r="R213" i="36"/>
  <c r="R153" i="36"/>
  <c r="O216" i="36"/>
  <c r="O263" i="36"/>
  <c r="R263" i="36" s="1"/>
  <c r="T263" i="36" s="1"/>
  <c r="R199" i="36"/>
  <c r="O285" i="36"/>
  <c r="R285" i="36" s="1"/>
  <c r="T285" i="36" s="1"/>
  <c r="R221" i="36"/>
  <c r="R232" i="36"/>
  <c r="O287" i="36"/>
  <c r="R287" i="36" s="1"/>
  <c r="T287" i="36" s="1"/>
  <c r="R223" i="36"/>
  <c r="O269" i="36"/>
  <c r="R269" i="36" s="1"/>
  <c r="T269" i="36" s="1"/>
  <c r="R205" i="36"/>
  <c r="O275" i="36"/>
  <c r="R275" i="36" s="1"/>
  <c r="T275" i="36" s="1"/>
  <c r="R211" i="36"/>
  <c r="O265" i="36"/>
  <c r="R265" i="36" s="1"/>
  <c r="T265" i="36" s="1"/>
  <c r="R201" i="36"/>
  <c r="O267" i="36"/>
  <c r="R267" i="36" s="1"/>
  <c r="T267" i="36" s="1"/>
  <c r="R203" i="36"/>
  <c r="O286" i="36"/>
  <c r="R286" i="36" s="1"/>
  <c r="T286" i="36" s="1"/>
  <c r="R222" i="36"/>
  <c r="O281" i="36"/>
  <c r="R281" i="36" s="1"/>
  <c r="T281" i="36" s="1"/>
  <c r="R217" i="36"/>
  <c r="O279" i="36"/>
  <c r="R279" i="36" s="1"/>
  <c r="T279" i="36" s="1"/>
  <c r="R215" i="36"/>
  <c r="O284" i="36"/>
  <c r="R284" i="36" s="1"/>
  <c r="T284" i="36" s="1"/>
  <c r="R220" i="36"/>
  <c r="O245" i="36"/>
  <c r="O266" i="36"/>
  <c r="R266" i="36" s="1"/>
  <c r="T266" i="36" s="1"/>
  <c r="R202" i="36"/>
  <c r="O270" i="36"/>
  <c r="R270" i="36" s="1"/>
  <c r="T270" i="36" s="1"/>
  <c r="R206" i="36"/>
  <c r="O283" i="36"/>
  <c r="R283" i="36" s="1"/>
  <c r="T283" i="36" s="1"/>
  <c r="R219" i="36"/>
  <c r="O282" i="36"/>
  <c r="R282" i="36" s="1"/>
  <c r="T282" i="36" s="1"/>
  <c r="R218" i="36"/>
  <c r="O271" i="36"/>
  <c r="R271" i="36" s="1"/>
  <c r="T271" i="36" s="1"/>
  <c r="R207" i="36"/>
  <c r="O262" i="36"/>
  <c r="R262" i="36" s="1"/>
  <c r="T262" i="36" s="1"/>
  <c r="O288" i="36"/>
  <c r="R288" i="36" s="1"/>
  <c r="T288" i="36" s="1"/>
  <c r="R224" i="36"/>
  <c r="R136" i="36"/>
  <c r="R175" i="36"/>
  <c r="R172" i="36"/>
  <c r="R140" i="36"/>
  <c r="BA9" i="28"/>
  <c r="R148" i="36"/>
  <c r="R156" i="36"/>
  <c r="R161" i="36"/>
  <c r="R150" i="36"/>
  <c r="R169" i="36"/>
  <c r="R138" i="36"/>
  <c r="R143" i="36"/>
  <c r="R142" i="36"/>
  <c r="R135" i="36"/>
  <c r="R170" i="36"/>
  <c r="R139" i="36"/>
  <c r="R159" i="36"/>
  <c r="R184" i="36"/>
  <c r="R155" i="36"/>
  <c r="R157" i="36"/>
  <c r="R152" i="36"/>
  <c r="R160" i="36"/>
  <c r="R144" i="36"/>
  <c r="R154" i="36"/>
  <c r="R141" i="36"/>
  <c r="R167" i="36"/>
  <c r="R165" i="36"/>
  <c r="R158" i="36"/>
  <c r="N50" i="28"/>
  <c r="N46" i="28"/>
  <c r="C120" i="9"/>
  <c r="B168" i="9" s="1"/>
  <c r="C138" i="9"/>
  <c r="B166" i="9" s="1"/>
  <c r="O274" i="36" l="1"/>
  <c r="R274" i="36" s="1"/>
  <c r="T274" i="36" s="1"/>
  <c r="R147" i="36"/>
  <c r="U155" i="34"/>
  <c r="AL155" i="34" s="1"/>
  <c r="O149" i="36" s="1"/>
  <c r="AL154" i="34"/>
  <c r="O145" i="36" s="1"/>
  <c r="T6" i="28"/>
  <c r="BB6" i="28" s="1"/>
  <c r="S6" i="28"/>
  <c r="O260" i="36"/>
  <c r="BB9" i="28"/>
  <c r="O41" i="28"/>
  <c r="R41" i="28" s="1"/>
  <c r="R234" i="36"/>
  <c r="O298" i="36"/>
  <c r="R298" i="36" s="1"/>
  <c r="R241" i="36"/>
  <c r="O305" i="36"/>
  <c r="R305" i="36" s="1"/>
  <c r="R245" i="36"/>
  <c r="O309" i="36"/>
  <c r="R309" i="36" s="1"/>
  <c r="R246" i="36"/>
  <c r="O310" i="36"/>
  <c r="R310" i="36" s="1"/>
  <c r="R244" i="36"/>
  <c r="O308" i="36"/>
  <c r="R308" i="36" s="1"/>
  <c r="R242" i="36"/>
  <c r="O306" i="36"/>
  <c r="R306" i="36" s="1"/>
  <c r="R243" i="36"/>
  <c r="O307" i="36"/>
  <c r="R307" i="36" s="1"/>
  <c r="BA6" i="28"/>
  <c r="O280" i="36"/>
  <c r="R280" i="36" s="1"/>
  <c r="T280" i="36" s="1"/>
  <c r="R216" i="36"/>
  <c r="AX36" i="28"/>
  <c r="AX50" i="28"/>
  <c r="R314" i="36"/>
  <c r="AW46" i="28"/>
  <c r="AW50" i="28"/>
  <c r="AW15" i="28"/>
  <c r="C111" i="9"/>
  <c r="B167" i="9" s="1"/>
  <c r="O208" i="36" l="1"/>
  <c r="R145" i="36"/>
  <c r="O212" i="36"/>
  <c r="R149" i="36"/>
  <c r="T41" i="28"/>
  <c r="U41" i="28" s="1"/>
  <c r="S41" i="28"/>
  <c r="U6" i="28"/>
  <c r="AX41" i="28"/>
  <c r="BA41" i="28"/>
  <c r="AX15" i="28"/>
  <c r="AX11" i="28"/>
  <c r="BB11" i="28"/>
  <c r="BA11" i="28"/>
  <c r="AX23" i="28"/>
  <c r="BB23" i="28"/>
  <c r="BA23" i="28"/>
  <c r="O276" i="36" l="1"/>
  <c r="R276" i="36" s="1"/>
  <c r="T276" i="36" s="1"/>
  <c r="R212" i="36"/>
  <c r="O272" i="36"/>
  <c r="R272" i="36" s="1"/>
  <c r="T272" i="36" s="1"/>
  <c r="R208" i="36"/>
  <c r="BB41" i="28"/>
  <c r="BA15" i="28"/>
  <c r="C129" i="9"/>
  <c r="B165" i="9" s="1"/>
  <c r="BB15" i="28" l="1"/>
  <c r="U15" i="28"/>
  <c r="D46" i="28" l="1"/>
  <c r="L46" i="28" l="1"/>
  <c r="AV46" i="28" s="1"/>
  <c r="B46" i="28"/>
  <c r="Q46" i="28"/>
  <c r="R46" i="28" s="1"/>
  <c r="S46" i="28" s="1"/>
  <c r="Q36" i="28"/>
  <c r="R36" i="28" s="1"/>
  <c r="Q50" i="28"/>
  <c r="R50" i="28" s="1"/>
  <c r="AN46" i="28"/>
  <c r="T50" i="28" l="1"/>
  <c r="U50" i="28" s="1"/>
  <c r="S50" i="28"/>
  <c r="S36" i="28"/>
  <c r="T36" i="28"/>
  <c r="BB36" i="28" s="1"/>
  <c r="M46" i="28"/>
  <c r="T46" i="28"/>
  <c r="U46" i="28" s="1"/>
  <c r="AZ50" i="28"/>
  <c r="BA50" i="28"/>
  <c r="AZ36" i="28"/>
  <c r="BA36" i="28"/>
  <c r="AZ46" i="28"/>
  <c r="BA46" i="28"/>
  <c r="BB50" i="28" l="1"/>
  <c r="BB46" i="28"/>
  <c r="C93" i="9"/>
  <c r="L90" i="9" l="1"/>
  <c r="L89" i="9"/>
  <c r="L88" i="9"/>
  <c r="L91" i="9"/>
  <c r="L65" i="9"/>
  <c r="L70" i="9"/>
  <c r="B164" i="9"/>
  <c r="B172" i="9" s="1"/>
  <c r="B173" i="9" s="1"/>
  <c r="L66" i="9"/>
  <c r="L67" i="9"/>
  <c r="L68" i="9"/>
  <c r="L69" i="9"/>
  <c r="L71" i="9"/>
  <c r="C170" i="9" l="1"/>
  <c r="D170" i="9" s="1"/>
  <c r="E170" i="9" l="1"/>
  <c r="Q133" i="36" l="1"/>
  <c r="Q196" i="36" l="1"/>
  <c r="Q162" i="36"/>
  <c r="R133" i="36"/>
  <c r="Q225" i="36" l="1"/>
  <c r="R196" i="36"/>
  <c r="Q260" i="36"/>
  <c r="R260" i="36" s="1"/>
  <c r="T260" i="36" s="1"/>
  <c r="C21" i="28" l="1"/>
  <c r="L21" i="28" s="1"/>
  <c r="AM21" i="28" l="1"/>
  <c r="B21" i="28"/>
  <c r="M21" i="28"/>
  <c r="AV21" i="28"/>
  <c r="Q21" i="28"/>
  <c r="AZ21" i="28" s="1"/>
  <c r="O21" i="28"/>
  <c r="P21" i="28"/>
  <c r="AY21" i="28" s="1"/>
  <c r="U125" i="1" l="1"/>
  <c r="W125" i="1" s="1"/>
  <c r="U97" i="1"/>
  <c r="W97" i="1" s="1"/>
  <c r="U95" i="1"/>
  <c r="W95" i="1" s="1"/>
  <c r="AX21" i="28"/>
  <c r="AD95" i="1" l="1"/>
  <c r="AC95" i="1"/>
  <c r="AC97" i="1"/>
  <c r="AD97" i="1"/>
  <c r="AD125" i="1"/>
  <c r="AC125" i="1"/>
  <c r="N21" i="28"/>
  <c r="AV125" i="1" l="1"/>
  <c r="AZ125" i="1" s="1"/>
  <c r="BE125" i="1" s="1"/>
  <c r="AP125" i="1"/>
  <c r="AP97" i="1"/>
  <c r="AW97" i="1"/>
  <c r="AV97" i="1"/>
  <c r="AV95" i="1"/>
  <c r="AW95" i="1"/>
  <c r="AP95" i="1"/>
  <c r="AE97" i="1"/>
  <c r="AE125" i="1"/>
  <c r="E48" i="28"/>
  <c r="AO48" i="28" s="1"/>
  <c r="D48" i="28"/>
  <c r="AW21" i="28"/>
  <c r="R21" i="28"/>
  <c r="AZ95" i="1" l="1"/>
  <c r="BE95" i="1" s="1"/>
  <c r="AZ97" i="1"/>
  <c r="BE97" i="1" s="1"/>
  <c r="AS125" i="1"/>
  <c r="AR125" i="1"/>
  <c r="AT125" i="1"/>
  <c r="AQ125" i="1"/>
  <c r="AQ95" i="1"/>
  <c r="AR95" i="1"/>
  <c r="AS95" i="1"/>
  <c r="AT95" i="1"/>
  <c r="AQ97" i="1"/>
  <c r="AR97" i="1"/>
  <c r="AS97" i="1"/>
  <c r="AT97" i="1"/>
  <c r="L48" i="28"/>
  <c r="B48" i="28"/>
  <c r="AN48" i="28"/>
  <c r="O48" i="28"/>
  <c r="AX48" i="28" s="1"/>
  <c r="S21" i="28"/>
  <c r="BA21" i="28"/>
  <c r="T21" i="28"/>
  <c r="AU97" i="1" l="1"/>
  <c r="BF97" i="1" s="1"/>
  <c r="BG97" i="1" s="1"/>
  <c r="AU95" i="1"/>
  <c r="BF95" i="1" s="1"/>
  <c r="BG95" i="1" s="1"/>
  <c r="AU125" i="1"/>
  <c r="BF125" i="1" s="1"/>
  <c r="BG125" i="1" s="1"/>
  <c r="P48" i="28"/>
  <c r="AY48" i="28" s="1"/>
  <c r="Q48" i="28"/>
  <c r="AZ48" i="28" s="1"/>
  <c r="AV48" i="28"/>
  <c r="M48" i="28"/>
  <c r="BB21" i="28"/>
  <c r="U21" i="28"/>
  <c r="N48" i="28" l="1"/>
  <c r="AW48" i="28" l="1"/>
  <c r="R48" i="28"/>
  <c r="S48" i="28" l="1"/>
  <c r="BA48" i="28"/>
  <c r="T48" i="28"/>
  <c r="U48" i="28" l="1"/>
  <c r="BB48" i="28"/>
  <c r="B97" i="9" l="1"/>
  <c r="H97" i="9" s="1"/>
  <c r="E97" i="9" l="1"/>
  <c r="G97" i="9"/>
  <c r="D97" i="9"/>
  <c r="B99" i="9"/>
  <c r="B100" i="9"/>
  <c r="B101" i="9" l="1"/>
  <c r="H99" i="9"/>
  <c r="E99" i="9"/>
  <c r="G99" i="9"/>
  <c r="D99" i="9"/>
  <c r="H100" i="9"/>
  <c r="G100" i="9"/>
  <c r="D100" i="9"/>
  <c r="E100" i="9"/>
  <c r="B98" i="9" l="1"/>
  <c r="H101" i="9"/>
  <c r="D101" i="9"/>
  <c r="G101" i="9"/>
  <c r="E101" i="9"/>
  <c r="E98" i="9" l="1"/>
  <c r="H98" i="9"/>
  <c r="D98" i="9"/>
  <c r="G98" i="9"/>
  <c r="B102" i="9"/>
  <c r="C169" i="9" l="1"/>
  <c r="E102" i="9"/>
  <c r="G102" i="9"/>
  <c r="D102" i="9"/>
  <c r="H102" i="9"/>
  <c r="D169" i="9" l="1"/>
  <c r="E169" i="9"/>
  <c r="J76" i="49" l="1"/>
  <c r="S33" i="1"/>
  <c r="Q71" i="49"/>
  <c r="Y33" i="1" l="1"/>
  <c r="X33" i="1"/>
  <c r="AB33" i="1"/>
  <c r="V33" i="1"/>
  <c r="W33" i="1" s="1"/>
  <c r="Z33" i="1"/>
  <c r="C5" i="28"/>
  <c r="C45" i="28"/>
  <c r="AA33" i="1" l="1"/>
  <c r="AD33" i="1" s="1"/>
  <c r="B5" i="28"/>
  <c r="AM5" i="28"/>
  <c r="L5" i="28"/>
  <c r="B45" i="28"/>
  <c r="AM45" i="28"/>
  <c r="L45" i="28"/>
  <c r="P5" i="28"/>
  <c r="Q5" i="28"/>
  <c r="AZ5" i="28" s="1"/>
  <c r="Q45" i="28"/>
  <c r="O45" i="28"/>
  <c r="P45" i="28"/>
  <c r="AY5" i="28" l="1"/>
  <c r="AC33" i="1"/>
  <c r="AW33" i="1"/>
  <c r="AP33" i="1"/>
  <c r="AE33" i="1"/>
  <c r="M5" i="28"/>
  <c r="AV5" i="28"/>
  <c r="AZ45" i="28"/>
  <c r="M45" i="28"/>
  <c r="AV45" i="28"/>
  <c r="AY45" i="28"/>
  <c r="AX45" i="28"/>
  <c r="N5" i="28"/>
  <c r="AQ33" i="1" l="1"/>
  <c r="AS33" i="1"/>
  <c r="AV33" i="1"/>
  <c r="AZ33" i="1" s="1"/>
  <c r="AT33" i="1"/>
  <c r="AR33" i="1"/>
  <c r="AW5" i="28"/>
  <c r="N45" i="28"/>
  <c r="BE33" i="1" l="1"/>
  <c r="T33" i="34"/>
  <c r="U33" i="34" s="1"/>
  <c r="AL33" i="34" s="1"/>
  <c r="O151" i="36" s="1"/>
  <c r="AU33" i="1"/>
  <c r="BF33" i="1" s="1"/>
  <c r="BG33" i="1" s="1"/>
  <c r="O5" i="28"/>
  <c r="AW45" i="28"/>
  <c r="R45" i="28"/>
  <c r="O214" i="36" l="1"/>
  <c r="R151" i="36"/>
  <c r="AX5" i="28"/>
  <c r="R5" i="28"/>
  <c r="S45" i="28"/>
  <c r="BA45" i="28"/>
  <c r="T45" i="28"/>
  <c r="O278" i="36" l="1"/>
  <c r="R278" i="36" s="1"/>
  <c r="T278" i="36" s="1"/>
  <c r="R214" i="36"/>
  <c r="S5" i="28"/>
  <c r="BA5" i="28"/>
  <c r="T5" i="28"/>
  <c r="U45" i="28"/>
  <c r="BB45" i="28"/>
  <c r="BB5" i="28" l="1"/>
  <c r="U5" i="28"/>
  <c r="V56" i="28" l="1"/>
  <c r="X56" i="28" l="1"/>
  <c r="W56" i="28"/>
  <c r="AE56" i="28" l="1"/>
  <c r="AK56" i="28" l="1"/>
  <c r="AK57" i="28" s="1"/>
  <c r="AK58" i="28" s="1"/>
  <c r="R50" i="49" l="1"/>
  <c r="S50" i="49" l="1"/>
  <c r="C35" i="28" l="1"/>
  <c r="AM35" i="28" s="1"/>
  <c r="D54" i="28"/>
  <c r="B54" i="28" s="1"/>
  <c r="C37" i="28" l="1"/>
  <c r="AM37" i="28" s="1"/>
  <c r="AN54" i="28"/>
  <c r="U96" i="1" l="1"/>
  <c r="W96" i="1" s="1"/>
  <c r="C38" i="28"/>
  <c r="U94" i="1"/>
  <c r="W94" i="1" s="1"/>
  <c r="AC94" i="1" l="1"/>
  <c r="AD94" i="1"/>
  <c r="U128" i="1"/>
  <c r="W128" i="1" s="1"/>
  <c r="AD96" i="1"/>
  <c r="AC96" i="1"/>
  <c r="AP94" i="1" l="1"/>
  <c r="AW94" i="1"/>
  <c r="AV94" i="1"/>
  <c r="AE94" i="1"/>
  <c r="D22" i="28"/>
  <c r="AD128" i="1"/>
  <c r="AC128" i="1"/>
  <c r="AP96" i="1"/>
  <c r="D35" i="28"/>
  <c r="AV96" i="1"/>
  <c r="AE96" i="1"/>
  <c r="AW96" i="1"/>
  <c r="AZ94" i="1" l="1"/>
  <c r="BE94" i="1" s="1"/>
  <c r="O22" i="28" s="1"/>
  <c r="AX22" i="28" s="1"/>
  <c r="B22" i="28"/>
  <c r="L22" i="28"/>
  <c r="AN22" i="28"/>
  <c r="AT94" i="1"/>
  <c r="AQ94" i="1"/>
  <c r="Q22" i="28" s="1"/>
  <c r="AZ22" i="28" s="1"/>
  <c r="AS94" i="1"/>
  <c r="AR94" i="1"/>
  <c r="P22" i="28" s="1"/>
  <c r="AY22" i="28" s="1"/>
  <c r="D37" i="28"/>
  <c r="B35" i="28"/>
  <c r="L35" i="28"/>
  <c r="AN35" i="28"/>
  <c r="E54" i="28"/>
  <c r="AP128" i="1"/>
  <c r="AV128" i="1"/>
  <c r="AZ128" i="1" s="1"/>
  <c r="BE128" i="1" s="1"/>
  <c r="O54" i="28" s="1"/>
  <c r="AE128" i="1"/>
  <c r="AZ96" i="1"/>
  <c r="BE96" i="1" s="1"/>
  <c r="O35" i="28" s="1"/>
  <c r="AQ96" i="1"/>
  <c r="Q35" i="28" s="1"/>
  <c r="AS96" i="1"/>
  <c r="AT96" i="1"/>
  <c r="AR96" i="1"/>
  <c r="P35" i="28" s="1"/>
  <c r="AU94" i="1" l="1"/>
  <c r="BF94" i="1" s="1"/>
  <c r="BG94" i="1" s="1"/>
  <c r="N22" i="28"/>
  <c r="M22" i="28"/>
  <c r="AV22" i="28"/>
  <c r="P37" i="28"/>
  <c r="AY35" i="28"/>
  <c r="AU96" i="1"/>
  <c r="AX35" i="28"/>
  <c r="O37" i="28"/>
  <c r="AX54" i="28"/>
  <c r="B134" i="9"/>
  <c r="AS128" i="1"/>
  <c r="AT128" i="1"/>
  <c r="AR128" i="1"/>
  <c r="P54" i="28" s="1"/>
  <c r="AQ128" i="1"/>
  <c r="Q54" i="28" s="1"/>
  <c r="AZ35" i="28"/>
  <c r="Q37" i="28"/>
  <c r="AO54" i="28"/>
  <c r="L54" i="28"/>
  <c r="B133" i="9"/>
  <c r="M35" i="28"/>
  <c r="AV35" i="28"/>
  <c r="L37" i="28"/>
  <c r="B106" i="9"/>
  <c r="B37" i="28"/>
  <c r="D38" i="28"/>
  <c r="AN37" i="28"/>
  <c r="AW22" i="28" l="1"/>
  <c r="R22" i="28"/>
  <c r="D106" i="9"/>
  <c r="G106" i="9"/>
  <c r="E106" i="9"/>
  <c r="H106" i="9"/>
  <c r="AV37" i="28"/>
  <c r="M37" i="28"/>
  <c r="AZ37" i="28"/>
  <c r="B109" i="9"/>
  <c r="B136" i="9"/>
  <c r="AZ54" i="28"/>
  <c r="BF96" i="1"/>
  <c r="BG96" i="1" s="1"/>
  <c r="N35" i="28"/>
  <c r="AY54" i="28"/>
  <c r="B135" i="9"/>
  <c r="AU128" i="1"/>
  <c r="D134" i="9"/>
  <c r="E134" i="9"/>
  <c r="G134" i="9"/>
  <c r="H134" i="9"/>
  <c r="G133" i="9"/>
  <c r="E133" i="9"/>
  <c r="H133" i="9"/>
  <c r="D133" i="9"/>
  <c r="AV54" i="28"/>
  <c r="M54" i="28"/>
  <c r="B107" i="9"/>
  <c r="AX37" i="28"/>
  <c r="B108" i="9"/>
  <c r="AY37" i="28"/>
  <c r="S22" i="28" l="1"/>
  <c r="BA22" i="28"/>
  <c r="T22" i="28"/>
  <c r="BF128" i="1"/>
  <c r="BG128" i="1" s="1"/>
  <c r="N54" i="28"/>
  <c r="G135" i="9"/>
  <c r="D135" i="9"/>
  <c r="E135" i="9"/>
  <c r="H135" i="9"/>
  <c r="D136" i="9"/>
  <c r="G136" i="9"/>
  <c r="E136" i="9"/>
  <c r="H136" i="9"/>
  <c r="N37" i="28"/>
  <c r="R35" i="28"/>
  <c r="AW35" i="28"/>
  <c r="E107" i="9"/>
  <c r="H107" i="9"/>
  <c r="D107" i="9"/>
  <c r="G107" i="9"/>
  <c r="H108" i="9"/>
  <c r="D108" i="9"/>
  <c r="G108" i="9"/>
  <c r="E108" i="9"/>
  <c r="H109" i="9"/>
  <c r="G109" i="9"/>
  <c r="E109" i="9"/>
  <c r="D109" i="9"/>
  <c r="BB22" i="28" l="1"/>
  <c r="U22" i="28"/>
  <c r="T35" i="28"/>
  <c r="S35" i="28"/>
  <c r="BA35" i="28"/>
  <c r="AW37" i="28"/>
  <c r="R37" i="28"/>
  <c r="BA37" i="28" s="1"/>
  <c r="B110" i="9"/>
  <c r="R54" i="28"/>
  <c r="AW54" i="28"/>
  <c r="B137" i="9"/>
  <c r="O29" i="49"/>
  <c r="S36" i="49"/>
  <c r="O37" i="49"/>
  <c r="D38" i="49"/>
  <c r="E38" i="49" s="1"/>
  <c r="S54" i="28" l="1"/>
  <c r="BA54" i="28"/>
  <c r="T54" i="28"/>
  <c r="D137" i="9"/>
  <c r="G137" i="9"/>
  <c r="E137" i="9"/>
  <c r="H137" i="9"/>
  <c r="B138" i="9"/>
  <c r="D110" i="9"/>
  <c r="G110" i="9"/>
  <c r="E110" i="9"/>
  <c r="H110" i="9"/>
  <c r="B111" i="9"/>
  <c r="BB35" i="28"/>
  <c r="T37" i="28"/>
  <c r="P29" i="49"/>
  <c r="S19" i="1"/>
  <c r="F38" i="49"/>
  <c r="G38" i="49" s="1"/>
  <c r="H38" i="49" s="1"/>
  <c r="C39" i="49" s="1"/>
  <c r="I38" i="49"/>
  <c r="P37" i="49"/>
  <c r="Q37" i="49" s="1"/>
  <c r="U54" i="28" l="1"/>
  <c r="T55" i="28"/>
  <c r="BB54" i="28"/>
  <c r="U37" i="28"/>
  <c r="BB37" i="28"/>
  <c r="E138" i="9"/>
  <c r="H138" i="9"/>
  <c r="D138" i="9"/>
  <c r="C166" i="9"/>
  <c r="G138" i="9"/>
  <c r="C167" i="9"/>
  <c r="G111" i="9"/>
  <c r="D111" i="9"/>
  <c r="E111" i="9"/>
  <c r="H111" i="9"/>
  <c r="AB19" i="1"/>
  <c r="V19" i="1"/>
  <c r="W19" i="1" s="1"/>
  <c r="Z19" i="1"/>
  <c r="Y19" i="1"/>
  <c r="X19" i="1"/>
  <c r="S23" i="1"/>
  <c r="J38" i="49"/>
  <c r="K38" i="49" s="1"/>
  <c r="L38" i="49" s="1"/>
  <c r="M38" i="49" s="1"/>
  <c r="N38" i="49" s="1"/>
  <c r="O38" i="49" s="1"/>
  <c r="Q29" i="49"/>
  <c r="D39" i="49"/>
  <c r="E39" i="49" s="1"/>
  <c r="D44" i="49"/>
  <c r="C12" i="28" l="1"/>
  <c r="B12" i="28" s="1"/>
  <c r="AA19" i="1"/>
  <c r="AD19" i="1" s="1"/>
  <c r="V23" i="1"/>
  <c r="W23" i="1" s="1"/>
  <c r="Z23" i="1"/>
  <c r="AB23" i="1"/>
  <c r="X23" i="1"/>
  <c r="Y23" i="1"/>
  <c r="D166" i="9"/>
  <c r="E166" i="9"/>
  <c r="D167" i="9"/>
  <c r="E167" i="9"/>
  <c r="F39" i="49"/>
  <c r="G39" i="49" s="1"/>
  <c r="H39" i="49" s="1"/>
  <c r="P38" i="49"/>
  <c r="Q38" i="49" s="1"/>
  <c r="D25" i="28" l="1"/>
  <c r="AN25" i="28" s="1"/>
  <c r="AC19" i="1"/>
  <c r="AM12" i="28"/>
  <c r="L12" i="28"/>
  <c r="M12" i="28" s="1"/>
  <c r="C7" i="28"/>
  <c r="AP19" i="1"/>
  <c r="AT19" i="1" s="1"/>
  <c r="AE19" i="1"/>
  <c r="F24" i="28"/>
  <c r="AA23" i="1"/>
  <c r="AD23" i="1" s="1"/>
  <c r="C40" i="49"/>
  <c r="C41" i="49" s="1"/>
  <c r="I39" i="49"/>
  <c r="L25" i="28" l="1"/>
  <c r="AV25" i="28" s="1"/>
  <c r="B25" i="28"/>
  <c r="D17" i="28"/>
  <c r="D20" i="28"/>
  <c r="AN20" i="28" s="1"/>
  <c r="O25" i="28"/>
  <c r="AX25" i="28" s="1"/>
  <c r="Q25" i="28"/>
  <c r="AZ25" i="28" s="1"/>
  <c r="J39" i="49"/>
  <c r="K39" i="49" s="1"/>
  <c r="L39" i="49" s="1"/>
  <c r="M39" i="49" s="1"/>
  <c r="N39" i="49" s="1"/>
  <c r="O39" i="49" s="1"/>
  <c r="S20" i="1"/>
  <c r="N25" i="28"/>
  <c r="AW25" i="28" s="1"/>
  <c r="AV12" i="28"/>
  <c r="O12" i="28"/>
  <c r="AX12" i="28" s="1"/>
  <c r="Q12" i="28"/>
  <c r="AZ12" i="28" s="1"/>
  <c r="P12" i="28"/>
  <c r="AY12" i="28" s="1"/>
  <c r="M25" i="28"/>
  <c r="AS19" i="1"/>
  <c r="AU19" i="1" s="1"/>
  <c r="N7" i="28" s="1"/>
  <c r="AW7" i="28" s="1"/>
  <c r="AQ19" i="1"/>
  <c r="Q7" i="28" s="1"/>
  <c r="AZ7" i="28" s="1"/>
  <c r="N12" i="28"/>
  <c r="AW12" i="28" s="1"/>
  <c r="L7" i="28"/>
  <c r="B7" i="28"/>
  <c r="AM7" i="28"/>
  <c r="AW19" i="1"/>
  <c r="AP24" i="28"/>
  <c r="L24" i="28"/>
  <c r="F26" i="28"/>
  <c r="AV19" i="1"/>
  <c r="AR19" i="1"/>
  <c r="P7" i="28" s="1"/>
  <c r="AP23" i="1"/>
  <c r="AE23" i="1"/>
  <c r="AW23" i="1"/>
  <c r="AC23" i="1"/>
  <c r="D40" i="49"/>
  <c r="P39" i="49"/>
  <c r="Q39" i="49" s="1"/>
  <c r="D41" i="49"/>
  <c r="E40" i="49"/>
  <c r="AY7" i="28" l="1"/>
  <c r="P25" i="28"/>
  <c r="AY25" i="28" s="1"/>
  <c r="B20" i="28"/>
  <c r="B17" i="28"/>
  <c r="L17" i="28"/>
  <c r="AN17" i="28"/>
  <c r="U105" i="1"/>
  <c r="W105" i="1" s="1"/>
  <c r="U84" i="1"/>
  <c r="W84" i="1" s="1"/>
  <c r="C8" i="28"/>
  <c r="AM8" i="28" s="1"/>
  <c r="D19" i="28"/>
  <c r="V20" i="1"/>
  <c r="W20" i="1" s="1"/>
  <c r="Y20" i="1"/>
  <c r="AB20" i="1"/>
  <c r="Z20" i="1"/>
  <c r="X20" i="1"/>
  <c r="R12" i="28"/>
  <c r="AP26" i="28"/>
  <c r="M24" i="28"/>
  <c r="AV24" i="28"/>
  <c r="U109" i="1"/>
  <c r="W109" i="1" s="1"/>
  <c r="AD109" i="1" s="1"/>
  <c r="M7" i="28"/>
  <c r="AV7" i="28"/>
  <c r="AZ19" i="1"/>
  <c r="O24" i="28"/>
  <c r="Q24" i="28"/>
  <c r="AZ24" i="28" s="1"/>
  <c r="P24" i="28"/>
  <c r="AY24" i="28" s="1"/>
  <c r="AT23" i="1"/>
  <c r="AQ23" i="1"/>
  <c r="AS23" i="1"/>
  <c r="AR23" i="1"/>
  <c r="AV23" i="1"/>
  <c r="AZ23" i="1" s="1"/>
  <c r="E41" i="49"/>
  <c r="F40" i="49"/>
  <c r="BE23" i="1" l="1"/>
  <c r="T23" i="34"/>
  <c r="U23" i="34" s="1"/>
  <c r="AL23" i="34" s="1"/>
  <c r="BE19" i="1"/>
  <c r="T19" i="34"/>
  <c r="U19" i="34" s="1"/>
  <c r="AL19" i="34" s="1"/>
  <c r="R25" i="28"/>
  <c r="T25" i="28" s="1"/>
  <c r="U25" i="28" s="1"/>
  <c r="O17" i="28"/>
  <c r="AX17" i="28" s="1"/>
  <c r="L8" i="28"/>
  <c r="AV8" i="28" s="1"/>
  <c r="AC105" i="1"/>
  <c r="AD105" i="1"/>
  <c r="B19" i="28"/>
  <c r="AN19" i="28"/>
  <c r="L19" i="28"/>
  <c r="AD84" i="1"/>
  <c r="AC84" i="1"/>
  <c r="M17" i="28"/>
  <c r="AV17" i="28"/>
  <c r="Q17" i="28"/>
  <c r="AZ17" i="28" s="1"/>
  <c r="B8" i="28"/>
  <c r="P17" i="28"/>
  <c r="AY17" i="28" s="1"/>
  <c r="AA20" i="1"/>
  <c r="AD20" i="1" s="1"/>
  <c r="AW20" i="1" s="1"/>
  <c r="BB25" i="28"/>
  <c r="N24" i="28"/>
  <c r="AW24" i="28" s="1"/>
  <c r="AU23" i="1"/>
  <c r="O7" i="28"/>
  <c r="BF19" i="1"/>
  <c r="BG19" i="1" s="1"/>
  <c r="AC109" i="1"/>
  <c r="S12" i="28"/>
  <c r="BA12" i="28"/>
  <c r="T12" i="28"/>
  <c r="AX24" i="28"/>
  <c r="E20" i="28"/>
  <c r="AE109" i="1"/>
  <c r="AV109" i="1"/>
  <c r="AZ109" i="1" s="1"/>
  <c r="BE109" i="1" s="1"/>
  <c r="O20" i="28" s="1"/>
  <c r="AX20" i="28" s="1"/>
  <c r="AP109" i="1"/>
  <c r="F40" i="28"/>
  <c r="N17" i="28"/>
  <c r="F41" i="49"/>
  <c r="G40" i="49"/>
  <c r="BA25" i="28" l="1"/>
  <c r="BF23" i="1"/>
  <c r="BG23" i="1" s="1"/>
  <c r="S25" i="28"/>
  <c r="M8" i="28"/>
  <c r="AC20" i="1"/>
  <c r="AP20" i="1"/>
  <c r="AR20" i="1" s="1"/>
  <c r="AV105" i="1"/>
  <c r="AZ105" i="1" s="1"/>
  <c r="BE105" i="1" s="1"/>
  <c r="AP105" i="1"/>
  <c r="E16" i="28"/>
  <c r="AO16" i="28" s="1"/>
  <c r="AE105" i="1"/>
  <c r="AE20" i="1"/>
  <c r="AW17" i="28"/>
  <c r="R17" i="28"/>
  <c r="L40" i="28"/>
  <c r="AP40" i="28"/>
  <c r="Q8" i="28"/>
  <c r="AZ8" i="28" s="1"/>
  <c r="Q19" i="28"/>
  <c r="AZ19" i="28" s="1"/>
  <c r="O8" i="28"/>
  <c r="AX8" i="28" s="1"/>
  <c r="O19" i="28"/>
  <c r="AX19" i="28" s="1"/>
  <c r="AW84" i="1"/>
  <c r="AP84" i="1"/>
  <c r="AE84" i="1"/>
  <c r="D16" i="28"/>
  <c r="AV19" i="28"/>
  <c r="M19" i="28"/>
  <c r="P8" i="28"/>
  <c r="P19" i="28"/>
  <c r="AY19" i="28" s="1"/>
  <c r="R24" i="28"/>
  <c r="T24" i="28" s="1"/>
  <c r="U12" i="28"/>
  <c r="BB12" i="28"/>
  <c r="R7" i="28"/>
  <c r="AX7" i="28"/>
  <c r="AO20" i="28"/>
  <c r="L20" i="28"/>
  <c r="AQ109" i="1"/>
  <c r="Q20" i="28" s="1"/>
  <c r="AZ20" i="28" s="1"/>
  <c r="AR109" i="1"/>
  <c r="P20" i="28" s="1"/>
  <c r="AY20" i="28" s="1"/>
  <c r="AT109" i="1"/>
  <c r="AS109" i="1"/>
  <c r="G41" i="49"/>
  <c r="H40" i="49"/>
  <c r="AV20" i="1" l="1"/>
  <c r="AZ20" i="1" s="1"/>
  <c r="AS20" i="1"/>
  <c r="AY8" i="28"/>
  <c r="C44" i="28"/>
  <c r="AT20" i="1"/>
  <c r="AU20" i="1" s="1"/>
  <c r="AQ20" i="1"/>
  <c r="U99" i="1"/>
  <c r="W99" i="1" s="1"/>
  <c r="U126" i="1"/>
  <c r="W126" i="1" s="1"/>
  <c r="U98" i="1"/>
  <c r="W98" i="1" s="1"/>
  <c r="U93" i="1"/>
  <c r="W93" i="1" s="1"/>
  <c r="U124" i="1"/>
  <c r="W124" i="1" s="1"/>
  <c r="N8" i="28"/>
  <c r="AW8" i="28" s="1"/>
  <c r="N19" i="28"/>
  <c r="AT105" i="1"/>
  <c r="AR105" i="1"/>
  <c r="AS105" i="1"/>
  <c r="AQ105" i="1"/>
  <c r="AV40" i="28"/>
  <c r="M40" i="28"/>
  <c r="BA17" i="28"/>
  <c r="S17" i="28"/>
  <c r="T17" i="28"/>
  <c r="B16" i="28"/>
  <c r="L16" i="28"/>
  <c r="AN16" i="28"/>
  <c r="AR84" i="1"/>
  <c r="AV84" i="1"/>
  <c r="AZ84" i="1" s="1"/>
  <c r="BE84" i="1" s="1"/>
  <c r="O16" i="28" s="1"/>
  <c r="AS84" i="1"/>
  <c r="AT84" i="1"/>
  <c r="AQ84" i="1"/>
  <c r="S24" i="28"/>
  <c r="BA24" i="28"/>
  <c r="AU109" i="1"/>
  <c r="BF109" i="1" s="1"/>
  <c r="BG109" i="1" s="1"/>
  <c r="U24" i="28"/>
  <c r="BB24" i="28"/>
  <c r="U91" i="1"/>
  <c r="W91" i="1" s="1"/>
  <c r="U107" i="1"/>
  <c r="W107" i="1" s="1"/>
  <c r="U89" i="1"/>
  <c r="W89" i="1" s="1"/>
  <c r="U90" i="1"/>
  <c r="W90" i="1" s="1"/>
  <c r="S7" i="28"/>
  <c r="BA7" i="28"/>
  <c r="T7" i="28"/>
  <c r="O40" i="28"/>
  <c r="P40" i="28"/>
  <c r="AY40" i="28" s="1"/>
  <c r="Q40" i="28"/>
  <c r="AZ40" i="28" s="1"/>
  <c r="M20" i="28"/>
  <c r="AV20" i="28"/>
  <c r="I40" i="49"/>
  <c r="H41" i="49"/>
  <c r="BE20" i="1" l="1"/>
  <c r="T20" i="34"/>
  <c r="U20" i="34" s="1"/>
  <c r="AL20" i="34" s="1"/>
  <c r="O146" i="36" s="1"/>
  <c r="B44" i="28"/>
  <c r="AM44" i="28"/>
  <c r="L44" i="28"/>
  <c r="C51" i="28"/>
  <c r="BF20" i="1"/>
  <c r="BG20" i="1" s="1"/>
  <c r="AU105" i="1"/>
  <c r="BF105" i="1" s="1"/>
  <c r="BG105" i="1" s="1"/>
  <c r="Q16" i="28"/>
  <c r="AZ16" i="28" s="1"/>
  <c r="P16" i="28"/>
  <c r="AY16" i="28" s="1"/>
  <c r="AU84" i="1"/>
  <c r="BF84" i="1" s="1"/>
  <c r="BG84" i="1" s="1"/>
  <c r="AW19" i="28"/>
  <c r="R19" i="28"/>
  <c r="AC124" i="1"/>
  <c r="AD124" i="1"/>
  <c r="AC93" i="1"/>
  <c r="AD93" i="1"/>
  <c r="AX16" i="28"/>
  <c r="AD98" i="1"/>
  <c r="AC98" i="1"/>
  <c r="AX40" i="28"/>
  <c r="R8" i="28"/>
  <c r="S8" i="28" s="1"/>
  <c r="M16" i="28"/>
  <c r="AV16" i="28"/>
  <c r="BB17" i="28"/>
  <c r="U17" i="28"/>
  <c r="AD126" i="1"/>
  <c r="AC126" i="1"/>
  <c r="AC99" i="1"/>
  <c r="AD99" i="1"/>
  <c r="P44" i="28"/>
  <c r="AY44" i="28" s="1"/>
  <c r="N20" i="28"/>
  <c r="R20" i="28" s="1"/>
  <c r="O44" i="28"/>
  <c r="AX44" i="28" s="1"/>
  <c r="N44" i="28"/>
  <c r="AW44" i="28" s="1"/>
  <c r="Q44" i="28"/>
  <c r="AC89" i="1"/>
  <c r="AD89" i="1"/>
  <c r="U7" i="28"/>
  <c r="BB7" i="28"/>
  <c r="AD107" i="1"/>
  <c r="AC107" i="1"/>
  <c r="AC91" i="1"/>
  <c r="AD91" i="1"/>
  <c r="AD90" i="1"/>
  <c r="AC90" i="1"/>
  <c r="I41" i="49"/>
  <c r="J40" i="49"/>
  <c r="O209" i="36" l="1"/>
  <c r="R146" i="36"/>
  <c r="O162" i="36"/>
  <c r="R162" i="36" s="1"/>
  <c r="N16" i="28"/>
  <c r="AW16" i="28" s="1"/>
  <c r="R44" i="28"/>
  <c r="T44" i="28" s="1"/>
  <c r="AZ44" i="28"/>
  <c r="C52" i="28"/>
  <c r="AM51" i="28"/>
  <c r="M44" i="28"/>
  <c r="AV44" i="28"/>
  <c r="R16" i="28"/>
  <c r="AV93" i="1"/>
  <c r="AW93" i="1"/>
  <c r="AE93" i="1"/>
  <c r="AP93" i="1"/>
  <c r="D47" i="28"/>
  <c r="AV99" i="1"/>
  <c r="AP99" i="1"/>
  <c r="AW99" i="1"/>
  <c r="AE99" i="1"/>
  <c r="BA8" i="28"/>
  <c r="AP98" i="1"/>
  <c r="AW98" i="1"/>
  <c r="AV98" i="1"/>
  <c r="D49" i="28"/>
  <c r="AV124" i="1"/>
  <c r="AZ124" i="1" s="1"/>
  <c r="BE124" i="1" s="1"/>
  <c r="AE124" i="1"/>
  <c r="E47" i="28"/>
  <c r="AP124" i="1"/>
  <c r="T8" i="28"/>
  <c r="T3" i="28" s="1"/>
  <c r="AV126" i="1"/>
  <c r="AZ126" i="1" s="1"/>
  <c r="BE126" i="1" s="1"/>
  <c r="AP126" i="1"/>
  <c r="AE126" i="1"/>
  <c r="E49" i="28"/>
  <c r="AO49" i="28" s="1"/>
  <c r="S19" i="28"/>
  <c r="BA19" i="28"/>
  <c r="T19" i="28"/>
  <c r="N40" i="28"/>
  <c r="AW20" i="28"/>
  <c r="AV91" i="1"/>
  <c r="AW91" i="1"/>
  <c r="AP91" i="1"/>
  <c r="AE89" i="1"/>
  <c r="AW89" i="1"/>
  <c r="AV89" i="1"/>
  <c r="AP89" i="1"/>
  <c r="D18" i="28"/>
  <c r="AV107" i="1"/>
  <c r="AZ107" i="1" s="1"/>
  <c r="BE107" i="1" s="1"/>
  <c r="AP107" i="1"/>
  <c r="AR107" i="1" s="1"/>
  <c r="E18" i="28"/>
  <c r="AO18" i="28" s="1"/>
  <c r="AE107" i="1"/>
  <c r="AW90" i="1"/>
  <c r="AP90" i="1"/>
  <c r="AE90" i="1"/>
  <c r="AV90" i="1"/>
  <c r="S20" i="28"/>
  <c r="BA20" i="28"/>
  <c r="T20" i="28"/>
  <c r="S74" i="1"/>
  <c r="S129" i="1" s="1"/>
  <c r="S132" i="1" s="1"/>
  <c r="J41" i="49"/>
  <c r="K40" i="49"/>
  <c r="O273" i="36" l="1"/>
  <c r="R273" i="36" s="1"/>
  <c r="R209" i="36"/>
  <c r="O225" i="36"/>
  <c r="R225" i="36" s="1"/>
  <c r="U44" i="28"/>
  <c r="BB44" i="28"/>
  <c r="S44" i="28"/>
  <c r="BA44" i="28"/>
  <c r="AZ99" i="1"/>
  <c r="BE99" i="1" s="1"/>
  <c r="B49" i="28"/>
  <c r="L49" i="28"/>
  <c r="AN49" i="28"/>
  <c r="AR98" i="1"/>
  <c r="AT98" i="1"/>
  <c r="AQ98" i="1"/>
  <c r="AS98" i="1"/>
  <c r="AZ98" i="1"/>
  <c r="BE98" i="1" s="1"/>
  <c r="E51" i="28"/>
  <c r="AO47" i="28"/>
  <c r="L47" i="28"/>
  <c r="B47" i="28"/>
  <c r="D51" i="28"/>
  <c r="AN47" i="28"/>
  <c r="AW40" i="28"/>
  <c r="R40" i="28"/>
  <c r="BB19" i="28"/>
  <c r="U19" i="28"/>
  <c r="U8" i="28"/>
  <c r="BB8" i="28"/>
  <c r="AR126" i="1"/>
  <c r="AS126" i="1"/>
  <c r="AQ126" i="1"/>
  <c r="AT126" i="1"/>
  <c r="AZ93" i="1"/>
  <c r="BE93" i="1" s="1"/>
  <c r="O47" i="28" s="1"/>
  <c r="AQ124" i="1"/>
  <c r="AS124" i="1"/>
  <c r="AR124" i="1"/>
  <c r="AT124" i="1"/>
  <c r="AS99" i="1"/>
  <c r="AT99" i="1"/>
  <c r="AR99" i="1"/>
  <c r="AQ99" i="1"/>
  <c r="AS93" i="1"/>
  <c r="AT93" i="1"/>
  <c r="AR93" i="1"/>
  <c r="AQ93" i="1"/>
  <c r="S16" i="28"/>
  <c r="BA16" i="28"/>
  <c r="T16" i="28"/>
  <c r="AZ90" i="1"/>
  <c r="BE90" i="1" s="1"/>
  <c r="AZ89" i="1"/>
  <c r="BE89" i="1" s="1"/>
  <c r="AS90" i="1"/>
  <c r="AT90" i="1"/>
  <c r="AQ90" i="1"/>
  <c r="AR90" i="1"/>
  <c r="AQ91" i="1"/>
  <c r="AT91" i="1"/>
  <c r="AR91" i="1"/>
  <c r="AS91" i="1"/>
  <c r="AS107" i="1"/>
  <c r="AQ107" i="1"/>
  <c r="AT107" i="1"/>
  <c r="AR89" i="1"/>
  <c r="AS89" i="1"/>
  <c r="AQ89" i="1"/>
  <c r="AT89" i="1"/>
  <c r="B18" i="28"/>
  <c r="AN18" i="28"/>
  <c r="L18" i="28"/>
  <c r="AZ91" i="1"/>
  <c r="BE91" i="1" s="1"/>
  <c r="F39" i="28"/>
  <c r="Y74" i="1"/>
  <c r="Y129" i="1" s="1"/>
  <c r="Y132" i="1" s="1"/>
  <c r="Y133" i="1" s="1"/>
  <c r="BB20" i="28"/>
  <c r="U20" i="28"/>
  <c r="X74" i="1"/>
  <c r="X129" i="1" s="1"/>
  <c r="X132" i="1" s="1"/>
  <c r="Z74" i="1"/>
  <c r="Z129" i="1" s="1"/>
  <c r="Z132" i="1" s="1"/>
  <c r="Z133" i="1" s="1"/>
  <c r="V74" i="1"/>
  <c r="V129" i="1" s="1"/>
  <c r="V132" i="1" s="1"/>
  <c r="AB74" i="1"/>
  <c r="AB129" i="1" s="1"/>
  <c r="AB132" i="1" s="1"/>
  <c r="AB133" i="1" s="1"/>
  <c r="L40" i="49"/>
  <c r="K41" i="49"/>
  <c r="T273" i="36" l="1"/>
  <c r="R289" i="36"/>
  <c r="O49" i="28"/>
  <c r="AX49" i="28" s="1"/>
  <c r="AU98" i="1"/>
  <c r="BF98" i="1" s="1"/>
  <c r="BG98" i="1" s="1"/>
  <c r="P18" i="28"/>
  <c r="AY18" i="28" s="1"/>
  <c r="Q47" i="28"/>
  <c r="AZ47" i="28" s="1"/>
  <c r="P47" i="28"/>
  <c r="AY47" i="28" s="1"/>
  <c r="E52" i="28"/>
  <c r="AO51" i="28"/>
  <c r="AU99" i="1"/>
  <c r="BF99" i="1" s="1"/>
  <c r="BG99" i="1" s="1"/>
  <c r="AN51" i="28"/>
  <c r="L51" i="28"/>
  <c r="B51" i="28"/>
  <c r="B124" i="9"/>
  <c r="D52" i="28"/>
  <c r="BB16" i="28"/>
  <c r="U16" i="28"/>
  <c r="AU124" i="1"/>
  <c r="BF124" i="1" s="1"/>
  <c r="BG124" i="1" s="1"/>
  <c r="P49" i="28"/>
  <c r="AY49" i="28" s="1"/>
  <c r="AP39" i="28"/>
  <c r="L39" i="28"/>
  <c r="F42" i="28"/>
  <c r="AX47" i="28"/>
  <c r="AU126" i="1"/>
  <c r="BF126" i="1" s="1"/>
  <c r="BG126" i="1" s="1"/>
  <c r="AV49" i="28"/>
  <c r="M49" i="28"/>
  <c r="S40" i="28"/>
  <c r="BA40" i="28"/>
  <c r="T40" i="28"/>
  <c r="AU93" i="1"/>
  <c r="M47" i="28"/>
  <c r="AV47" i="28"/>
  <c r="Q49" i="28"/>
  <c r="AZ49" i="28" s="1"/>
  <c r="C10" i="28"/>
  <c r="O18" i="28"/>
  <c r="AX18" i="28" s="1"/>
  <c r="Q18" i="28"/>
  <c r="AZ18" i="28" s="1"/>
  <c r="AU91" i="1"/>
  <c r="BF91" i="1" s="1"/>
  <c r="BG91" i="1" s="1"/>
  <c r="M18" i="28"/>
  <c r="AV18" i="28"/>
  <c r="AU89" i="1"/>
  <c r="AU107" i="1"/>
  <c r="BF107" i="1" s="1"/>
  <c r="BG107" i="1" s="1"/>
  <c r="AU90" i="1"/>
  <c r="BF90" i="1" s="1"/>
  <c r="BG90" i="1" s="1"/>
  <c r="C14" i="28"/>
  <c r="AM14" i="28" s="1"/>
  <c r="L41" i="49"/>
  <c r="M40" i="49"/>
  <c r="V289" i="36" l="1"/>
  <c r="V291" i="36"/>
  <c r="N49" i="28"/>
  <c r="AW49" i="28" s="1"/>
  <c r="O51" i="28"/>
  <c r="B125" i="9" s="1"/>
  <c r="AV39" i="28"/>
  <c r="M39" i="28"/>
  <c r="B10" i="28"/>
  <c r="L10" i="28"/>
  <c r="AM10" i="28"/>
  <c r="C26" i="28"/>
  <c r="BF93" i="1"/>
  <c r="BG93" i="1" s="1"/>
  <c r="N47" i="28"/>
  <c r="H124" i="9"/>
  <c r="G124" i="9"/>
  <c r="D124" i="9"/>
  <c r="E124" i="9"/>
  <c r="Q51" i="28"/>
  <c r="U40" i="28"/>
  <c r="BB40" i="28"/>
  <c r="AV51" i="28"/>
  <c r="M51" i="28"/>
  <c r="P51" i="28"/>
  <c r="F56" i="28"/>
  <c r="AP56" i="28" s="1"/>
  <c r="AP42" i="28"/>
  <c r="L42" i="28"/>
  <c r="B115" i="9"/>
  <c r="U81" i="1"/>
  <c r="W81" i="1" s="1"/>
  <c r="U83" i="1"/>
  <c r="W83" i="1" s="1"/>
  <c r="U103" i="1"/>
  <c r="W103" i="1" s="1"/>
  <c r="BF89" i="1"/>
  <c r="BG89" i="1" s="1"/>
  <c r="N18" i="28"/>
  <c r="O39" i="28"/>
  <c r="P39" i="28"/>
  <c r="Q39" i="28"/>
  <c r="AD74" i="1"/>
  <c r="N40" i="49"/>
  <c r="M41" i="49"/>
  <c r="R49" i="28" l="1"/>
  <c r="S49" i="28" s="1"/>
  <c r="AX51" i="28"/>
  <c r="B127" i="9"/>
  <c r="AZ51" i="28"/>
  <c r="AZ39" i="28"/>
  <c r="Q42" i="28"/>
  <c r="AX39" i="28"/>
  <c r="O42" i="28"/>
  <c r="R47" i="28"/>
  <c r="N51" i="28"/>
  <c r="AW47" i="28"/>
  <c r="G115" i="9"/>
  <c r="D115" i="9"/>
  <c r="H115" i="9"/>
  <c r="E115" i="9"/>
  <c r="AV42" i="28"/>
  <c r="M42" i="28"/>
  <c r="C27" i="28"/>
  <c r="AM26" i="28"/>
  <c r="B126" i="9"/>
  <c r="AY51" i="28"/>
  <c r="AY39" i="28"/>
  <c r="P42" i="28"/>
  <c r="M10" i="28"/>
  <c r="AV10" i="28"/>
  <c r="H125" i="9"/>
  <c r="G125" i="9"/>
  <c r="E125" i="9"/>
  <c r="D125" i="9"/>
  <c r="AW74" i="1"/>
  <c r="Q10" i="28"/>
  <c r="AZ10" i="28" s="1"/>
  <c r="P10" i="28"/>
  <c r="O10" i="28"/>
  <c r="AW18" i="28"/>
  <c r="R18" i="28"/>
  <c r="AC103" i="1"/>
  <c r="AD103" i="1"/>
  <c r="AC83" i="1"/>
  <c r="AD83" i="1"/>
  <c r="AC81" i="1"/>
  <c r="AD81" i="1"/>
  <c r="U102" i="1"/>
  <c r="W102" i="1" s="1"/>
  <c r="AE74" i="1"/>
  <c r="U80" i="1"/>
  <c r="W80" i="1" s="1"/>
  <c r="AP74" i="1"/>
  <c r="O40" i="49"/>
  <c r="N41" i="49"/>
  <c r="BA49" i="28" l="1"/>
  <c r="T49" i="28"/>
  <c r="U49" i="28" s="1"/>
  <c r="AY10" i="28"/>
  <c r="C56" i="28"/>
  <c r="AM56" i="28" s="1"/>
  <c r="AR74" i="1"/>
  <c r="AX10" i="28"/>
  <c r="E126" i="9"/>
  <c r="G126" i="9"/>
  <c r="D126" i="9"/>
  <c r="H126" i="9"/>
  <c r="BB49" i="28"/>
  <c r="AW51" i="28"/>
  <c r="B128" i="9"/>
  <c r="B129" i="9" s="1"/>
  <c r="R51" i="28"/>
  <c r="BA51" i="28" s="1"/>
  <c r="AY42" i="28"/>
  <c r="B117" i="9"/>
  <c r="S47" i="28"/>
  <c r="BA47" i="28"/>
  <c r="T47" i="28"/>
  <c r="AX42" i="28"/>
  <c r="B116" i="9"/>
  <c r="B118" i="9"/>
  <c r="AZ42" i="28"/>
  <c r="N39" i="28"/>
  <c r="H127" i="9"/>
  <c r="G127" i="9"/>
  <c r="E127" i="9"/>
  <c r="D127" i="9"/>
  <c r="AT74" i="1"/>
  <c r="AQ74" i="1"/>
  <c r="AP81" i="1"/>
  <c r="AW81" i="1"/>
  <c r="D14" i="28"/>
  <c r="AW83" i="1"/>
  <c r="AE83" i="1"/>
  <c r="AP83" i="1"/>
  <c r="AE103" i="1"/>
  <c r="E14" i="28"/>
  <c r="AO14" i="28" s="1"/>
  <c r="AV103" i="1"/>
  <c r="AZ103" i="1" s="1"/>
  <c r="BE103" i="1" s="1"/>
  <c r="AP103" i="1"/>
  <c r="BA18" i="28"/>
  <c r="S18" i="28"/>
  <c r="T18" i="28"/>
  <c r="AV74" i="1"/>
  <c r="AS74" i="1"/>
  <c r="AD80" i="1"/>
  <c r="AC80" i="1"/>
  <c r="AD102" i="1"/>
  <c r="AC102" i="1"/>
  <c r="P40" i="49"/>
  <c r="O41" i="49"/>
  <c r="G129" i="9" l="1"/>
  <c r="H129" i="9"/>
  <c r="C165" i="9"/>
  <c r="E129" i="9"/>
  <c r="D129" i="9"/>
  <c r="U47" i="28"/>
  <c r="T51" i="28"/>
  <c r="BB47" i="28"/>
  <c r="N10" i="28"/>
  <c r="AW39" i="28"/>
  <c r="N42" i="28"/>
  <c r="R39" i="28"/>
  <c r="G118" i="9"/>
  <c r="E118" i="9"/>
  <c r="H118" i="9"/>
  <c r="D118" i="9"/>
  <c r="H116" i="9"/>
  <c r="G116" i="9"/>
  <c r="E116" i="9"/>
  <c r="D116" i="9"/>
  <c r="D117" i="9"/>
  <c r="E117" i="9"/>
  <c r="H117" i="9"/>
  <c r="G117" i="9"/>
  <c r="AU74" i="1"/>
  <c r="D128" i="9"/>
  <c r="H128" i="9"/>
  <c r="E128" i="9"/>
  <c r="G128" i="9"/>
  <c r="U18" i="28"/>
  <c r="BB18" i="28"/>
  <c r="AS103" i="1"/>
  <c r="AQ103" i="1"/>
  <c r="AT103" i="1"/>
  <c r="AR103" i="1"/>
  <c r="AS83" i="1"/>
  <c r="AR83" i="1"/>
  <c r="AT83" i="1"/>
  <c r="AV83" i="1"/>
  <c r="AZ83" i="1" s="1"/>
  <c r="BE83" i="1" s="1"/>
  <c r="AQ83" i="1"/>
  <c r="B14" i="28"/>
  <c r="AN14" i="28"/>
  <c r="L14" i="28"/>
  <c r="AQ81" i="1"/>
  <c r="AR81" i="1"/>
  <c r="AV81" i="1"/>
  <c r="AZ81" i="1" s="1"/>
  <c r="BE81" i="1" s="1"/>
  <c r="AT81" i="1"/>
  <c r="AS81" i="1"/>
  <c r="AP102" i="1"/>
  <c r="AR102" i="1" s="1"/>
  <c r="AV102" i="1"/>
  <c r="AZ102" i="1" s="1"/>
  <c r="BE102" i="1" s="1"/>
  <c r="AE102" i="1"/>
  <c r="E13" i="28"/>
  <c r="AD129" i="1"/>
  <c r="AD132" i="1" s="1"/>
  <c r="D13" i="28"/>
  <c r="AP80" i="1"/>
  <c r="AW80" i="1"/>
  <c r="AW129" i="1" s="1"/>
  <c r="AW132" i="1" s="1"/>
  <c r="AE80" i="1"/>
  <c r="AE132" i="1" s="1"/>
  <c r="AZ74" i="1"/>
  <c r="T74" i="34" s="1"/>
  <c r="U74" i="34" s="1"/>
  <c r="AL74" i="34" s="1"/>
  <c r="P41" i="49"/>
  <c r="Q41" i="49" s="1"/>
  <c r="Q40" i="49"/>
  <c r="O185" i="36" l="1"/>
  <c r="R185" i="36" s="1"/>
  <c r="O177" i="36"/>
  <c r="R177" i="36" s="1"/>
  <c r="S39" i="28"/>
  <c r="BA39" i="28"/>
  <c r="T39" i="28"/>
  <c r="BB51" i="28"/>
  <c r="U51" i="28"/>
  <c r="T52" i="28"/>
  <c r="T60" i="28"/>
  <c r="AW10" i="28"/>
  <c r="R10" i="28"/>
  <c r="D165" i="9"/>
  <c r="E165" i="9"/>
  <c r="B119" i="9"/>
  <c r="AW42" i="28"/>
  <c r="R42" i="28"/>
  <c r="BA42" i="28" s="1"/>
  <c r="O14" i="28"/>
  <c r="AX14" i="28" s="1"/>
  <c r="P14" i="28"/>
  <c r="AY14" i="28" s="1"/>
  <c r="AU81" i="1"/>
  <c r="BF81" i="1" s="1"/>
  <c r="BG81" i="1" s="1"/>
  <c r="Q14" i="28"/>
  <c r="AZ14" i="28" s="1"/>
  <c r="M14" i="28"/>
  <c r="AV14" i="28"/>
  <c r="AU83" i="1"/>
  <c r="BF83" i="1" s="1"/>
  <c r="BG83" i="1" s="1"/>
  <c r="AU103" i="1"/>
  <c r="BF103" i="1" s="1"/>
  <c r="BG103" i="1" s="1"/>
  <c r="BJ103" i="1" s="1"/>
  <c r="AP129" i="1"/>
  <c r="AP132" i="1" s="1"/>
  <c r="AR80" i="1"/>
  <c r="AS80" i="1"/>
  <c r="AT80" i="1"/>
  <c r="AV80" i="1"/>
  <c r="AQ80" i="1"/>
  <c r="AN13" i="28"/>
  <c r="D26" i="28"/>
  <c r="B13" i="28"/>
  <c r="L13" i="28"/>
  <c r="E26" i="28"/>
  <c r="AO13" i="28"/>
  <c r="BE74" i="1"/>
  <c r="AQ102" i="1"/>
  <c r="AT102" i="1"/>
  <c r="AS102" i="1"/>
  <c r="N14" i="28" l="1"/>
  <c r="AW14" i="28" s="1"/>
  <c r="U39" i="28"/>
  <c r="BB39" i="28"/>
  <c r="T42" i="28"/>
  <c r="E119" i="9"/>
  <c r="D119" i="9"/>
  <c r="H119" i="9"/>
  <c r="G119" i="9"/>
  <c r="B120" i="9"/>
  <c r="S10" i="28"/>
  <c r="BA10" i="28"/>
  <c r="T10" i="28"/>
  <c r="AU102" i="1"/>
  <c r="BF102" i="1" s="1"/>
  <c r="BG102" i="1" s="1"/>
  <c r="BG74" i="1"/>
  <c r="BF74" i="1"/>
  <c r="M13" i="28"/>
  <c r="AV13" i="28"/>
  <c r="AT129" i="1"/>
  <c r="AT132" i="1" s="1"/>
  <c r="AO26" i="28"/>
  <c r="E27" i="28"/>
  <c r="D27" i="28"/>
  <c r="B26" i="28"/>
  <c r="L26" i="28"/>
  <c r="B88" i="9"/>
  <c r="AN26" i="28"/>
  <c r="AQ129" i="1"/>
  <c r="AQ132" i="1"/>
  <c r="Q13" i="28"/>
  <c r="AZ80" i="1"/>
  <c r="AV129" i="1"/>
  <c r="AV132" i="1" s="1"/>
  <c r="AU80" i="1"/>
  <c r="AS129" i="1"/>
  <c r="AS132" i="1" s="1"/>
  <c r="P13" i="28"/>
  <c r="AR129" i="1"/>
  <c r="AR132" i="1" s="1"/>
  <c r="R14" i="28" l="1"/>
  <c r="BA14" i="28" s="1"/>
  <c r="U10" i="28"/>
  <c r="BB10" i="28"/>
  <c r="G120" i="9"/>
  <c r="C168" i="9"/>
  <c r="E120" i="9"/>
  <c r="D120" i="9"/>
  <c r="H120" i="9"/>
  <c r="U42" i="28"/>
  <c r="BB42" i="28"/>
  <c r="E56" i="28"/>
  <c r="AO56" i="28" s="1"/>
  <c r="D56" i="28"/>
  <c r="AN56" i="28" s="1"/>
  <c r="AZ129" i="1"/>
  <c r="AZ132" i="1" s="1"/>
  <c r="BE80" i="1"/>
  <c r="P26" i="28"/>
  <c r="AY13" i="28"/>
  <c r="AZ13" i="28"/>
  <c r="Q26" i="28"/>
  <c r="G88" i="9"/>
  <c r="H88" i="9"/>
  <c r="B142" i="9"/>
  <c r="D88" i="9"/>
  <c r="E88" i="9"/>
  <c r="AV26" i="28"/>
  <c r="M26" i="28"/>
  <c r="L27" i="28"/>
  <c r="N13" i="28"/>
  <c r="AU129" i="1"/>
  <c r="AU132" i="1" s="1"/>
  <c r="S14" i="28" l="1"/>
  <c r="T14" i="28"/>
  <c r="BB14" i="28" s="1"/>
  <c r="E168" i="9"/>
  <c r="D168" i="9"/>
  <c r="L56" i="28"/>
  <c r="M56" i="28" s="1"/>
  <c r="B56" i="28"/>
  <c r="H142" i="9"/>
  <c r="E142" i="9"/>
  <c r="G142" i="9"/>
  <c r="D142" i="9"/>
  <c r="N26" i="28"/>
  <c r="AW13" i="28"/>
  <c r="B91" i="9"/>
  <c r="Q27" i="28"/>
  <c r="AZ26" i="28"/>
  <c r="AY26" i="28"/>
  <c r="P27" i="28"/>
  <c r="P56" i="28" s="1"/>
  <c r="B90" i="9"/>
  <c r="BE129" i="1"/>
  <c r="BE132" i="1" s="1"/>
  <c r="BF80" i="1"/>
  <c r="O13" i="28"/>
  <c r="R13" i="28" s="1"/>
  <c r="U14" i="28" l="1"/>
  <c r="Q56" i="28"/>
  <c r="AZ56" i="28" s="1"/>
  <c r="AV56" i="28"/>
  <c r="BA13" i="28"/>
  <c r="S13" i="28"/>
  <c r="T13" i="28"/>
  <c r="T26" i="28" s="1"/>
  <c r="U50" i="39"/>
  <c r="BG80" i="1"/>
  <c r="BF129" i="1"/>
  <c r="BF132" i="1" s="1"/>
  <c r="G90" i="9"/>
  <c r="B144" i="9"/>
  <c r="E90" i="9"/>
  <c r="D90" i="9"/>
  <c r="H90" i="9"/>
  <c r="E91" i="9"/>
  <c r="H91" i="9"/>
  <c r="B145" i="9"/>
  <c r="D91" i="9"/>
  <c r="G91" i="9"/>
  <c r="N27" i="28"/>
  <c r="B92" i="9"/>
  <c r="AW26" i="28"/>
  <c r="AX13" i="28"/>
  <c r="O26" i="28"/>
  <c r="U13" i="28" l="1"/>
  <c r="BB13" i="28"/>
  <c r="N56" i="28"/>
  <c r="AW56" i="28" s="1"/>
  <c r="AY56" i="28"/>
  <c r="Q63" i="28"/>
  <c r="S28" i="28"/>
  <c r="G92" i="9"/>
  <c r="B146" i="9"/>
  <c r="H92" i="9"/>
  <c r="D92" i="9"/>
  <c r="E92" i="9"/>
  <c r="BG129" i="1"/>
  <c r="BG132" i="1" s="1"/>
  <c r="AX26" i="28"/>
  <c r="O27" i="28"/>
  <c r="B89" i="9"/>
  <c r="G145" i="9"/>
  <c r="D145" i="9"/>
  <c r="H145" i="9"/>
  <c r="E145" i="9"/>
  <c r="E144" i="9"/>
  <c r="D144" i="9"/>
  <c r="H144" i="9"/>
  <c r="G144" i="9"/>
  <c r="R26" i="28"/>
  <c r="U26" i="28"/>
  <c r="T56" i="28"/>
  <c r="U58" i="28" s="1"/>
  <c r="T27" i="28"/>
  <c r="U27" i="28" s="1"/>
  <c r="U64" i="28"/>
  <c r="BB26" i="28"/>
  <c r="O56" i="28" l="1"/>
  <c r="G89" i="9"/>
  <c r="E89" i="9"/>
  <c r="B143" i="9"/>
  <c r="H89" i="9"/>
  <c r="D89" i="9"/>
  <c r="B93" i="9"/>
  <c r="G146" i="9"/>
  <c r="D146" i="9"/>
  <c r="E146" i="9"/>
  <c r="H146" i="9"/>
  <c r="BA26" i="28"/>
  <c r="S26" i="28"/>
  <c r="R27" i="28"/>
  <c r="T30" i="28"/>
  <c r="T31" i="28" s="1"/>
  <c r="BB27" i="28"/>
  <c r="T72" i="28"/>
  <c r="U72" i="28" s="1"/>
  <c r="T57" i="28"/>
  <c r="BB56" i="28"/>
  <c r="U56" i="28"/>
  <c r="AX56" i="28" l="1"/>
  <c r="O59" i="28"/>
  <c r="R56" i="28"/>
  <c r="BA56" i="28" s="1"/>
  <c r="E93" i="9"/>
  <c r="H93" i="9"/>
  <c r="K95" i="9" s="1"/>
  <c r="D93" i="9"/>
  <c r="C164" i="9"/>
  <c r="G93" i="9"/>
  <c r="G143" i="9"/>
  <c r="D143" i="9"/>
  <c r="E143" i="9"/>
  <c r="H143" i="9"/>
  <c r="B147" i="9"/>
  <c r="H147" i="9" l="1"/>
  <c r="E147" i="9"/>
  <c r="G147" i="9"/>
  <c r="G153" i="9" s="1"/>
  <c r="D147" i="9"/>
  <c r="E164" i="9"/>
  <c r="D164" i="9"/>
  <c r="M135" i="9" s="1"/>
  <c r="C172" i="9"/>
  <c r="C173" i="9" l="1"/>
  <c r="D172" i="9"/>
  <c r="D173" i="9" s="1"/>
  <c r="E17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eduction_History_Report_20180621-12-40-47_arector_71_2194" type="6" refreshedVersion="5" background="1">
    <textPr sourceFile="C:\Users\arector\Desktop\Deduction_History_Report_20180621-12-40-47_arector_71_2194.txt" delimited="0">
      <textFields count="11">
        <textField/>
        <textField position="3"/>
        <textField position="7"/>
        <textField position="13"/>
        <textField position="58"/>
        <textField position="80"/>
        <textField position="90"/>
        <textField position="117"/>
        <textField position="133"/>
        <textField position="145"/>
        <textField position="149"/>
      </textFields>
    </textPr>
  </connection>
  <connection id="2" xr16:uid="{00000000-0015-0000-FFFF-FFFF01000000}" name="Pay_Type_History_Report_20200330-10-35-40_arector_8_40384" type="6" refreshedVersion="6" background="1">
    <textPr sourceFile="C:\Users\arector\Desktop\Pay_Type_History_Report_20200330-10-35-40_arector_8_40384.txt" delimited="0">
      <textFields count="10">
        <textField/>
        <textField position="7"/>
        <textField position="13"/>
        <textField position="29"/>
        <textField position="70"/>
        <textField position="80"/>
        <textField position="90"/>
        <textField position="117"/>
        <textField position="122"/>
        <textField position="145"/>
      </textFields>
    </textPr>
  </connection>
</connections>
</file>

<file path=xl/sharedStrings.xml><?xml version="1.0" encoding="utf-8"?>
<sst xmlns="http://schemas.openxmlformats.org/spreadsheetml/2006/main" count="48378" uniqueCount="2995">
  <si>
    <t>POSITION TITLE</t>
  </si>
  <si>
    <t>EMPLOYEE</t>
  </si>
  <si>
    <t>WC CODE</t>
  </si>
  <si>
    <t>EE #</t>
  </si>
  <si>
    <t>Fund</t>
  </si>
  <si>
    <t>Acct</t>
  </si>
  <si>
    <t>Dep</t>
  </si>
  <si>
    <t>Pr</t>
  </si>
  <si>
    <t>DOH</t>
  </si>
  <si>
    <t>FTE</t>
  </si>
  <si>
    <t>Car Allowance</t>
  </si>
  <si>
    <t>Reg Hrs</t>
  </si>
  <si>
    <t>OVERTIME</t>
  </si>
  <si>
    <t>Budget</t>
  </si>
  <si>
    <t>TMRS</t>
  </si>
  <si>
    <t>Medicare</t>
  </si>
  <si>
    <t>Mos Longevity</t>
  </si>
  <si>
    <t>STD Rate</t>
  </si>
  <si>
    <t>LTD</t>
  </si>
  <si>
    <t>STD</t>
  </si>
  <si>
    <t>Device Allowance</t>
  </si>
  <si>
    <t>Replacement Allowance</t>
  </si>
  <si>
    <t>Account No</t>
  </si>
  <si>
    <t>WksCmp</t>
  </si>
  <si>
    <t>Longevity</t>
  </si>
  <si>
    <t>Cert Pay</t>
  </si>
  <si>
    <t>Cert+Regional</t>
  </si>
  <si>
    <t>Total Benefits</t>
  </si>
  <si>
    <t>TOTAL</t>
  </si>
  <si>
    <t>Med+OASDI</t>
  </si>
  <si>
    <t>Med, Dent, Life, Dis</t>
  </si>
  <si>
    <t>F/D/P</t>
  </si>
  <si>
    <t xml:space="preserve"> 50120</t>
  </si>
  <si>
    <t xml:space="preserve">OASDI </t>
  </si>
  <si>
    <t>Annual if</t>
  </si>
  <si>
    <t>119-180</t>
  </si>
  <si>
    <t>MCD119</t>
  </si>
  <si>
    <t>New Comp</t>
  </si>
  <si>
    <t>2080/2912</t>
  </si>
  <si>
    <t>SS,Med</t>
  </si>
  <si>
    <t>Insurance</t>
  </si>
  <si>
    <t>W/C</t>
  </si>
  <si>
    <t>Comp Rate</t>
  </si>
  <si>
    <t>Modifier</t>
  </si>
  <si>
    <t>Discount</t>
  </si>
  <si>
    <t xml:space="preserve">Rate </t>
  </si>
  <si>
    <t>New Rate Modifiers:</t>
  </si>
  <si>
    <t>50102</t>
  </si>
  <si>
    <t>Merit Increase %</t>
  </si>
  <si>
    <t>Hired by</t>
  </si>
  <si>
    <t>Net Rate</t>
  </si>
  <si>
    <t>Rate Change</t>
  </si>
  <si>
    <t>Cushioned</t>
  </si>
  <si>
    <t>50101</t>
  </si>
  <si>
    <t>50109</t>
  </si>
  <si>
    <t>(added 2.8% to mod/dis)</t>
  </si>
  <si>
    <t>50110</t>
  </si>
  <si>
    <t>50140</t>
  </si>
  <si>
    <t>50112</t>
  </si>
  <si>
    <t>50111</t>
  </si>
  <si>
    <t>50620</t>
  </si>
  <si>
    <t>50630</t>
  </si>
  <si>
    <t>50650</t>
  </si>
  <si>
    <t xml:space="preserve"> </t>
  </si>
  <si>
    <t>Current</t>
  </si>
  <si>
    <t>RP</t>
  </si>
  <si>
    <t>PPA %</t>
  </si>
  <si>
    <t>Certification Pay Contingency</t>
  </si>
  <si>
    <t>OFFICER IN CHARGE PAY CONTINGENCY</t>
  </si>
  <si>
    <t>OFFICER IN CHARGE CONTINGENCY</t>
  </si>
  <si>
    <t>ON CALL PAY CONTINGENCY</t>
  </si>
  <si>
    <t>Shift Differential</t>
  </si>
  <si>
    <t>Out of Class Pay</t>
  </si>
  <si>
    <t>OUT OF CLASS PAY</t>
  </si>
  <si>
    <t>COMMUNICATION ALLOWANCE</t>
  </si>
  <si>
    <t>Communication Allowance</t>
  </si>
  <si>
    <t>Holiday Option Pay</t>
  </si>
  <si>
    <t>Out of Class Pay Contingency</t>
  </si>
  <si>
    <t>Promotion Contingency (Fire)</t>
  </si>
  <si>
    <t>Promotion Contingency</t>
  </si>
  <si>
    <t>ON CALL PAY</t>
  </si>
  <si>
    <t>N</t>
  </si>
  <si>
    <t>Step</t>
  </si>
  <si>
    <t>Step_Salary</t>
  </si>
  <si>
    <t>18Actual</t>
  </si>
  <si>
    <t>PPA % NS</t>
  </si>
  <si>
    <t>Total</t>
  </si>
  <si>
    <t>Brittany Duncan</t>
  </si>
  <si>
    <t>DED19</t>
  </si>
  <si>
    <t>DED61</t>
  </si>
  <si>
    <t>Dental Emp</t>
  </si>
  <si>
    <t>HSA Cont</t>
  </si>
  <si>
    <t>C/S Life Ins</t>
  </si>
  <si>
    <t>Life Ins</t>
  </si>
  <si>
    <t>Health</t>
  </si>
  <si>
    <t>Dental</t>
  </si>
  <si>
    <t>LTD, STD, Life Ins</t>
  </si>
  <si>
    <t>Exempt</t>
  </si>
  <si>
    <t>Non-Exmp</t>
  </si>
  <si>
    <t>Overtime</t>
  </si>
  <si>
    <t>Part-time</t>
  </si>
  <si>
    <t>Seasonal</t>
  </si>
  <si>
    <t>All Comp</t>
  </si>
  <si>
    <t>Car All</t>
  </si>
  <si>
    <t>Comm All</t>
  </si>
  <si>
    <t>112-635-02</t>
  </si>
  <si>
    <t>HDHP Ins</t>
  </si>
  <si>
    <t>l</t>
  </si>
  <si>
    <t>Hire Date</t>
  </si>
  <si>
    <t>Annual</t>
  </si>
  <si>
    <t>S</t>
  </si>
  <si>
    <t>City Secretary</t>
  </si>
  <si>
    <t>Assistant City Secretary</t>
  </si>
  <si>
    <t>Facilities Manager</t>
  </si>
  <si>
    <t>Accountant</t>
  </si>
  <si>
    <t>Permit Technician</t>
  </si>
  <si>
    <t>Police Officer</t>
  </si>
  <si>
    <t>Police Sergeant</t>
  </si>
  <si>
    <t>Police Corporal</t>
  </si>
  <si>
    <t>Criminal Investigator</t>
  </si>
  <si>
    <t>Police Captain</t>
  </si>
  <si>
    <t>Dispatcher</t>
  </si>
  <si>
    <t>Records Technician</t>
  </si>
  <si>
    <t>Dispatch Supervisor</t>
  </si>
  <si>
    <t>Senior Records Technician</t>
  </si>
  <si>
    <t>Animal Control Officer I</t>
  </si>
  <si>
    <t>Detention Officer</t>
  </si>
  <si>
    <t>Deputy Fire Chief</t>
  </si>
  <si>
    <t>Fire Training Officer</t>
  </si>
  <si>
    <t>Fire Chief</t>
  </si>
  <si>
    <t>Fire Inspector</t>
  </si>
  <si>
    <t>Fire Captain</t>
  </si>
  <si>
    <t>Firefighter/Paramedic</t>
  </si>
  <si>
    <t>Driver/Engineer</t>
  </si>
  <si>
    <t>Field Training Paramedic</t>
  </si>
  <si>
    <t>Battalion Chief</t>
  </si>
  <si>
    <t>Senior Project Engineer</t>
  </si>
  <si>
    <t>City Engineer</t>
  </si>
  <si>
    <t>Construction Inspector</t>
  </si>
  <si>
    <t>Traffic Control Technician</t>
  </si>
  <si>
    <t>Library Clerk II</t>
  </si>
  <si>
    <t>Library Services Manager</t>
  </si>
  <si>
    <t>Librarian</t>
  </si>
  <si>
    <t>Utility Billing Manager</t>
  </si>
  <si>
    <t>SCADA Operator</t>
  </si>
  <si>
    <t>Water Production Supervisor</t>
  </si>
  <si>
    <t>W/S Utility Crew Leader</t>
  </si>
  <si>
    <t>Drainage Maintenance Worker</t>
  </si>
  <si>
    <t>n</t>
  </si>
  <si>
    <t>STEP PLAN</t>
  </si>
  <si>
    <t>NON-STEP PLAN</t>
  </si>
  <si>
    <t>Total Comp</t>
  </si>
  <si>
    <t>Roanoke Pay - Jail</t>
  </si>
  <si>
    <t>Keller Pointe Manager</t>
  </si>
  <si>
    <t>General Fund</t>
  </si>
  <si>
    <t>Compensation</t>
  </si>
  <si>
    <t>Workers Compensation</t>
  </si>
  <si>
    <t>Assumptions</t>
  </si>
  <si>
    <t>PS Market Adjustment</t>
  </si>
  <si>
    <t>Market</t>
  </si>
  <si>
    <t>Dental Insurance</t>
  </si>
  <si>
    <t>Social Security / Medicare</t>
  </si>
  <si>
    <t>Ck#</t>
  </si>
  <si>
    <t>Information Technology Fund</t>
  </si>
  <si>
    <t>Pointe Fund</t>
  </si>
  <si>
    <t>Water-Wastewater Fund</t>
  </si>
  <si>
    <t>Drainage Fund</t>
  </si>
  <si>
    <t>Senior Services Trip - PT</t>
  </si>
  <si>
    <t>Senior Services Trip - OT</t>
  </si>
  <si>
    <t>TOTAL ALL FUNDS</t>
  </si>
  <si>
    <t/>
  </si>
  <si>
    <t>08/05/2008</t>
  </si>
  <si>
    <t>12/29/2014</t>
  </si>
  <si>
    <t>01/31/2013</t>
  </si>
  <si>
    <t>10/15/2012</t>
  </si>
  <si>
    <t>07/24/2006</t>
  </si>
  <si>
    <t>11/12/2007</t>
  </si>
  <si>
    <t>06/04/2018</t>
  </si>
  <si>
    <t>11/02/1993</t>
  </si>
  <si>
    <t>12/10/2007</t>
  </si>
  <si>
    <t>10/09/2000</t>
  </si>
  <si>
    <t>03/21/2016</t>
  </si>
  <si>
    <t>Senior Accountant</t>
  </si>
  <si>
    <t>11/13/2017</t>
  </si>
  <si>
    <t>04/24/2017</t>
  </si>
  <si>
    <t>04/20/2017</t>
  </si>
  <si>
    <t>03/16/2015</t>
  </si>
  <si>
    <t>03/01/2004</t>
  </si>
  <si>
    <t>04/15/2002</t>
  </si>
  <si>
    <t>12/27/2017</t>
  </si>
  <si>
    <t>03/15/2006</t>
  </si>
  <si>
    <t>04/10/2000</t>
  </si>
  <si>
    <t>01/02/2001</t>
  </si>
  <si>
    <t>06/11/2018</t>
  </si>
  <si>
    <t>09/28/1998</t>
  </si>
  <si>
    <t>10/29/2014</t>
  </si>
  <si>
    <t>01/02/2019</t>
  </si>
  <si>
    <t>03/24/2008</t>
  </si>
  <si>
    <t>01/11/2010</t>
  </si>
  <si>
    <t>10/01/2010</t>
  </si>
  <si>
    <t>07/09/2007</t>
  </si>
  <si>
    <t>04/17/2000</t>
  </si>
  <si>
    <t>06/12/2017</t>
  </si>
  <si>
    <t>02/12/2018</t>
  </si>
  <si>
    <t>01/26/2004</t>
  </si>
  <si>
    <t>02/04/2002</t>
  </si>
  <si>
    <t>09/17/2001</t>
  </si>
  <si>
    <t>01/07/1997</t>
  </si>
  <si>
    <t>05/18/2009</t>
  </si>
  <si>
    <t>05/09/2011</t>
  </si>
  <si>
    <t>07/16/2007</t>
  </si>
  <si>
    <t>04/09/2018</t>
  </si>
  <si>
    <t>11/02/2011</t>
  </si>
  <si>
    <t>08/29/2005</t>
  </si>
  <si>
    <t>09/26/2000</t>
  </si>
  <si>
    <t>04/01/2007</t>
  </si>
  <si>
    <t>11/28/2016</t>
  </si>
  <si>
    <t>05/09/2005</t>
  </si>
  <si>
    <t>06/14/2017</t>
  </si>
  <si>
    <t>10/29/2018</t>
  </si>
  <si>
    <t>Marie Nicole Trower</t>
  </si>
  <si>
    <t>04/23/2018</t>
  </si>
  <si>
    <t>11/01/1997</t>
  </si>
  <si>
    <t>09/30/2002</t>
  </si>
  <si>
    <t>07/02/2018</t>
  </si>
  <si>
    <t>04/28/2016</t>
  </si>
  <si>
    <t>Dana Antoine Stevenson, Jr.</t>
  </si>
  <si>
    <t>05/31/2016</t>
  </si>
  <si>
    <t>02/19/2007</t>
  </si>
  <si>
    <t>01/09/1991</t>
  </si>
  <si>
    <t>07/16/2018</t>
  </si>
  <si>
    <t>04/26/1999</t>
  </si>
  <si>
    <t>08/22/2014</t>
  </si>
  <si>
    <t>04/30/2001</t>
  </si>
  <si>
    <t>06/23/2014</t>
  </si>
  <si>
    <t>07/10/2000</t>
  </si>
  <si>
    <t>09/20/2006</t>
  </si>
  <si>
    <t>09/29/2008</t>
  </si>
  <si>
    <t>01/10/2011</t>
  </si>
  <si>
    <t>03/31/2014</t>
  </si>
  <si>
    <t>03/10/2008</t>
  </si>
  <si>
    <t>08/19/2013</t>
  </si>
  <si>
    <t>08/21/1989</t>
  </si>
  <si>
    <t>01/30/2006</t>
  </si>
  <si>
    <t>09/20/2001</t>
  </si>
  <si>
    <t>03/18/2013</t>
  </si>
  <si>
    <t>04/11/1994</t>
  </si>
  <si>
    <t>02/05/2007</t>
  </si>
  <si>
    <t>01/07/2008</t>
  </si>
  <si>
    <t>06/19/2007</t>
  </si>
  <si>
    <t>04/06/1998</t>
  </si>
  <si>
    <t>05/04/2018</t>
  </si>
  <si>
    <t>05/16/2016</t>
  </si>
  <si>
    <t>11/12/2012</t>
  </si>
  <si>
    <t>01/04/2016</t>
  </si>
  <si>
    <t>10/01/2001</t>
  </si>
  <si>
    <t>05/08/2006</t>
  </si>
  <si>
    <t>12/05/2016</t>
  </si>
  <si>
    <t>12/01/2008</t>
  </si>
  <si>
    <t>02/26/2018</t>
  </si>
  <si>
    <t>02/18/2002</t>
  </si>
  <si>
    <t>12/19/2005</t>
  </si>
  <si>
    <t>06/03/2016</t>
  </si>
  <si>
    <t>10/22/2018</t>
  </si>
  <si>
    <t>11/11/2002</t>
  </si>
  <si>
    <t>09/21/2015</t>
  </si>
  <si>
    <t>05/18/2015</t>
  </si>
  <si>
    <t>03/29/2004</t>
  </si>
  <si>
    <t>08/14/2006</t>
  </si>
  <si>
    <t>03/19/2007</t>
  </si>
  <si>
    <t>04/05/1993</t>
  </si>
  <si>
    <t>08/15/2016</t>
  </si>
  <si>
    <t>11/12/2008</t>
  </si>
  <si>
    <t>02/18/2016</t>
  </si>
  <si>
    <t>08/20/2007</t>
  </si>
  <si>
    <t>12/11/2006</t>
  </si>
  <si>
    <t>02/26/2007</t>
  </si>
  <si>
    <t>07/26/2004</t>
  </si>
  <si>
    <t>01/11/2005</t>
  </si>
  <si>
    <t>GIS Technician</t>
  </si>
  <si>
    <t>12/13/2018</t>
  </si>
  <si>
    <t>05/02/2005</t>
  </si>
  <si>
    <t>11/14/2016</t>
  </si>
  <si>
    <t>11/11/2014</t>
  </si>
  <si>
    <t>Building Operations Supervisor</t>
  </si>
  <si>
    <t>07/31/1989</t>
  </si>
  <si>
    <t>02/02/1998</t>
  </si>
  <si>
    <t>11/28/2011</t>
  </si>
  <si>
    <t>03/12/2018</t>
  </si>
  <si>
    <t>11/29/1999</t>
  </si>
  <si>
    <t>01/18/2016</t>
  </si>
  <si>
    <t>12/10/2001</t>
  </si>
  <si>
    <t>08/16/2011</t>
  </si>
  <si>
    <t>Water/Sewer Maintenance Worker</t>
  </si>
  <si>
    <t>03/19/2012</t>
  </si>
  <si>
    <t>11/13/2006</t>
  </si>
  <si>
    <t>11/20/2017</t>
  </si>
  <si>
    <t>05/29/2012</t>
  </si>
  <si>
    <t>11/06/1995</t>
  </si>
  <si>
    <t>04/23/2001</t>
  </si>
  <si>
    <t>02/14/2011</t>
  </si>
  <si>
    <t>03/27/2000</t>
  </si>
  <si>
    <t>12/08/2003</t>
  </si>
  <si>
    <t>02/27/2006</t>
  </si>
  <si>
    <t>Police Lieutenant</t>
  </si>
  <si>
    <t>Crime Control Fund</t>
  </si>
  <si>
    <t>Cert/Reg</t>
  </si>
  <si>
    <t>Car Allow</t>
  </si>
  <si>
    <t>Monthly</t>
  </si>
  <si>
    <t xml:space="preserve"> FTE</t>
  </si>
  <si>
    <t>Base</t>
  </si>
  <si>
    <t xml:space="preserve"> 50115</t>
  </si>
  <si>
    <t xml:space="preserve"> 50620</t>
  </si>
  <si>
    <t xml:space="preserve">  </t>
  </si>
  <si>
    <t>50120</t>
  </si>
  <si>
    <t>50610</t>
  </si>
  <si>
    <t>EXEMPT SALARIES</t>
  </si>
  <si>
    <t>NON EXEMPT SALARIES</t>
  </si>
  <si>
    <t>LONGEVITY PAY</t>
  </si>
  <si>
    <t>AUTO ALLOWANCE</t>
  </si>
  <si>
    <t>SOCIAL SECURITY</t>
  </si>
  <si>
    <t>HEALTH/LIFE INSURANCE</t>
  </si>
  <si>
    <t>WORKER COMPENSATION</t>
  </si>
  <si>
    <t>RETIREMENT</t>
  </si>
  <si>
    <t>UNEMPLOYMENT INSURANCE</t>
  </si>
  <si>
    <t>INCENTIVE/CERTIFICATION PAY</t>
  </si>
  <si>
    <t>COMMUNICATIONS ALLOWANCE</t>
  </si>
  <si>
    <t>BUDGET</t>
  </si>
  <si>
    <t>PROJECTION CALCULATOR</t>
  </si>
  <si>
    <t>TOTAL YEAR-END PROJECTION</t>
  </si>
  <si>
    <t>VARIANCE</t>
  </si>
  <si>
    <t>PAYROLL CALENDAR</t>
  </si>
  <si>
    <t>No. of</t>
  </si>
  <si>
    <t>Day of</t>
  </si>
  <si>
    <t>Checks per</t>
  </si>
  <si>
    <t>Calendar Year</t>
  </si>
  <si>
    <t>Fiscal Year</t>
  </si>
  <si>
    <t>Calendar</t>
  </si>
  <si>
    <t>PPE</t>
  </si>
  <si>
    <t>Payday</t>
  </si>
  <si>
    <t>Week</t>
  </si>
  <si>
    <t>Month</t>
  </si>
  <si>
    <t>CY Checks</t>
  </si>
  <si>
    <t>Checks</t>
  </si>
  <si>
    <t>Hours</t>
  </si>
  <si>
    <t>Year</t>
  </si>
  <si>
    <t>Check Count</t>
  </si>
  <si>
    <t>50%</t>
  </si>
  <si>
    <t>D</t>
  </si>
  <si>
    <t>C</t>
  </si>
  <si>
    <t>.5</t>
  </si>
  <si>
    <t>) = end of pay period</t>
  </si>
  <si>
    <t>EMP #</t>
  </si>
  <si>
    <t>Life</t>
  </si>
  <si>
    <t>Edith Marzahn</t>
  </si>
  <si>
    <t>03/05/2019</t>
  </si>
  <si>
    <t>Regional Pay Contingency</t>
  </si>
  <si>
    <t>All Benefits</t>
  </si>
  <si>
    <t>All Personnel</t>
  </si>
  <si>
    <t>04/22/2019</t>
  </si>
  <si>
    <t>Librarian Young Adult Services</t>
  </si>
  <si>
    <t>05/13/2019</t>
  </si>
  <si>
    <t>ES</t>
  </si>
  <si>
    <t>06/28/2019</t>
  </si>
  <si>
    <t>05/20/2019</t>
  </si>
  <si>
    <t>PS Market</t>
  </si>
  <si>
    <t>PFP</t>
  </si>
  <si>
    <t>Cost When Added</t>
  </si>
  <si>
    <t>Added In order</t>
  </si>
  <si>
    <t>Individual Cost</t>
  </si>
  <si>
    <t>FY19/20</t>
  </si>
  <si>
    <t>Amend Amount</t>
  </si>
  <si>
    <t>Savings Remaining</t>
  </si>
  <si>
    <t>Plans Examiner</t>
  </si>
  <si>
    <t>Jocelyn Nicole Wittrock</t>
  </si>
  <si>
    <t>12/02/2019</t>
  </si>
  <si>
    <t>Charlotte Mary Hanson</t>
  </si>
  <si>
    <t>Seth Anthony Marquez</t>
  </si>
  <si>
    <t>Austin Kaeden Leigh Nogle</t>
  </si>
  <si>
    <t>01/06/2020</t>
  </si>
  <si>
    <t>12/09/2016</t>
  </si>
  <si>
    <t>08/05/2019</t>
  </si>
  <si>
    <t>Planning Technician</t>
  </si>
  <si>
    <t>Police Chief</t>
  </si>
  <si>
    <t>03/09/2020</t>
  </si>
  <si>
    <t>Capital Projects Manager</t>
  </si>
  <si>
    <t>04/27/2020</t>
  </si>
  <si>
    <t>06/01/2020</t>
  </si>
  <si>
    <t>Spouse</t>
  </si>
  <si>
    <t>Children</t>
  </si>
  <si>
    <t>Family</t>
  </si>
  <si>
    <t>Band 1 - Below $50,000</t>
  </si>
  <si>
    <t>Current Monthly</t>
  </si>
  <si>
    <t>Current Annual</t>
  </si>
  <si>
    <t>City Contr. Monthly</t>
  </si>
  <si>
    <t>City Contr. Annual</t>
  </si>
  <si>
    <t>Emp Contr. Monthly</t>
  </si>
  <si>
    <t>Emp Contr. Annual</t>
  </si>
  <si>
    <t>% City Contribution</t>
  </si>
  <si>
    <t>Band 2 - $50,000 - $69,999</t>
  </si>
  <si>
    <t>Band 3 - $70,000 - $99,999</t>
  </si>
  <si>
    <t>Band 4 - $100,000+</t>
  </si>
  <si>
    <t>Monthly Ck#s</t>
  </si>
  <si>
    <t>Annual Ck#s</t>
  </si>
  <si>
    <t>% Emp Contribution</t>
  </si>
  <si>
    <t>% Cont Ck #</t>
  </si>
  <si>
    <t>CURRENT CONTRIBUTION</t>
  </si>
  <si>
    <t>SCENARIO INCREASE</t>
  </si>
  <si>
    <t>$ Increase</t>
  </si>
  <si>
    <t>% Ins For City</t>
  </si>
  <si>
    <t>Rate Group</t>
  </si>
  <si>
    <t>B1EO</t>
  </si>
  <si>
    <t>B1EC</t>
  </si>
  <si>
    <t>B2EC</t>
  </si>
  <si>
    <t>B3EF</t>
  </si>
  <si>
    <t>B4EO</t>
  </si>
  <si>
    <t>B4EF</t>
  </si>
  <si>
    <t>B2EF</t>
  </si>
  <si>
    <t>B1ES</t>
  </si>
  <si>
    <t>B3EO</t>
  </si>
  <si>
    <t>B2ES</t>
  </si>
  <si>
    <t>B2EO</t>
  </si>
  <si>
    <t>B3ES</t>
  </si>
  <si>
    <t>B4EC</t>
  </si>
  <si>
    <t>B4ES</t>
  </si>
  <si>
    <t>B3EC</t>
  </si>
  <si>
    <t>B1EF</t>
  </si>
  <si>
    <t>EC</t>
  </si>
  <si>
    <t>EO</t>
  </si>
  <si>
    <t>EF</t>
  </si>
  <si>
    <t>Wellness Discout</t>
  </si>
  <si>
    <t>Smoker Surcharge</t>
  </si>
  <si>
    <t>HSA Contribution</t>
  </si>
  <si>
    <t>Single</t>
  </si>
  <si>
    <t>Proposed Scenario</t>
  </si>
  <si>
    <t>Current Budget</t>
  </si>
  <si>
    <t>$ Variance From Current</t>
  </si>
  <si>
    <t>% Variance From Current</t>
  </si>
  <si>
    <t>Base Budget</t>
  </si>
  <si>
    <t>$ Variance From Base</t>
  </si>
  <si>
    <t>Add Group Ex Pay</t>
  </si>
  <si>
    <t>2% Step, Ins Inc., TMRS Inc.</t>
  </si>
  <si>
    <t>Personnel Budget Projection</t>
  </si>
  <si>
    <t>Health Insurance</t>
  </si>
  <si>
    <t>Other</t>
  </si>
  <si>
    <t>One-Time</t>
  </si>
  <si>
    <t>PS One-Time</t>
  </si>
  <si>
    <t>FY 2020-2021 Pay Variance - Dispatch &amp; Detention</t>
  </si>
  <si>
    <t>Plan L</t>
  </si>
  <si>
    <t>Plan R</t>
  </si>
  <si>
    <t>Section</t>
  </si>
  <si>
    <t>Original Title</t>
  </si>
  <si>
    <t>New Title</t>
  </si>
  <si>
    <t>Name</t>
  </si>
  <si>
    <t>Current Wage (hourly)</t>
  </si>
  <si>
    <t>Current Wage (bi-weekly)</t>
  </si>
  <si>
    <t>Diff</t>
  </si>
  <si>
    <t>Diff (Annual)</t>
  </si>
  <si>
    <t xml:space="preserve">Regional Holding </t>
  </si>
  <si>
    <t>NETCOM</t>
  </si>
  <si>
    <t>Dispatcher Supervisor</t>
  </si>
  <si>
    <t>Total Var:</t>
  </si>
  <si>
    <t>Notes:</t>
  </si>
  <si>
    <t xml:space="preserve">Dispatch and Detention only. </t>
  </si>
  <si>
    <t xml:space="preserve">Above information tracks Employees who fall below their new grade minimum and the costs associated with getting them to that new minimum. </t>
  </si>
  <si>
    <t>Above Information tracks Employees who fall above their new grade maximum.</t>
  </si>
  <si>
    <t>6 Employees fall below their new grade minimum.</t>
  </si>
  <si>
    <t>8 Employees fall below their new grade minimum.</t>
  </si>
  <si>
    <t>No capped outs.</t>
  </si>
  <si>
    <t>Information based on a full-time Employee report dated 03/17/2020.</t>
  </si>
  <si>
    <t>Does not include vacancies.</t>
  </si>
  <si>
    <t>Does not include new hires after 03/17/2020.</t>
  </si>
  <si>
    <t>Barring any changes in status to pay or position, all other applicable Employees fall within their new pay grades.</t>
  </si>
  <si>
    <t>Recent demotion is not included.</t>
  </si>
  <si>
    <t>Does not account for any FY 20-21 merits.</t>
  </si>
  <si>
    <t>Emp #</t>
  </si>
  <si>
    <t>Market Study</t>
  </si>
  <si>
    <t xml:space="preserve">Market Std. </t>
  </si>
  <si>
    <t>Market Std. %</t>
  </si>
  <si>
    <t>Civ. Market %</t>
  </si>
  <si>
    <t>Step Market</t>
  </si>
  <si>
    <t>Proposed Summary</t>
  </si>
  <si>
    <t>FY 2020-21</t>
  </si>
  <si>
    <t>Variance ($)</t>
  </si>
  <si>
    <t>Variance (%)</t>
  </si>
  <si>
    <t>W/WW Fund</t>
  </si>
  <si>
    <t>IT Fund</t>
  </si>
  <si>
    <t>Pointe</t>
  </si>
  <si>
    <t>Crime Control</t>
  </si>
  <si>
    <t>Public Safety</t>
  </si>
  <si>
    <t>Parks Special Revenue</t>
  </si>
  <si>
    <t>STEP</t>
  </si>
  <si>
    <t>Hourly</t>
  </si>
  <si>
    <t>100-30-303-50102-000000</t>
  </si>
  <si>
    <t>100-30-303-50109-000000</t>
  </si>
  <si>
    <t>100-63-636-50102-000000</t>
  </si>
  <si>
    <t>100-63-632-50102-000000</t>
  </si>
  <si>
    <t>100-63-632-50111-000000</t>
  </si>
  <si>
    <t>119-18-181-50140-000000</t>
  </si>
  <si>
    <t>100-63-636-50109-000000</t>
  </si>
  <si>
    <t>100-63-636-50111-000000</t>
  </si>
  <si>
    <t>100-63-632-50109-000000</t>
  </si>
  <si>
    <t>125-65-654-50110-000000</t>
  </si>
  <si>
    <t>125-65-654-50109-000000</t>
  </si>
  <si>
    <t>GROUP EXERCISE PAY</t>
  </si>
  <si>
    <t>125-65-653-50117-000000</t>
  </si>
  <si>
    <t>100-60-601-50109-000000</t>
  </si>
  <si>
    <t>200-73-734-50102-000000</t>
  </si>
  <si>
    <t>200-73-734-50109-000000</t>
  </si>
  <si>
    <t>200-73-734-50111-000000</t>
  </si>
  <si>
    <t>200-75-752-50102-000000</t>
  </si>
  <si>
    <t>200-75-752-50111-000000</t>
  </si>
  <si>
    <t>200-75-752-50109-000000</t>
  </si>
  <si>
    <t>100-30-302-50111-000000</t>
  </si>
  <si>
    <t>100-30-302-50102-000000</t>
  </si>
  <si>
    <t>100-30-302-50109-000000</t>
  </si>
  <si>
    <t>100-30-302-50115-000000</t>
  </si>
  <si>
    <t>100-63-634-50101-000000</t>
  </si>
  <si>
    <t>100-63-634-50111-000000</t>
  </si>
  <si>
    <t>100-35-352-50109-000000</t>
  </si>
  <si>
    <t>100-35-352-50102-000000</t>
  </si>
  <si>
    <t>200-71-711-50101-000000</t>
  </si>
  <si>
    <t>200-71-711-50111-000000</t>
  </si>
  <si>
    <t>125-65-652-50110-000000</t>
  </si>
  <si>
    <t>125-65-652-50109-000000</t>
  </si>
  <si>
    <t>100-60-601-50102-000000</t>
  </si>
  <si>
    <t>100-60-601-50111-000000</t>
  </si>
  <si>
    <t>125-65-656-50110-000000</t>
  </si>
  <si>
    <t>125-65-656-50109-000000</t>
  </si>
  <si>
    <t>200-73-735-50102-000000</t>
  </si>
  <si>
    <t>200-73-735-50111-000000</t>
  </si>
  <si>
    <t>200-73-735-50109-000000</t>
  </si>
  <si>
    <t>100-17-171-50101-000000</t>
  </si>
  <si>
    <t>119-18-183-50101-000000</t>
  </si>
  <si>
    <t>100-30-303-50111-000000</t>
  </si>
  <si>
    <t>100-30-303-50115-000000</t>
  </si>
  <si>
    <t>125-65-651-50109-000000</t>
  </si>
  <si>
    <t>125-65-651-50102-000000</t>
  </si>
  <si>
    <t>125-65-651-50111-000000</t>
  </si>
  <si>
    <t>Head Lifeguard</t>
  </si>
  <si>
    <t>100-50-502-50101-000000</t>
  </si>
  <si>
    <t>100-30-305-50115-000000</t>
  </si>
  <si>
    <t>100-30-305-50102-000000</t>
  </si>
  <si>
    <t>100-30-305-50109-000000</t>
  </si>
  <si>
    <t>100-30-305-50111-000000</t>
  </si>
  <si>
    <t>125-65-656-50111-000000</t>
  </si>
  <si>
    <t>125-65-654-50101-000000</t>
  </si>
  <si>
    <t>100-20-208-50102-000000</t>
  </si>
  <si>
    <t>100-20-208-50109-000000</t>
  </si>
  <si>
    <t>100-20-208-50111-000000</t>
  </si>
  <si>
    <t>100-10-101-50102-000000</t>
  </si>
  <si>
    <t>100-10-101-50109-000000</t>
  </si>
  <si>
    <t>100-10-101-50111-000000</t>
  </si>
  <si>
    <t>100-20-208-50101-000000</t>
  </si>
  <si>
    <t>400-81-815-50109-000000</t>
  </si>
  <si>
    <t>400-81-815-50102-000000</t>
  </si>
  <si>
    <t>400-81-815-50111-000000</t>
  </si>
  <si>
    <t>100-30-303-50101-000000</t>
  </si>
  <si>
    <t>100-13-131-50101-000000</t>
  </si>
  <si>
    <t>100-10-104-50101-000000</t>
  </si>
  <si>
    <t>100-20-204-50101-000000</t>
  </si>
  <si>
    <t>100-50-503-50109-000000</t>
  </si>
  <si>
    <t>100-50-503-50102-000000</t>
  </si>
  <si>
    <t>100-50-503-50111-000000</t>
  </si>
  <si>
    <t>100-11-111-50101-000000</t>
  </si>
  <si>
    <t>100-50-501-50109-000000</t>
  </si>
  <si>
    <t>100-50-501-50102-000000</t>
  </si>
  <si>
    <t>100-50-501-50111-000000</t>
  </si>
  <si>
    <t>200-71-712-50102-000000</t>
  </si>
  <si>
    <t>200-71-712-50109-000000</t>
  </si>
  <si>
    <t>200-71-712-50111-000000</t>
  </si>
  <si>
    <t>Street Maintenance Worker</t>
  </si>
  <si>
    <t>125-65-656-50101-000000</t>
  </si>
  <si>
    <t>100-63-634-50102-000000</t>
  </si>
  <si>
    <t>100-63-634-50109-000000</t>
  </si>
  <si>
    <t>100-63-633-50101-000000</t>
  </si>
  <si>
    <t>100-63-633-50111-000000</t>
  </si>
  <si>
    <t>100-30-301-50102-000000</t>
  </si>
  <si>
    <t>100-30-301-50111-000000</t>
  </si>
  <si>
    <t>100-30-301-50109-000000</t>
  </si>
  <si>
    <t>Director of Public Works</t>
  </si>
  <si>
    <t>100-50-501-50101-000000</t>
  </si>
  <si>
    <t>100-10-103-50101-000000</t>
  </si>
  <si>
    <t>100-10-103-50111-000000</t>
  </si>
  <si>
    <t>119-18-183-50102-000000</t>
  </si>
  <si>
    <t>119-18-183-50109-000000</t>
  </si>
  <si>
    <t>119-18-183-50111-000000</t>
  </si>
  <si>
    <t>100-20-201-50101-000000</t>
  </si>
  <si>
    <t>100-30-301-50101-000000</t>
  </si>
  <si>
    <t>100-30-301-50115-000000</t>
  </si>
  <si>
    <t>200-70-701-50101-000000</t>
  </si>
  <si>
    <t>119-18-181-50101-000000</t>
  </si>
  <si>
    <t>Fire Marshall</t>
  </si>
  <si>
    <t>100-35-351-50102-000000</t>
  </si>
  <si>
    <t>100-35-351-50109-000000</t>
  </si>
  <si>
    <t>Administrative Services Manager</t>
  </si>
  <si>
    <t>100-10-101-50101-000000</t>
  </si>
  <si>
    <t>100-30-304-50102-000000</t>
  </si>
  <si>
    <t>100-30-304-50111-000000</t>
  </si>
  <si>
    <t>100-30-304-50109-000000</t>
  </si>
  <si>
    <t>125-65-655-50101-000000</t>
  </si>
  <si>
    <t>125-65-652-50101-000000</t>
  </si>
  <si>
    <t>100-63-635-50102-000000</t>
  </si>
  <si>
    <t>100-63-635-50109-000000</t>
  </si>
  <si>
    <t>100-63-635-50111-000000</t>
  </si>
  <si>
    <t>100-63-631-50102-000000</t>
  </si>
  <si>
    <t>100-63-631-50111-000000</t>
  </si>
  <si>
    <t>100-63-631-50109-000000</t>
  </si>
  <si>
    <t>Director of Information Technology</t>
  </si>
  <si>
    <t>200-71-711-50102-000000</t>
  </si>
  <si>
    <t>200-71-711-50109-000000</t>
  </si>
  <si>
    <t>200-70-701-50111-000000</t>
  </si>
  <si>
    <t>200-70-701-50102-000000</t>
  </si>
  <si>
    <t>200-70-701-50109-000000</t>
  </si>
  <si>
    <t>100-20-204-50111-000000</t>
  </si>
  <si>
    <t>100-20-204-50102-000000</t>
  </si>
  <si>
    <t>100-20-204-50109-000000</t>
  </si>
  <si>
    <t>100-13-131-50102-000000</t>
  </si>
  <si>
    <t>100-13-131-50109-000000</t>
  </si>
  <si>
    <t>100-13-131-50111-000000</t>
  </si>
  <si>
    <t>Dispatch Shift Supervisor</t>
  </si>
  <si>
    <t>100-17-171-50111-000000</t>
  </si>
  <si>
    <t>100-17-171-50109-000000</t>
  </si>
  <si>
    <t>100-11-111-50111-000000</t>
  </si>
  <si>
    <t>100-11-111-50102-000000</t>
  </si>
  <si>
    <t>100-11-111-50109-000000</t>
  </si>
  <si>
    <t>100-60-601-50101-000000</t>
  </si>
  <si>
    <t>Assistant Director Of Finance</t>
  </si>
  <si>
    <t>100-35-351-50111-000000</t>
  </si>
  <si>
    <t>200-77-772-50102-000000</t>
  </si>
  <si>
    <t>200-77-772-50109-000000</t>
  </si>
  <si>
    <t>200-77-772-50111-000000</t>
  </si>
  <si>
    <t>100-20-201-50102-000000</t>
  </si>
  <si>
    <t>100-20-201-50109-000000</t>
  </si>
  <si>
    <t>100-20-201-50111-000000</t>
  </si>
  <si>
    <t>100-14-141-50101-000000</t>
  </si>
  <si>
    <t>100-63-631-50101-000000</t>
  </si>
  <si>
    <t>125-65-651-50101-000000</t>
  </si>
  <si>
    <t>125-65-652-50111-000000</t>
  </si>
  <si>
    <t>100-50-502-50102-000000</t>
  </si>
  <si>
    <t>100-50-502-50109-000000</t>
  </si>
  <si>
    <t>100-50-502-50111-000000</t>
  </si>
  <si>
    <t>100-35-351-50101-000000</t>
  </si>
  <si>
    <t>119-18-181-50102-000000</t>
  </si>
  <si>
    <t>119-18-181-50109-000000</t>
  </si>
  <si>
    <t>119-18-181-50111-000000</t>
  </si>
  <si>
    <t>118-31-311-50101-000000</t>
  </si>
  <si>
    <t>118-31-311-50111-000000</t>
  </si>
  <si>
    <t>100-50-503-50101-000000</t>
  </si>
  <si>
    <t>01/11/2021</t>
  </si>
  <si>
    <t>02/01/2021</t>
  </si>
  <si>
    <t>03/22/2021</t>
  </si>
  <si>
    <t>06/22/2020</t>
  </si>
  <si>
    <t>07/20/2020</t>
  </si>
  <si>
    <t>11/30/2020</t>
  </si>
  <si>
    <t>100-63-633-50650-000000</t>
  </si>
  <si>
    <t>119-18-181-50620-000000</t>
  </si>
  <si>
    <t>200-73-734-50620-000000</t>
  </si>
  <si>
    <t>100-30-304-50115-000000</t>
  </si>
  <si>
    <t>100-20-201-50120-000000</t>
  </si>
  <si>
    <t>100-50-502-50650-000000</t>
  </si>
  <si>
    <t>200-73-734-50650-000000</t>
  </si>
  <si>
    <t>100-35-352-50650-000000</t>
  </si>
  <si>
    <t>100-17-171-50620-000000</t>
  </si>
  <si>
    <t>119-18-183-50620-000000</t>
  </si>
  <si>
    <t>100-35-352-50115-000000</t>
  </si>
  <si>
    <t>100-63-632-50650-000000</t>
  </si>
  <si>
    <t>100-50-501-50620-000000</t>
  </si>
  <si>
    <t>200-75-752-50115-000000</t>
  </si>
  <si>
    <t>100-30-303-50650-000000</t>
  </si>
  <si>
    <t>125-65-654-50650-000000</t>
  </si>
  <si>
    <t>100-50-503-50620-000000</t>
  </si>
  <si>
    <t>200-73-734-50115-000000</t>
  </si>
  <si>
    <t>100-30-304-50650-000000</t>
  </si>
  <si>
    <t>200-71-711-50620-000000</t>
  </si>
  <si>
    <t>100-11-111-50650-000000</t>
  </si>
  <si>
    <t>100-30-302-50620-000000</t>
  </si>
  <si>
    <t>100-14-141-50650-000000</t>
  </si>
  <si>
    <t>100-13-131-50620-000000</t>
  </si>
  <si>
    <t>100-63-636-50620-000000</t>
  </si>
  <si>
    <t>100-63-635-50650-000000</t>
  </si>
  <si>
    <t>100-10-104-50620-000000</t>
  </si>
  <si>
    <t>100-20-208-50620-000000</t>
  </si>
  <si>
    <t>119-18-183-50650-000000</t>
  </si>
  <si>
    <t>100-50-501-50120-000000</t>
  </si>
  <si>
    <t>200-70-701-50620-000000</t>
  </si>
  <si>
    <t>125-65-651-50620-000000</t>
  </si>
  <si>
    <t>200-73-735-50620-000000</t>
  </si>
  <si>
    <t>100-63-631-50620-000000</t>
  </si>
  <si>
    <t>200-71-712-50650-000000</t>
  </si>
  <si>
    <t>100-13-131-50650-000000</t>
  </si>
  <si>
    <t>100-10-104-50650-000000</t>
  </si>
  <si>
    <t>100-35-352-50620-000000</t>
  </si>
  <si>
    <t>100-63-635-50620-000000</t>
  </si>
  <si>
    <t>100-17-171-50650-000000</t>
  </si>
  <si>
    <t>100-20-204-50620-000000</t>
  </si>
  <si>
    <t>100-10-101-50620-000000</t>
  </si>
  <si>
    <t>100-60-601-50620-000000</t>
  </si>
  <si>
    <t>100-50-502-50120-000000</t>
  </si>
  <si>
    <t>119-18-181-50650-000000</t>
  </si>
  <si>
    <t>100-50-502-50620-000000</t>
  </si>
  <si>
    <t>119-18-183-50115-000000</t>
  </si>
  <si>
    <t>100-63-632-50620-000000</t>
  </si>
  <si>
    <t>125-65-652-50620-000000</t>
  </si>
  <si>
    <t>100-30-305-50620-000000</t>
  </si>
  <si>
    <t>100-30-304-50620-000000</t>
  </si>
  <si>
    <t>100-50-503-50650-000000</t>
  </si>
  <si>
    <t>100-63-633-50620-000000</t>
  </si>
  <si>
    <t>400-81-815-50620-000000</t>
  </si>
  <si>
    <t>100-30-305-50650-000000</t>
  </si>
  <si>
    <t>200-73-735-50115-000000</t>
  </si>
  <si>
    <t>200-71-711-50650-000000</t>
  </si>
  <si>
    <t>125-65-652-50650-000000</t>
  </si>
  <si>
    <t>100-35-351-50650-000000</t>
  </si>
  <si>
    <t>100-10-101-50650-000000</t>
  </si>
  <si>
    <t>100-14-141-50620-000000</t>
  </si>
  <si>
    <t>100-11-111-50620-000000</t>
  </si>
  <si>
    <t>100-20-201-50620-000000</t>
  </si>
  <si>
    <t>125-65-656-50620-000000</t>
  </si>
  <si>
    <t>200-71-712-50115-000000</t>
  </si>
  <si>
    <t>100-63-631-50650-000000</t>
  </si>
  <si>
    <t>100-14-141-50120-000000</t>
  </si>
  <si>
    <t>100-10-103-50620-000000</t>
  </si>
  <si>
    <t>100-30-301-50620-000000</t>
  </si>
  <si>
    <t>100-63-636-50650-000000</t>
  </si>
  <si>
    <t>118-31-311-50620-000000</t>
  </si>
  <si>
    <t>100-35-351-50115-000000</t>
  </si>
  <si>
    <t>100-20-204-50650-000000</t>
  </si>
  <si>
    <t>200-75-752-50650-000000</t>
  </si>
  <si>
    <t>100-35-351-50620-000000</t>
  </si>
  <si>
    <t>125-65-654-50620-000000</t>
  </si>
  <si>
    <t>100-50-501-50650-000000</t>
  </si>
  <si>
    <t>100-63-634-50620-000000</t>
  </si>
  <si>
    <t>100-30-303-50620-000000</t>
  </si>
  <si>
    <t>100-60-601-50650-000000</t>
  </si>
  <si>
    <t>125-65-656-50650-000000</t>
  </si>
  <si>
    <t>100-63-634-50650-000000</t>
  </si>
  <si>
    <t>100-10-101-50120-000000</t>
  </si>
  <si>
    <t>118-31-311-50650-000000</t>
  </si>
  <si>
    <t>100-10-103-50650-000000</t>
  </si>
  <si>
    <t>200-77-772-50620-000000</t>
  </si>
  <si>
    <t>125-65-651-50650-000000</t>
  </si>
  <si>
    <t>100-20-201-50650-000000</t>
  </si>
  <si>
    <t>200-70-701-50650-000000</t>
  </si>
  <si>
    <t>200-75-752-50620-000000</t>
  </si>
  <si>
    <t>100-30-301-50650-000000</t>
  </si>
  <si>
    <t>400-81-815-50650-000000</t>
  </si>
  <si>
    <t>200-70-701-50115-000000</t>
  </si>
  <si>
    <t>100-30-302-50650-000000</t>
  </si>
  <si>
    <t>200-77-772-50650-000000</t>
  </si>
  <si>
    <t>100-20-208-50650-000000</t>
  </si>
  <si>
    <t>119-18-181-50115-000000</t>
  </si>
  <si>
    <t>200-71-712-50620-000000</t>
  </si>
  <si>
    <t>200-73-735-50650-000000</t>
  </si>
  <si>
    <t>EmployeeOnly</t>
  </si>
  <si>
    <t>Employee&amp;Children</t>
  </si>
  <si>
    <t>Employee&amp;Spouse</t>
  </si>
  <si>
    <t>Employeeonly</t>
  </si>
  <si>
    <t>Hrly/Bi-W</t>
  </si>
  <si>
    <t>100-10-101</t>
  </si>
  <si>
    <t>100-10-102</t>
  </si>
  <si>
    <t>100-10-103</t>
  </si>
  <si>
    <t>100-10-104</t>
  </si>
  <si>
    <t>100-10-105</t>
  </si>
  <si>
    <t>100-11-111</t>
  </si>
  <si>
    <t>100-13-131</t>
  </si>
  <si>
    <t>100-17-171</t>
  </si>
  <si>
    <t>100-14-141</t>
  </si>
  <si>
    <t>100-20-201</t>
  </si>
  <si>
    <t>100-20-204</t>
  </si>
  <si>
    <t>100-20-208</t>
  </si>
  <si>
    <t>100-30-301</t>
  </si>
  <si>
    <t>100-30-302</t>
  </si>
  <si>
    <t>100-30-303</t>
  </si>
  <si>
    <t>100-30-304</t>
  </si>
  <si>
    <t>100-30-305</t>
  </si>
  <si>
    <t>100-35-351</t>
  </si>
  <si>
    <t>100-35-352</t>
  </si>
  <si>
    <t>100-50-501</t>
  </si>
  <si>
    <t>100-50-502</t>
  </si>
  <si>
    <t>100-50-503</t>
  </si>
  <si>
    <t>100-60-601</t>
  </si>
  <si>
    <t>100-63-631</t>
  </si>
  <si>
    <t>100-63-632</t>
  </si>
  <si>
    <t>100-63-633</t>
  </si>
  <si>
    <t>100-63-634</t>
  </si>
  <si>
    <t>100-63-635</t>
  </si>
  <si>
    <t>100-63-636</t>
  </si>
  <si>
    <t>115-30-301</t>
  </si>
  <si>
    <t>118-31-311</t>
  </si>
  <si>
    <t>119-18-181</t>
  </si>
  <si>
    <t>119-18-183</t>
  </si>
  <si>
    <t>125-65-651</t>
  </si>
  <si>
    <t>125-65-652</t>
  </si>
  <si>
    <t>125-65-653</t>
  </si>
  <si>
    <t>125-65-654</t>
  </si>
  <si>
    <t>125-65-655</t>
  </si>
  <si>
    <t>125-65-656</t>
  </si>
  <si>
    <t>400-81-815</t>
  </si>
  <si>
    <t>200-70-701</t>
  </si>
  <si>
    <t>200-71-711</t>
  </si>
  <si>
    <t>200-71-712</t>
  </si>
  <si>
    <t>200-73-734</t>
  </si>
  <si>
    <t>200-73-735</t>
  </si>
  <si>
    <t>200-75-752</t>
  </si>
  <si>
    <t>200-77-772</t>
  </si>
  <si>
    <t>100-10-101-50610-000000</t>
  </si>
  <si>
    <t>100-10-101-50630-000000</t>
  </si>
  <si>
    <t>100-10-102-50109-000000</t>
  </si>
  <si>
    <t>100-10-102-50610-000000</t>
  </si>
  <si>
    <t>100-10-102-50620-000000</t>
  </si>
  <si>
    <t>100-10-102-50630-000000</t>
  </si>
  <si>
    <t>100-10-102-50650-000000</t>
  </si>
  <si>
    <t>100-10-103-50610-000000</t>
  </si>
  <si>
    <t>100-10-103-50630-000000</t>
  </si>
  <si>
    <t>100-10-104-50111-000000</t>
  </si>
  <si>
    <t>100-10-104-50610-000000</t>
  </si>
  <si>
    <t>100-10-104-50630-000000</t>
  </si>
  <si>
    <t>100-10-105-50109-000000</t>
  </si>
  <si>
    <t>100-10-105-50610-000000</t>
  </si>
  <si>
    <t>100-10-105-50620-000000</t>
  </si>
  <si>
    <t>100-10-105-50630-000000</t>
  </si>
  <si>
    <t>100-10-105-50650-000000</t>
  </si>
  <si>
    <t>100-11-111-50610-000000</t>
  </si>
  <si>
    <t>100-11-111-50630-000000</t>
  </si>
  <si>
    <t>100-13-131-50610-000000</t>
  </si>
  <si>
    <t>100-13-131-50630-000000</t>
  </si>
  <si>
    <t>100-14-141-50111-000000</t>
  </si>
  <si>
    <t>100-14-141-50610-000000</t>
  </si>
  <si>
    <t>100-14-141-50630-000000</t>
  </si>
  <si>
    <t>100-17-171-50610-000000</t>
  </si>
  <si>
    <t>100-17-171-50630-000000</t>
  </si>
  <si>
    <t>100-20-201-50610-000000</t>
  </si>
  <si>
    <t>100-20-201-50630-000000</t>
  </si>
  <si>
    <t>100-20-204-50610-000000</t>
  </si>
  <si>
    <t>100-20-204-50630-000000</t>
  </si>
  <si>
    <t>100-20-208-50610-000000</t>
  </si>
  <si>
    <t>100-20-208-50630-000000</t>
  </si>
  <si>
    <t>100-30-301-50610-000000</t>
  </si>
  <si>
    <t>100-30-301-50630-000000</t>
  </si>
  <si>
    <t>100-30-302-50101-000000</t>
  </si>
  <si>
    <t>100-30-302-50610-000000</t>
  </si>
  <si>
    <t>100-30-302-50630-000000</t>
  </si>
  <si>
    <t>100-30-303-50610-000000</t>
  </si>
  <si>
    <t>100-30-303-50630-000000</t>
  </si>
  <si>
    <t>100-30-304-50610-000000</t>
  </si>
  <si>
    <t>100-30-304-50630-000000</t>
  </si>
  <si>
    <t>100-30-305-50101-000000</t>
  </si>
  <si>
    <t>100-30-305-50610-000000</t>
  </si>
  <si>
    <t>100-30-305-50630-000000</t>
  </si>
  <si>
    <t>100-35-351-50610-000000</t>
  </si>
  <si>
    <t>100-35-351-50630-000000</t>
  </si>
  <si>
    <t>100-35-352-50111-000000</t>
  </si>
  <si>
    <t>100-35-352-50610-000000</t>
  </si>
  <si>
    <t>100-35-352-50630-000000</t>
  </si>
  <si>
    <t>100-50-501-50610-000000</t>
  </si>
  <si>
    <t>100-50-501-50630-000000</t>
  </si>
  <si>
    <t>100-50-502-50610-000000</t>
  </si>
  <si>
    <t>100-50-502-50630-000000</t>
  </si>
  <si>
    <t>100-50-503-50610-000000</t>
  </si>
  <si>
    <t>100-50-503-50630-000000</t>
  </si>
  <si>
    <t>100-60-601-50610-000000</t>
  </si>
  <si>
    <t>100-60-601-50630-000000</t>
  </si>
  <si>
    <t>100-63-631-50610-000000</t>
  </si>
  <si>
    <t>100-63-631-50630-000000</t>
  </si>
  <si>
    <t>100-63-632-50610-000000</t>
  </si>
  <si>
    <t>100-63-632-50630-000000</t>
  </si>
  <si>
    <t>100-63-633-50610-000000</t>
  </si>
  <si>
    <t>100-63-633-50630-000000</t>
  </si>
  <si>
    <t>100-63-634-50610-000000</t>
  </si>
  <si>
    <t>100-63-634-50630-000000</t>
  </si>
  <si>
    <t>100-63-635-50610-000000</t>
  </si>
  <si>
    <t>100-63-635-50630-000000</t>
  </si>
  <si>
    <t>100-63-636-50610-000000</t>
  </si>
  <si>
    <t>100-63-636-50630-000000</t>
  </si>
  <si>
    <t>100-99-994-50640-000000</t>
  </si>
  <si>
    <t>118-31-311-50610-000000</t>
  </si>
  <si>
    <t>118-31-311-50630-000000</t>
  </si>
  <si>
    <t>125-65-651-50610-000000</t>
  </si>
  <si>
    <t>125-65-651-50630-000000</t>
  </si>
  <si>
    <t>125-65-652-50610-000000</t>
  </si>
  <si>
    <t>125-65-652-50630-000000</t>
  </si>
  <si>
    <t>125-65-653-50610-000000</t>
  </si>
  <si>
    <t>125-65-653-50630-000000</t>
  </si>
  <si>
    <t>125-65-654-50111-000000</t>
  </si>
  <si>
    <t>125-65-654-50610-000000</t>
  </si>
  <si>
    <t>125-65-654-50630-000000</t>
  </si>
  <si>
    <t>125-65-655-50110-000000</t>
  </si>
  <si>
    <t>125-65-655-50112-000000</t>
  </si>
  <si>
    <t>125-65-655-50610-000000</t>
  </si>
  <si>
    <t>125-65-655-50620-000000</t>
  </si>
  <si>
    <t>125-65-655-50630-000000</t>
  </si>
  <si>
    <t>125-65-655-50650-000000</t>
  </si>
  <si>
    <t>125-65-656-50112-000000</t>
  </si>
  <si>
    <t>125-65-656-50610-000000</t>
  </si>
  <si>
    <t>125-65-656-50630-000000</t>
  </si>
  <si>
    <t>200-70-701-50610-000000</t>
  </si>
  <si>
    <t>200-70-701-50630-000000</t>
  </si>
  <si>
    <t>200-71-711-50610-000000</t>
  </si>
  <si>
    <t>200-71-711-50630-000000</t>
  </si>
  <si>
    <t>200-71-712-50610-000000</t>
  </si>
  <si>
    <t>200-71-712-50630-000000</t>
  </si>
  <si>
    <t>200-73-734-50610-000000</t>
  </si>
  <si>
    <t>200-73-734-50630-000000</t>
  </si>
  <si>
    <t>200-73-735-50610-000000</t>
  </si>
  <si>
    <t>200-73-735-50630-000000</t>
  </si>
  <si>
    <t>200-75-752-50610-000000</t>
  </si>
  <si>
    <t>200-75-752-50630-000000</t>
  </si>
  <si>
    <t>200-77-772-50610-000000</t>
  </si>
  <si>
    <t>200-77-772-50630-000000</t>
  </si>
  <si>
    <t>400-81-815-50610-000000</t>
  </si>
  <si>
    <t>400-81-815-50630-000000</t>
  </si>
  <si>
    <t>119-18-181-50610-000000</t>
  </si>
  <si>
    <t>119-18-181-50630-000000</t>
  </si>
  <si>
    <t>119-18-183-50610-000000</t>
  </si>
  <si>
    <t>119-18-183-50630-000000</t>
  </si>
  <si>
    <t>Planner III</t>
  </si>
  <si>
    <t>8810 - Clerical</t>
  </si>
  <si>
    <t>BW - Bi-Weekly</t>
  </si>
  <si>
    <t>S - Straight Time</t>
  </si>
  <si>
    <t>9102 - Parks &amp; Recreation</t>
  </si>
  <si>
    <t>7520 - Waterworks</t>
  </si>
  <si>
    <t>7720 - Law Enforcement</t>
  </si>
  <si>
    <t>7704 - Firefighters</t>
  </si>
  <si>
    <t>Aquatics Specialist</t>
  </si>
  <si>
    <t>4511 - Bldg Inspection; cads; analysis</t>
  </si>
  <si>
    <t>5506 - Streets / Roads</t>
  </si>
  <si>
    <t>100-17-171-50109</t>
  </si>
  <si>
    <t>100-20-201-50109</t>
  </si>
  <si>
    <t>100-30-302-50109</t>
  </si>
  <si>
    <t>100-30-303-50109</t>
  </si>
  <si>
    <t>100-30-304-50109</t>
  </si>
  <si>
    <t>100-30-305-50109</t>
  </si>
  <si>
    <t>100-35-351-50109</t>
  </si>
  <si>
    <t>100-35-352-50109</t>
  </si>
  <si>
    <t>100-50-502-50109</t>
  </si>
  <si>
    <t>100-50-503-50109</t>
  </si>
  <si>
    <t>100-60-601-50109</t>
  </si>
  <si>
    <t>100-63-632-50109</t>
  </si>
  <si>
    <t>100-63-633-50109</t>
  </si>
  <si>
    <t>100-63-634-50109</t>
  </si>
  <si>
    <t>100-63-635-50109</t>
  </si>
  <si>
    <t>119-18-181-50109</t>
  </si>
  <si>
    <t>119-18-183-50109</t>
  </si>
  <si>
    <t>125-65-652-50109</t>
  </si>
  <si>
    <t>125-65-654-50109</t>
  </si>
  <si>
    <t>125-65-656-50109</t>
  </si>
  <si>
    <t>200-70-701-50109</t>
  </si>
  <si>
    <t>200-71-711-50109</t>
  </si>
  <si>
    <t>200-71-712-50109</t>
  </si>
  <si>
    <t>200-73-734-50109</t>
  </si>
  <si>
    <t>200-73-735-50109</t>
  </si>
  <si>
    <t>200-77-772-50109</t>
  </si>
  <si>
    <t>400-81-815-50109</t>
  </si>
  <si>
    <t>100-30-303-50102</t>
  </si>
  <si>
    <t>100-30-302-50102</t>
  </si>
  <si>
    <t>100-30-301-50102</t>
  </si>
  <si>
    <t>100-30-305-50102</t>
  </si>
  <si>
    <t>119-18-181-50140</t>
  </si>
  <si>
    <t>100-35-352-50102</t>
  </si>
  <si>
    <t>112-64-642-50110</t>
  </si>
  <si>
    <t>112-64-642-50109</t>
  </si>
  <si>
    <t>200-71-712-50102</t>
  </si>
  <si>
    <t>200-73-734-50102</t>
  </si>
  <si>
    <t>100-63-632-50102</t>
  </si>
  <si>
    <t>200-73-735-50102</t>
  </si>
  <si>
    <t>119-18-181-50102</t>
  </si>
  <si>
    <t>100-30-301-50101</t>
  </si>
  <si>
    <t>200-75-752-50102</t>
  </si>
  <si>
    <t>Marketing Specialist</t>
  </si>
  <si>
    <t>Aquatics - Part-Time</t>
  </si>
  <si>
    <t>Aquatics - Seasonal</t>
  </si>
  <si>
    <t>Recreation - Part-Time</t>
  </si>
  <si>
    <t>Recreation - Seasonal</t>
  </si>
  <si>
    <t>Facilities - Part-Time</t>
  </si>
  <si>
    <t>Facilities - Seasonal</t>
  </si>
  <si>
    <t>Cust Svc - Part-Time</t>
  </si>
  <si>
    <t>Cust Svc - Seasonal</t>
  </si>
  <si>
    <t>200-75-752-50109</t>
  </si>
  <si>
    <t>Merit</t>
  </si>
  <si>
    <t>GIS Manager</t>
  </si>
  <si>
    <t>Logistics Coordinator</t>
  </si>
  <si>
    <t>Police Lieutenant Cid</t>
  </si>
  <si>
    <t>FY 2021-22</t>
  </si>
  <si>
    <t>112-62-623-50109-000000</t>
  </si>
  <si>
    <t>112-62-623-50610-000000</t>
  </si>
  <si>
    <t>112-62-623-50620-000000</t>
  </si>
  <si>
    <t>112-62-623-50630-000000</t>
  </si>
  <si>
    <t>112-62-623-50650-000000</t>
  </si>
  <si>
    <t>Crew Leader - Parks</t>
  </si>
  <si>
    <t>Foreman - Parks</t>
  </si>
  <si>
    <t>Program Specialist - KSAC</t>
  </si>
  <si>
    <t>Application Administrator</t>
  </si>
  <si>
    <t>Library Clerk I</t>
  </si>
  <si>
    <t>Crew Leader - W &amp; WW Maintenance</t>
  </si>
  <si>
    <t>System Administrator</t>
  </si>
  <si>
    <t>Code Enforcement Administrator</t>
  </si>
  <si>
    <t>Heavy Equipment Operator</t>
  </si>
  <si>
    <t>Field Technician II</t>
  </si>
  <si>
    <t>Crew Leader - Streets/Drainage</t>
  </si>
  <si>
    <t>Team Lead - Community Services</t>
  </si>
  <si>
    <t>Water Productions Operator</t>
  </si>
  <si>
    <t>Building Maintenance Technician</t>
  </si>
  <si>
    <t>Team Lead - Administrative Services</t>
  </si>
  <si>
    <t>Communications &amp; Public Engagement Manager</t>
  </si>
  <si>
    <t>Planner</t>
  </si>
  <si>
    <t>Crew Leader - Pipeline Inspections</t>
  </si>
  <si>
    <t>Lifeguard</t>
  </si>
  <si>
    <t>Customer Service Representative II</t>
  </si>
  <si>
    <t>Firefighter/EMT</t>
  </si>
  <si>
    <t>Recreation Assistant</t>
  </si>
  <si>
    <t>Economic Development Specialist</t>
  </si>
  <si>
    <t>Library Technician - Part Time</t>
  </si>
  <si>
    <t>Utility Billing Representative I</t>
  </si>
  <si>
    <t>Program Coordinator - KSAC</t>
  </si>
  <si>
    <t>Building Official</t>
  </si>
  <si>
    <t>Library Technician</t>
  </si>
  <si>
    <t>Director of Human Resources &amp; Risk Management</t>
  </si>
  <si>
    <t>Customer Service Representative I</t>
  </si>
  <si>
    <t>Customer Service &amp; Fitness Supervisor</t>
  </si>
  <si>
    <t>Accountant - TKP</t>
  </si>
  <si>
    <t>Public Works Technician</t>
  </si>
  <si>
    <t>Director of Economic Development</t>
  </si>
  <si>
    <t>01/03/2022</t>
  </si>
  <si>
    <t>01/14/2022</t>
  </si>
  <si>
    <t>02/16/2022</t>
  </si>
  <si>
    <t>02/14/2022</t>
  </si>
  <si>
    <t>02/07/2022</t>
  </si>
  <si>
    <t>03/02/2022</t>
  </si>
  <si>
    <t>04/04/2022</t>
  </si>
  <si>
    <t>04/19/2021</t>
  </si>
  <si>
    <t>05/17/2021</t>
  </si>
  <si>
    <t>06/01/2022</t>
  </si>
  <si>
    <t>07/12/2021</t>
  </si>
  <si>
    <t>09/18/2021</t>
  </si>
  <si>
    <t>09/04/2021</t>
  </si>
  <si>
    <t>10/02/2021</t>
  </si>
  <si>
    <t>10/25/2021</t>
  </si>
  <si>
    <t>11/08/2021</t>
  </si>
  <si>
    <t>12/06/2021</t>
  </si>
  <si>
    <t>12/08/2021</t>
  </si>
  <si>
    <t>101</t>
  </si>
  <si>
    <t>103</t>
  </si>
  <si>
    <t>104</t>
  </si>
  <si>
    <t>111</t>
  </si>
  <si>
    <t>131</t>
  </si>
  <si>
    <t>171</t>
  </si>
  <si>
    <t>141</t>
  </si>
  <si>
    <t>201</t>
  </si>
  <si>
    <t>204</t>
  </si>
  <si>
    <t>208</t>
  </si>
  <si>
    <t>301</t>
  </si>
  <si>
    <t>305</t>
  </si>
  <si>
    <t>303</t>
  </si>
  <si>
    <t>304</t>
  </si>
  <si>
    <t>351</t>
  </si>
  <si>
    <t>352</t>
  </si>
  <si>
    <t>501</t>
  </si>
  <si>
    <t>502</t>
  </si>
  <si>
    <t>503</t>
  </si>
  <si>
    <t>601</t>
  </si>
  <si>
    <t>631</t>
  </si>
  <si>
    <t>632</t>
  </si>
  <si>
    <t>633</t>
  </si>
  <si>
    <t>634</t>
  </si>
  <si>
    <t>636</t>
  </si>
  <si>
    <t>635</t>
  </si>
  <si>
    <t>311</t>
  </si>
  <si>
    <t>181</t>
  </si>
  <si>
    <t>183</t>
  </si>
  <si>
    <t>651</t>
  </si>
  <si>
    <t>652</t>
  </si>
  <si>
    <t>656</t>
  </si>
  <si>
    <t>654</t>
  </si>
  <si>
    <t>655</t>
  </si>
  <si>
    <t>701</t>
  </si>
  <si>
    <t>772</t>
  </si>
  <si>
    <t>711</t>
  </si>
  <si>
    <t>712</t>
  </si>
  <si>
    <t>734</t>
  </si>
  <si>
    <t>752</t>
  </si>
  <si>
    <t>735</t>
  </si>
  <si>
    <t>815</t>
  </si>
  <si>
    <t>% Merit</t>
  </si>
  <si>
    <t>Min Increase</t>
  </si>
  <si>
    <t>Max Increase</t>
  </si>
  <si>
    <t>% Market/CPI</t>
  </si>
  <si>
    <t>Merit Min.</t>
  </si>
  <si>
    <t>Merit %</t>
  </si>
  <si>
    <t>Merit Max.</t>
  </si>
  <si>
    <t>Comp $ Inc</t>
  </si>
  <si>
    <t>Current Comp</t>
  </si>
  <si>
    <t>Comp % Inc</t>
  </si>
  <si>
    <t>Merit Inc</t>
  </si>
  <si>
    <t>Market Inc.</t>
  </si>
  <si>
    <t>Firefighter/Emt</t>
  </si>
  <si>
    <t>Recreation Specialist</t>
  </si>
  <si>
    <t>653</t>
  </si>
  <si>
    <t>Variance
Favorable
(Unfavorable)</t>
  </si>
  <si>
    <t>Original 
Total Budget</t>
  </si>
  <si>
    <t>Current 
Total Budget</t>
  </si>
  <si>
    <t>Period
Activity</t>
  </si>
  <si>
    <t>Fiscal
Activity</t>
  </si>
  <si>
    <t>Percent
Remaining</t>
  </si>
  <si>
    <t>Fund: 100 - GENERAL FUND</t>
  </si>
  <si>
    <t>Fund: 112 - RECREATION SPCL REVENUE FUND</t>
  </si>
  <si>
    <t>Fund: 118 - CRIME CONTROL PREVENTION DIST</t>
  </si>
  <si>
    <t>Fund: 119 - INFORMATION TECHNOLOGY</t>
  </si>
  <si>
    <t>Fund: 125 - RECREATION/AQUATIC CENTER FUND</t>
  </si>
  <si>
    <t>Fund: 200 - WATER &amp; W/W UTILITY FUND</t>
  </si>
  <si>
    <t>Fund: 400 - DRAINAGE UTILITY FUND</t>
  </si>
  <si>
    <t>Support Services Manager</t>
  </si>
  <si>
    <t>Utility Billing Administrator</t>
  </si>
  <si>
    <t>Economic Development Intern</t>
  </si>
  <si>
    <t>302</t>
  </si>
  <si>
    <t>Department Description</t>
  </si>
  <si>
    <t>05/18/2022</t>
  </si>
  <si>
    <t>05/16/2022</t>
  </si>
  <si>
    <t>06/06/2022</t>
  </si>
  <si>
    <t>Employee</t>
  </si>
  <si>
    <t>115-30-301-50109</t>
  </si>
  <si>
    <t>Aquatics Supervisor</t>
  </si>
  <si>
    <t>Budget Report</t>
  </si>
  <si>
    <t>Category: 50 - PERSONNEL Total:</t>
  </si>
  <si>
    <t>Division: 101 - ADMINISTRATION Total:</t>
  </si>
  <si>
    <t>Division: 102 - PUBLIC ARTS Total:</t>
  </si>
  <si>
    <t>Division: 103 - CITY SECRETARY Total:</t>
  </si>
  <si>
    <t>Division: 104 - COMMUNICATIONS Total:</t>
  </si>
  <si>
    <t>Division: 105 - COMMUNITY SERVICES Total:</t>
  </si>
  <si>
    <t>Department: 10 - ADMINISTRATION Total:</t>
  </si>
  <si>
    <t>Division: 111 - TOWN HALL OPERATIONS Total:</t>
  </si>
  <si>
    <t>Department: 11 - TOWN HALL OPERATIONS Total:</t>
  </si>
  <si>
    <t>Division: 131 - FINANCE ADMINISTRATION Total:</t>
  </si>
  <si>
    <t>Department: 13 - FINANCE Total:</t>
  </si>
  <si>
    <t>Division: 141 - ECONOMIC DEVELOPMENT ADMIN Total:</t>
  </si>
  <si>
    <t>Department: 14 - ECONOMIC DEVELOPMENT Total:</t>
  </si>
  <si>
    <t>Division: 171 - HUMAN RESOURCES ADMINISTRATION Total:</t>
  </si>
  <si>
    <t>Department: 17 - HUMAN RESOURCES Total:</t>
  </si>
  <si>
    <t>Division: 201 - DEVELOPMENT ADMINISTRATION Total:</t>
  </si>
  <si>
    <t>Division: 204 - BUILDING &amp; CONSTRUCTION SVCS Total:</t>
  </si>
  <si>
    <t>Division: 208 - CODE ENFORCEMENT Total:</t>
  </si>
  <si>
    <t>Department: 20 - COMMUNITY DEVELOPMENT Total:</t>
  </si>
  <si>
    <t>Division: 301 - POLICE ADMINISTRATION Total:</t>
  </si>
  <si>
    <t>Division: 302 - POLICE OPERATIONS Total:</t>
  </si>
  <si>
    <t>Division: 303 - PUBLIC SAFETY DISPATCH Total:</t>
  </si>
  <si>
    <t>Division: 304 - ANIMAL SERVICES &amp; ADOPTION Total:</t>
  </si>
  <si>
    <t>Division: 305 - JAIL SERVICES Total:</t>
  </si>
  <si>
    <t>Department: 30 - POLICE Total:</t>
  </si>
  <si>
    <t>Division: 351 - FIRE ADMINISTRATION Total:</t>
  </si>
  <si>
    <t>Division: 352 - FIRE OPERATIONS Total:</t>
  </si>
  <si>
    <t>Department: 35 - FIRE Total:</t>
  </si>
  <si>
    <t>Division: 501 - PUBLIC WORKS ADMINISTRATION Total:</t>
  </si>
  <si>
    <t>Division: 502 - ENGINEERING &amp; INSPECTIONS Total:</t>
  </si>
  <si>
    <t>Division: 503 - STREET MAINTENANCE Total:</t>
  </si>
  <si>
    <t>Department: 50 - PUBLIC WORKS Total:</t>
  </si>
  <si>
    <t>Division: 601 - LIBRARY ADMINISTRATION Total:</t>
  </si>
  <si>
    <t>Department: 60 - LIBRARY Total:</t>
  </si>
  <si>
    <t>Division: 631 - PARKS AND REC ADMINISTRATION Total:</t>
  </si>
  <si>
    <t>Division: 632 - PARKS MAINTENANCE Total:</t>
  </si>
  <si>
    <t>Division: 633 - RECREATION SERVICES Total:</t>
  </si>
  <si>
    <t>Division: 634 - SENIOR ACTIVITIES CENTR Total:</t>
  </si>
  <si>
    <t>Division: 635 - SPORTS PARK MAINTENANCE Total:</t>
  </si>
  <si>
    <t>Division: 636 - TOWN CENTER MAINTENANCE Total:</t>
  </si>
  <si>
    <t>Department: 63 - PARKS &amp; RECREATION Total:</t>
  </si>
  <si>
    <t>Division: 994 - NON-DEPARTMENTAL Total:</t>
  </si>
  <si>
    <t>Department: 99 - GEN NON-DEPARTMENTAL Total:</t>
  </si>
  <si>
    <t>Division: 623 - SENIOR SERVICES TRIPS Total:</t>
  </si>
  <si>
    <t>Department: 62 - SENIOR SERVICES PROGRAMS Total:</t>
  </si>
  <si>
    <t>Division: 311 - KCCPD ADMINISTRATION Total:</t>
  </si>
  <si>
    <t>Department: 31 - KCCPD Total:</t>
  </si>
  <si>
    <t>Division: 181 - INFORMATION TECHNOLOGY Total:</t>
  </si>
  <si>
    <t>Division: 183 - GEOGRAPHIC INFORMATION SERVICE Total:</t>
  </si>
  <si>
    <t>Department: 18 - INFORMATION TECHNOLOGY Total:</t>
  </si>
  <si>
    <t>Division: 651 - POINTE ADMINISTRATION Total:</t>
  </si>
  <si>
    <t>Division: 652 - AQUATICS Total:</t>
  </si>
  <si>
    <t>Division: 653 - FITNESS PROGRAMS Total:</t>
  </si>
  <si>
    <t>Division: 654 - RECREATION PROGRAMS Total:</t>
  </si>
  <si>
    <t>Division: 655 - FACILITY MAINTENANCE Total:</t>
  </si>
  <si>
    <t>Division: 656 - CUSTOMER SERVICE/CONCESSIONS Total:</t>
  </si>
  <si>
    <t>Department: 65 - THE KELLER POINTE Total:</t>
  </si>
  <si>
    <t>Division: 701 - WATER &amp; W/W ADMINISTRATION Total:</t>
  </si>
  <si>
    <t>Department: 70 - WATER &amp; W/W ADMINISTRATION Total:</t>
  </si>
  <si>
    <t>Division: 712 - FIELD SERVICES Total:</t>
  </si>
  <si>
    <t>Department: 71 - UTILITY BILLING Total:</t>
  </si>
  <si>
    <t>Division: 735 - WATER DISTRIBUTION Total:</t>
  </si>
  <si>
    <t>Department: 73 - WATER UTILITIES Total:</t>
  </si>
  <si>
    <t>Division: 752 - WASTEWATER COLLECTION Total:</t>
  </si>
  <si>
    <t>Department: 75 - WASTEWATER UTILITIES Total:</t>
  </si>
  <si>
    <t>Division: 772 - MSC OPERATIONS Total:</t>
  </si>
  <si>
    <t>Department: 77 - MUNICIPAL SERVICE CENTER Total:</t>
  </si>
  <si>
    <t>Division: 815 - DRAINAGE MAINTENANCE Total:</t>
  </si>
  <si>
    <t>Department: 81 - DRAINAGE MAINTENANCE Total:</t>
  </si>
  <si>
    <t>Division: 711 - UTILITY BILLING ADMINISTRATION Total:</t>
  </si>
  <si>
    <t>Division: 734 - WATER PRODUCTION Total:</t>
  </si>
  <si>
    <t>Position ID</t>
  </si>
  <si>
    <t>Legal First Name</t>
  </si>
  <si>
    <t>Legal Middle Name</t>
  </si>
  <si>
    <t>Legal Last Name</t>
  </si>
  <si>
    <t>Pay Frequency</t>
  </si>
  <si>
    <t>Pay Grade Code</t>
  </si>
  <si>
    <t>Regular Pay Rate Amount</t>
  </si>
  <si>
    <t>Standard Hours</t>
  </si>
  <si>
    <t>Department Number</t>
  </si>
  <si>
    <t>Job Title Code</t>
  </si>
  <si>
    <t>Job Title Description</t>
  </si>
  <si>
    <t>NAICS Workers' Comp Code</t>
  </si>
  <si>
    <t>Position Status</t>
  </si>
  <si>
    <t>Regular Pay Rate Description</t>
  </si>
  <si>
    <t>Rehire Date</t>
  </si>
  <si>
    <t>Pay Class</t>
  </si>
  <si>
    <t>Home Cost Number Code</t>
  </si>
  <si>
    <t>Annual Salary</t>
  </si>
  <si>
    <t>Worker Category Description</t>
  </si>
  <si>
    <t>S1H000058</t>
  </si>
  <si>
    <t>Biweekly</t>
  </si>
  <si>
    <t>FPSN4</t>
  </si>
  <si>
    <t>FCAP</t>
  </si>
  <si>
    <t>7704</t>
  </si>
  <si>
    <t>Active</t>
  </si>
  <si>
    <t>NON-TIME</t>
  </si>
  <si>
    <t>Full Time</t>
  </si>
  <si>
    <t>S1H000065</t>
  </si>
  <si>
    <t>PPLNT</t>
  </si>
  <si>
    <t>PLT</t>
  </si>
  <si>
    <t>7720</t>
  </si>
  <si>
    <t>FT HOURLY - PD-SPDO 8</t>
  </si>
  <si>
    <t>S1H000083</t>
  </si>
  <si>
    <t>GPP10</t>
  </si>
  <si>
    <t>PSAM</t>
  </si>
  <si>
    <t>Accrediation Manager [Public Safety]</t>
  </si>
  <si>
    <t>8810</t>
  </si>
  <si>
    <t>Salary</t>
  </si>
  <si>
    <t>S1H000096</t>
  </si>
  <si>
    <t>GPP8</t>
  </si>
  <si>
    <t>PSKSAC</t>
  </si>
  <si>
    <t>FT HOURLY</t>
  </si>
  <si>
    <t>100-63-634-50101</t>
  </si>
  <si>
    <t>S1H000097</t>
  </si>
  <si>
    <t>GPPE1</t>
  </si>
  <si>
    <t>CE</t>
  </si>
  <si>
    <t>8601</t>
  </si>
  <si>
    <t>SALARY - 4-10</t>
  </si>
  <si>
    <t>100-50-502-50101</t>
  </si>
  <si>
    <t>S1H000123</t>
  </si>
  <si>
    <t>CS</t>
  </si>
  <si>
    <t>100-10-103-50101</t>
  </si>
  <si>
    <t>S1H000152</t>
  </si>
  <si>
    <t>PPPOCI</t>
  </si>
  <si>
    <t>PSO</t>
  </si>
  <si>
    <t>8888</t>
  </si>
  <si>
    <t>S1H000303</t>
  </si>
  <si>
    <t>GPP12</t>
  </si>
  <si>
    <t>KPM</t>
  </si>
  <si>
    <t>SALARY - 5-8</t>
  </si>
  <si>
    <t>125-65-651-50101</t>
  </si>
  <si>
    <t>S1H000405</t>
  </si>
  <si>
    <t>GPP3</t>
  </si>
  <si>
    <t>FMW</t>
  </si>
  <si>
    <t>9015</t>
  </si>
  <si>
    <t>FT HOURLY - 4-10</t>
  </si>
  <si>
    <t>100-11-111-50102</t>
  </si>
  <si>
    <t>S1H000470</t>
  </si>
  <si>
    <t>S1H000550</t>
  </si>
  <si>
    <t>GPP6</t>
  </si>
  <si>
    <t>CI</t>
  </si>
  <si>
    <t>4511</t>
  </si>
  <si>
    <t>200-70-701-50102</t>
  </si>
  <si>
    <t>S1H000586</t>
  </si>
  <si>
    <t>FPSN2</t>
  </si>
  <si>
    <t>FFP</t>
  </si>
  <si>
    <t>Firefighter/Paramedic or Paramedic</t>
  </si>
  <si>
    <t>S1H000740</t>
  </si>
  <si>
    <t>100-20-208-50102</t>
  </si>
  <si>
    <t>S1H000747</t>
  </si>
  <si>
    <t>FPSN1</t>
  </si>
  <si>
    <t>DE</t>
  </si>
  <si>
    <t>S1H000751</t>
  </si>
  <si>
    <t>GPP11</t>
  </si>
  <si>
    <t>FMAN</t>
  </si>
  <si>
    <t>100-11-111-50101</t>
  </si>
  <si>
    <t>S1H000770</t>
  </si>
  <si>
    <t>PPSRGT</t>
  </si>
  <si>
    <t>PSO3</t>
  </si>
  <si>
    <t>FT HOURLY - PD-SPDO 12</t>
  </si>
  <si>
    <t>S1H000774</t>
  </si>
  <si>
    <t>S1H000775</t>
  </si>
  <si>
    <t>FPSN3</t>
  </si>
  <si>
    <t>S1H000776</t>
  </si>
  <si>
    <t>GPP7</t>
  </si>
  <si>
    <t>FWM</t>
  </si>
  <si>
    <t>7520</t>
  </si>
  <si>
    <t>FT HOURLY- 4-9</t>
  </si>
  <si>
    <t>S1H001112</t>
  </si>
  <si>
    <t>S1H001116</t>
  </si>
  <si>
    <t>FT HOURLY - PD 12</t>
  </si>
  <si>
    <t>S1H001143</t>
  </si>
  <si>
    <t>AAIT</t>
  </si>
  <si>
    <t>119-18-181-50101</t>
  </si>
  <si>
    <t>S1H001461</t>
  </si>
  <si>
    <t>S1H001485</t>
  </si>
  <si>
    <t>S1H001628</t>
  </si>
  <si>
    <t>S1H001640</t>
  </si>
  <si>
    <t>GPP2</t>
  </si>
  <si>
    <t>LC1</t>
  </si>
  <si>
    <t>8838</t>
  </si>
  <si>
    <t>PT HOURLY</t>
  </si>
  <si>
    <t>100-60-601-50110</t>
  </si>
  <si>
    <t>Part Time</t>
  </si>
  <si>
    <t>S1H001701</t>
  </si>
  <si>
    <t>GPP4</t>
  </si>
  <si>
    <t>MW2P</t>
  </si>
  <si>
    <t>Maintenance Worker II (Parks)</t>
  </si>
  <si>
    <t>100-63-635-50102</t>
  </si>
  <si>
    <t>S1H001725</t>
  </si>
  <si>
    <t>RT</t>
  </si>
  <si>
    <t>S1H001750</t>
  </si>
  <si>
    <t>S1H001942</t>
  </si>
  <si>
    <t>S1H002165</t>
  </si>
  <si>
    <t>RGCM</t>
  </si>
  <si>
    <t>100-30-303-50101</t>
  </si>
  <si>
    <t>S1H002250</t>
  </si>
  <si>
    <t>AAPD</t>
  </si>
  <si>
    <t>Administrative Assistant II - Police Departme</t>
  </si>
  <si>
    <t>S1H002311</t>
  </si>
  <si>
    <t>KPRCS3</t>
  </si>
  <si>
    <t>9102</t>
  </si>
  <si>
    <t>125-65-654-50110</t>
  </si>
  <si>
    <t>S1H002314</t>
  </si>
  <si>
    <t>LSM</t>
  </si>
  <si>
    <t>100-60-601-50101</t>
  </si>
  <si>
    <t>S1H002450</t>
  </si>
  <si>
    <t>S1H002486</t>
  </si>
  <si>
    <t>S1H002507</t>
  </si>
  <si>
    <t>CLWM</t>
  </si>
  <si>
    <t>S1H002510</t>
  </si>
  <si>
    <t>AAPW</t>
  </si>
  <si>
    <t>S1H002516</t>
  </si>
  <si>
    <t>SRT</t>
  </si>
  <si>
    <t>5506</t>
  </si>
  <si>
    <t>S1H002526</t>
  </si>
  <si>
    <t>ADF</t>
  </si>
  <si>
    <t>100-13-131-50101</t>
  </si>
  <si>
    <t>S1H002530</t>
  </si>
  <si>
    <t>GPPSE1</t>
  </si>
  <si>
    <t>DFC</t>
  </si>
  <si>
    <t>100-35-351-50101</t>
  </si>
  <si>
    <t>S1H002531</t>
  </si>
  <si>
    <t>S1H002556</t>
  </si>
  <si>
    <t>SAIT</t>
  </si>
  <si>
    <t>S1H002570</t>
  </si>
  <si>
    <t>AAA</t>
  </si>
  <si>
    <t>Administrative Assistant II - Administration</t>
  </si>
  <si>
    <t>100-10-101-50102</t>
  </si>
  <si>
    <t>S1H002647</t>
  </si>
  <si>
    <t>FTP</t>
  </si>
  <si>
    <t>S1H002734</t>
  </si>
  <si>
    <t>FPSN6</t>
  </si>
  <si>
    <t>BATCH</t>
  </si>
  <si>
    <t>100-10-101-50101</t>
  </si>
  <si>
    <t>S1H002771</t>
  </si>
  <si>
    <t>100-20-201-50101</t>
  </si>
  <si>
    <t>GPP9</t>
  </si>
  <si>
    <t>S1H002835</t>
  </si>
  <si>
    <t>GISM</t>
  </si>
  <si>
    <t>119-18-183-50101</t>
  </si>
  <si>
    <t>S1H002941</t>
  </si>
  <si>
    <t>S1H002948</t>
  </si>
  <si>
    <t>SCADA</t>
  </si>
  <si>
    <t>S1H002954</t>
  </si>
  <si>
    <t>CEA</t>
  </si>
  <si>
    <t>100-20-208-50101</t>
  </si>
  <si>
    <t>S1H003275</t>
  </si>
  <si>
    <t>S1H003323</t>
  </si>
  <si>
    <t>S1H003335</t>
  </si>
  <si>
    <t>FPSN7</t>
  </si>
  <si>
    <t>FTO</t>
  </si>
  <si>
    <t>100-35-351-50102</t>
  </si>
  <si>
    <t>S1H003337</t>
  </si>
  <si>
    <t>S1H003346</t>
  </si>
  <si>
    <t>S1H003349</t>
  </si>
  <si>
    <t>CLP</t>
  </si>
  <si>
    <t>S1H003395</t>
  </si>
  <si>
    <t>200-70-701-50101</t>
  </si>
  <si>
    <t>S1H003430</t>
  </si>
  <si>
    <t>S1H003505</t>
  </si>
  <si>
    <t>S1H003528</t>
  </si>
  <si>
    <t>GPP5</t>
  </si>
  <si>
    <t>HEQO</t>
  </si>
  <si>
    <t>400-81-815-50102</t>
  </si>
  <si>
    <t>S1H003573</t>
  </si>
  <si>
    <t>PCPT</t>
  </si>
  <si>
    <t>100-60-601-50102</t>
  </si>
  <si>
    <t>FTUB</t>
  </si>
  <si>
    <t>S1H003631</t>
  </si>
  <si>
    <t>SSM</t>
  </si>
  <si>
    <t>S1H003638</t>
  </si>
  <si>
    <t>S1H003646</t>
  </si>
  <si>
    <t>PPPN1</t>
  </si>
  <si>
    <t>DOJ</t>
  </si>
  <si>
    <t>S1H003653</t>
  </si>
  <si>
    <t>PSUKSAC</t>
  </si>
  <si>
    <t>Program Manager - KSAC</t>
  </si>
  <si>
    <t>S1H003731</t>
  </si>
  <si>
    <t>GPP1</t>
  </si>
  <si>
    <t>RSPR</t>
  </si>
  <si>
    <t>Recreation Supervisor - Parks/Recreation</t>
  </si>
  <si>
    <t>100-63-633-50101</t>
  </si>
  <si>
    <t>S1H004085</t>
  </si>
  <si>
    <t>CLSD</t>
  </si>
  <si>
    <t>S1H004097</t>
  </si>
  <si>
    <t>TCT</t>
  </si>
  <si>
    <t>100-50-503-50102</t>
  </si>
  <si>
    <t>S1H004115</t>
  </si>
  <si>
    <t>GPPE2</t>
  </si>
  <si>
    <t>TLCS</t>
  </si>
  <si>
    <t>100-63-631-50101</t>
  </si>
  <si>
    <t>S1H004120</t>
  </si>
  <si>
    <t>UBM</t>
  </si>
  <si>
    <t>200-71-711-50101</t>
  </si>
  <si>
    <t>S1H004151</t>
  </si>
  <si>
    <t>S1H004169</t>
  </si>
  <si>
    <t>PPCRP</t>
  </si>
  <si>
    <t>PSO2</t>
  </si>
  <si>
    <t>S1H004246</t>
  </si>
  <si>
    <t>WPO</t>
  </si>
  <si>
    <t>S1H004305</t>
  </si>
  <si>
    <t>S1H004315</t>
  </si>
  <si>
    <t>S1H004328</t>
  </si>
  <si>
    <t>S1H004407</t>
  </si>
  <si>
    <t>ACCT</t>
  </si>
  <si>
    <t>S1H004461</t>
  </si>
  <si>
    <t>S1H004476</t>
  </si>
  <si>
    <t>S1H004499</t>
  </si>
  <si>
    <t>100-50-502-50102</t>
  </si>
  <si>
    <t>S1H004526</t>
  </si>
  <si>
    <t>S1H004530</t>
  </si>
  <si>
    <t>AAL</t>
  </si>
  <si>
    <t>Administrative Assistant II - Library</t>
  </si>
  <si>
    <t>S1H004551</t>
  </si>
  <si>
    <t>S1H004562</t>
  </si>
  <si>
    <t>S1H004617</t>
  </si>
  <si>
    <t>S1H004626</t>
  </si>
  <si>
    <t>LC</t>
  </si>
  <si>
    <t>200-77-772-50102</t>
  </si>
  <si>
    <t>S1H004635</t>
  </si>
  <si>
    <t>S1H004646</t>
  </si>
  <si>
    <t>S1H004649</t>
  </si>
  <si>
    <t>S1H004674</t>
  </si>
  <si>
    <t>S1H004679</t>
  </si>
  <si>
    <t>S1H004693</t>
  </si>
  <si>
    <t>S1H004705</t>
  </si>
  <si>
    <t>S1H004712</t>
  </si>
  <si>
    <t>S1H004714</t>
  </si>
  <si>
    <t>100-17-171-50101</t>
  </si>
  <si>
    <t>S1H004816</t>
  </si>
  <si>
    <t>TLAS</t>
  </si>
  <si>
    <t>S1H004883</t>
  </si>
  <si>
    <t>S1H005039</t>
  </si>
  <si>
    <t>CPEM</t>
  </si>
  <si>
    <t>100-10-104-50101</t>
  </si>
  <si>
    <t>S1H005062</t>
  </si>
  <si>
    <t>S1H005230</t>
  </si>
  <si>
    <t>S1H005263</t>
  </si>
  <si>
    <t>S1H005454</t>
  </si>
  <si>
    <t>S1H005473</t>
  </si>
  <si>
    <t>S1H005680</t>
  </si>
  <si>
    <t>S1H005745</t>
  </si>
  <si>
    <t>FM</t>
  </si>
  <si>
    <t>S1H005748</t>
  </si>
  <si>
    <t>S1H005760</t>
  </si>
  <si>
    <t>S1H005761</t>
  </si>
  <si>
    <t>DIT</t>
  </si>
  <si>
    <t>S1H005770</t>
  </si>
  <si>
    <t>PSCI</t>
  </si>
  <si>
    <t>S1H005788</t>
  </si>
  <si>
    <t>S1H006100</t>
  </si>
  <si>
    <t>S1H006453</t>
  </si>
  <si>
    <t>S1H008028</t>
  </si>
  <si>
    <t>S1H008049</t>
  </si>
  <si>
    <t>S1H008051</t>
  </si>
  <si>
    <t>WPS</t>
  </si>
  <si>
    <t>S1H008065</t>
  </si>
  <si>
    <t>CLPI</t>
  </si>
  <si>
    <t>S1H008152</t>
  </si>
  <si>
    <t>AQSUP</t>
  </si>
  <si>
    <t>125-65-652-50101</t>
  </si>
  <si>
    <t>KPPCS5</t>
  </si>
  <si>
    <t>CCA</t>
  </si>
  <si>
    <t>Child Care Attendant</t>
  </si>
  <si>
    <t>S1H008276</t>
  </si>
  <si>
    <t>S1H008280</t>
  </si>
  <si>
    <t>CSR2</t>
  </si>
  <si>
    <t>S1H008340</t>
  </si>
  <si>
    <t>125-65-656-50110</t>
  </si>
  <si>
    <t>S1H008998</t>
  </si>
  <si>
    <t>SA</t>
  </si>
  <si>
    <t>S1H009002</t>
  </si>
  <si>
    <t>S1H009005</t>
  </si>
  <si>
    <t>S1H009008</t>
  </si>
  <si>
    <t>BO</t>
  </si>
  <si>
    <t>100-20-204-50101</t>
  </si>
  <si>
    <t>S1H009009</t>
  </si>
  <si>
    <t>S1H009013</t>
  </si>
  <si>
    <t>S1H009017</t>
  </si>
  <si>
    <t>UBA</t>
  </si>
  <si>
    <t>S1H009019</t>
  </si>
  <si>
    <t>S1H009020</t>
  </si>
  <si>
    <t>FI</t>
  </si>
  <si>
    <t>S1H009022</t>
  </si>
  <si>
    <t>S1H009029</t>
  </si>
  <si>
    <t>S1H009030</t>
  </si>
  <si>
    <t>S1H009031</t>
  </si>
  <si>
    <t>S1H009032</t>
  </si>
  <si>
    <t>MWWM</t>
  </si>
  <si>
    <t>Maintenance Worker I - (W &amp; WW)</t>
  </si>
  <si>
    <t>S1H009033</t>
  </si>
  <si>
    <t>BOPS</t>
  </si>
  <si>
    <t>125-65-655-50101</t>
  </si>
  <si>
    <t>S1H009046</t>
  </si>
  <si>
    <t>S1H009052</t>
  </si>
  <si>
    <t>S1H009059</t>
  </si>
  <si>
    <t>FFE</t>
  </si>
  <si>
    <t>S1H009069</t>
  </si>
  <si>
    <t>LIBR</t>
  </si>
  <si>
    <t>S1H009075</t>
  </si>
  <si>
    <t>ACO2</t>
  </si>
  <si>
    <t>Animal Control Officer Lead</t>
  </si>
  <si>
    <t>8831</t>
  </si>
  <si>
    <t>100-30-304-50102</t>
  </si>
  <si>
    <t>S1H009076</t>
  </si>
  <si>
    <t>S1H009082</t>
  </si>
  <si>
    <t>GIST</t>
  </si>
  <si>
    <t>119-18-183-50102</t>
  </si>
  <si>
    <t>S1H009083</t>
  </si>
  <si>
    <t>S1H009087</t>
  </si>
  <si>
    <t>S1H009088</t>
  </si>
  <si>
    <t>S1H009091</t>
  </si>
  <si>
    <t>ASM</t>
  </si>
  <si>
    <t>S1H009094</t>
  </si>
  <si>
    <t>LBC2</t>
  </si>
  <si>
    <t>S1H009096</t>
  </si>
  <si>
    <t>S1H009111</t>
  </si>
  <si>
    <t>S1H009113</t>
  </si>
  <si>
    <t>CSR1</t>
  </si>
  <si>
    <t>S1H009121</t>
  </si>
  <si>
    <t>S1H009137</t>
  </si>
  <si>
    <t>S1H009171</t>
  </si>
  <si>
    <t>LIBY</t>
  </si>
  <si>
    <t>S1H009172</t>
  </si>
  <si>
    <t>S1H009209</t>
  </si>
  <si>
    <t>S1H009216</t>
  </si>
  <si>
    <t>S1H009222</t>
  </si>
  <si>
    <t>EDS</t>
  </si>
  <si>
    <t>100-14-141-50101</t>
  </si>
  <si>
    <t>PPPN4</t>
  </si>
  <si>
    <t>RHFM</t>
  </si>
  <si>
    <t>Regional Holding Facility Manager</t>
  </si>
  <si>
    <t>S1H009247</t>
  </si>
  <si>
    <t>CPM</t>
  </si>
  <si>
    <t>S1H009249</t>
  </si>
  <si>
    <t>S1H009256</t>
  </si>
  <si>
    <t>S1H009259</t>
  </si>
  <si>
    <t>S1H009272</t>
  </si>
  <si>
    <t>KPPCS4</t>
  </si>
  <si>
    <t>HLG</t>
  </si>
  <si>
    <t>125-65-652-50110</t>
  </si>
  <si>
    <t>S1H009281</t>
  </si>
  <si>
    <t>GPPSE2</t>
  </si>
  <si>
    <t>PC</t>
  </si>
  <si>
    <t>S1H009289</t>
  </si>
  <si>
    <t>S1H009304</t>
  </si>
  <si>
    <t>S1H009336</t>
  </si>
  <si>
    <t>S1H009346</t>
  </si>
  <si>
    <t>S1H009366</t>
  </si>
  <si>
    <t>MWWM2</t>
  </si>
  <si>
    <t>Maintenance Worker II - (W &amp; WW)</t>
  </si>
  <si>
    <t>S1H009389</t>
  </si>
  <si>
    <t>S1H009395</t>
  </si>
  <si>
    <t>S1H009405</t>
  </si>
  <si>
    <t>KPRCS2</t>
  </si>
  <si>
    <t>LIFGP</t>
  </si>
  <si>
    <t>S1H009411</t>
  </si>
  <si>
    <t>S1H009413</t>
  </si>
  <si>
    <t>S1H009417</t>
  </si>
  <si>
    <t>PT</t>
  </si>
  <si>
    <t>100-20-204-50102</t>
  </si>
  <si>
    <t>S1H009449</t>
  </si>
  <si>
    <t>RSTKP</t>
  </si>
  <si>
    <t>Recreation Supervisor - TKP</t>
  </si>
  <si>
    <t>125-65-654-50101</t>
  </si>
  <si>
    <t>S1H009455</t>
  </si>
  <si>
    <t>S1H009457</t>
  </si>
  <si>
    <t>Regional Communications Shift Supervisor</t>
  </si>
  <si>
    <t>S1H009462</t>
  </si>
  <si>
    <t>S1H009466</t>
  </si>
  <si>
    <t>S1H009470</t>
  </si>
  <si>
    <t>100-17-171-50110</t>
  </si>
  <si>
    <t>S1H009482</t>
  </si>
  <si>
    <t>S1H009483</t>
  </si>
  <si>
    <t>S1H009496</t>
  </si>
  <si>
    <t>S1H009503</t>
  </si>
  <si>
    <t>S1H009512</t>
  </si>
  <si>
    <t>KPRCS1</t>
  </si>
  <si>
    <t>RCATP</t>
  </si>
  <si>
    <t>S1H009519</t>
  </si>
  <si>
    <t>ACO</t>
  </si>
  <si>
    <t>S1H009538</t>
  </si>
  <si>
    <t>S1H009542</t>
  </si>
  <si>
    <t>S1H009553</t>
  </si>
  <si>
    <t>S1H009585</t>
  </si>
  <si>
    <t>S1H009594</t>
  </si>
  <si>
    <t>UBR1</t>
  </si>
  <si>
    <t>200-71-711-50102</t>
  </si>
  <si>
    <t>S1H009595</t>
  </si>
  <si>
    <t>PCKSAC</t>
  </si>
  <si>
    <t>100-63-634-50102</t>
  </si>
  <si>
    <t>S1H009598</t>
  </si>
  <si>
    <t>S1H009603</t>
  </si>
  <si>
    <t>S1H009612</t>
  </si>
  <si>
    <t>S1H009616</t>
  </si>
  <si>
    <t>S1H009620</t>
  </si>
  <si>
    <t>S1H009624</t>
  </si>
  <si>
    <t>S1H009628</t>
  </si>
  <si>
    <t>S1H009629</t>
  </si>
  <si>
    <t>LT</t>
  </si>
  <si>
    <t>S1H009634</t>
  </si>
  <si>
    <t>S1H009636</t>
  </si>
  <si>
    <t>S1H009641</t>
  </si>
  <si>
    <t>S1H009651</t>
  </si>
  <si>
    <t>S1H009653</t>
  </si>
  <si>
    <t>S1H009661</t>
  </si>
  <si>
    <t>S1H009662</t>
  </si>
  <si>
    <t>DHR</t>
  </si>
  <si>
    <t>S1H009663</t>
  </si>
  <si>
    <t>S1H009664</t>
  </si>
  <si>
    <t>100-63-631-50102</t>
  </si>
  <si>
    <t>S1H009675</t>
  </si>
  <si>
    <t>S1H009677</t>
  </si>
  <si>
    <t>S1H009678</t>
  </si>
  <si>
    <t>S1H009681</t>
  </si>
  <si>
    <t>LTPT</t>
  </si>
  <si>
    <t>S1H009682</t>
  </si>
  <si>
    <t>PLN</t>
  </si>
  <si>
    <t>S1H009683</t>
  </si>
  <si>
    <t>CSS</t>
  </si>
  <si>
    <t>125-65-656-50101</t>
  </si>
  <si>
    <t>S1H009688</t>
  </si>
  <si>
    <t>MSTKP</t>
  </si>
  <si>
    <t>S1H009690</t>
  </si>
  <si>
    <t>S1H009693</t>
  </si>
  <si>
    <t>ACCTTKP</t>
  </si>
  <si>
    <t>S1H009695</t>
  </si>
  <si>
    <t>S1H009696</t>
  </si>
  <si>
    <t>S1H009698</t>
  </si>
  <si>
    <t>S1H009699</t>
  </si>
  <si>
    <t>MW1P</t>
  </si>
  <si>
    <t>Maintenance Worker I (Parks)</t>
  </si>
  <si>
    <t>S1H009701</t>
  </si>
  <si>
    <t>HRES</t>
  </si>
  <si>
    <t>S1H009704</t>
  </si>
  <si>
    <t>S1H009706</t>
  </si>
  <si>
    <t>S1H009708</t>
  </si>
  <si>
    <t>S1H009709</t>
  </si>
  <si>
    <t>S1H009710</t>
  </si>
  <si>
    <t>PWT</t>
  </si>
  <si>
    <t>S1H009715</t>
  </si>
  <si>
    <t>S1H009722</t>
  </si>
  <si>
    <t>S1H009723</t>
  </si>
  <si>
    <t>S1H009725</t>
  </si>
  <si>
    <t>100-13-131-50102</t>
  </si>
  <si>
    <t>S1H009729</t>
  </si>
  <si>
    <t>DPW</t>
  </si>
  <si>
    <t>100-50-501-50101</t>
  </si>
  <si>
    <t>S1H009730</t>
  </si>
  <si>
    <t>S1H009733</t>
  </si>
  <si>
    <t>S1H009737</t>
  </si>
  <si>
    <t>S1H009756</t>
  </si>
  <si>
    <t>RSP</t>
  </si>
  <si>
    <t>S1H009758</t>
  </si>
  <si>
    <t>S1H009759</t>
  </si>
  <si>
    <t>S1H009764</t>
  </si>
  <si>
    <t>S1H009767</t>
  </si>
  <si>
    <t>S1H009771</t>
  </si>
  <si>
    <t>S1H009772</t>
  </si>
  <si>
    <t>S1H009776</t>
  </si>
  <si>
    <t>S1H009778</t>
  </si>
  <si>
    <t>S1H009803</t>
  </si>
  <si>
    <t>S1H009804</t>
  </si>
  <si>
    <t>S1H009805</t>
  </si>
  <si>
    <t>S1H009806</t>
  </si>
  <si>
    <t>S1H009833</t>
  </si>
  <si>
    <t>DED</t>
  </si>
  <si>
    <t>S1H009850</t>
  </si>
  <si>
    <t>S1H009861</t>
  </si>
  <si>
    <t>ENVS</t>
  </si>
  <si>
    <t>Environmental Specialist</t>
  </si>
  <si>
    <t>S1H009869</t>
  </si>
  <si>
    <t>S1H009873</t>
  </si>
  <si>
    <t>S1H009875</t>
  </si>
  <si>
    <t>AACD</t>
  </si>
  <si>
    <t>Administrative Assistant II- Community Develo</t>
  </si>
  <si>
    <t>S1H009876</t>
  </si>
  <si>
    <t>MA</t>
  </si>
  <si>
    <t>Management Analyst</t>
  </si>
  <si>
    <t>S1H009893</t>
  </si>
  <si>
    <t>S1H009897</t>
  </si>
  <si>
    <t>S1H009899</t>
  </si>
  <si>
    <t>S1H009901</t>
  </si>
  <si>
    <t>S1H009906</t>
  </si>
  <si>
    <t>S1H009907</t>
  </si>
  <si>
    <t>S1H009914</t>
  </si>
  <si>
    <t>S1H009919</t>
  </si>
  <si>
    <t>S1H009920</t>
  </si>
  <si>
    <t>S1H009922</t>
  </si>
  <si>
    <t>S1H009926</t>
  </si>
  <si>
    <t>S1H009928</t>
  </si>
  <si>
    <t>S1H009929</t>
  </si>
  <si>
    <t>S1H009932</t>
  </si>
  <si>
    <t>S1H009933</t>
  </si>
  <si>
    <t>S1H009937</t>
  </si>
  <si>
    <t>S1H009938</t>
  </si>
  <si>
    <t>PE</t>
  </si>
  <si>
    <t>100-20-201-50102</t>
  </si>
  <si>
    <t>S1H009939</t>
  </si>
  <si>
    <t>S1H009941</t>
  </si>
  <si>
    <t>S1H009942</t>
  </si>
  <si>
    <t>AQS</t>
  </si>
  <si>
    <t>S1H009944</t>
  </si>
  <si>
    <t>S1H009945</t>
  </si>
  <si>
    <t>S1H009947</t>
  </si>
  <si>
    <t>FC</t>
  </si>
  <si>
    <t>S1H009950</t>
  </si>
  <si>
    <t>BMT</t>
  </si>
  <si>
    <t>S1H009952</t>
  </si>
  <si>
    <t>CSA</t>
  </si>
  <si>
    <t>Customer Service Assistant</t>
  </si>
  <si>
    <t>S1H009957</t>
  </si>
  <si>
    <t>S1H009958</t>
  </si>
  <si>
    <t>CSTKSAC</t>
  </si>
  <si>
    <t>Customer Service Technician - KSAC</t>
  </si>
  <si>
    <t>100-63-634-50110</t>
  </si>
  <si>
    <t>S1H009961</t>
  </si>
  <si>
    <t>S1H009962</t>
  </si>
  <si>
    <t>S1H009963</t>
  </si>
  <si>
    <t>S1H009969</t>
  </si>
  <si>
    <t>S1H009971</t>
  </si>
  <si>
    <t>S1H009972</t>
  </si>
  <si>
    <t>S1H009973</t>
  </si>
  <si>
    <t>S1H009974</t>
  </si>
  <si>
    <t>S1H009975</t>
  </si>
  <si>
    <t>S1H009976</t>
  </si>
  <si>
    <t>AAPR</t>
  </si>
  <si>
    <t>Administrative Assistant II - Parks &amp; Recreat</t>
  </si>
  <si>
    <t>S1H009978</t>
  </si>
  <si>
    <t>S1H009981</t>
  </si>
  <si>
    <t>MWSD</t>
  </si>
  <si>
    <t>S1H009989</t>
  </si>
  <si>
    <t>S1H009994</t>
  </si>
  <si>
    <t>S1H009998</t>
  </si>
  <si>
    <t>ACS</t>
  </si>
  <si>
    <t>S1H010000</t>
  </si>
  <si>
    <t>S1H010002</t>
  </si>
  <si>
    <t>S1H010008</t>
  </si>
  <si>
    <t>S1H010018</t>
  </si>
  <si>
    <t>S1H010027</t>
  </si>
  <si>
    <t>S1H010043</t>
  </si>
  <si>
    <t>S1H010049</t>
  </si>
  <si>
    <t>S1H010052</t>
  </si>
  <si>
    <t>S1H010053</t>
  </si>
  <si>
    <t>S1H010058</t>
  </si>
  <si>
    <t>S1H010061</t>
  </si>
  <si>
    <t>S1H010062</t>
  </si>
  <si>
    <t>S1H010065</t>
  </si>
  <si>
    <t>S1H010146</t>
  </si>
  <si>
    <t>S1H100012</t>
  </si>
  <si>
    <t>S1H100016</t>
  </si>
  <si>
    <t>S1H100018</t>
  </si>
  <si>
    <t>S1H100034</t>
  </si>
  <si>
    <t>S1H100040</t>
  </si>
  <si>
    <t>FP</t>
  </si>
  <si>
    <t>S1H0v003</t>
  </si>
  <si>
    <t>S1H0v004</t>
  </si>
  <si>
    <t>S1H0v021</t>
  </si>
  <si>
    <t>S1H0v024</t>
  </si>
  <si>
    <t>S1H0v026</t>
  </si>
  <si>
    <t>S1H0v027</t>
  </si>
  <si>
    <t>S1H0v033</t>
  </si>
  <si>
    <t>S1H0v007</t>
  </si>
  <si>
    <t>S1H0AQ-PT</t>
  </si>
  <si>
    <t>S1H0AQ-S</t>
  </si>
  <si>
    <t>S1H0RC-PT</t>
  </si>
  <si>
    <t>S1H0RC-S</t>
  </si>
  <si>
    <t>S1H0FC-PT</t>
  </si>
  <si>
    <t>S1H0CS-PT</t>
  </si>
  <si>
    <t>S1H0CS-S</t>
  </si>
  <si>
    <t>S1H0v031</t>
  </si>
  <si>
    <t>S1H0v016</t>
  </si>
  <si>
    <t>S1H0v029</t>
  </si>
  <si>
    <t>S1H0v018</t>
  </si>
  <si>
    <t>Legal Full Name</t>
  </si>
  <si>
    <t>COMPANY CODE</t>
  </si>
  <si>
    <t>POSITION ID</t>
  </si>
  <si>
    <t>HIRE DATE</t>
  </si>
  <si>
    <t>DATE OF BIRTH</t>
  </si>
  <si>
    <t>HOME DEPARTMENT</t>
  </si>
  <si>
    <t>ELIGIBILITY CLASS</t>
  </si>
  <si>
    <t>PLAN NAME</t>
  </si>
  <si>
    <t>ELIGIBILITY GROUP</t>
  </si>
  <si>
    <t>COVERAGE LEVEL VALUE</t>
  </si>
  <si>
    <t>COVERAGE LEVEL AMOUNT</t>
  </si>
  <si>
    <t>S1H</t>
  </si>
  <si>
    <t>000063 - PARKS &amp; RECREATION</t>
  </si>
  <si>
    <t>FTBE - FT Benefits Eligible</t>
  </si>
  <si>
    <t>000060 - LIBRARY DEPARTMENT</t>
  </si>
  <si>
    <t>000030 - POLICE DEPARTMENT</t>
  </si>
  <si>
    <t>000077 - MUNICIPAL SERVICE CENTER</t>
  </si>
  <si>
    <t>000065 - THE KELLER POINTE</t>
  </si>
  <si>
    <t>000073 - WATER UTILITIES</t>
  </si>
  <si>
    <t>000010 - ADMINISTRATION</t>
  </si>
  <si>
    <t>000050 - PUBLIC WORKS DEPARTMENT</t>
  </si>
  <si>
    <t>11/02/2022</t>
  </si>
  <si>
    <t>000035 - FIRE DEPARTMENT</t>
  </si>
  <si>
    <t>06/22/2022</t>
  </si>
  <si>
    <t>000011 - TOWN HALL OPERATIONS</t>
  </si>
  <si>
    <t>10/01/2022</t>
  </si>
  <si>
    <t>08/08/2022</t>
  </si>
  <si>
    <t>Medical HDHP</t>
  </si>
  <si>
    <t>Eligible Employees</t>
  </si>
  <si>
    <t>000020 - COMMUNITY DEVELOPMENT</t>
  </si>
  <si>
    <t>000070 - WATER &amp; W/W ADMINISTRATIO</t>
  </si>
  <si>
    <t>02/20/2023</t>
  </si>
  <si>
    <t>08/02/2022</t>
  </si>
  <si>
    <t>07/11/2022</t>
  </si>
  <si>
    <t>02/02/2023</t>
  </si>
  <si>
    <t>000013 - FINANCE ADMINISTRATION</t>
  </si>
  <si>
    <t>000071 - CUSTOMER SERVICES</t>
  </si>
  <si>
    <t>01/16/2023</t>
  </si>
  <si>
    <t>08/15/2022</t>
  </si>
  <si>
    <t>000017 - HUMAN RESOURCES</t>
  </si>
  <si>
    <t>02/06/2023</t>
  </si>
  <si>
    <t>000075 - WASTERWATER UTILITIES</t>
  </si>
  <si>
    <t>000018 - INFORMATION TECHNOLOGY</t>
  </si>
  <si>
    <t>Dental Plan</t>
  </si>
  <si>
    <t>Employee + Family</t>
  </si>
  <si>
    <t>000081 - DRAINAGE MAINTENANCE</t>
  </si>
  <si>
    <t>10/10/2022</t>
  </si>
  <si>
    <t>000014 - ECONOMIC DEVELOPMENT</t>
  </si>
  <si>
    <t>11/15/2022</t>
  </si>
  <si>
    <t>03/15/2023</t>
  </si>
  <si>
    <t>10/11/2022</t>
  </si>
  <si>
    <t>06/20/2022</t>
  </si>
  <si>
    <t>Employee + Children</t>
  </si>
  <si>
    <t>10/18/2022</t>
  </si>
  <si>
    <t>Cushion Rate</t>
  </si>
  <si>
    <t>Group Name</t>
  </si>
  <si>
    <t>Group #</t>
  </si>
  <si>
    <t xml:space="preserve"> Bldg Inspection; Cads; Analysis</t>
  </si>
  <si>
    <t xml:space="preserve"> Streets / Roads</t>
  </si>
  <si>
    <t xml:space="preserve"> Waterworks</t>
  </si>
  <si>
    <t xml:space="preserve"> Firefighters</t>
  </si>
  <si>
    <t xml:space="preserve"> Law Enforcement</t>
  </si>
  <si>
    <t xml:space="preserve"> Auto Repair</t>
  </si>
  <si>
    <t xml:space="preserve"> Engineer</t>
  </si>
  <si>
    <t xml:space="preserve"> Clerical</t>
  </si>
  <si>
    <t xml:space="preserve"> Animal Control</t>
  </si>
  <si>
    <t xml:space="preserve"> School, Library, Museum</t>
  </si>
  <si>
    <t xml:space="preserve"> Building Operations</t>
  </si>
  <si>
    <t xml:space="preserve"> Parks &amp; Recreation</t>
  </si>
  <si>
    <t>8391</t>
  </si>
  <si>
    <t>Countif</t>
  </si>
  <si>
    <t>blank</t>
  </si>
  <si>
    <t>S1H0FC-S</t>
  </si>
  <si>
    <t>S1H0v001</t>
  </si>
  <si>
    <t>S1H0v002</t>
  </si>
  <si>
    <t>S1H0v005</t>
  </si>
  <si>
    <t>S1H0v006</t>
  </si>
  <si>
    <t>S1H0v008</t>
  </si>
  <si>
    <t>S1H0v009</t>
  </si>
  <si>
    <t>S1H0v010</t>
  </si>
  <si>
    <t>S1H0v011</t>
  </si>
  <si>
    <t>S1H0v012</t>
  </si>
  <si>
    <t>S1H0v013</t>
  </si>
  <si>
    <t>S1H0v014</t>
  </si>
  <si>
    <t>S1H0v015</t>
  </si>
  <si>
    <t>S1H0v017</t>
  </si>
  <si>
    <t>S1H0v019</t>
  </si>
  <si>
    <t>S1H0v020</t>
  </si>
  <si>
    <t>S1H0v022</t>
  </si>
  <si>
    <t>S1H0v023</t>
  </si>
  <si>
    <t>S1H0v025</t>
  </si>
  <si>
    <t>S1H0v028</t>
  </si>
  <si>
    <t>S1H0v030</t>
  </si>
  <si>
    <t>S1H0v032</t>
  </si>
  <si>
    <t>Vacant</t>
  </si>
  <si>
    <t>100-14-141-50110</t>
  </si>
  <si>
    <t>Avg. H Ins</t>
  </si>
  <si>
    <t>H.S.A.</t>
  </si>
  <si>
    <t>Avg. D Ins</t>
  </si>
  <si>
    <t>S1H0v034</t>
  </si>
  <si>
    <t>Drainage Supervisor</t>
  </si>
  <si>
    <t>Wastewater Supervisor</t>
  </si>
  <si>
    <t>200-70-701-50110</t>
  </si>
  <si>
    <t>LIBRARY Director</t>
  </si>
  <si>
    <t>Summer Reading Aides</t>
  </si>
  <si>
    <t>Fund: 100 - GENERAL FUND Total:</t>
  </si>
  <si>
    <t>Fund: 112 - RECREATION SPCL REVENUE FUND Total:</t>
  </si>
  <si>
    <t>Fund: 118 - CRIME CONTROL PREVENTION DIST Total:</t>
  </si>
  <si>
    <t>Fund: 119 - INFORMATION TECHNOLOGY Total:</t>
  </si>
  <si>
    <t>125-65-655-50111-000000</t>
  </si>
  <si>
    <t>Fund: 125 - RECREATION/AQUATIC CENTER FUND Total:</t>
  </si>
  <si>
    <t>Fund: 200 - WATER &amp; W/W UTILITY FUND Total:</t>
  </si>
  <si>
    <t>Fund: 400 - DRAINAGE UTILITY FUND Total:</t>
  </si>
  <si>
    <t>Report Total:</t>
  </si>
  <si>
    <t>112-62-623</t>
  </si>
  <si>
    <t>50117</t>
  </si>
  <si>
    <t>Group Ex</t>
  </si>
  <si>
    <t>118-31-311-50101</t>
  </si>
  <si>
    <t>Cell Allow</t>
  </si>
  <si>
    <t>Firefighter/Paramedic Or Paramedic</t>
  </si>
  <si>
    <t>POLICE PAY PLAN</t>
  </si>
  <si>
    <t>DISPATCH DETENTION PAY PLAN</t>
  </si>
  <si>
    <t>FIRE PAY PLAN</t>
  </si>
  <si>
    <t>Step at 10/1</t>
  </si>
  <si>
    <t>S1H009131</t>
  </si>
  <si>
    <t>S1H010059</t>
  </si>
  <si>
    <t>S1H010060</t>
  </si>
  <si>
    <t>S1H010063</t>
  </si>
  <si>
    <t>S1H010067</t>
  </si>
  <si>
    <t>S1H010068</t>
  </si>
  <si>
    <t>S1H010069</t>
  </si>
  <si>
    <t>S1H010073</t>
  </si>
  <si>
    <t>S1H010077</t>
  </si>
  <si>
    <t>S1H010078</t>
  </si>
  <si>
    <t>S1H010080</t>
  </si>
  <si>
    <t>S1H010081</t>
  </si>
  <si>
    <t>S1H010082</t>
  </si>
  <si>
    <t>S1H010083</t>
  </si>
  <si>
    <t>S1H010085</t>
  </si>
  <si>
    <t>S1H010087</t>
  </si>
  <si>
    <t>S1H010089</t>
  </si>
  <si>
    <t>S1H010090</t>
  </si>
  <si>
    <t>S1H010093</t>
  </si>
  <si>
    <t>S1H010094</t>
  </si>
  <si>
    <t>S1H010095</t>
  </si>
  <si>
    <t>S1H010101</t>
  </si>
  <si>
    <t>S1H010102</t>
  </si>
  <si>
    <t>S1H010103</t>
  </si>
  <si>
    <t>NETCOM Manager</t>
  </si>
  <si>
    <t>LD</t>
  </si>
  <si>
    <t>Library Director</t>
  </si>
  <si>
    <t>ADPW</t>
  </si>
  <si>
    <t>Assistant Director of Public Works</t>
  </si>
  <si>
    <t>Human Resources Specialist</t>
  </si>
  <si>
    <t>PA</t>
  </si>
  <si>
    <t>Purchasing Agent</t>
  </si>
  <si>
    <t>PTECH</t>
  </si>
  <si>
    <t>MSA-KSAC</t>
  </si>
  <si>
    <t>Member Services Assistant - KSAC</t>
  </si>
  <si>
    <t>Maintenance Worker II (Streets/Storm Drainage</t>
  </si>
  <si>
    <t>Accounts Payable Technician</t>
  </si>
  <si>
    <t>Customer Services Specialist</t>
  </si>
  <si>
    <t>Out Steps for Formula &amp; Lump Payments</t>
  </si>
  <si>
    <t>100-50-501-50102</t>
  </si>
  <si>
    <t>04/01/2023</t>
  </si>
  <si>
    <t>000031 - KCCPD</t>
  </si>
  <si>
    <t>04/19/2023</t>
  </si>
  <si>
    <t>05/03/2023</t>
  </si>
  <si>
    <t>Employee + Spouse</t>
  </si>
  <si>
    <t>04/24/2023</t>
  </si>
  <si>
    <t>04/03/2023</t>
  </si>
  <si>
    <t>05/02/2023</t>
  </si>
  <si>
    <t>Employee Number</t>
  </si>
  <si>
    <t>For Reclasses</t>
  </si>
  <si>
    <t>Current Salary</t>
  </si>
  <si>
    <t>Proposed Salary</t>
  </si>
  <si>
    <t>Variance/ Additional Costs</t>
  </si>
  <si>
    <t>10/01/2021</t>
  </si>
  <si>
    <t>BlueCross BlueShield</t>
  </si>
  <si>
    <t>Medical</t>
  </si>
  <si>
    <t>Health &amp; Welfare</t>
  </si>
  <si>
    <t>N - Non-exempt</t>
  </si>
  <si>
    <t>100 - General Fund</t>
  </si>
  <si>
    <t>PD - Police Department</t>
  </si>
  <si>
    <t>Male</t>
  </si>
  <si>
    <t>10/11/XXXX</t>
  </si>
  <si>
    <t>XXX-XX-5183</t>
  </si>
  <si>
    <t>200 - Water &amp; W/W Utility</t>
  </si>
  <si>
    <t>MSC - Municipal Service Center</t>
  </si>
  <si>
    <t>12/12/XXXX</t>
  </si>
  <si>
    <t>XXX-XX-2472</t>
  </si>
  <si>
    <t>Female</t>
  </si>
  <si>
    <t>09/13/XXXX</t>
  </si>
  <si>
    <t>XXX-XX-5726</t>
  </si>
  <si>
    <t>05/01/2023</t>
  </si>
  <si>
    <t>FD - Fire Department</t>
  </si>
  <si>
    <t>06/19/XXXX</t>
  </si>
  <si>
    <t>XXX-XX-5563</t>
  </si>
  <si>
    <t>06/29/XXXX</t>
  </si>
  <si>
    <t>XXX-XX-7712</t>
  </si>
  <si>
    <t>11/13/XXXX</t>
  </si>
  <si>
    <t>XXX-XX-0595</t>
  </si>
  <si>
    <t>E - Exempt</t>
  </si>
  <si>
    <t>THALL - Town Hall</t>
  </si>
  <si>
    <t>01/03/XXXX</t>
  </si>
  <si>
    <t>XXX-XX-5490</t>
  </si>
  <si>
    <t>12/20/XXXX</t>
  </si>
  <si>
    <t>XXX-XX-1901</t>
  </si>
  <si>
    <t>03/08/XXXX</t>
  </si>
  <si>
    <t>XXX-XX-1055</t>
  </si>
  <si>
    <t>XXX-XX-2513</t>
  </si>
  <si>
    <t>12/27/XXXX</t>
  </si>
  <si>
    <t>XXX-XX-1763</t>
  </si>
  <si>
    <t>05/01/2022</t>
  </si>
  <si>
    <t>06/28/XXXX</t>
  </si>
  <si>
    <t>XXX-XX-9023</t>
  </si>
  <si>
    <t>MGR - Managers and Directors</t>
  </si>
  <si>
    <t>06/24/XXXX</t>
  </si>
  <si>
    <t>XXX-XX-8642</t>
  </si>
  <si>
    <t>119 - Information Technology</t>
  </si>
  <si>
    <t>11/22/XXXX</t>
  </si>
  <si>
    <t>XXX-XX-3341</t>
  </si>
  <si>
    <t>125 - Recration/Aquatic Center</t>
  </si>
  <si>
    <t>TKP - The Keller Pointe</t>
  </si>
  <si>
    <t>05/29/XXXX</t>
  </si>
  <si>
    <t>XXX-XX-0084</t>
  </si>
  <si>
    <t>400 - Drainage Utility</t>
  </si>
  <si>
    <t>08/25/XXXX</t>
  </si>
  <si>
    <t>XXX-XX-4786</t>
  </si>
  <si>
    <t>LIB - Library</t>
  </si>
  <si>
    <t>07/25/XXXX</t>
  </si>
  <si>
    <t>XXX-XX-7070</t>
  </si>
  <si>
    <t>01/29/XXXX</t>
  </si>
  <si>
    <t>XXX-XX-8131</t>
  </si>
  <si>
    <t>07/16/XXXX</t>
  </si>
  <si>
    <t>XXX-XX-7735</t>
  </si>
  <si>
    <t>10/24/XXXX</t>
  </si>
  <si>
    <t>XXX-XX-7704</t>
  </si>
  <si>
    <t>08/14/XXXX</t>
  </si>
  <si>
    <t>XXX-XX-0952</t>
  </si>
  <si>
    <t>07/21/XXXX</t>
  </si>
  <si>
    <t>XXX-XX-8974</t>
  </si>
  <si>
    <t>07/28/XXXX</t>
  </si>
  <si>
    <t>XXX-XX-0055</t>
  </si>
  <si>
    <t>12/06/XXXX</t>
  </si>
  <si>
    <t>XXX-XX-2558</t>
  </si>
  <si>
    <t>04/09/XXXX</t>
  </si>
  <si>
    <t>XXX-XX-6063</t>
  </si>
  <si>
    <t>02/27/XXXX</t>
  </si>
  <si>
    <t>XXX-XX-4522</t>
  </si>
  <si>
    <t>03/01/2023</t>
  </si>
  <si>
    <t>01/28/XXXX</t>
  </si>
  <si>
    <t>XXX-XX-9642</t>
  </si>
  <si>
    <t>08/22/XXXX</t>
  </si>
  <si>
    <t>XXX-XX-9689</t>
  </si>
  <si>
    <t>06/01/2023</t>
  </si>
  <si>
    <t>08/09/XXXX</t>
  </si>
  <si>
    <t>XXX-XX-3866</t>
  </si>
  <si>
    <t>01/22/XXXX</t>
  </si>
  <si>
    <t>XXX-XX-6305</t>
  </si>
  <si>
    <t>10/17/XXXX</t>
  </si>
  <si>
    <t>XXX-XX-7612</t>
  </si>
  <si>
    <t>11/01/2022</t>
  </si>
  <si>
    <t>XXX-XX-6537</t>
  </si>
  <si>
    <t>07/01/2022</t>
  </si>
  <si>
    <t>02/08/XXXX</t>
  </si>
  <si>
    <t>XXX-XX-6464</t>
  </si>
  <si>
    <t>04/10/XXXX</t>
  </si>
  <si>
    <t>08/12/XXXX</t>
  </si>
  <si>
    <t>XXX-XX-7917</t>
  </si>
  <si>
    <t>03/05/XXXX</t>
  </si>
  <si>
    <t>XXX-XX-2674</t>
  </si>
  <si>
    <t>05/08/XXXX</t>
  </si>
  <si>
    <t>XXX-XX-7234</t>
  </si>
  <si>
    <t>06/22/XXXX</t>
  </si>
  <si>
    <t>XXX-XX-1128</t>
  </si>
  <si>
    <t>03/25/XXXX</t>
  </si>
  <si>
    <t>XXX-XX-8843</t>
  </si>
  <si>
    <t>09/01/2022</t>
  </si>
  <si>
    <t>04/08/XXXX</t>
  </si>
  <si>
    <t>XXX-XX-7119</t>
  </si>
  <si>
    <t>09/11/XXXX</t>
  </si>
  <si>
    <t>08/16/XXXX</t>
  </si>
  <si>
    <t>XXX-XX-2690</t>
  </si>
  <si>
    <t>12/01/2022</t>
  </si>
  <si>
    <t>05/09/XXXX</t>
  </si>
  <si>
    <t>XXX-XX-8036</t>
  </si>
  <si>
    <t>08/23/XXXX</t>
  </si>
  <si>
    <t>XXX-XX-1650</t>
  </si>
  <si>
    <t>02/22/XXXX</t>
  </si>
  <si>
    <t>XXX-XX-7181</t>
  </si>
  <si>
    <t>12/02/XXXX</t>
  </si>
  <si>
    <t>XXX-XX-7097</t>
  </si>
  <si>
    <t>09/23/XXXX</t>
  </si>
  <si>
    <t>XXX-XX-1211</t>
  </si>
  <si>
    <t>11/02/XXXX</t>
  </si>
  <si>
    <t>XXX-XX-2877</t>
  </si>
  <si>
    <t>07/24/XXXX</t>
  </si>
  <si>
    <t>XXX-XX-5384</t>
  </si>
  <si>
    <t>XXX-XX-9224</t>
  </si>
  <si>
    <t>05/02/XXXX</t>
  </si>
  <si>
    <t>XXX-XX-0252</t>
  </si>
  <si>
    <t>07/20/XXXX</t>
  </si>
  <si>
    <t>XXX-XX-0937</t>
  </si>
  <si>
    <t>11/05/XXXX</t>
  </si>
  <si>
    <t>XXX-XX-9973</t>
  </si>
  <si>
    <t>03/16/XXXX</t>
  </si>
  <si>
    <t>XXX-XX-8403</t>
  </si>
  <si>
    <t>03/24/XXXX</t>
  </si>
  <si>
    <t>XXX-XX-0081</t>
  </si>
  <si>
    <t>08/19/XXXX</t>
  </si>
  <si>
    <t>XXX-XX-3262</t>
  </si>
  <si>
    <t>08/13/XXXX</t>
  </si>
  <si>
    <t>XXX-XX-4108</t>
  </si>
  <si>
    <t>XXX-XX-8232</t>
  </si>
  <si>
    <t>03/20/XXXX</t>
  </si>
  <si>
    <t>XXX-XX-8962</t>
  </si>
  <si>
    <t>06/03/XXXX</t>
  </si>
  <si>
    <t>XXX-XX-6283</t>
  </si>
  <si>
    <t>09/30/XXXX</t>
  </si>
  <si>
    <t>XXX-XX-2958</t>
  </si>
  <si>
    <t>11/23/XXXX</t>
  </si>
  <si>
    <t>XXX-XX-2595</t>
  </si>
  <si>
    <t>07/12/XXXX</t>
  </si>
  <si>
    <t>XXX-XX-8203</t>
  </si>
  <si>
    <t>10/01/XXXX</t>
  </si>
  <si>
    <t>XXX-XX-2545</t>
  </si>
  <si>
    <t>03/10/XXXX</t>
  </si>
  <si>
    <t>XXX-XX-9927</t>
  </si>
  <si>
    <t>05/15/XXXX</t>
  </si>
  <si>
    <t>XXX-XX-0799</t>
  </si>
  <si>
    <t>09/04/XXXX</t>
  </si>
  <si>
    <t>XXX-XX-2938</t>
  </si>
  <si>
    <t>09/18/XXXX</t>
  </si>
  <si>
    <t>XXX-XX-7331</t>
  </si>
  <si>
    <t>XXX-XX-7391</t>
  </si>
  <si>
    <t>09/15/XXXX</t>
  </si>
  <si>
    <t>XXX-XX-8852</t>
  </si>
  <si>
    <t>01/18/XXXX</t>
  </si>
  <si>
    <t>04/14/XXXX</t>
  </si>
  <si>
    <t>XXX-XX-4386</t>
  </si>
  <si>
    <t>04/21/XXXX</t>
  </si>
  <si>
    <t>XXX-XX-6671</t>
  </si>
  <si>
    <t>01/12/XXXX</t>
  </si>
  <si>
    <t>XXX-XX-6073</t>
  </si>
  <si>
    <t>11/14/XXXX</t>
  </si>
  <si>
    <t>XXX-XX-2147</t>
  </si>
  <si>
    <t>XXX-XX-9776</t>
  </si>
  <si>
    <t>08/31/XXXX</t>
  </si>
  <si>
    <t>XXX-XX-1270</t>
  </si>
  <si>
    <t>05/24/XXXX</t>
  </si>
  <si>
    <t>XXX-XX-6003</t>
  </si>
  <si>
    <t>XXX-XX-3185</t>
  </si>
  <si>
    <t>XXX-XX-5640</t>
  </si>
  <si>
    <t>04/28/XXXX</t>
  </si>
  <si>
    <t>XXX-XX-8173</t>
  </si>
  <si>
    <t>02/25/XXXX</t>
  </si>
  <si>
    <t>XXX-XX-1059</t>
  </si>
  <si>
    <t>XXX-XX-1678</t>
  </si>
  <si>
    <t>02/17/XXXX</t>
  </si>
  <si>
    <t>XXX-XX-9717</t>
  </si>
  <si>
    <t>07/03/XXXX</t>
  </si>
  <si>
    <t>08/18/XXXX</t>
  </si>
  <si>
    <t>XXX-XX-2636</t>
  </si>
  <si>
    <t>03/15/XXXX</t>
  </si>
  <si>
    <t>XXX-XX-4307</t>
  </si>
  <si>
    <t>11/18/XXXX</t>
  </si>
  <si>
    <t>XXX-XX-1927</t>
  </si>
  <si>
    <t>06/10/XXXX</t>
  </si>
  <si>
    <t>XXX-XX-6390</t>
  </si>
  <si>
    <t>KSC - Keller Senior Activities Center</t>
  </si>
  <si>
    <t>11/09/XXXX</t>
  </si>
  <si>
    <t>XXX-XX-6531</t>
  </si>
  <si>
    <t>07/05/XXXX</t>
  </si>
  <si>
    <t>XXX-XX-3109</t>
  </si>
  <si>
    <t>XXX-XX-0397</t>
  </si>
  <si>
    <t>07/31/XXXX</t>
  </si>
  <si>
    <t>XXX-XX-1544</t>
  </si>
  <si>
    <t>01/13/XXXX</t>
  </si>
  <si>
    <t>05/01/XXXX</t>
  </si>
  <si>
    <t>XXX-XX-6384</t>
  </si>
  <si>
    <t>XXX-XX-4499</t>
  </si>
  <si>
    <t>11/04/XXXX</t>
  </si>
  <si>
    <t>XXX-XX-6738</t>
  </si>
  <si>
    <t>XXX-XX-2870</t>
  </si>
  <si>
    <t>08/01/2022</t>
  </si>
  <si>
    <t>XXX-XX-1812</t>
  </si>
  <si>
    <t>02/01/XXXX</t>
  </si>
  <si>
    <t>XXX-XX-9944</t>
  </si>
  <si>
    <t>XXX-XX-1796</t>
  </si>
  <si>
    <t>XXX-XX-6404</t>
  </si>
  <si>
    <t>04/13/XXXX</t>
  </si>
  <si>
    <t>XXX-XX-6535</t>
  </si>
  <si>
    <t>10/23/XXXX</t>
  </si>
  <si>
    <t>XXX-XX-6656</t>
  </si>
  <si>
    <t>07/26/XXXX</t>
  </si>
  <si>
    <t>XXX-XX-6807</t>
  </si>
  <si>
    <t>05/12/XXXX</t>
  </si>
  <si>
    <t>XXX-XX-8589</t>
  </si>
  <si>
    <t>10/06/XXXX</t>
  </si>
  <si>
    <t>XXX-XX-3467</t>
  </si>
  <si>
    <t>XXX-XX-8228</t>
  </si>
  <si>
    <t>04/05/XXXX</t>
  </si>
  <si>
    <t>03/18/XXXX</t>
  </si>
  <si>
    <t>XXX-XX-0061</t>
  </si>
  <si>
    <t>08/26/XXXX</t>
  </si>
  <si>
    <t>XXX-XX-4533</t>
  </si>
  <si>
    <t>XXX-XX-9184</t>
  </si>
  <si>
    <t>XXX-XX-7259</t>
  </si>
  <si>
    <t>05/26/XXXX</t>
  </si>
  <si>
    <t>XXX-XX-9039</t>
  </si>
  <si>
    <t>XXX-XX-5268</t>
  </si>
  <si>
    <t>10/03/XXXX</t>
  </si>
  <si>
    <t>XXX-XX-2811</t>
  </si>
  <si>
    <t>09/19/XXXX</t>
  </si>
  <si>
    <t>XXX-XX-1786</t>
  </si>
  <si>
    <t>XXX-XX-9100</t>
  </si>
  <si>
    <t>08/02/XXXX</t>
  </si>
  <si>
    <t>XXX-XX-2791</t>
  </si>
  <si>
    <t>XXX-XX-7914</t>
  </si>
  <si>
    <t>09/03/XXXX</t>
  </si>
  <si>
    <t>XXX-XX-3802</t>
  </si>
  <si>
    <t>XXX-XX-2453</t>
  </si>
  <si>
    <t>09/17/XXXX</t>
  </si>
  <si>
    <t>XXX-XX-2977</t>
  </si>
  <si>
    <t>12/10/XXXX</t>
  </si>
  <si>
    <t>XXX-XX-1560</t>
  </si>
  <si>
    <t>XXX-XX-0870</t>
  </si>
  <si>
    <t>10/08/XXXX</t>
  </si>
  <si>
    <t>XXX-XX-3210</t>
  </si>
  <si>
    <t>07/04/XXXX</t>
  </si>
  <si>
    <t>XXX-XX-5425</t>
  </si>
  <si>
    <t>XXX-XX-1557</t>
  </si>
  <si>
    <t>01/23/XXXX</t>
  </si>
  <si>
    <t>XXX-XX-5073</t>
  </si>
  <si>
    <t>12/29/XXXX</t>
  </si>
  <si>
    <t>XXX-XX-6754</t>
  </si>
  <si>
    <t>XXX-XX-8924</t>
  </si>
  <si>
    <t>10/10/XXXX</t>
  </si>
  <si>
    <t>XXX-XX-5036</t>
  </si>
  <si>
    <t>05/03/XXXX</t>
  </si>
  <si>
    <t>XXX-XX-4597</t>
  </si>
  <si>
    <t>XXX-XX-9998</t>
  </si>
  <si>
    <t>XXX-XX-9237</t>
  </si>
  <si>
    <t>XXX-XX-7364</t>
  </si>
  <si>
    <t>06/14/XXXX</t>
  </si>
  <si>
    <t>XXX-XX-2932</t>
  </si>
  <si>
    <t>XXX-XX-3114</t>
  </si>
  <si>
    <t>XXX-XX-4152</t>
  </si>
  <si>
    <t>10/31/XXXX</t>
  </si>
  <si>
    <t>XXX-XX-5179</t>
  </si>
  <si>
    <t>01/04/XXXX</t>
  </si>
  <si>
    <t>XXX-XX-8136</t>
  </si>
  <si>
    <t>07/30/XXXX</t>
  </si>
  <si>
    <t>XXX-XX-8628</t>
  </si>
  <si>
    <t>06/10/2023</t>
  </si>
  <si>
    <t>XXX-XX-7132</t>
  </si>
  <si>
    <t>08/06/XXXX</t>
  </si>
  <si>
    <t>XXX-XX-5575</t>
  </si>
  <si>
    <t>12/05/XXXX</t>
  </si>
  <si>
    <t>XXX-XX-6711</t>
  </si>
  <si>
    <t>XXX-XX-6176</t>
  </si>
  <si>
    <t>XXX-XX-7729</t>
  </si>
  <si>
    <t>XXX-XX-0626</t>
  </si>
  <si>
    <t>XXX-XX-0429</t>
  </si>
  <si>
    <t>02/19/XXXX</t>
  </si>
  <si>
    <t>XXX-XX-2183</t>
  </si>
  <si>
    <t>XXX-XX-4117</t>
  </si>
  <si>
    <t>09/26/XXXX</t>
  </si>
  <si>
    <t>XXX-XX-5564</t>
  </si>
  <si>
    <t>12/04/2022</t>
  </si>
  <si>
    <t>XXX-XX-6667</t>
  </si>
  <si>
    <t>09/01/XXXX</t>
  </si>
  <si>
    <t>XXX-XX-4490</t>
  </si>
  <si>
    <t>XXX-XX-8304</t>
  </si>
  <si>
    <t>XXX-XX-5211</t>
  </si>
  <si>
    <t>05/17/XXXX</t>
  </si>
  <si>
    <t>XXX-XX-8094</t>
  </si>
  <si>
    <t>XXX-XX-7965</t>
  </si>
  <si>
    <t>03/14/XXXX</t>
  </si>
  <si>
    <t>02/10/XXXX</t>
  </si>
  <si>
    <t>09/16/XXXX</t>
  </si>
  <si>
    <t>XXX-XX-9755</t>
  </si>
  <si>
    <t>02/01/2023</t>
  </si>
  <si>
    <t>XXX-XX-5931</t>
  </si>
  <si>
    <t>10/30/XXXX</t>
  </si>
  <si>
    <t>XXX-XX-0410</t>
  </si>
  <si>
    <t>10/14/XXXX</t>
  </si>
  <si>
    <t>XXX-XX-7857</t>
  </si>
  <si>
    <t>04/02/XXXX</t>
  </si>
  <si>
    <t>02/14/XXXX</t>
  </si>
  <si>
    <t>XXX-XX-8552</t>
  </si>
  <si>
    <t>12/04/XXXX</t>
  </si>
  <si>
    <t>XXX-XX-9560</t>
  </si>
  <si>
    <t>04/22/XXXX</t>
  </si>
  <si>
    <t>XXX-XX-4249</t>
  </si>
  <si>
    <t>XXX-XX-3222</t>
  </si>
  <si>
    <t>XXX-XX-0108</t>
  </si>
  <si>
    <t>XXX-XX-2294</t>
  </si>
  <si>
    <t>10/18/XXXX</t>
  </si>
  <si>
    <t>XXX-XX-1428</t>
  </si>
  <si>
    <t>12/01/XXXX</t>
  </si>
  <si>
    <t>XXX-XX-0927</t>
  </si>
  <si>
    <t>08/17/XXXX</t>
  </si>
  <si>
    <t>XXX-XX-6891</t>
  </si>
  <si>
    <t>03/29/2023</t>
  </si>
  <si>
    <t>XXX-XX-5536</t>
  </si>
  <si>
    <t>XXX-XX-1842</t>
  </si>
  <si>
    <t>10/22/XXXX</t>
  </si>
  <si>
    <t>XXX-XX-4158</t>
  </si>
  <si>
    <t>XXX-XX-4553</t>
  </si>
  <si>
    <t>09/20/XXXX</t>
  </si>
  <si>
    <t>XXX-XX-8683</t>
  </si>
  <si>
    <t>XXX-XX-7357</t>
  </si>
  <si>
    <t>XXX-XX-7589</t>
  </si>
  <si>
    <t>XXX-XX-3607</t>
  </si>
  <si>
    <t>03/26/XXXX</t>
  </si>
  <si>
    <t>XXX-XX-3996</t>
  </si>
  <si>
    <t>02/07/XXXX</t>
  </si>
  <si>
    <t>XXX-XX-0673</t>
  </si>
  <si>
    <t>09/12/XXXX</t>
  </si>
  <si>
    <t>XXX-XX-2788</t>
  </si>
  <si>
    <t>XXX-XX-3696</t>
  </si>
  <si>
    <t>XXX-XX-0463</t>
  </si>
  <si>
    <t>XXX-XX-9883</t>
  </si>
  <si>
    <t>01/05/XXXX</t>
  </si>
  <si>
    <t>XXX-XX-8095</t>
  </si>
  <si>
    <t>10/25/XXXX</t>
  </si>
  <si>
    <t>XXX-XX-7566</t>
  </si>
  <si>
    <t>XXX-XX-8061</t>
  </si>
  <si>
    <t>06/21/XXXX</t>
  </si>
  <si>
    <t>XXX-XX-1583</t>
  </si>
  <si>
    <t>XXX-XX-4007</t>
  </si>
  <si>
    <t>XXX-XX-0930</t>
  </si>
  <si>
    <t>12/08/XXXX</t>
  </si>
  <si>
    <t>XXX-XX-6340</t>
  </si>
  <si>
    <t>02/23/XXXX</t>
  </si>
  <si>
    <t>XXX-XX-6232</t>
  </si>
  <si>
    <t>09/25/XXXX</t>
  </si>
  <si>
    <t>XXX-XX-8779</t>
  </si>
  <si>
    <t>XXX-XX-0774</t>
  </si>
  <si>
    <t>09/07/XXXX</t>
  </si>
  <si>
    <t>XXX-XX-2622</t>
  </si>
  <si>
    <t>11/27/XXXX</t>
  </si>
  <si>
    <t>XXX-XX-6595</t>
  </si>
  <si>
    <t>XXX-XX-1114</t>
  </si>
  <si>
    <t>XXX-XX-9318</t>
  </si>
  <si>
    <t>XXX-XX-3743</t>
  </si>
  <si>
    <t>12/17/XXXX</t>
  </si>
  <si>
    <t>XXX-XX-3206</t>
  </si>
  <si>
    <t>11/01/XXXX</t>
  </si>
  <si>
    <t>XXX-XX-0957</t>
  </si>
  <si>
    <t>02/13/XXXX</t>
  </si>
  <si>
    <t>XXX-XX-8119</t>
  </si>
  <si>
    <t>01/31/XXXX</t>
  </si>
  <si>
    <t>XXX-XX-2069</t>
  </si>
  <si>
    <t>06/15/XXXX</t>
  </si>
  <si>
    <t>XXX-XX-8351</t>
  </si>
  <si>
    <t>XXX-XX-5521</t>
  </si>
  <si>
    <t>XXX-XX-6061</t>
  </si>
  <si>
    <t>03/11/XXXX</t>
  </si>
  <si>
    <t>XXX-XX-9286</t>
  </si>
  <si>
    <t>05/27/XXXX</t>
  </si>
  <si>
    <t>XXX-XX-9711</t>
  </si>
  <si>
    <t>XXX-XX-5625</t>
  </si>
  <si>
    <t>118 - Keller Crime Control Prevention District</t>
  </si>
  <si>
    <t>XXX-XX-3487</t>
  </si>
  <si>
    <t>XXX-XX-1425</t>
  </si>
  <si>
    <t>07/01/XXXX</t>
  </si>
  <si>
    <t>XXX-XX-4812</t>
  </si>
  <si>
    <t>XXX-XX-5838</t>
  </si>
  <si>
    <t>XXX-XX-5638</t>
  </si>
  <si>
    <t>XXX-XX-2011</t>
  </si>
  <si>
    <t>06/18/XXXX</t>
  </si>
  <si>
    <t>XXX-XX-8630</t>
  </si>
  <si>
    <t>10/20/XXXX</t>
  </si>
  <si>
    <t>XXX-XX-4996</t>
  </si>
  <si>
    <t>XXX-XX-1281</t>
  </si>
  <si>
    <t>12/16/XXXX</t>
  </si>
  <si>
    <t>XXX-XX-1536</t>
  </si>
  <si>
    <t>01/24/XXXX</t>
  </si>
  <si>
    <t>XXX-XX-4973</t>
  </si>
  <si>
    <t>XXX-XX-1549</t>
  </si>
  <si>
    <t>XXX-XX-6493</t>
  </si>
  <si>
    <t>03/27/XXXX</t>
  </si>
  <si>
    <t>XXX-XX-4797</t>
  </si>
  <si>
    <t>10/02/XXXX</t>
  </si>
  <si>
    <t>XXX-XX-7553</t>
  </si>
  <si>
    <t>10/05/XXXX</t>
  </si>
  <si>
    <t>XXX-XX-2823</t>
  </si>
  <si>
    <t>10/09/XXXX</t>
  </si>
  <si>
    <t>XXX-XX-2582</t>
  </si>
  <si>
    <t>XXX-XX-9708</t>
  </si>
  <si>
    <t>06/13/XXXX</t>
  </si>
  <si>
    <t>XXX-XX-6423</t>
  </si>
  <si>
    <t>EMPLOYER COST PERIOD</t>
  </si>
  <si>
    <t>EMPLOYER COST AMOUNT</t>
  </si>
  <si>
    <t>EMPLOYER COST VALUE</t>
  </si>
  <si>
    <t>EMPLOYEE COST PERIOD</t>
  </si>
  <si>
    <t>EMPLOYEE COST</t>
  </si>
  <si>
    <t>ENROLLMENT STATUS</t>
  </si>
  <si>
    <t>ENROLLMENT END DATE</t>
  </si>
  <si>
    <t>ENROLLMENT EFF DATE</t>
  </si>
  <si>
    <t>ENROLLMENT START DATE</t>
  </si>
  <si>
    <t>PLAN START DATE</t>
  </si>
  <si>
    <t>PROVIDER</t>
  </si>
  <si>
    <t>PLAN TYPE</t>
  </si>
  <si>
    <t>PLAN CATEGORY</t>
  </si>
  <si>
    <t>FLSA</t>
  </si>
  <si>
    <t>UNION CODE</t>
  </si>
  <si>
    <t>LOCATION</t>
  </si>
  <si>
    <t>GENDER</t>
  </si>
  <si>
    <t>EMPLOYEE STATUS</t>
  </si>
  <si>
    <t>TAX ID</t>
  </si>
  <si>
    <t>Medical Total</t>
  </si>
  <si>
    <t>400</t>
  </si>
  <si>
    <t>100</t>
  </si>
  <si>
    <t>118</t>
  </si>
  <si>
    <t>119</t>
  </si>
  <si>
    <t>125</t>
  </si>
  <si>
    <t>200</t>
  </si>
  <si>
    <t>actual cost of detention officers</t>
  </si>
  <si>
    <t>S1H002535</t>
  </si>
  <si>
    <t>S1H004533</t>
  </si>
  <si>
    <t>S1H009527</t>
  </si>
  <si>
    <t>S1H009902</t>
  </si>
  <si>
    <t>S1H009955</t>
  </si>
  <si>
    <t>S1H010110</t>
  </si>
  <si>
    <t>S1H010115</t>
  </si>
  <si>
    <t>S1H010116</t>
  </si>
  <si>
    <t>S1H010118</t>
  </si>
  <si>
    <t>S1H010119</t>
  </si>
  <si>
    <t>S1H010120</t>
  </si>
  <si>
    <t>S1H010121</t>
  </si>
  <si>
    <t>S1H010122</t>
  </si>
  <si>
    <t>S1H010123</t>
  </si>
  <si>
    <t>S1H010126</t>
  </si>
  <si>
    <t>S1H010136</t>
  </si>
  <si>
    <t>S1H010137</t>
  </si>
  <si>
    <t>S1H010143</t>
  </si>
  <si>
    <t>S1H010151</t>
  </si>
  <si>
    <t>S1H010152</t>
  </si>
  <si>
    <t>S1H010154</t>
  </si>
  <si>
    <t>S1H010158</t>
  </si>
  <si>
    <t>S1H010159</t>
  </si>
  <si>
    <t>S1H010161</t>
  </si>
  <si>
    <t>S1H010162</t>
  </si>
  <si>
    <t>S1H010165</t>
  </si>
  <si>
    <t>S1H010166</t>
  </si>
  <si>
    <t>S1H010169</t>
  </si>
  <si>
    <t>S1H010171</t>
  </si>
  <si>
    <t>S1H010172</t>
  </si>
  <si>
    <t>S1H010173</t>
  </si>
  <si>
    <t>S1H010177</t>
  </si>
  <si>
    <t>S1H010181</t>
  </si>
  <si>
    <t>S1H010182</t>
  </si>
  <si>
    <t>S1H010184</t>
  </si>
  <si>
    <t>S1H010186</t>
  </si>
  <si>
    <t>S1H010187</t>
  </si>
  <si>
    <t>S1H010188</t>
  </si>
  <si>
    <t>S1H010189</t>
  </si>
  <si>
    <t>S1H010190</t>
  </si>
  <si>
    <t>S1H89926N</t>
  </si>
  <si>
    <t>FT HOURLY PD 4-10</t>
  </si>
  <si>
    <t>CST- PW</t>
  </si>
  <si>
    <t>Customer Service Technician - Public Works</t>
  </si>
  <si>
    <t>ACCTP</t>
  </si>
  <si>
    <t>RCTKP</t>
  </si>
  <si>
    <t>Recreation Coordinator</t>
  </si>
  <si>
    <t>HRASST</t>
  </si>
  <si>
    <t>Human Resources Assistant</t>
  </si>
  <si>
    <t>100-17-171-50102</t>
  </si>
  <si>
    <t>FSD</t>
  </si>
  <si>
    <t>ENG1</t>
  </si>
  <si>
    <t>Engineer 1</t>
  </si>
  <si>
    <t>ENVT</t>
  </si>
  <si>
    <t>Environmental  Services Technician</t>
  </si>
  <si>
    <t>D&amp;D Market</t>
  </si>
  <si>
    <t>100-17-171-50102-000000</t>
  </si>
  <si>
    <t>S1H000435</t>
  </si>
  <si>
    <t>S1H002669</t>
  </si>
  <si>
    <t>S1H004665</t>
  </si>
  <si>
    <t>S1H009566</t>
  </si>
  <si>
    <t>S1H009742</t>
  </si>
  <si>
    <t>S1H010193</t>
  </si>
  <si>
    <t>S1H010194</t>
  </si>
  <si>
    <t>S1H010198</t>
  </si>
  <si>
    <t>S1H010203</t>
  </si>
  <si>
    <t>S1H010205</t>
  </si>
  <si>
    <t>S1H101200</t>
  </si>
  <si>
    <t>S1H101203</t>
  </si>
  <si>
    <t>S1H101204</t>
  </si>
  <si>
    <t>S1H101206</t>
  </si>
  <si>
    <t>S1H101207</t>
  </si>
  <si>
    <t>S1H101208</t>
  </si>
  <si>
    <t>S1H101209</t>
  </si>
  <si>
    <t>S1H101210</t>
  </si>
  <si>
    <t>S1H101211</t>
  </si>
  <si>
    <t>S1H101212</t>
  </si>
  <si>
    <t>S1H101213</t>
  </si>
  <si>
    <t>S1H101214</t>
  </si>
  <si>
    <t>S1H101215</t>
  </si>
  <si>
    <t>S1H101216</t>
  </si>
  <si>
    <t>S1H101217</t>
  </si>
  <si>
    <t>S1H101218</t>
  </si>
  <si>
    <t>S1H101219</t>
  </si>
  <si>
    <t>S1H101220</t>
  </si>
  <si>
    <t>S1H101222</t>
  </si>
  <si>
    <t>S1H101223</t>
  </si>
  <si>
    <t>S1H101226</t>
  </si>
  <si>
    <t>S1H101228</t>
  </si>
  <si>
    <t>S1H101229</t>
  </si>
  <si>
    <t>S1H101230</t>
  </si>
  <si>
    <t>S1H101231</t>
  </si>
  <si>
    <t>S1H101232</t>
  </si>
  <si>
    <t>S1H101233</t>
  </si>
  <si>
    <t>S1H101235</t>
  </si>
  <si>
    <t>S1H101236</t>
  </si>
  <si>
    <t>FMW3</t>
  </si>
  <si>
    <t>Facility Maintenance Worker III</t>
  </si>
  <si>
    <t>CEO2</t>
  </si>
  <si>
    <t>Code Enforcement Officer II</t>
  </si>
  <si>
    <t>Supervisor - Water</t>
  </si>
  <si>
    <t>AAPWD</t>
  </si>
  <si>
    <t>Administrative Assistant II - Public Works</t>
  </si>
  <si>
    <t>DCD</t>
  </si>
  <si>
    <t>Director of Community Development</t>
  </si>
  <si>
    <t>CEO3</t>
  </si>
  <si>
    <t>Code Enforcement Officer III</t>
  </si>
  <si>
    <t>FWW</t>
  </si>
  <si>
    <t>Supervisor - Wastewater</t>
  </si>
  <si>
    <t>BMTTKP</t>
  </si>
  <si>
    <t>Building Maintenance Technician - TKP</t>
  </si>
  <si>
    <t>125-65-655-50110</t>
  </si>
  <si>
    <t>ITSA</t>
  </si>
  <si>
    <t>IT Systems Analyst</t>
  </si>
  <si>
    <t>Administrative Assistant I - Public Works</t>
  </si>
  <si>
    <t>P&amp;EC</t>
  </si>
  <si>
    <t>Programs and Events Coordinator</t>
  </si>
  <si>
    <t>Facility Maintenance Worker I</t>
  </si>
  <si>
    <t>Supervisor - Streets</t>
  </si>
  <si>
    <t>SDR</t>
  </si>
  <si>
    <t>Supervisor - Drainage</t>
  </si>
  <si>
    <t>LIBC</t>
  </si>
  <si>
    <t>Librarian -Circulation</t>
  </si>
  <si>
    <t>112-62-622-50117-000000</t>
  </si>
  <si>
    <t>Division: 622 - SENIOR SERVICES PROGRAMS Total:</t>
  </si>
  <si>
    <t>DEDUCTION CODE</t>
  </si>
  <si>
    <t>DEDUCTION AMOUNT</t>
  </si>
  <si>
    <t>DN2</t>
  </si>
  <si>
    <t>HD2</t>
  </si>
  <si>
    <t>HS2</t>
  </si>
  <si>
    <t>HPS</t>
  </si>
  <si>
    <t>S1H009666</t>
  </si>
  <si>
    <t>S1H101239</t>
  </si>
  <si>
    <t>S1H101241</t>
  </si>
  <si>
    <t>S1H101242</t>
  </si>
  <si>
    <t>S1H101243</t>
  </si>
  <si>
    <t>S1H101244</t>
  </si>
  <si>
    <t>S1H101245</t>
  </si>
  <si>
    <t>S1H101247</t>
  </si>
  <si>
    <t>S1H101248</t>
  </si>
  <si>
    <t>S1H101249</t>
  </si>
  <si>
    <t>S1H101250</t>
  </si>
  <si>
    <t>S1H101253</t>
  </si>
  <si>
    <t>S1H101254</t>
  </si>
  <si>
    <t>S1H101255</t>
  </si>
  <si>
    <t>S1H101256</t>
  </si>
  <si>
    <t>S1H101257</t>
  </si>
  <si>
    <t>S1H101258</t>
  </si>
  <si>
    <t>S1H101259</t>
  </si>
  <si>
    <t>S1H101260</t>
  </si>
  <si>
    <t>S1H101261</t>
  </si>
  <si>
    <t>S1H101262</t>
  </si>
  <si>
    <t>S1H101263</t>
  </si>
  <si>
    <t>S1H101264</t>
  </si>
  <si>
    <t>S1H101265</t>
  </si>
  <si>
    <t>S1H101266</t>
  </si>
  <si>
    <t>S1H101267</t>
  </si>
  <si>
    <t>S1H101268</t>
  </si>
  <si>
    <t>S1H101269</t>
  </si>
  <si>
    <t>S1H101270</t>
  </si>
  <si>
    <t>S1H101271</t>
  </si>
  <si>
    <t>S1H101272</t>
  </si>
  <si>
    <t>S1H101274</t>
  </si>
  <si>
    <t>S1H101275</t>
  </si>
  <si>
    <t>S1H101276</t>
  </si>
  <si>
    <t>S1H101277</t>
  </si>
  <si>
    <t>S1H101278</t>
  </si>
  <si>
    <t>S1H101281</t>
  </si>
  <si>
    <t>S1H101283</t>
  </si>
  <si>
    <t>ECS</t>
  </si>
  <si>
    <t>ECSP</t>
  </si>
  <si>
    <t>EDINT</t>
  </si>
  <si>
    <t>Intern</t>
  </si>
  <si>
    <t>100-30-302-50101</t>
  </si>
  <si>
    <t>MWS</t>
  </si>
  <si>
    <t>Maintenance Worker I (Streets/Storm Drainage)</t>
  </si>
  <si>
    <t>Digital Communications Specialist</t>
  </si>
  <si>
    <t>City Manager</t>
  </si>
  <si>
    <t>Emergency Communications Specialist</t>
  </si>
  <si>
    <t>Emergency Communications Supervisor</t>
  </si>
  <si>
    <t>Administrative Assistant Ii - Fire Department</t>
  </si>
  <si>
    <t>Engineering Technician</t>
  </si>
  <si>
    <t>Network Administrator</t>
  </si>
  <si>
    <t>Assistant NETCOM Manager</t>
  </si>
  <si>
    <t>PAYROLL DEDUCTION CODE</t>
  </si>
  <si>
    <t>PAYROLL DEDUCTION AMOUNT</t>
  </si>
  <si>
    <t>PAYROLL DEDUCTION PERCENTAGE</t>
  </si>
  <si>
    <t>AMOUNT DIFFERENCE</t>
  </si>
  <si>
    <t>PERCENTAGE DIFFERENCE</t>
  </si>
  <si>
    <t>DISCREPANCY REASON</t>
  </si>
  <si>
    <t>PTNBE - PT Not Benefit Eligible</t>
  </si>
  <si>
    <t>CK1 - CHECKING1</t>
  </si>
  <si>
    <t>Deduction not in Benefit</t>
  </si>
  <si>
    <t>87 - TMRS% EE</t>
  </si>
  <si>
    <t>7%</t>
  </si>
  <si>
    <t>HSC - HSA CHECKING</t>
  </si>
  <si>
    <t>RA - Replace Allow</t>
  </si>
  <si>
    <t>DA - Device Allow</t>
  </si>
  <si>
    <t>CK2 - CHECKING2</t>
  </si>
  <si>
    <t>EP2 - Pointe Members</t>
  </si>
  <si>
    <t>84 - 457 MS %</t>
  </si>
  <si>
    <t>5%</t>
  </si>
  <si>
    <t>SV1 - SAVINGS1</t>
  </si>
  <si>
    <t>DC2 - 457 MS Amt</t>
  </si>
  <si>
    <t>CT - Certifications</t>
  </si>
  <si>
    <t>KPA - KPA Dues</t>
  </si>
  <si>
    <t>DC4 - 457 NW Amt</t>
  </si>
  <si>
    <t>CK4 - CHECKING4</t>
  </si>
  <si>
    <t>EP1 - Employee Purch</t>
  </si>
  <si>
    <t>85 - 457 Roth MS %</t>
  </si>
  <si>
    <t>CR - Car Allowance</t>
  </si>
  <si>
    <t>RP - Regional Pay</t>
  </si>
  <si>
    <t>DC5 - 457 Roth NW Amt</t>
  </si>
  <si>
    <t>KFF - KFFA Dues</t>
  </si>
  <si>
    <t>75%</t>
  </si>
  <si>
    <t>25%</t>
  </si>
  <si>
    <t>75 - SUPPORT</t>
  </si>
  <si>
    <t>11%</t>
  </si>
  <si>
    <t>26%</t>
  </si>
  <si>
    <t>81 - 457 NW %</t>
  </si>
  <si>
    <t>4%</t>
  </si>
  <si>
    <t>3%</t>
  </si>
  <si>
    <t>2%</t>
  </si>
  <si>
    <t>CK3 - CHECKING3</t>
  </si>
  <si>
    <t>DC3 - 457 Roth MS Amt</t>
  </si>
  <si>
    <t>30%</t>
  </si>
  <si>
    <t>70%</t>
  </si>
  <si>
    <t>86 - 457 Roth NW %</t>
  </si>
  <si>
    <t>TMP - TMPA Dues</t>
  </si>
  <si>
    <t>TPC - TX Police Chief</t>
  </si>
  <si>
    <t>10%</t>
  </si>
  <si>
    <t>20%</t>
  </si>
  <si>
    <t>90%</t>
  </si>
  <si>
    <t>8%</t>
  </si>
  <si>
    <t>15%</t>
  </si>
  <si>
    <t>SV2 - SAVINGS2</t>
  </si>
  <si>
    <t>80%</t>
  </si>
  <si>
    <t>9%</t>
  </si>
  <si>
    <t>EP3 - Employee Purch</t>
  </si>
  <si>
    <t>76 - SUPPORT</t>
  </si>
  <si>
    <t>SV3 - SAVINGS3</t>
  </si>
  <si>
    <t>COUNTRY</t>
  </si>
  <si>
    <t>BUSINESS UNIT</t>
  </si>
  <si>
    <t>PRIOR EMPLOYMENT CONTRIBUTION</t>
  </si>
  <si>
    <t>DEDUCT</t>
  </si>
  <si>
    <t>PAY FREQUENCY</t>
  </si>
  <si>
    <t>DEDUCTION QUALIFIER</t>
  </si>
  <si>
    <t>DEDUCTION FREQUENCY</t>
  </si>
  <si>
    <t>US-UNITED STATES</t>
  </si>
  <si>
    <t>634 - SENIOR ACTIVITIES CENTR</t>
  </si>
  <si>
    <t>Yes</t>
  </si>
  <si>
    <t>General</t>
  </si>
  <si>
    <t>$15.20</t>
  </si>
  <si>
    <t>1st 2 Pay Dates/Processings in Month</t>
  </si>
  <si>
    <t>Consumer Health and Spending Account</t>
  </si>
  <si>
    <t>Health Savings Account</t>
  </si>
  <si>
    <t>Optum Bank</t>
  </si>
  <si>
    <t>Per Pay period</t>
  </si>
  <si>
    <t>Per Year</t>
  </si>
  <si>
    <t>$25.00</t>
  </si>
  <si>
    <t>$113.44</t>
  </si>
  <si>
    <t>601 - LIBRARY ADMINISTRATION</t>
  </si>
  <si>
    <t>10/01/2023</t>
  </si>
  <si>
    <t>$135.00</t>
  </si>
  <si>
    <t>$12.82</t>
  </si>
  <si>
    <t>XXX-XX-1465</t>
  </si>
  <si>
    <t>05/14/XXXX</t>
  </si>
  <si>
    <t>772 - MSC OPERATIONS</t>
  </si>
  <si>
    <t>632 - PARKS MAINTENANCE</t>
  </si>
  <si>
    <t>$50.00</t>
  </si>
  <si>
    <t>$100.00</t>
  </si>
  <si>
    <t>$14.52</t>
  </si>
  <si>
    <t>$15.00</t>
  </si>
  <si>
    <t>$17.52</t>
  </si>
  <si>
    <t>735 - WATER DISTRIBUTION</t>
  </si>
  <si>
    <t>$191.83</t>
  </si>
  <si>
    <t>311 - KCCPD ADMINISTRATION</t>
  </si>
  <si>
    <t>06/06/2023</t>
  </si>
  <si>
    <t>$149.90</t>
  </si>
  <si>
    <t>103 - CITY SECRETARY</t>
  </si>
  <si>
    <t>$125.00</t>
  </si>
  <si>
    <t>$301.60</t>
  </si>
  <si>
    <t>302 - POLICE OPERATIONS</t>
  </si>
  <si>
    <t>$40.00</t>
  </si>
  <si>
    <t>502 - ENGINEERING &amp; INSPECTIONS</t>
  </si>
  <si>
    <t>$201.76</t>
  </si>
  <si>
    <t>305 - JAIL SERVICES</t>
  </si>
  <si>
    <t>Custom</t>
  </si>
  <si>
    <t>Annual Medical Physical</t>
  </si>
  <si>
    <t>Annual Medical Physical Surcharge</t>
  </si>
  <si>
    <t>$20.00</t>
  </si>
  <si>
    <t>$160.92</t>
  </si>
  <si>
    <t>$5.00</t>
  </si>
  <si>
    <t>352 - FIRE OPERATIONS</t>
  </si>
  <si>
    <t>303 - PUBLIC SAFETY DISPATCH</t>
  </si>
  <si>
    <t>651 - POINTE ADMINISTRATION</t>
  </si>
  <si>
    <t>$104.16</t>
  </si>
  <si>
    <t>$237.66</t>
  </si>
  <si>
    <t>$250.00</t>
  </si>
  <si>
    <t>111 - TOWN HALL OPERATIONS</t>
  </si>
  <si>
    <t>$140.00</t>
  </si>
  <si>
    <t>XXX-XX-4236</t>
  </si>
  <si>
    <t>12/04/2023</t>
  </si>
  <si>
    <t>01/01/2024</t>
  </si>
  <si>
    <t>$10.00</t>
  </si>
  <si>
    <t>XXX-XX-4871</t>
  </si>
  <si>
    <t>01/15/2024</t>
  </si>
  <si>
    <t>503 - STREET MAINTENANCE</t>
  </si>
  <si>
    <t>02/01/2024</t>
  </si>
  <si>
    <t>XXX-XX-0852</t>
  </si>
  <si>
    <t>01/03/2017</t>
  </si>
  <si>
    <t>08/10/XXXX</t>
  </si>
  <si>
    <t>712 - FIELD SERVICES</t>
  </si>
  <si>
    <t>09/01/2023</t>
  </si>
  <si>
    <t>204 - BUILDING &amp; CONSTRUCTION SVCS</t>
  </si>
  <si>
    <t>636 - TOWN CENTER MAINTENANCE</t>
  </si>
  <si>
    <t>701 - WATER &amp; W/W ADMINISTRATION</t>
  </si>
  <si>
    <t>07/01/2023</t>
  </si>
  <si>
    <t>$299.99</t>
  </si>
  <si>
    <t>XXX-XX-2660</t>
  </si>
  <si>
    <t>$150.00</t>
  </si>
  <si>
    <t>208 - CODE ENFORCEMENT</t>
  </si>
  <si>
    <t>$20.84</t>
  </si>
  <si>
    <t>XXX-XX-7153</t>
  </si>
  <si>
    <t>10/09/2023</t>
  </si>
  <si>
    <t>752 - WASTEWATER COLLECTION</t>
  </si>
  <si>
    <t>11/01/2023</t>
  </si>
  <si>
    <t>$129.22</t>
  </si>
  <si>
    <t>131 - FINANCE ADMINISTRATION</t>
  </si>
  <si>
    <t>351 - FIRE ADMINISTRATION</t>
  </si>
  <si>
    <t>01/25/2024</t>
  </si>
  <si>
    <t>$22.64</t>
  </si>
  <si>
    <t>$80.00</t>
  </si>
  <si>
    <t>141 - ECONOMIC DEVELOPMENT ADMIN</t>
  </si>
  <si>
    <t>01/11/2024</t>
  </si>
  <si>
    <t>$281.25</t>
  </si>
  <si>
    <t>635 - SPORTS PARK MAINTENANCE</t>
  </si>
  <si>
    <t>XXX-XX-6938</t>
  </si>
  <si>
    <t>XXX-XX-9168</t>
  </si>
  <si>
    <t>10/16/2023</t>
  </si>
  <si>
    <t>$157.74</t>
  </si>
  <si>
    <t>$200.00</t>
  </si>
  <si>
    <t>631 - PARKS AND REC ADMINISTRATION</t>
  </si>
  <si>
    <t>XXX-XX-7345</t>
  </si>
  <si>
    <t>06/15/2023</t>
  </si>
  <si>
    <t>01/08/2024</t>
  </si>
  <si>
    <t>815 - DRAINAGE MAINTENANCE</t>
  </si>
  <si>
    <t>633 - RECREATION SERVICES</t>
  </si>
  <si>
    <t>711 - UTILITY BILLING ADMINISTRATION</t>
  </si>
  <si>
    <t>XXX-XX-5123</t>
  </si>
  <si>
    <t>11/06/2023</t>
  </si>
  <si>
    <t>08/04/XXXX</t>
  </si>
  <si>
    <t>12/01/2023</t>
  </si>
  <si>
    <t>$85.00</t>
  </si>
  <si>
    <t>XXX-XX-0525</t>
  </si>
  <si>
    <t>10/02/2023</t>
  </si>
  <si>
    <t>$12.00</t>
  </si>
  <si>
    <t>501 - PUBLIC WORKS ADMINISTRATION</t>
  </si>
  <si>
    <t>05/25/XXXX</t>
  </si>
  <si>
    <t>171 - HUMAN RESOURCES ADMINISTRATION</t>
  </si>
  <si>
    <t>XXX-XX-3690</t>
  </si>
  <si>
    <t>02/05/2024</t>
  </si>
  <si>
    <t>01/07/XXXX</t>
  </si>
  <si>
    <t>03/01/2024</t>
  </si>
  <si>
    <t>$89.13</t>
  </si>
  <si>
    <t>XXX-XX-9935</t>
  </si>
  <si>
    <t>07/05/2023</t>
  </si>
  <si>
    <t>12/15/XXXX</t>
  </si>
  <si>
    <t>08/01/2023</t>
  </si>
  <si>
    <t>$55.00</t>
  </si>
  <si>
    <t>301 - POLICE ADMINISTRATION</t>
  </si>
  <si>
    <t>XXX-XX-9243</t>
  </si>
  <si>
    <t>09/05/2023</t>
  </si>
  <si>
    <t>08/30/XXXX</t>
  </si>
  <si>
    <t>$175.00</t>
  </si>
  <si>
    <t>734 - WATER PRODUCTION</t>
  </si>
  <si>
    <t>$75.00</t>
  </si>
  <si>
    <t>$139.58</t>
  </si>
  <si>
    <t>08/29/2023</t>
  </si>
  <si>
    <t>03/13/2024</t>
  </si>
  <si>
    <t>$300.00</t>
  </si>
  <si>
    <t>181 - INFORMATION TECHNOLOGY</t>
  </si>
  <si>
    <t>09/11/2023</t>
  </si>
  <si>
    <t>101 - ADMINISTRATION</t>
  </si>
  <si>
    <t>11/24/2023</t>
  </si>
  <si>
    <t>XXX-XX-6030</t>
  </si>
  <si>
    <t>$30.00</t>
  </si>
  <si>
    <t>$60.00</t>
  </si>
  <si>
    <t>XXX-XX-8433</t>
  </si>
  <si>
    <t>07/28/2014</t>
  </si>
  <si>
    <t>05/05/XXXX</t>
  </si>
  <si>
    <t>183 - GEOGRAPHIC INFORMATION SERVICE</t>
  </si>
  <si>
    <t>XXX-XX-4974</t>
  </si>
  <si>
    <t>02/14/2024</t>
  </si>
  <si>
    <t>201 - DEVELOPMENT ADMINISTRATION</t>
  </si>
  <si>
    <t>304 - ANIMAL SERVICES &amp; ADOPTION</t>
  </si>
  <si>
    <t>$6.39</t>
  </si>
  <si>
    <t>$254.88</t>
  </si>
  <si>
    <t>XXX-XX-2506</t>
  </si>
  <si>
    <t>02/15/2024</t>
  </si>
  <si>
    <t>11/15/2023</t>
  </si>
  <si>
    <t>03/05/2024</t>
  </si>
  <si>
    <t>XXX-XX-3515</t>
  </si>
  <si>
    <t>07/10/2023</t>
  </si>
  <si>
    <t>07/18/XXXX</t>
  </si>
  <si>
    <t>XXX-XX-2133</t>
  </si>
  <si>
    <t>$139.50</t>
  </si>
  <si>
    <t>$62.50</t>
  </si>
  <si>
    <t>655 - FACILITY MAINTENANCE</t>
  </si>
  <si>
    <t>$185.25</t>
  </si>
  <si>
    <t>09/08/2023</t>
  </si>
  <si>
    <t>XXX-XX-2288</t>
  </si>
  <si>
    <t>07/19/XXXX</t>
  </si>
  <si>
    <t>12/06/2023</t>
  </si>
  <si>
    <t>XXX-XX-6749</t>
  </si>
  <si>
    <t>11/02/2023</t>
  </si>
  <si>
    <t>654 - RECREATION PROGRAMS</t>
  </si>
  <si>
    <t>$225.00</t>
  </si>
  <si>
    <t>02/18/2019</t>
  </si>
  <si>
    <t>11/13/2023</t>
  </si>
  <si>
    <t>$199.62</t>
  </si>
  <si>
    <t>$249.99</t>
  </si>
  <si>
    <t>XXX-XX-2813</t>
  </si>
  <si>
    <t>07/17/2023</t>
  </si>
  <si>
    <t>01/21/XXXX</t>
  </si>
  <si>
    <t>$275.00</t>
  </si>
  <si>
    <t>XXX-XX-7941</t>
  </si>
  <si>
    <t>03/30/2015</t>
  </si>
  <si>
    <t>05/06/XXXX</t>
  </si>
  <si>
    <t>$120.00</t>
  </si>
  <si>
    <t>03/15/2024</t>
  </si>
  <si>
    <t>XXX-XX-4383</t>
  </si>
  <si>
    <t>10/04/2023</t>
  </si>
  <si>
    <t>XXX-XX-4731</t>
  </si>
  <si>
    <t>XXX-XX-6578</t>
  </si>
  <si>
    <t>07/15/XXXX</t>
  </si>
  <si>
    <t>07/14/2023</t>
  </si>
  <si>
    <t>104 - COMMUNICATIONS</t>
  </si>
  <si>
    <t>01/22/2024</t>
  </si>
  <si>
    <t>XXX-XX-9122</t>
  </si>
  <si>
    <t>$129.17</t>
  </si>
  <si>
    <t>XXX-XX-2345</t>
  </si>
  <si>
    <t>01/02/XXXX</t>
  </si>
  <si>
    <t>XXX-XX-0721</t>
  </si>
  <si>
    <t>$48.00</t>
  </si>
  <si>
    <t>XXX-XX-3306</t>
  </si>
  <si>
    <t>03/25/2024</t>
  </si>
  <si>
    <t>$165.00</t>
  </si>
  <si>
    <t>XXX-XX-4101</t>
  </si>
  <si>
    <t>652 - AQUATICS</t>
  </si>
  <si>
    <t>XXX-XX-3438</t>
  </si>
  <si>
    <t>06/12/2023</t>
  </si>
  <si>
    <t>12/31/XXXX</t>
  </si>
  <si>
    <t>$139.00</t>
  </si>
  <si>
    <t>$181.25</t>
  </si>
  <si>
    <t>09/19/2023</t>
  </si>
  <si>
    <t>XXX-XX-6579</t>
  </si>
  <si>
    <t>02/24/XXXX</t>
  </si>
  <si>
    <t>COBRA - COBRA</t>
  </si>
  <si>
    <t>COBRA Dental Plan</t>
  </si>
  <si>
    <t>No</t>
  </si>
  <si>
    <t>656 - CUSTOMER SERVICE/CONCESSIONS</t>
  </si>
  <si>
    <t>XXX-XX-8599</t>
  </si>
  <si>
    <t>09/28/2023</t>
  </si>
  <si>
    <t>$158.33</t>
  </si>
  <si>
    <t>$69.79</t>
  </si>
  <si>
    <t>01/29/2024</t>
  </si>
  <si>
    <t>$37.00</t>
  </si>
  <si>
    <t>$281.24</t>
  </si>
  <si>
    <t>XXX-XX-4184</t>
  </si>
  <si>
    <t>04/24/XXXX</t>
  </si>
  <si>
    <t>S1H009558</t>
  </si>
  <si>
    <t>S1H009923</t>
  </si>
  <si>
    <t>S1H010014</t>
  </si>
  <si>
    <t>S1H010105</t>
  </si>
  <si>
    <t>S1H010139</t>
  </si>
  <si>
    <t>S1H101273</t>
  </si>
  <si>
    <t>S1H101279</t>
  </si>
  <si>
    <t>S1H101284</t>
  </si>
  <si>
    <t>S1H101285</t>
  </si>
  <si>
    <t>S1H101286</t>
  </si>
  <si>
    <t>S1H101287</t>
  </si>
  <si>
    <t>S1H101289</t>
  </si>
  <si>
    <t>S1H101290</t>
  </si>
  <si>
    <t>S1H101291</t>
  </si>
  <si>
    <t>S1H101292</t>
  </si>
  <si>
    <t>S1H101294</t>
  </si>
  <si>
    <t>S1H101295</t>
  </si>
  <si>
    <t>S1H101296</t>
  </si>
  <si>
    <t>S1H101297</t>
  </si>
  <si>
    <t>S1H101298</t>
  </si>
  <si>
    <t>S1H101299</t>
  </si>
  <si>
    <t>S1H101300</t>
  </si>
  <si>
    <t>S1H101301</t>
  </si>
  <si>
    <t>S1H101303</t>
  </si>
  <si>
    <t>S1H101304</t>
  </si>
  <si>
    <t>S1H101305</t>
  </si>
  <si>
    <t>S1H101306</t>
  </si>
  <si>
    <t>S1H101307</t>
  </si>
  <si>
    <t>S1H101308</t>
  </si>
  <si>
    <t>S1H101310</t>
  </si>
  <si>
    <t>S1H101311</t>
  </si>
  <si>
    <t>S1H101315</t>
  </si>
  <si>
    <t>S1H101323</t>
  </si>
  <si>
    <t>SCCTKP</t>
  </si>
  <si>
    <t>Summer Camp Coordinator</t>
  </si>
  <si>
    <t>SCSTKP</t>
  </si>
  <si>
    <t>Summer Camp Counselor</t>
  </si>
  <si>
    <t>NA</t>
  </si>
  <si>
    <t>AAFD</t>
  </si>
  <si>
    <t>Administrative Assistant II - Fire Department</t>
  </si>
  <si>
    <t>S1H101316</t>
  </si>
  <si>
    <t>S1H101329</t>
  </si>
  <si>
    <t>S1H101314</t>
  </si>
  <si>
    <t>S1H101335</t>
  </si>
  <si>
    <t>S1H101327</t>
  </si>
  <si>
    <t>S1H101319</t>
  </si>
  <si>
    <t>S1H101328</t>
  </si>
  <si>
    <t>S1H101339</t>
  </si>
  <si>
    <t>S1H101365</t>
  </si>
  <si>
    <t>S1H101320</t>
  </si>
  <si>
    <t>S1H101336</t>
  </si>
  <si>
    <t>S1H101352</t>
  </si>
  <si>
    <t>S1H101347</t>
  </si>
  <si>
    <t>S1H101355</t>
  </si>
  <si>
    <t>S1H101343</t>
  </si>
  <si>
    <t>S1H101318</t>
  </si>
  <si>
    <t>S1H101330</t>
  </si>
  <si>
    <t>S1H101346</t>
  </si>
  <si>
    <t>S1H101324</t>
  </si>
  <si>
    <t>S1H101349</t>
  </si>
  <si>
    <t>S1H101351</t>
  </si>
  <si>
    <t>S1H101340</t>
  </si>
  <si>
    <t>S1H101353</t>
  </si>
  <si>
    <t>22.5%</t>
  </si>
  <si>
    <t>IA - Interim Allow</t>
  </si>
  <si>
    <t>S1H101334</t>
  </si>
  <si>
    <t>S1H101342</t>
  </si>
  <si>
    <t>S1H101313</t>
  </si>
  <si>
    <t>S1H101333</t>
  </si>
  <si>
    <t>S1H101312</t>
  </si>
  <si>
    <t>S1H101332</t>
  </si>
  <si>
    <t>XXX-XX-9971</t>
  </si>
  <si>
    <t>04/17/2024</t>
  </si>
  <si>
    <t>11/24/XXXX</t>
  </si>
  <si>
    <t>05/01/2024</t>
  </si>
  <si>
    <t>04/06/2024</t>
  </si>
  <si>
    <t>XXX-XX-0263</t>
  </si>
  <si>
    <t>04/02/2024</t>
  </si>
  <si>
    <t>10/12/XXXX</t>
  </si>
  <si>
    <t>XXX-XX-8693</t>
  </si>
  <si>
    <t>04/15/2024</t>
  </si>
  <si>
    <t>XXX-XX-2741</t>
  </si>
  <si>
    <t>04/13/2024</t>
  </si>
  <si>
    <t>XXX-XX-7257</t>
  </si>
  <si>
    <t>05/19/XXXX</t>
  </si>
  <si>
    <t>$322.92</t>
  </si>
  <si>
    <t>04/09/2024</t>
  </si>
  <si>
    <t>XXX-XX-7752</t>
  </si>
  <si>
    <t>04/06/XXXX</t>
  </si>
  <si>
    <t>04/01/2024</t>
  </si>
  <si>
    <t>XXX-XX-6169</t>
  </si>
  <si>
    <t>12/18/2000</t>
  </si>
  <si>
    <t>05/31/2024</t>
  </si>
  <si>
    <t>02/10/1999</t>
  </si>
  <si>
    <t>S1H0v037</t>
  </si>
  <si>
    <t>It Systems Analyst</t>
  </si>
  <si>
    <t>Gis Manager</t>
  </si>
  <si>
    <t>Gis Technician</t>
  </si>
  <si>
    <t>YEAR-TO-DATE AT 5-31-2024</t>
  </si>
  <si>
    <t>9/25/2024 9:13:13 AM</t>
  </si>
  <si>
    <t>First Name</t>
  </si>
  <si>
    <t>MI</t>
  </si>
  <si>
    <t>Last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</si>
</sst>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* #,##0_);_(* \(#,##0\);_(* &quot;-0-&quot;_)_);_(@_)"/>
    <numFmt numFmtId="166" formatCode="0_);\(0\)"/>
    <numFmt numFmtId="167" formatCode="mm/dd/yy_)"/>
    <numFmt numFmtId="168" formatCode="&quot;$&quot;#,##0"/>
    <numFmt numFmtId="169" formatCode="#,##0.0"/>
    <numFmt numFmtId="170" formatCode="#,##0.000"/>
    <numFmt numFmtId="171" formatCode="&quot;$&quot;#,##0.00"/>
    <numFmt numFmtId="172" formatCode="0.0%"/>
    <numFmt numFmtId="173" formatCode="0.0000"/>
    <numFmt numFmtId="174" formatCode="0.00000"/>
    <numFmt numFmtId="175" formatCode="0.000%"/>
    <numFmt numFmtId="176" formatCode="_(* #,##0_);_(* \(#,##0\);_(* &quot;-&quot;??_);_(@_)"/>
    <numFmt numFmtId="177" formatCode="m/d/yy;@"/>
    <numFmt numFmtId="178" formatCode="\ ###0\ "/>
    <numFmt numFmtId="179" formatCode="\ #,##0.00\ "/>
    <numFmt numFmtId="180" formatCode="_(* #,##0.000_);_(* \(#,##0.000\);_(* &quot;-&quot;??_);_(@_)"/>
    <numFmt numFmtId="181" formatCode="0.0000%"/>
    <numFmt numFmtId="182" formatCode="0.00000%"/>
    <numFmt numFmtId="183" formatCode="0.000000"/>
    <numFmt numFmtId="184" formatCode="\$#,###.00;\$\-#,###.00;\$0.00"/>
    <numFmt numFmtId="185" formatCode="#,###.00;\-#,###.00;0.00"/>
    <numFmt numFmtId="186" formatCode="mm/dd/yyyy"/>
    <numFmt numFmtId="187" formatCode="mm/dd/yy;@"/>
    <numFmt numFmtId="188" formatCode="\$#,##0.00;\-\$#,##0.00;\$#,##0.00"/>
    <numFmt numFmtId="189" formatCode="0.00000000000000%"/>
  </numFmts>
  <fonts count="104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9"/>
      <name val="Helv"/>
    </font>
    <font>
      <sz val="10"/>
      <color theme="0" tint="-0.249977111117893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b/>
      <sz val="9"/>
      <color theme="1"/>
      <name val="Helv"/>
    </font>
    <font>
      <sz val="9"/>
      <color theme="0" tint="-0.499984740745262"/>
      <name val="Helv"/>
    </font>
    <font>
      <b/>
      <sz val="9"/>
      <name val="Calibri"/>
      <family val="2"/>
      <scheme val="minor"/>
    </font>
    <font>
      <sz val="10"/>
      <name val="Calibri"/>
      <family val="2"/>
    </font>
    <font>
      <sz val="12"/>
      <name val="Helv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Calibri"/>
      <family val="2"/>
    </font>
    <font>
      <b/>
      <sz val="12"/>
      <color theme="1"/>
      <name val="Calibri"/>
      <family val="2"/>
    </font>
    <font>
      <sz val="12"/>
      <color theme="0" tint="-0.499984740745262"/>
      <name val="Calibri"/>
      <family val="2"/>
    </font>
    <font>
      <sz val="12"/>
      <color theme="1"/>
      <name val="Calibri"/>
      <family val="2"/>
    </font>
    <font>
      <sz val="12"/>
      <name val="Calibri"/>
      <family val="2"/>
      <scheme val="minor"/>
    </font>
    <font>
      <b/>
      <sz val="14"/>
      <color theme="1"/>
      <name val="Calibri"/>
      <family val="2"/>
    </font>
    <font>
      <b/>
      <sz val="12"/>
      <name val="Calibri"/>
      <family val="2"/>
      <scheme val="minor"/>
    </font>
    <font>
      <b/>
      <sz val="18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2"/>
      <name val="Helv"/>
    </font>
    <font>
      <b/>
      <sz val="16"/>
      <name val="Helv"/>
    </font>
    <font>
      <sz val="10"/>
      <name val="Times New Roman"/>
      <family val="1"/>
    </font>
    <font>
      <b/>
      <sz val="10"/>
      <name val="Arial"/>
      <family val="2"/>
    </font>
    <font>
      <strike/>
      <sz val="10"/>
      <name val="Arial"/>
      <family val="2"/>
    </font>
    <font>
      <sz val="10"/>
      <color indexed="12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Helv"/>
    </font>
    <font>
      <sz val="9"/>
      <color theme="1"/>
      <name val="Helv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Helv"/>
    </font>
    <font>
      <sz val="10"/>
      <color rgb="FF000000"/>
      <name val="Arial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Arial"/>
      <family val="2"/>
    </font>
    <font>
      <b/>
      <sz val="18"/>
      <color rgb="FF000000"/>
      <name val="Calibri"/>
      <family val="2"/>
    </font>
    <font>
      <sz val="9"/>
      <color rgb="FF000000"/>
      <name val="Verdana"/>
      <family val="2"/>
    </font>
    <font>
      <sz val="8"/>
      <color rgb="FF000000"/>
      <name val="Verdana"/>
      <family val="2"/>
    </font>
    <font>
      <sz val="15"/>
      <color rgb="FF000000"/>
      <name val="Calibri"/>
      <family val="2"/>
    </font>
    <font>
      <u/>
      <sz val="8"/>
      <color rgb="FF4682B4"/>
      <name val="Calibri"/>
      <family val="2"/>
    </font>
    <font>
      <b/>
      <sz val="8"/>
      <color rgb="FF000000"/>
      <name val="Calibri"/>
      <family val="2"/>
    </font>
    <font>
      <u/>
      <sz val="8"/>
      <color rgb="FF4682B4"/>
      <name val="Calibri"/>
      <family val="2"/>
    </font>
    <font>
      <sz val="8"/>
      <color rgb="FF000000"/>
      <name val="Calibri"/>
      <family val="2"/>
    </font>
    <font>
      <b/>
      <sz val="14"/>
      <color rgb="FF000000"/>
      <name val="Calibri"/>
      <family val="2"/>
    </font>
    <font>
      <sz val="8"/>
      <color rgb="FF000000"/>
      <name val="Arial"/>
      <family val="2"/>
    </font>
    <font>
      <sz val="6"/>
      <color rgb="FF808080"/>
      <name val="Verdana"/>
      <family val="2"/>
    </font>
    <font>
      <b/>
      <sz val="9"/>
      <color rgb="FF000000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Proxima Nova Rg"/>
    </font>
    <font>
      <sz val="11"/>
      <color theme="1"/>
      <name val="Calibri"/>
      <family val="2"/>
    </font>
    <font>
      <sz val="9"/>
      <color rgb="FF000000"/>
      <name val="Serif"/>
      <family val="1"/>
    </font>
    <font>
      <sz val="9"/>
      <name val="Arial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sz val="6"/>
      <color rgb="FF808080"/>
      <name val="Verdana"/>
      <family val="2"/>
    </font>
    <font>
      <b/>
      <sz val="9"/>
      <color rgb="FF000000"/>
      <name val="Calibri"/>
      <family val="2"/>
    </font>
    <font>
      <b/>
      <sz val="14"/>
      <color rgb="FF000000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</font>
    <font>
      <sz val="10"/>
      <color rgb="FF000000"/>
      <name val="Microsoft Sans Serif"/>
      <family val="2"/>
    </font>
    <font>
      <sz val="10"/>
      <name val="Microsoft Sans Serif"/>
      <family val="2"/>
    </font>
    <font>
      <u/>
      <sz val="10"/>
      <color rgb="FF304FFE"/>
      <name val="Microsoft Sans Serif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/>
      <right/>
      <top style="thin">
        <color rgb="FF80808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double">
        <color rgb="FF808080"/>
      </bottom>
      <diagonal/>
    </border>
    <border>
      <left/>
      <right/>
      <top style="double">
        <color rgb="FF80808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4">
    <xf numFmtId="0" fontId="0" fillId="0" borderId="0"/>
    <xf numFmtId="0" fontId="30" fillId="0" borderId="0"/>
    <xf numFmtId="0" fontId="29" fillId="0" borderId="0"/>
    <xf numFmtId="0" fontId="28" fillId="0" borderId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5" fillId="0" borderId="0">
      <alignment wrapText="1"/>
    </xf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44" fillId="0" borderId="0"/>
    <xf numFmtId="0" fontId="58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70" fillId="0" borderId="0"/>
    <xf numFmtId="0" fontId="19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4" fontId="44" fillId="0" borderId="0" applyFont="0" applyFill="0" applyBorder="0" applyAlignment="0" applyProtection="0"/>
    <xf numFmtId="0" fontId="89" fillId="0" borderId="0"/>
    <xf numFmtId="0" fontId="100" fillId="0" borderId="0"/>
  </cellStyleXfs>
  <cellXfs count="645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/>
    <xf numFmtId="164" fontId="33" fillId="0" borderId="0" xfId="0" applyNumberFormat="1" applyFont="1"/>
    <xf numFmtId="14" fontId="33" fillId="0" borderId="0" xfId="0" applyNumberFormat="1" applyFont="1"/>
    <xf numFmtId="3" fontId="33" fillId="0" borderId="0" xfId="0" applyNumberFormat="1" applyFont="1"/>
    <xf numFmtId="0" fontId="33" fillId="2" borderId="0" xfId="0" applyFont="1" applyFill="1"/>
    <xf numFmtId="0" fontId="33" fillId="4" borderId="0" xfId="0" applyFont="1" applyFill="1"/>
    <xf numFmtId="2" fontId="33" fillId="0" borderId="0" xfId="0" applyNumberFormat="1" applyFont="1"/>
    <xf numFmtId="4" fontId="33" fillId="0" borderId="0" xfId="0" applyNumberFormat="1" applyFont="1"/>
    <xf numFmtId="4" fontId="33" fillId="3" borderId="0" xfId="0" applyNumberFormat="1" applyFont="1" applyFill="1"/>
    <xf numFmtId="0" fontId="34" fillId="0" borderId="0" xfId="0" applyFont="1"/>
    <xf numFmtId="0" fontId="33" fillId="5" borderId="0" xfId="0" applyFont="1" applyFill="1"/>
    <xf numFmtId="10" fontId="33" fillId="0" borderId="0" xfId="0" applyNumberFormat="1" applyFont="1"/>
    <xf numFmtId="0" fontId="33" fillId="3" borderId="0" xfId="0" applyFont="1" applyFill="1"/>
    <xf numFmtId="0" fontId="33" fillId="6" borderId="0" xfId="0" applyFont="1" applyFill="1"/>
    <xf numFmtId="0" fontId="33" fillId="7" borderId="0" xfId="0" applyFont="1" applyFill="1"/>
    <xf numFmtId="165" fontId="33" fillId="0" borderId="0" xfId="0" applyNumberFormat="1" applyFont="1" applyAlignment="1">
      <alignment vertical="top"/>
    </xf>
    <xf numFmtId="169" fontId="33" fillId="0" borderId="0" xfId="0" applyNumberFormat="1" applyFont="1"/>
    <xf numFmtId="0" fontId="33" fillId="0" borderId="0" xfId="0" applyFont="1" applyAlignment="1">
      <alignment horizontal="left"/>
    </xf>
    <xf numFmtId="3" fontId="36" fillId="0" borderId="0" xfId="0" applyNumberFormat="1" applyFont="1"/>
    <xf numFmtId="0" fontId="33" fillId="9" borderId="0" xfId="0" applyFont="1" applyFill="1"/>
    <xf numFmtId="0" fontId="34" fillId="2" borderId="0" xfId="0" applyFont="1" applyFill="1" applyAlignment="1">
      <alignment horizontal="center"/>
    </xf>
    <xf numFmtId="10" fontId="34" fillId="4" borderId="2" xfId="0" applyNumberFormat="1" applyFont="1" applyFill="1" applyBorder="1" applyAlignment="1">
      <alignment horizontal="center"/>
    </xf>
    <xf numFmtId="0" fontId="34" fillId="4" borderId="3" xfId="0" applyFont="1" applyFill="1" applyBorder="1"/>
    <xf numFmtId="10" fontId="34" fillId="4" borderId="3" xfId="0" applyNumberFormat="1" applyFont="1" applyFill="1" applyBorder="1" applyAlignment="1">
      <alignment horizontal="right"/>
    </xf>
    <xf numFmtId="0" fontId="34" fillId="2" borderId="4" xfId="0" applyFont="1" applyFill="1" applyBorder="1"/>
    <xf numFmtId="0" fontId="34" fillId="2" borderId="3" xfId="0" applyFont="1" applyFill="1" applyBorder="1"/>
    <xf numFmtId="10" fontId="34" fillId="0" borderId="0" xfId="0" applyNumberFormat="1" applyFont="1"/>
    <xf numFmtId="10" fontId="34" fillId="0" borderId="8" xfId="0" applyNumberFormat="1" applyFont="1" applyBorder="1"/>
    <xf numFmtId="0" fontId="34" fillId="4" borderId="1" xfId="0" applyFont="1" applyFill="1" applyBorder="1" applyAlignment="1">
      <alignment horizontal="left"/>
    </xf>
    <xf numFmtId="0" fontId="33" fillId="10" borderId="0" xfId="0" applyFont="1" applyFill="1"/>
    <xf numFmtId="0" fontId="34" fillId="8" borderId="0" xfId="0" applyFont="1" applyFill="1" applyAlignment="1">
      <alignment horizontal="center"/>
    </xf>
    <xf numFmtId="0" fontId="33" fillId="8" borderId="0" xfId="0" applyFont="1" applyFill="1"/>
    <xf numFmtId="0" fontId="33" fillId="11" borderId="0" xfId="0" applyFont="1" applyFill="1"/>
    <xf numFmtId="10" fontId="34" fillId="2" borderId="10" xfId="0" applyNumberFormat="1" applyFont="1" applyFill="1" applyBorder="1" applyAlignment="1">
      <alignment horizontal="center"/>
    </xf>
    <xf numFmtId="10" fontId="34" fillId="2" borderId="6" xfId="0" applyNumberFormat="1" applyFont="1" applyFill="1" applyBorder="1" applyAlignment="1">
      <alignment horizontal="center"/>
    </xf>
    <xf numFmtId="10" fontId="34" fillId="0" borderId="6" xfId="0" applyNumberFormat="1" applyFont="1" applyBorder="1"/>
    <xf numFmtId="10" fontId="34" fillId="0" borderId="9" xfId="0" applyNumberFormat="1" applyFont="1" applyBorder="1"/>
    <xf numFmtId="172" fontId="37" fillId="0" borderId="0" xfId="0" applyNumberFormat="1" applyFont="1"/>
    <xf numFmtId="172" fontId="34" fillId="0" borderId="0" xfId="0" applyNumberFormat="1" applyFont="1"/>
    <xf numFmtId="10" fontId="38" fillId="0" borderId="0" xfId="0" applyNumberFormat="1" applyFont="1"/>
    <xf numFmtId="173" fontId="34" fillId="2" borderId="0" xfId="0" applyNumberFormat="1" applyFont="1" applyFill="1" applyAlignment="1">
      <alignment horizontal="center"/>
    </xf>
    <xf numFmtId="173" fontId="30" fillId="0" borderId="0" xfId="1" applyNumberFormat="1"/>
    <xf numFmtId="173" fontId="34" fillId="0" borderId="0" xfId="0" applyNumberFormat="1" applyFont="1"/>
    <xf numFmtId="174" fontId="34" fillId="0" borderId="0" xfId="0" applyNumberFormat="1" applyFont="1"/>
    <xf numFmtId="0" fontId="36" fillId="0" borderId="0" xfId="0" applyFont="1"/>
    <xf numFmtId="0" fontId="32" fillId="3" borderId="0" xfId="0" applyFont="1" applyFill="1"/>
    <xf numFmtId="0" fontId="33" fillId="0" borderId="0" xfId="0" applyFont="1" applyAlignment="1">
      <alignment horizontal="center"/>
    </xf>
    <xf numFmtId="5" fontId="33" fillId="0" borderId="0" xfId="0" applyNumberFormat="1" applyFont="1"/>
    <xf numFmtId="164" fontId="32" fillId="0" borderId="0" xfId="0" applyNumberFormat="1" applyFont="1"/>
    <xf numFmtId="4" fontId="32" fillId="0" borderId="0" xfId="0" applyNumberFormat="1" applyFont="1"/>
    <xf numFmtId="0" fontId="39" fillId="0" borderId="0" xfId="0" applyFont="1"/>
    <xf numFmtId="169" fontId="32" fillId="0" borderId="0" xfId="0" applyNumberFormat="1" applyFont="1"/>
    <xf numFmtId="4" fontId="33" fillId="8" borderId="0" xfId="0" applyNumberFormat="1" applyFont="1" applyFill="1"/>
    <xf numFmtId="170" fontId="33" fillId="0" borderId="0" xfId="0" applyNumberFormat="1" applyFont="1"/>
    <xf numFmtId="0" fontId="35" fillId="0" borderId="0" xfId="0" applyFont="1"/>
    <xf numFmtId="3" fontId="32" fillId="0" borderId="0" xfId="0" applyNumberFormat="1" applyFont="1"/>
    <xf numFmtId="1" fontId="33" fillId="0" borderId="0" xfId="0" applyNumberFormat="1" applyFont="1"/>
    <xf numFmtId="166" fontId="33" fillId="0" borderId="0" xfId="0" applyNumberFormat="1" applyFont="1"/>
    <xf numFmtId="166" fontId="32" fillId="0" borderId="0" xfId="0" applyNumberFormat="1" applyFont="1"/>
    <xf numFmtId="2" fontId="33" fillId="0" borderId="0" xfId="0" applyNumberFormat="1" applyFont="1" applyAlignment="1">
      <alignment horizontal="right"/>
    </xf>
    <xf numFmtId="173" fontId="27" fillId="0" borderId="0" xfId="1" applyNumberFormat="1" applyFont="1"/>
    <xf numFmtId="49" fontId="32" fillId="0" borderId="0" xfId="0" applyNumberFormat="1" applyFont="1"/>
    <xf numFmtId="0" fontId="33" fillId="6" borderId="0" xfId="0" applyFont="1" applyFill="1" applyAlignment="1">
      <alignment horizontal="center"/>
    </xf>
    <xf numFmtId="49" fontId="33" fillId="6" borderId="0" xfId="0" applyNumberFormat="1" applyFont="1" applyFill="1"/>
    <xf numFmtId="3" fontId="33" fillId="8" borderId="0" xfId="0" applyNumberFormat="1" applyFont="1" applyFill="1"/>
    <xf numFmtId="3" fontId="33" fillId="12" borderId="0" xfId="0" applyNumberFormat="1" applyFont="1" applyFill="1"/>
    <xf numFmtId="4" fontId="33" fillId="8" borderId="0" xfId="0" applyNumberFormat="1" applyFont="1" applyFill="1" applyAlignment="1">
      <alignment vertical="top"/>
    </xf>
    <xf numFmtId="4" fontId="33" fillId="0" borderId="0" xfId="0" applyNumberFormat="1" applyFont="1" applyAlignment="1">
      <alignment vertical="top"/>
    </xf>
    <xf numFmtId="165" fontId="33" fillId="11" borderId="0" xfId="0" applyNumberFormat="1" applyFont="1" applyFill="1" applyAlignment="1">
      <alignment vertical="top"/>
    </xf>
    <xf numFmtId="164" fontId="33" fillId="5" borderId="0" xfId="0" applyNumberFormat="1" applyFont="1" applyFill="1"/>
    <xf numFmtId="49" fontId="33" fillId="5" borderId="0" xfId="0" applyNumberFormat="1" applyFont="1" applyFill="1"/>
    <xf numFmtId="4" fontId="33" fillId="5" borderId="0" xfId="0" applyNumberFormat="1" applyFont="1" applyFill="1"/>
    <xf numFmtId="3" fontId="33" fillId="5" borderId="0" xfId="0" applyNumberFormat="1" applyFont="1" applyFill="1"/>
    <xf numFmtId="169" fontId="33" fillId="5" borderId="0" xfId="0" applyNumberFormat="1" applyFont="1" applyFill="1"/>
    <xf numFmtId="0" fontId="43" fillId="0" borderId="0" xfId="0" applyFont="1" applyAlignment="1">
      <alignment vertical="center"/>
    </xf>
    <xf numFmtId="3" fontId="43" fillId="0" borderId="0" xfId="0" applyNumberFormat="1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0" fontId="43" fillId="0" borderId="8" xfId="0" applyFont="1" applyBorder="1" applyAlignment="1">
      <alignment vertical="center"/>
    </xf>
    <xf numFmtId="3" fontId="43" fillId="0" borderId="8" xfId="0" applyNumberFormat="1" applyFont="1" applyBorder="1" applyAlignment="1">
      <alignment horizontal="right" vertical="center"/>
    </xf>
    <xf numFmtId="4" fontId="33" fillId="4" borderId="0" xfId="0" applyNumberFormat="1" applyFont="1" applyFill="1" applyAlignment="1">
      <alignment vertical="top"/>
    </xf>
    <xf numFmtId="0" fontId="41" fillId="0" borderId="0" xfId="0" applyFont="1"/>
    <xf numFmtId="172" fontId="33" fillId="0" borderId="0" xfId="0" applyNumberFormat="1" applyFont="1"/>
    <xf numFmtId="10" fontId="34" fillId="0" borderId="5" xfId="0" applyNumberFormat="1" applyFont="1" applyBorder="1"/>
    <xf numFmtId="10" fontId="0" fillId="0" borderId="0" xfId="4" applyNumberFormat="1" applyFont="1"/>
    <xf numFmtId="43" fontId="33" fillId="0" borderId="0" xfId="5" applyFont="1" applyFill="1"/>
    <xf numFmtId="43" fontId="33" fillId="0" borderId="0" xfId="5" applyFont="1"/>
    <xf numFmtId="0" fontId="29" fillId="0" borderId="0" xfId="2"/>
    <xf numFmtId="0" fontId="31" fillId="0" borderId="0" xfId="2" applyFont="1"/>
    <xf numFmtId="176" fontId="0" fillId="0" borderId="0" xfId="0" applyNumberFormat="1"/>
    <xf numFmtId="10" fontId="33" fillId="0" borderId="0" xfId="4" applyNumberFormat="1" applyFont="1" applyFill="1"/>
    <xf numFmtId="176" fontId="33" fillId="0" borderId="0" xfId="5" applyNumberFormat="1" applyFont="1" applyFill="1"/>
    <xf numFmtId="3" fontId="46" fillId="0" borderId="0" xfId="0" applyNumberFormat="1" applyFont="1"/>
    <xf numFmtId="0" fontId="46" fillId="0" borderId="4" xfId="0" applyFont="1" applyBorder="1" applyAlignment="1">
      <alignment horizontal="left"/>
    </xf>
    <xf numFmtId="0" fontId="46" fillId="0" borderId="3" xfId="0" applyFont="1" applyBorder="1"/>
    <xf numFmtId="0" fontId="46" fillId="0" borderId="11" xfId="0" applyFont="1" applyBorder="1"/>
    <xf numFmtId="0" fontId="46" fillId="0" borderId="0" xfId="0" applyFont="1" applyAlignment="1">
      <alignment horizontal="center"/>
    </xf>
    <xf numFmtId="177" fontId="33" fillId="0" borderId="0" xfId="0" applyNumberFormat="1" applyFont="1"/>
    <xf numFmtId="10" fontId="34" fillId="0" borderId="0" xfId="4" applyNumberFormat="1" applyFont="1"/>
    <xf numFmtId="0" fontId="40" fillId="0" borderId="0" xfId="0" applyFont="1"/>
    <xf numFmtId="0" fontId="47" fillId="0" borderId="0" xfId="0" applyFont="1"/>
    <xf numFmtId="0" fontId="49" fillId="0" borderId="0" xfId="0" applyFont="1"/>
    <xf numFmtId="0" fontId="50" fillId="0" borderId="0" xfId="0" applyFont="1"/>
    <xf numFmtId="168" fontId="50" fillId="0" borderId="0" xfId="0" applyNumberFormat="1" applyFont="1"/>
    <xf numFmtId="10" fontId="50" fillId="0" borderId="0" xfId="0" applyNumberFormat="1" applyFont="1"/>
    <xf numFmtId="0" fontId="50" fillId="0" borderId="0" xfId="0" applyFont="1" applyAlignment="1">
      <alignment horizontal="left"/>
    </xf>
    <xf numFmtId="0" fontId="50" fillId="0" borderId="0" xfId="0" applyFont="1" applyAlignment="1">
      <alignment horizontal="left" indent="1"/>
    </xf>
    <xf numFmtId="171" fontId="50" fillId="0" borderId="0" xfId="0" applyNumberFormat="1" applyFont="1"/>
    <xf numFmtId="0" fontId="48" fillId="0" borderId="16" xfId="0" applyFont="1" applyBorder="1" applyAlignment="1">
      <alignment horizontal="left" indent="1"/>
    </xf>
    <xf numFmtId="168" fontId="48" fillId="0" borderId="16" xfId="0" applyNumberFormat="1" applyFont="1" applyBorder="1"/>
    <xf numFmtId="0" fontId="53" fillId="0" borderId="16" xfId="0" applyFont="1" applyBorder="1"/>
    <xf numFmtId="4" fontId="32" fillId="3" borderId="16" xfId="0" applyNumberFormat="1" applyFont="1" applyFill="1" applyBorder="1"/>
    <xf numFmtId="0" fontId="33" fillId="13" borderId="0" xfId="0" applyFont="1" applyFill="1"/>
    <xf numFmtId="0" fontId="24" fillId="0" borderId="0" xfId="12"/>
    <xf numFmtId="14" fontId="24" fillId="0" borderId="0" xfId="12" applyNumberFormat="1"/>
    <xf numFmtId="0" fontId="55" fillId="0" borderId="0" xfId="12" applyFont="1"/>
    <xf numFmtId="0" fontId="45" fillId="0" borderId="0" xfId="12" applyFont="1"/>
    <xf numFmtId="0" fontId="31" fillId="0" borderId="0" xfId="12" applyFont="1"/>
    <xf numFmtId="172" fontId="45" fillId="0" borderId="0" xfId="12" applyNumberFormat="1" applyFont="1"/>
    <xf numFmtId="0" fontId="45" fillId="14" borderId="0" xfId="12" applyFont="1" applyFill="1"/>
    <xf numFmtId="43" fontId="45" fillId="0" borderId="0" xfId="13" applyFont="1"/>
    <xf numFmtId="43" fontId="45" fillId="14" borderId="0" xfId="12" applyNumberFormat="1" applyFont="1" applyFill="1"/>
    <xf numFmtId="10" fontId="45" fillId="0" borderId="0" xfId="14" applyNumberFormat="1" applyFont="1"/>
    <xf numFmtId="176" fontId="31" fillId="0" borderId="0" xfId="13" applyNumberFormat="1" applyFont="1"/>
    <xf numFmtId="3" fontId="55" fillId="0" borderId="0" xfId="12" applyNumberFormat="1" applyFont="1"/>
    <xf numFmtId="0" fontId="24" fillId="0" borderId="0" xfId="15" applyProtection="1">
      <protection locked="0"/>
    </xf>
    <xf numFmtId="0" fontId="24" fillId="0" borderId="0" xfId="15"/>
    <xf numFmtId="0" fontId="44" fillId="0" borderId="0" xfId="16"/>
    <xf numFmtId="0" fontId="31" fillId="0" borderId="0" xfId="16" applyFont="1"/>
    <xf numFmtId="0" fontId="45" fillId="0" borderId="0" xfId="16" applyFont="1"/>
    <xf numFmtId="0" fontId="24" fillId="0" borderId="0" xfId="15" quotePrefix="1"/>
    <xf numFmtId="0" fontId="56" fillId="10" borderId="20" xfId="16" applyFont="1" applyFill="1" applyBorder="1"/>
    <xf numFmtId="0" fontId="56" fillId="10" borderId="1" xfId="16" applyFont="1" applyFill="1" applyBorder="1"/>
    <xf numFmtId="41" fontId="44" fillId="0" borderId="0" xfId="16" applyNumberFormat="1"/>
    <xf numFmtId="0" fontId="56" fillId="15" borderId="20" xfId="16" applyFont="1" applyFill="1" applyBorder="1"/>
    <xf numFmtId="0" fontId="56" fillId="15" borderId="1" xfId="16" applyFont="1" applyFill="1" applyBorder="1"/>
    <xf numFmtId="0" fontId="56" fillId="14" borderId="20" xfId="16" applyFont="1" applyFill="1" applyBorder="1"/>
    <xf numFmtId="0" fontId="56" fillId="14" borderId="1" xfId="16" applyFont="1" applyFill="1" applyBorder="1"/>
    <xf numFmtId="0" fontId="56" fillId="16" borderId="20" xfId="16" applyFont="1" applyFill="1" applyBorder="1"/>
    <xf numFmtId="0" fontId="56" fillId="16" borderId="1" xfId="16" applyFont="1" applyFill="1" applyBorder="1"/>
    <xf numFmtId="0" fontId="57" fillId="17" borderId="20" xfId="16" applyFont="1" applyFill="1" applyBorder="1"/>
    <xf numFmtId="0" fontId="57" fillId="17" borderId="1" xfId="16" applyFont="1" applyFill="1" applyBorder="1"/>
    <xf numFmtId="0" fontId="24" fillId="0" borderId="0" xfId="15" applyAlignment="1">
      <alignment horizontal="centerContinuous"/>
    </xf>
    <xf numFmtId="0" fontId="45" fillId="0" borderId="0" xfId="17" applyFont="1" applyAlignment="1">
      <alignment vertical="center"/>
    </xf>
    <xf numFmtId="0" fontId="58" fillId="0" borderId="0" xfId="17"/>
    <xf numFmtId="0" fontId="24" fillId="0" borderId="0" xfId="15" applyAlignment="1">
      <alignment horizontal="center"/>
    </xf>
    <xf numFmtId="0" fontId="59" fillId="0" borderId="0" xfId="17" applyFont="1" applyAlignment="1">
      <alignment vertical="center"/>
    </xf>
    <xf numFmtId="0" fontId="24" fillId="0" borderId="0" xfId="15" applyAlignment="1">
      <alignment horizontal="left"/>
    </xf>
    <xf numFmtId="0" fontId="45" fillId="0" borderId="0" xfId="17" applyFont="1" applyAlignment="1">
      <alignment horizontal="center" vertical="center" wrapText="1"/>
    </xf>
    <xf numFmtId="0" fontId="24" fillId="0" borderId="14" xfId="15" applyBorder="1" applyAlignment="1">
      <alignment horizontal="center"/>
    </xf>
    <xf numFmtId="0" fontId="24" fillId="0" borderId="0" xfId="15" applyAlignment="1">
      <alignment horizontal="justify"/>
    </xf>
    <xf numFmtId="0" fontId="45" fillId="0" borderId="0" xfId="17" applyFont="1"/>
    <xf numFmtId="14" fontId="24" fillId="0" borderId="0" xfId="15" applyNumberFormat="1" applyAlignment="1">
      <alignment horizontal="center"/>
    </xf>
    <xf numFmtId="167" fontId="24" fillId="0" borderId="0" xfId="15" applyNumberFormat="1" applyAlignment="1">
      <alignment horizontal="center"/>
    </xf>
    <xf numFmtId="41" fontId="24" fillId="1" borderId="12" xfId="15" applyNumberFormat="1" applyFill="1" applyBorder="1"/>
    <xf numFmtId="41" fontId="24" fillId="1" borderId="21" xfId="15" applyNumberFormat="1" applyFill="1" applyBorder="1"/>
    <xf numFmtId="41" fontId="24" fillId="1" borderId="0" xfId="15" applyNumberFormat="1" applyFill="1"/>
    <xf numFmtId="1" fontId="24" fillId="0" borderId="0" xfId="15" applyNumberFormat="1" applyAlignment="1">
      <alignment horizontal="center"/>
    </xf>
    <xf numFmtId="41" fontId="24" fillId="18" borderId="0" xfId="15" applyNumberFormat="1" applyFill="1"/>
    <xf numFmtId="49" fontId="45" fillId="0" borderId="0" xfId="17" applyNumberFormat="1" applyFont="1" applyAlignment="1">
      <alignment vertical="center"/>
    </xf>
    <xf numFmtId="41" fontId="24" fillId="0" borderId="0" xfId="15" applyNumberFormat="1"/>
    <xf numFmtId="41" fontId="24" fillId="1" borderId="22" xfId="15" applyNumberFormat="1" applyFill="1" applyBorder="1"/>
    <xf numFmtId="41" fontId="24" fillId="1" borderId="23" xfId="15" applyNumberFormat="1" applyFill="1" applyBorder="1"/>
    <xf numFmtId="49" fontId="60" fillId="0" borderId="0" xfId="17" applyNumberFormat="1" applyFont="1" applyAlignment="1">
      <alignment vertical="center"/>
    </xf>
    <xf numFmtId="49" fontId="45" fillId="0" borderId="0" xfId="17" applyNumberFormat="1" applyFont="1" applyAlignment="1">
      <alignment horizontal="center" vertical="center"/>
    </xf>
    <xf numFmtId="0" fontId="45" fillId="0" borderId="0" xfId="17" applyFont="1" applyAlignment="1">
      <alignment horizontal="center" vertical="center"/>
    </xf>
    <xf numFmtId="14" fontId="61" fillId="0" borderId="0" xfId="15" applyNumberFormat="1" applyFont="1" applyAlignment="1">
      <alignment horizontal="center"/>
    </xf>
    <xf numFmtId="49" fontId="59" fillId="0" borderId="0" xfId="17" applyNumberFormat="1" applyFont="1" applyAlignment="1">
      <alignment vertical="center"/>
    </xf>
    <xf numFmtId="0" fontId="59" fillId="0" borderId="1" xfId="17" applyFont="1" applyBorder="1" applyAlignment="1">
      <alignment vertical="center"/>
    </xf>
    <xf numFmtId="0" fontId="59" fillId="0" borderId="2" xfId="17" applyFont="1" applyBorder="1" applyAlignment="1">
      <alignment vertical="center"/>
    </xf>
    <xf numFmtId="0" fontId="59" fillId="0" borderId="20" xfId="17" applyFont="1" applyBorder="1" applyAlignment="1">
      <alignment vertical="center"/>
    </xf>
    <xf numFmtId="0" fontId="45" fillId="0" borderId="1" xfId="17" applyFont="1" applyBorder="1" applyAlignment="1">
      <alignment vertical="center"/>
    </xf>
    <xf numFmtId="0" fontId="45" fillId="0" borderId="2" xfId="17" applyFont="1" applyBorder="1" applyAlignment="1">
      <alignment vertical="center"/>
    </xf>
    <xf numFmtId="180" fontId="24" fillId="0" borderId="0" xfId="15" applyNumberFormat="1"/>
    <xf numFmtId="14" fontId="24" fillId="0" borderId="15" xfId="15" applyNumberFormat="1" applyBorder="1" applyAlignment="1">
      <alignment horizontal="center"/>
    </xf>
    <xf numFmtId="14" fontId="24" fillId="0" borderId="16" xfId="15" applyNumberFormat="1" applyBorder="1" applyAlignment="1">
      <alignment horizontal="center"/>
    </xf>
    <xf numFmtId="167" fontId="24" fillId="0" borderId="16" xfId="15" applyNumberFormat="1" applyBorder="1" applyAlignment="1">
      <alignment horizontal="center"/>
    </xf>
    <xf numFmtId="41" fontId="24" fillId="0" borderId="16" xfId="15" applyNumberFormat="1" applyBorder="1"/>
    <xf numFmtId="180" fontId="24" fillId="0" borderId="16" xfId="15" applyNumberFormat="1" applyBorder="1"/>
    <xf numFmtId="1" fontId="24" fillId="0" borderId="16" xfId="15" applyNumberFormat="1" applyBorder="1" applyAlignment="1">
      <alignment horizontal="center"/>
    </xf>
    <xf numFmtId="1" fontId="24" fillId="0" borderId="17" xfId="15" applyNumberFormat="1" applyBorder="1" applyAlignment="1">
      <alignment horizontal="center"/>
    </xf>
    <xf numFmtId="14" fontId="24" fillId="0" borderId="24" xfId="15" applyNumberFormat="1" applyBorder="1" applyAlignment="1">
      <alignment horizontal="center"/>
    </xf>
    <xf numFmtId="1" fontId="24" fillId="0" borderId="25" xfId="15" applyNumberFormat="1" applyBorder="1" applyAlignment="1">
      <alignment horizontal="center"/>
    </xf>
    <xf numFmtId="14" fontId="24" fillId="0" borderId="26" xfId="15" applyNumberFormat="1" applyBorder="1" applyAlignment="1">
      <alignment horizontal="center"/>
    </xf>
    <xf numFmtId="14" fontId="24" fillId="0" borderId="13" xfId="15" applyNumberFormat="1" applyBorder="1" applyAlignment="1">
      <alignment horizontal="center"/>
    </xf>
    <xf numFmtId="167" fontId="24" fillId="0" borderId="13" xfId="15" applyNumberFormat="1" applyBorder="1" applyAlignment="1">
      <alignment horizontal="center"/>
    </xf>
    <xf numFmtId="41" fontId="24" fillId="0" borderId="13" xfId="15" applyNumberFormat="1" applyBorder="1"/>
    <xf numFmtId="180" fontId="24" fillId="0" borderId="13" xfId="15" applyNumberFormat="1" applyBorder="1"/>
    <xf numFmtId="1" fontId="24" fillId="0" borderId="13" xfId="15" applyNumberFormat="1" applyBorder="1" applyAlignment="1">
      <alignment horizontal="center"/>
    </xf>
    <xf numFmtId="1" fontId="24" fillId="0" borderId="27" xfId="15" applyNumberFormat="1" applyBorder="1" applyAlignment="1">
      <alignment horizontal="center"/>
    </xf>
    <xf numFmtId="14" fontId="24" fillId="0" borderId="18" xfId="15" applyNumberFormat="1" applyBorder="1" applyAlignment="1">
      <alignment horizontal="center"/>
    </xf>
    <xf numFmtId="14" fontId="24" fillId="0" borderId="14" xfId="15" applyNumberFormat="1" applyBorder="1" applyAlignment="1">
      <alignment horizontal="center"/>
    </xf>
    <xf numFmtId="167" fontId="24" fillId="0" borderId="14" xfId="15" applyNumberFormat="1" applyBorder="1" applyAlignment="1">
      <alignment horizontal="center"/>
    </xf>
    <xf numFmtId="41" fontId="24" fillId="0" borderId="14" xfId="15" applyNumberFormat="1" applyBorder="1"/>
    <xf numFmtId="180" fontId="24" fillId="0" borderId="14" xfId="15" applyNumberFormat="1" applyBorder="1"/>
    <xf numFmtId="1" fontId="24" fillId="0" borderId="14" xfId="15" applyNumberFormat="1" applyBorder="1" applyAlignment="1">
      <alignment horizontal="center"/>
    </xf>
    <xf numFmtId="1" fontId="24" fillId="0" borderId="19" xfId="15" applyNumberFormat="1" applyBorder="1" applyAlignment="1">
      <alignment horizontal="center"/>
    </xf>
    <xf numFmtId="14" fontId="45" fillId="0" borderId="0" xfId="17" applyNumberFormat="1" applyFont="1" applyAlignment="1">
      <alignment vertical="center"/>
    </xf>
    <xf numFmtId="172" fontId="45" fillId="0" borderId="0" xfId="14" applyNumberFormat="1" applyFont="1" applyFill="1" applyAlignment="1">
      <alignment vertical="center"/>
    </xf>
    <xf numFmtId="172" fontId="45" fillId="0" borderId="0" xfId="17" applyNumberFormat="1" applyFont="1" applyAlignment="1">
      <alignment vertical="center"/>
    </xf>
    <xf numFmtId="49" fontId="24" fillId="0" borderId="0" xfId="12" applyNumberFormat="1"/>
    <xf numFmtId="3" fontId="24" fillId="0" borderId="0" xfId="12" applyNumberFormat="1"/>
    <xf numFmtId="0" fontId="24" fillId="0" borderId="0" xfId="12" applyAlignment="1">
      <alignment horizontal="center"/>
    </xf>
    <xf numFmtId="1" fontId="31" fillId="0" borderId="0" xfId="13" applyNumberFormat="1" applyFont="1"/>
    <xf numFmtId="0" fontId="32" fillId="14" borderId="0" xfId="0" applyFont="1" applyFill="1" applyAlignment="1">
      <alignment horizontal="left"/>
    </xf>
    <xf numFmtId="0" fontId="32" fillId="10" borderId="0" xfId="0" applyFont="1" applyFill="1" applyAlignment="1">
      <alignment horizontal="left"/>
    </xf>
    <xf numFmtId="164" fontId="32" fillId="10" borderId="0" xfId="0" applyNumberFormat="1" applyFont="1" applyFill="1" applyAlignment="1">
      <alignment horizontal="left"/>
    </xf>
    <xf numFmtId="166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left"/>
    </xf>
    <xf numFmtId="1" fontId="33" fillId="10" borderId="0" xfId="0" quotePrefix="1" applyNumberFormat="1" applyFont="1" applyFill="1" applyAlignment="1">
      <alignment horizontal="left"/>
    </xf>
    <xf numFmtId="3" fontId="33" fillId="10" borderId="0" xfId="0" applyNumberFormat="1" applyFont="1" applyFill="1" applyAlignment="1">
      <alignment horizontal="left"/>
    </xf>
    <xf numFmtId="177" fontId="33" fillId="10" borderId="0" xfId="0" quotePrefix="1" applyNumberFormat="1" applyFont="1" applyFill="1" applyAlignment="1">
      <alignment horizontal="left"/>
    </xf>
    <xf numFmtId="1" fontId="33" fillId="10" borderId="0" xfId="0" applyNumberFormat="1" applyFont="1" applyFill="1" applyAlignment="1">
      <alignment horizontal="left"/>
    </xf>
    <xf numFmtId="0" fontId="46" fillId="10" borderId="7" xfId="0" applyFont="1" applyFill="1" applyBorder="1" applyAlignment="1">
      <alignment horizontal="left"/>
    </xf>
    <xf numFmtId="0" fontId="46" fillId="10" borderId="8" xfId="0" applyFont="1" applyFill="1" applyBorder="1" applyAlignment="1">
      <alignment horizontal="left"/>
    </xf>
    <xf numFmtId="0" fontId="46" fillId="10" borderId="9" xfId="0" applyFont="1" applyFill="1" applyBorder="1" applyAlignment="1">
      <alignment horizontal="left"/>
    </xf>
    <xf numFmtId="0" fontId="46" fillId="10" borderId="0" xfId="0" applyFont="1" applyFill="1" applyAlignment="1">
      <alignment horizontal="left"/>
    </xf>
    <xf numFmtId="169" fontId="33" fillId="10" borderId="0" xfId="0" applyNumberFormat="1" applyFont="1" applyFill="1" applyAlignment="1">
      <alignment horizontal="left"/>
    </xf>
    <xf numFmtId="169" fontId="33" fillId="10" borderId="0" xfId="0" applyNumberFormat="1" applyFont="1" applyFill="1"/>
    <xf numFmtId="10" fontId="33" fillId="14" borderId="0" xfId="0" applyNumberFormat="1" applyFont="1" applyFill="1"/>
    <xf numFmtId="14" fontId="33" fillId="14" borderId="0" xfId="0" applyNumberFormat="1" applyFont="1" applyFill="1"/>
    <xf numFmtId="169" fontId="33" fillId="14" borderId="0" xfId="0" applyNumberFormat="1" applyFont="1" applyFill="1"/>
    <xf numFmtId="0" fontId="44" fillId="19" borderId="0" xfId="16" applyFill="1"/>
    <xf numFmtId="0" fontId="44" fillId="19" borderId="12" xfId="16" applyFill="1" applyBorder="1"/>
    <xf numFmtId="41" fontId="51" fillId="0" borderId="0" xfId="2" applyNumberFormat="1" applyFont="1"/>
    <xf numFmtId="41" fontId="63" fillId="0" borderId="0" xfId="2" applyNumberFormat="1" applyFont="1"/>
    <xf numFmtId="41" fontId="51" fillId="0" borderId="0" xfId="0" applyNumberFormat="1" applyFont="1"/>
    <xf numFmtId="41" fontId="51" fillId="0" borderId="0" xfId="6" applyNumberFormat="1" applyFont="1" applyAlignment="1"/>
    <xf numFmtId="41" fontId="51" fillId="0" borderId="0" xfId="5" applyNumberFormat="1" applyFont="1"/>
    <xf numFmtId="41" fontId="51" fillId="0" borderId="0" xfId="4" applyNumberFormat="1" applyFont="1"/>
    <xf numFmtId="41" fontId="53" fillId="0" borderId="16" xfId="5" applyNumberFormat="1" applyFont="1" applyBorder="1"/>
    <xf numFmtId="0" fontId="51" fillId="0" borderId="0" xfId="0" applyFont="1"/>
    <xf numFmtId="172" fontId="51" fillId="0" borderId="0" xfId="4" applyNumberFormat="1" applyFont="1"/>
    <xf numFmtId="10" fontId="51" fillId="0" borderId="0" xfId="4" applyNumberFormat="1" applyFont="1"/>
    <xf numFmtId="0" fontId="51" fillId="0" borderId="0" xfId="2" applyFont="1"/>
    <xf numFmtId="0" fontId="63" fillId="0" borderId="0" xfId="2" applyFont="1"/>
    <xf numFmtId="41" fontId="64" fillId="0" borderId="16" xfId="2" applyNumberFormat="1" applyFont="1" applyBorder="1"/>
    <xf numFmtId="41" fontId="53" fillId="0" borderId="16" xfId="0" applyNumberFormat="1" applyFont="1" applyBorder="1"/>
    <xf numFmtId="0" fontId="56" fillId="0" borderId="16" xfId="0" applyFont="1" applyBorder="1"/>
    <xf numFmtId="172" fontId="53" fillId="0" borderId="16" xfId="4" applyNumberFormat="1" applyFont="1" applyBorder="1"/>
    <xf numFmtId="10" fontId="36" fillId="0" borderId="0" xfId="4" applyNumberFormat="1" applyFont="1"/>
    <xf numFmtId="0" fontId="0" fillId="19" borderId="12" xfId="16" applyFont="1" applyFill="1" applyBorder="1"/>
    <xf numFmtId="0" fontId="0" fillId="19" borderId="0" xfId="16" applyFont="1" applyFill="1"/>
    <xf numFmtId="0" fontId="56" fillId="0" borderId="2" xfId="16" applyFont="1" applyBorder="1"/>
    <xf numFmtId="0" fontId="57" fillId="0" borderId="2" xfId="16" applyFont="1" applyBorder="1"/>
    <xf numFmtId="43" fontId="44" fillId="0" borderId="0" xfId="16" applyNumberFormat="1"/>
    <xf numFmtId="0" fontId="66" fillId="0" borderId="0" xfId="0" applyFont="1"/>
    <xf numFmtId="41" fontId="50" fillId="0" borderId="0" xfId="0" applyNumberFormat="1" applyFont="1"/>
    <xf numFmtId="41" fontId="47" fillId="0" borderId="0" xfId="5" applyNumberFormat="1" applyFont="1" applyFill="1" applyBorder="1"/>
    <xf numFmtId="41" fontId="41" fillId="0" borderId="0" xfId="0" applyNumberFormat="1" applyFont="1"/>
    <xf numFmtId="10" fontId="34" fillId="0" borderId="7" xfId="0" applyNumberFormat="1" applyFont="1" applyBorder="1"/>
    <xf numFmtId="41" fontId="51" fillId="20" borderId="0" xfId="2" applyNumberFormat="1" applyFont="1" applyFill="1"/>
    <xf numFmtId="41" fontId="63" fillId="20" borderId="0" xfId="2" applyNumberFormat="1" applyFont="1" applyFill="1"/>
    <xf numFmtId="41" fontId="51" fillId="20" borderId="0" xfId="0" applyNumberFormat="1" applyFont="1" applyFill="1"/>
    <xf numFmtId="41" fontId="64" fillId="20" borderId="16" xfId="2" applyNumberFormat="1" applyFont="1" applyFill="1" applyBorder="1"/>
    <xf numFmtId="41" fontId="53" fillId="20" borderId="16" xfId="5" applyNumberFormat="1" applyFont="1" applyFill="1" applyBorder="1"/>
    <xf numFmtId="41" fontId="51" fillId="20" borderId="0" xfId="6" applyNumberFormat="1" applyFont="1" applyFill="1" applyAlignment="1"/>
    <xf numFmtId="41" fontId="51" fillId="20" borderId="0" xfId="5" applyNumberFormat="1" applyFont="1" applyFill="1"/>
    <xf numFmtId="41" fontId="51" fillId="20" borderId="0" xfId="4" applyNumberFormat="1" applyFont="1" applyFill="1"/>
    <xf numFmtId="41" fontId="53" fillId="20" borderId="16" xfId="0" applyNumberFormat="1" applyFont="1" applyFill="1" applyBorder="1"/>
    <xf numFmtId="10" fontId="44" fillId="0" borderId="0" xfId="4" applyNumberFormat="1" applyFont="1"/>
    <xf numFmtId="164" fontId="45" fillId="14" borderId="0" xfId="12" applyNumberFormat="1" applyFont="1" applyFill="1"/>
    <xf numFmtId="0" fontId="0" fillId="0" borderId="0" xfId="16" applyFont="1"/>
    <xf numFmtId="176" fontId="44" fillId="0" borderId="0" xfId="5" applyNumberFormat="1" applyFill="1"/>
    <xf numFmtId="0" fontId="0" fillId="14" borderId="0" xfId="16" applyFont="1" applyFill="1"/>
    <xf numFmtId="0" fontId="44" fillId="14" borderId="0" xfId="16" applyFill="1"/>
    <xf numFmtId="41" fontId="44" fillId="14" borderId="0" xfId="16" applyNumberFormat="1" applyFill="1"/>
    <xf numFmtId="0" fontId="56" fillId="0" borderId="0" xfId="16" applyFont="1"/>
    <xf numFmtId="182" fontId="44" fillId="0" borderId="0" xfId="4" applyNumberFormat="1" applyFill="1"/>
    <xf numFmtId="10" fontId="44" fillId="0" borderId="0" xfId="4" applyNumberFormat="1"/>
    <xf numFmtId="41" fontId="56" fillId="0" borderId="16" xfId="0" applyNumberFormat="1" applyFont="1" applyBorder="1"/>
    <xf numFmtId="172" fontId="0" fillId="0" borderId="0" xfId="4" applyNumberFormat="1" applyFont="1"/>
    <xf numFmtId="172" fontId="51" fillId="0" borderId="0" xfId="0" applyNumberFormat="1" applyFont="1"/>
    <xf numFmtId="10" fontId="51" fillId="0" borderId="0" xfId="0" applyNumberFormat="1" applyFont="1"/>
    <xf numFmtId="4" fontId="51" fillId="0" borderId="0" xfId="0" applyNumberFormat="1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2" fillId="0" borderId="14" xfId="0" applyFont="1" applyBorder="1" applyAlignment="1">
      <alignment horizontal="center" wrapText="1"/>
    </xf>
    <xf numFmtId="168" fontId="48" fillId="0" borderId="0" xfId="0" applyNumberFormat="1" applyFont="1"/>
    <xf numFmtId="0" fontId="52" fillId="0" borderId="28" xfId="0" applyFont="1" applyBorder="1" applyAlignment="1">
      <alignment horizontal="center" wrapText="1"/>
    </xf>
    <xf numFmtId="0" fontId="52" fillId="0" borderId="29" xfId="0" applyFont="1" applyBorder="1" applyAlignment="1">
      <alignment horizontal="center" wrapText="1"/>
    </xf>
    <xf numFmtId="0" fontId="52" fillId="0" borderId="30" xfId="0" applyFont="1" applyBorder="1" applyAlignment="1">
      <alignment horizontal="center" wrapText="1"/>
    </xf>
    <xf numFmtId="0" fontId="50" fillId="0" borderId="5" xfId="0" applyFont="1" applyBorder="1"/>
    <xf numFmtId="0" fontId="50" fillId="0" borderId="6" xfId="0" applyFont="1" applyBorder="1"/>
    <xf numFmtId="168" fontId="50" fillId="0" borderId="5" xfId="0" applyNumberFormat="1" applyFont="1" applyBorder="1"/>
    <xf numFmtId="168" fontId="50" fillId="0" borderId="6" xfId="0" applyNumberFormat="1" applyFont="1" applyBorder="1"/>
    <xf numFmtId="10" fontId="50" fillId="0" borderId="6" xfId="0" applyNumberFormat="1" applyFont="1" applyBorder="1"/>
    <xf numFmtId="168" fontId="48" fillId="0" borderId="31" xfId="0" applyNumberFormat="1" applyFont="1" applyBorder="1"/>
    <xf numFmtId="10" fontId="48" fillId="0" borderId="32" xfId="0" applyNumberFormat="1" applyFont="1" applyBorder="1"/>
    <xf numFmtId="0" fontId="50" fillId="0" borderId="7" xfId="0" applyFont="1" applyBorder="1"/>
    <xf numFmtId="0" fontId="50" fillId="0" borderId="8" xfId="0" applyFont="1" applyBorder="1"/>
    <xf numFmtId="0" fontId="50" fillId="0" borderId="9" xfId="0" applyFont="1" applyBorder="1"/>
    <xf numFmtId="10" fontId="48" fillId="0" borderId="6" xfId="0" applyNumberFormat="1" applyFont="1" applyBorder="1"/>
    <xf numFmtId="168" fontId="50" fillId="0" borderId="8" xfId="0" applyNumberFormat="1" applyFont="1" applyBorder="1"/>
    <xf numFmtId="10" fontId="50" fillId="0" borderId="9" xfId="0" applyNumberFormat="1" applyFont="1" applyBorder="1"/>
    <xf numFmtId="0" fontId="52" fillId="0" borderId="0" xfId="0" applyFont="1" applyAlignment="1">
      <alignment horizontal="center"/>
    </xf>
    <xf numFmtId="0" fontId="50" fillId="0" borderId="24" xfId="0" applyFont="1" applyBorder="1"/>
    <xf numFmtId="10" fontId="51" fillId="0" borderId="0" xfId="0" applyNumberFormat="1" applyFont="1" applyAlignment="1">
      <alignment horizontal="right"/>
    </xf>
    <xf numFmtId="10" fontId="50" fillId="0" borderId="25" xfId="0" applyNumberFormat="1" applyFont="1" applyBorder="1"/>
    <xf numFmtId="0" fontId="35" fillId="0" borderId="25" xfId="0" applyFont="1" applyBorder="1"/>
    <xf numFmtId="0" fontId="40" fillId="0" borderId="25" xfId="0" applyFont="1" applyBorder="1"/>
    <xf numFmtId="0" fontId="40" fillId="0" borderId="19" xfId="0" applyFont="1" applyBorder="1"/>
    <xf numFmtId="175" fontId="51" fillId="0" borderId="0" xfId="0" applyNumberFormat="1" applyFont="1" applyAlignment="1">
      <alignment horizontal="right"/>
    </xf>
    <xf numFmtId="0" fontId="50" fillId="0" borderId="18" xfId="0" applyFont="1" applyBorder="1"/>
    <xf numFmtId="0" fontId="50" fillId="0" borderId="14" xfId="0" applyFont="1" applyBorder="1"/>
    <xf numFmtId="10" fontId="50" fillId="0" borderId="24" xfId="0" applyNumberFormat="1" applyFont="1" applyBorder="1"/>
    <xf numFmtId="0" fontId="50" fillId="0" borderId="25" xfId="0" applyFont="1" applyBorder="1"/>
    <xf numFmtId="0" fontId="50" fillId="0" borderId="19" xfId="0" applyFont="1" applyBorder="1"/>
    <xf numFmtId="10" fontId="51" fillId="4" borderId="0" xfId="0" applyNumberFormat="1" applyFont="1" applyFill="1" applyAlignment="1">
      <alignment horizontal="right"/>
    </xf>
    <xf numFmtId="6" fontId="51" fillId="4" borderId="0" xfId="0" applyNumberFormat="1" applyFont="1" applyFill="1" applyAlignment="1">
      <alignment horizontal="right"/>
    </xf>
    <xf numFmtId="6" fontId="51" fillId="0" borderId="0" xfId="0" applyNumberFormat="1" applyFont="1" applyAlignment="1">
      <alignment horizontal="right"/>
    </xf>
    <xf numFmtId="0" fontId="63" fillId="0" borderId="18" xfId="0" applyFont="1" applyBorder="1"/>
    <xf numFmtId="6" fontId="63" fillId="0" borderId="14" xfId="0" applyNumberFormat="1" applyFont="1" applyBorder="1"/>
    <xf numFmtId="176" fontId="50" fillId="0" borderId="0" xfId="5" applyNumberFormat="1" applyFont="1" applyFill="1" applyBorder="1"/>
    <xf numFmtId="43" fontId="51" fillId="0" borderId="0" xfId="0" applyNumberFormat="1" applyFont="1"/>
    <xf numFmtId="175" fontId="23" fillId="0" borderId="0" xfId="0" applyNumberFormat="1" applyFont="1"/>
    <xf numFmtId="172" fontId="23" fillId="0" borderId="0" xfId="0" applyNumberFormat="1" applyFont="1"/>
    <xf numFmtId="181" fontId="23" fillId="0" borderId="0" xfId="0" applyNumberFormat="1" applyFont="1"/>
    <xf numFmtId="183" fontId="34" fillId="0" borderId="0" xfId="0" applyNumberFormat="1" applyFont="1" applyAlignment="1">
      <alignment horizontal="center"/>
    </xf>
    <xf numFmtId="0" fontId="64" fillId="0" borderId="0" xfId="18" applyFont="1" applyAlignment="1">
      <alignment horizontal="left" vertical="center"/>
    </xf>
    <xf numFmtId="0" fontId="22" fillId="0" borderId="0" xfId="18" applyAlignment="1">
      <alignment horizontal="center" vertical="center"/>
    </xf>
    <xf numFmtId="171" fontId="22" fillId="0" borderId="0" xfId="18" applyNumberFormat="1" applyAlignment="1">
      <alignment horizontal="center" vertical="center" wrapText="1"/>
    </xf>
    <xf numFmtId="0" fontId="22" fillId="0" borderId="0" xfId="18" applyAlignment="1">
      <alignment horizontal="center"/>
    </xf>
    <xf numFmtId="0" fontId="22" fillId="9" borderId="20" xfId="18" applyFill="1" applyBorder="1" applyAlignment="1">
      <alignment horizontal="center" vertical="center"/>
    </xf>
    <xf numFmtId="0" fontId="22" fillId="9" borderId="1" xfId="18" applyFill="1" applyBorder="1" applyAlignment="1">
      <alignment horizontal="center" vertical="center"/>
    </xf>
    <xf numFmtId="171" fontId="22" fillId="9" borderId="1" xfId="18" applyNumberFormat="1" applyFill="1" applyBorder="1" applyAlignment="1">
      <alignment horizontal="center" vertical="center" wrapText="1"/>
    </xf>
    <xf numFmtId="171" fontId="22" fillId="9" borderId="20" xfId="18" applyNumberFormat="1" applyFill="1" applyBorder="1" applyAlignment="1">
      <alignment horizontal="center" vertical="center" wrapText="1"/>
    </xf>
    <xf numFmtId="171" fontId="22" fillId="9" borderId="2" xfId="18" applyNumberFormat="1" applyFill="1" applyBorder="1" applyAlignment="1">
      <alignment horizontal="center" vertical="center" wrapText="1"/>
    </xf>
    <xf numFmtId="0" fontId="22" fillId="0" borderId="0" xfId="18" applyAlignment="1" applyProtection="1">
      <alignment horizontal="center" vertical="center"/>
      <protection locked="0"/>
    </xf>
    <xf numFmtId="171" fontId="22" fillId="0" borderId="0" xfId="18" applyNumberFormat="1" applyAlignment="1" applyProtection="1">
      <alignment horizontal="center" vertical="center"/>
      <protection locked="0"/>
    </xf>
    <xf numFmtId="171" fontId="22" fillId="0" borderId="0" xfId="18" applyNumberFormat="1" applyAlignment="1">
      <alignment horizontal="center"/>
    </xf>
    <xf numFmtId="0" fontId="62" fillId="0" borderId="0" xfId="18" applyFont="1" applyAlignment="1">
      <alignment horizontal="center"/>
    </xf>
    <xf numFmtId="0" fontId="62" fillId="0" borderId="0" xfId="18" applyFont="1" applyAlignment="1">
      <alignment horizontal="right"/>
    </xf>
    <xf numFmtId="171" fontId="62" fillId="0" borderId="0" xfId="18" applyNumberFormat="1" applyFont="1" applyAlignment="1">
      <alignment horizontal="center"/>
    </xf>
    <xf numFmtId="0" fontId="62" fillId="0" borderId="0" xfId="18" applyFont="1" applyAlignment="1">
      <alignment horizontal="center" vertical="center"/>
    </xf>
    <xf numFmtId="0" fontId="62" fillId="0" borderId="0" xfId="18" applyFont="1" applyAlignment="1">
      <alignment vertical="top" wrapText="1"/>
    </xf>
    <xf numFmtId="0" fontId="22" fillId="0" borderId="0" xfId="18" applyAlignment="1">
      <alignment vertical="top" wrapText="1"/>
    </xf>
    <xf numFmtId="0" fontId="62" fillId="0" borderId="0" xfId="18" applyFont="1" applyAlignment="1">
      <alignment horizontal="center" vertical="top"/>
    </xf>
    <xf numFmtId="0" fontId="22" fillId="0" borderId="0" xfId="18" applyAlignment="1">
      <alignment vertical="top"/>
    </xf>
    <xf numFmtId="0" fontId="22" fillId="0" borderId="0" xfId="18"/>
    <xf numFmtId="0" fontId="22" fillId="0" borderId="0" xfId="18" applyAlignment="1">
      <alignment horizontal="left"/>
    </xf>
    <xf numFmtId="0" fontId="22" fillId="0" borderId="0" xfId="18" applyAlignment="1">
      <alignment horizontal="left" vertical="top" wrapText="1"/>
    </xf>
    <xf numFmtId="0" fontId="22" fillId="0" borderId="4" xfId="18" applyBorder="1" applyAlignment="1">
      <alignment horizontal="center" vertical="center"/>
    </xf>
    <xf numFmtId="0" fontId="22" fillId="0" borderId="3" xfId="18" applyBorder="1" applyAlignment="1">
      <alignment horizontal="center" vertical="center"/>
    </xf>
    <xf numFmtId="0" fontId="22" fillId="0" borderId="5" xfId="18" applyBorder="1" applyAlignment="1">
      <alignment horizontal="center" vertical="center"/>
    </xf>
    <xf numFmtId="0" fontId="22" fillId="21" borderId="0" xfId="18" applyFill="1" applyAlignment="1">
      <alignment horizontal="center" vertical="center"/>
    </xf>
    <xf numFmtId="0" fontId="22" fillId="0" borderId="7" xfId="18" applyBorder="1" applyAlignment="1">
      <alignment horizontal="center" vertical="center"/>
    </xf>
    <xf numFmtId="0" fontId="22" fillId="0" borderId="8" xfId="18" applyBorder="1" applyAlignment="1">
      <alignment horizontal="center" vertical="center"/>
    </xf>
    <xf numFmtId="0" fontId="22" fillId="0" borderId="0" xfId="18" applyAlignment="1">
      <alignment horizontal="center" vertical="justify" wrapText="1"/>
    </xf>
    <xf numFmtId="0" fontId="22" fillId="0" borderId="4" xfId="18" applyBorder="1" applyAlignment="1">
      <alignment horizontal="justify" vertical="justify" wrapText="1"/>
    </xf>
    <xf numFmtId="0" fontId="22" fillId="0" borderId="10" xfId="18" applyBorder="1" applyAlignment="1">
      <alignment horizontal="justify" vertical="justify" wrapText="1"/>
    </xf>
    <xf numFmtId="0" fontId="22" fillId="0" borderId="5" xfId="18" applyBorder="1" applyAlignment="1">
      <alignment horizontal="justify" vertical="justify" wrapText="1"/>
    </xf>
    <xf numFmtId="0" fontId="22" fillId="0" borderId="36" xfId="18" applyBorder="1" applyAlignment="1">
      <alignment horizontal="justify" vertical="justify" wrapText="1"/>
    </xf>
    <xf numFmtId="0" fontId="67" fillId="0" borderId="0" xfId="18" applyFont="1" applyAlignment="1">
      <alignment horizontal="center" vertical="justify" wrapText="1"/>
    </xf>
    <xf numFmtId="0" fontId="67" fillId="0" borderId="5" xfId="18" applyFont="1" applyBorder="1" applyAlignment="1">
      <alignment horizontal="justify" vertical="justify" wrapText="1"/>
    </xf>
    <xf numFmtId="0" fontId="67" fillId="0" borderId="36" xfId="18" applyFont="1" applyBorder="1" applyAlignment="1">
      <alignment horizontal="justify" vertical="justify" wrapText="1"/>
    </xf>
    <xf numFmtId="0" fontId="67" fillId="0" borderId="0" xfId="18" applyFont="1" applyAlignment="1">
      <alignment horizontal="center" vertical="center"/>
    </xf>
    <xf numFmtId="0" fontId="22" fillId="0" borderId="5" xfId="18" applyBorder="1" applyAlignment="1">
      <alignment horizontal="center" vertical="top"/>
    </xf>
    <xf numFmtId="0" fontId="22" fillId="0" borderId="36" xfId="18" applyBorder="1" applyAlignment="1">
      <alignment horizontal="center" vertical="top"/>
    </xf>
    <xf numFmtId="0" fontId="22" fillId="0" borderId="7" xfId="18" applyBorder="1" applyAlignment="1">
      <alignment horizontal="left"/>
    </xf>
    <xf numFmtId="0" fontId="22" fillId="0" borderId="37" xfId="18" applyBorder="1" applyAlignment="1">
      <alignment horizontal="left"/>
    </xf>
    <xf numFmtId="0" fontId="69" fillId="0" borderId="0" xfId="16" applyFont="1"/>
    <xf numFmtId="41" fontId="56" fillId="0" borderId="0" xfId="16" applyNumberFormat="1" applyFont="1"/>
    <xf numFmtId="3" fontId="35" fillId="0" borderId="0" xfId="0" applyNumberFormat="1" applyFont="1"/>
    <xf numFmtId="42" fontId="50" fillId="0" borderId="0" xfId="0" applyNumberFormat="1" applyFont="1"/>
    <xf numFmtId="168" fontId="35" fillId="0" borderId="0" xfId="0" applyNumberFormat="1" applyFont="1"/>
    <xf numFmtId="176" fontId="44" fillId="0" borderId="0" xfId="16" applyNumberFormat="1"/>
    <xf numFmtId="0" fontId="20" fillId="0" borderId="0" xfId="24"/>
    <xf numFmtId="0" fontId="19" fillId="0" borderId="0" xfId="26"/>
    <xf numFmtId="0" fontId="33" fillId="22" borderId="0" xfId="0" applyFont="1" applyFill="1"/>
    <xf numFmtId="164" fontId="32" fillId="4" borderId="0" xfId="0" applyNumberFormat="1" applyFont="1" applyFill="1" applyAlignment="1">
      <alignment horizontal="left"/>
    </xf>
    <xf numFmtId="164" fontId="33" fillId="22" borderId="0" xfId="0" applyNumberFormat="1" applyFont="1" applyFill="1"/>
    <xf numFmtId="0" fontId="33" fillId="14" borderId="0" xfId="0" applyFont="1" applyFill="1"/>
    <xf numFmtId="173" fontId="46" fillId="14" borderId="0" xfId="0" applyNumberFormat="1" applyFont="1" applyFill="1"/>
    <xf numFmtId="0" fontId="46" fillId="14" borderId="0" xfId="0" applyFont="1" applyFill="1"/>
    <xf numFmtId="175" fontId="46" fillId="14" borderId="0" xfId="4" applyNumberFormat="1" applyFont="1" applyFill="1"/>
    <xf numFmtId="169" fontId="46" fillId="14" borderId="0" xfId="0" applyNumberFormat="1" applyFont="1" applyFill="1"/>
    <xf numFmtId="164" fontId="45" fillId="0" borderId="0" xfId="12" applyNumberFormat="1" applyFont="1"/>
    <xf numFmtId="0" fontId="18" fillId="0" borderId="3" xfId="18" applyFont="1" applyBorder="1" applyAlignment="1">
      <alignment horizontal="center" vertical="center"/>
    </xf>
    <xf numFmtId="0" fontId="18" fillId="0" borderId="0" xfId="18" applyFont="1" applyAlignment="1">
      <alignment horizontal="center" vertical="center"/>
    </xf>
    <xf numFmtId="172" fontId="0" fillId="0" borderId="0" xfId="0" applyNumberFormat="1"/>
    <xf numFmtId="2" fontId="51" fillId="0" borderId="0" xfId="0" applyNumberFormat="1" applyFont="1"/>
    <xf numFmtId="172" fontId="0" fillId="0" borderId="0" xfId="21" applyNumberFormat="1" applyFont="1" applyFill="1" applyBorder="1" applyAlignment="1">
      <alignment horizontal="center" vertical="center"/>
    </xf>
    <xf numFmtId="0" fontId="17" fillId="0" borderId="5" xfId="18" applyFont="1" applyBorder="1" applyAlignment="1">
      <alignment horizontal="center" vertical="center"/>
    </xf>
    <xf numFmtId="41" fontId="0" fillId="0" borderId="0" xfId="0" applyNumberFormat="1"/>
    <xf numFmtId="10" fontId="35" fillId="0" borderId="0" xfId="4" applyNumberFormat="1" applyFont="1" applyFill="1" applyBorder="1"/>
    <xf numFmtId="176" fontId="44" fillId="0" borderId="0" xfId="5" applyNumberFormat="1"/>
    <xf numFmtId="176" fontId="31" fillId="0" borderId="0" xfId="5" applyNumberFormat="1" applyFont="1" applyFill="1"/>
    <xf numFmtId="176" fontId="33" fillId="0" borderId="0" xfId="5" applyNumberFormat="1" applyFont="1" applyFill="1" applyBorder="1" applyAlignment="1">
      <alignment horizontal="center"/>
    </xf>
    <xf numFmtId="176" fontId="33" fillId="0" borderId="0" xfId="0" applyNumberFormat="1" applyFont="1"/>
    <xf numFmtId="176" fontId="0" fillId="0" borderId="0" xfId="5" applyNumberFormat="1" applyFont="1"/>
    <xf numFmtId="0" fontId="33" fillId="0" borderId="0" xfId="0" quotePrefix="1" applyFont="1"/>
    <xf numFmtId="0" fontId="16" fillId="0" borderId="3" xfId="18" applyFont="1" applyBorder="1" applyAlignment="1">
      <alignment horizontal="center" vertical="center"/>
    </xf>
    <xf numFmtId="0" fontId="71" fillId="0" borderId="0" xfId="0" applyFont="1" applyAlignment="1">
      <alignment vertical="top" wrapText="1"/>
    </xf>
    <xf numFmtId="0" fontId="71" fillId="0" borderId="0" xfId="0" applyFont="1" applyAlignment="1">
      <alignment vertical="top"/>
    </xf>
    <xf numFmtId="0" fontId="71" fillId="0" borderId="0" xfId="0" applyFont="1" applyAlignment="1">
      <alignment horizontal="right" vertical="top"/>
    </xf>
    <xf numFmtId="0" fontId="0" fillId="0" borderId="38" xfId="0" applyBorder="1"/>
    <xf numFmtId="0" fontId="0" fillId="0" borderId="39" xfId="0" applyBorder="1"/>
    <xf numFmtId="177" fontId="33" fillId="14" borderId="0" xfId="0" quotePrefix="1" applyNumberFormat="1" applyFont="1" applyFill="1"/>
    <xf numFmtId="0" fontId="73" fillId="0" borderId="0" xfId="0" applyFont="1" applyAlignment="1">
      <alignment vertical="top"/>
    </xf>
    <xf numFmtId="0" fontId="74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63" fillId="0" borderId="0" xfId="0" applyFont="1"/>
    <xf numFmtId="6" fontId="63" fillId="0" borderId="0" xfId="0" applyNumberFormat="1" applyFont="1"/>
    <xf numFmtId="6" fontId="64" fillId="0" borderId="0" xfId="0" applyNumberFormat="1" applyFont="1"/>
    <xf numFmtId="0" fontId="48" fillId="0" borderId="0" xfId="0" applyFont="1"/>
    <xf numFmtId="172" fontId="63" fillId="0" borderId="0" xfId="4" applyNumberFormat="1" applyFont="1" applyFill="1" applyBorder="1" applyAlignment="1"/>
    <xf numFmtId="6" fontId="50" fillId="0" borderId="0" xfId="0" applyNumberFormat="1" applyFont="1"/>
    <xf numFmtId="0" fontId="47" fillId="0" borderId="0" xfId="0" quotePrefix="1" applyFont="1"/>
    <xf numFmtId="0" fontId="77" fillId="0" borderId="0" xfId="0" applyFont="1" applyAlignment="1">
      <alignment vertical="center"/>
    </xf>
    <xf numFmtId="0" fontId="72" fillId="0" borderId="0" xfId="0" applyFont="1" applyAlignment="1">
      <alignment wrapText="1"/>
    </xf>
    <xf numFmtId="4" fontId="71" fillId="0" borderId="0" xfId="0" applyNumberFormat="1" applyFont="1" applyAlignment="1">
      <alignment vertical="top"/>
    </xf>
    <xf numFmtId="43" fontId="51" fillId="0" borderId="0" xfId="5" applyFont="1"/>
    <xf numFmtId="10" fontId="63" fillId="0" borderId="0" xfId="4" applyNumberFormat="1" applyFont="1"/>
    <xf numFmtId="172" fontId="45" fillId="0" borderId="0" xfId="4" applyNumberFormat="1" applyFont="1"/>
    <xf numFmtId="0" fontId="78" fillId="0" borderId="0" xfId="0" applyFont="1" applyAlignment="1">
      <alignment vertical="top"/>
    </xf>
    <xf numFmtId="0" fontId="14" fillId="0" borderId="0" xfId="24" applyFont="1"/>
    <xf numFmtId="0" fontId="13" fillId="0" borderId="0" xfId="24" applyFont="1"/>
    <xf numFmtId="0" fontId="49" fillId="0" borderId="0" xfId="0" quotePrefix="1" applyFont="1"/>
    <xf numFmtId="0" fontId="12" fillId="0" borderId="0" xfId="24" applyFont="1"/>
    <xf numFmtId="3" fontId="47" fillId="0" borderId="0" xfId="0" applyNumberFormat="1" applyFont="1"/>
    <xf numFmtId="0" fontId="11" fillId="0" borderId="0" xfId="18" applyFont="1" applyAlignment="1">
      <alignment horizontal="center" vertical="center"/>
    </xf>
    <xf numFmtId="10" fontId="62" fillId="0" borderId="16" xfId="4" applyNumberFormat="1" applyFont="1" applyBorder="1"/>
    <xf numFmtId="10" fontId="63" fillId="20" borderId="0" xfId="4" applyNumberFormat="1" applyFont="1" applyFill="1"/>
    <xf numFmtId="0" fontId="79" fillId="0" borderId="0" xfId="0" applyFont="1" applyAlignment="1">
      <alignment vertical="top"/>
    </xf>
    <xf numFmtId="0" fontId="79" fillId="0" borderId="0" xfId="0" applyFont="1" applyAlignment="1">
      <alignment wrapText="1"/>
    </xf>
    <xf numFmtId="0" fontId="80" fillId="0" borderId="0" xfId="0" applyFont="1" applyAlignment="1">
      <alignment vertical="center"/>
    </xf>
    <xf numFmtId="0" fontId="81" fillId="0" borderId="0" xfId="0" applyFont="1" applyAlignment="1">
      <alignment vertical="top"/>
    </xf>
    <xf numFmtId="4" fontId="81" fillId="0" borderId="0" xfId="0" applyNumberFormat="1" applyFont="1" applyAlignment="1">
      <alignment vertical="top"/>
    </xf>
    <xf numFmtId="4" fontId="81" fillId="0" borderId="38" xfId="0" applyNumberFormat="1" applyFont="1" applyBorder="1" applyAlignment="1">
      <alignment vertical="top"/>
    </xf>
    <xf numFmtId="176" fontId="0" fillId="0" borderId="0" xfId="5" applyNumberFormat="1" applyFont="1" applyFill="1"/>
    <xf numFmtId="43" fontId="44" fillId="0" borderId="0" xfId="5"/>
    <xf numFmtId="0" fontId="79" fillId="0" borderId="0" xfId="0" applyFont="1" applyAlignment="1">
      <alignment horizontal="right" wrapText="1"/>
    </xf>
    <xf numFmtId="4" fontId="81" fillId="0" borderId="0" xfId="0" applyNumberFormat="1" applyFont="1" applyAlignment="1">
      <alignment horizontal="right" vertical="top"/>
    </xf>
    <xf numFmtId="10" fontId="81" fillId="0" borderId="0" xfId="0" applyNumberFormat="1" applyFont="1" applyAlignment="1">
      <alignment horizontal="right" vertical="top"/>
    </xf>
    <xf numFmtId="0" fontId="83" fillId="0" borderId="38" xfId="0" applyFont="1" applyBorder="1" applyAlignment="1">
      <alignment vertical="top"/>
    </xf>
    <xf numFmtId="0" fontId="84" fillId="0" borderId="40" xfId="0" applyFont="1" applyBorder="1" applyAlignment="1">
      <alignment vertical="center"/>
    </xf>
    <xf numFmtId="0" fontId="0" fillId="0" borderId="40" xfId="0" applyBorder="1"/>
    <xf numFmtId="0" fontId="85" fillId="0" borderId="41" xfId="0" applyFont="1" applyBorder="1" applyAlignment="1">
      <alignment vertical="top"/>
    </xf>
    <xf numFmtId="0" fontId="0" fillId="0" borderId="41" xfId="0" applyBorder="1"/>
    <xf numFmtId="4" fontId="81" fillId="0" borderId="38" xfId="0" applyNumberFormat="1" applyFont="1" applyBorder="1" applyAlignment="1">
      <alignment horizontal="right" vertical="top"/>
    </xf>
    <xf numFmtId="10" fontId="81" fillId="0" borderId="38" xfId="0" applyNumberFormat="1" applyFont="1" applyBorder="1" applyAlignment="1">
      <alignment horizontal="right" vertical="top"/>
    </xf>
    <xf numFmtId="4" fontId="79" fillId="0" borderId="39" xfId="0" applyNumberFormat="1" applyFont="1" applyBorder="1" applyAlignment="1">
      <alignment vertical="top"/>
    </xf>
    <xf numFmtId="4" fontId="79" fillId="0" borderId="39" xfId="0" applyNumberFormat="1" applyFont="1" applyBorder="1" applyAlignment="1">
      <alignment horizontal="right" vertical="top"/>
    </xf>
    <xf numFmtId="10" fontId="79" fillId="0" borderId="39" xfId="0" applyNumberFormat="1" applyFont="1" applyBorder="1" applyAlignment="1">
      <alignment horizontal="right" vertical="top"/>
    </xf>
    <xf numFmtId="0" fontId="0" fillId="0" borderId="42" xfId="0" applyBorder="1"/>
    <xf numFmtId="4" fontId="79" fillId="0" borderId="43" xfId="0" applyNumberFormat="1" applyFont="1" applyBorder="1" applyAlignment="1">
      <alignment vertical="top"/>
    </xf>
    <xf numFmtId="4" fontId="79" fillId="0" borderId="43" xfId="0" applyNumberFormat="1" applyFont="1" applyBorder="1" applyAlignment="1">
      <alignment horizontal="right" vertical="top"/>
    </xf>
    <xf numFmtId="10" fontId="79" fillId="0" borderId="43" xfId="0" applyNumberFormat="1" applyFont="1" applyBorder="1" applyAlignment="1">
      <alignment horizontal="right" vertical="top"/>
    </xf>
    <xf numFmtId="0" fontId="82" fillId="0" borderId="0" xfId="0" applyFont="1" applyAlignment="1">
      <alignment vertical="top"/>
    </xf>
    <xf numFmtId="0" fontId="79" fillId="0" borderId="0" xfId="0" applyFont="1" applyAlignment="1">
      <alignment vertical="top" wrapText="1"/>
    </xf>
    <xf numFmtId="0" fontId="84" fillId="0" borderId="39" xfId="0" applyFont="1" applyBorder="1" applyAlignment="1">
      <alignment vertical="center"/>
    </xf>
    <xf numFmtId="0" fontId="85" fillId="0" borderId="0" xfId="0" applyFont="1" applyAlignment="1">
      <alignment vertical="top"/>
    </xf>
    <xf numFmtId="0" fontId="87" fillId="0" borderId="12" xfId="0" applyFont="1" applyBorder="1" applyAlignment="1">
      <alignment horizontal="left"/>
    </xf>
    <xf numFmtId="184" fontId="87" fillId="0" borderId="12" xfId="0" applyNumberFormat="1" applyFont="1" applyBorder="1" applyAlignment="1">
      <alignment horizontal="left"/>
    </xf>
    <xf numFmtId="185" fontId="87" fillId="0" borderId="12" xfId="0" applyNumberFormat="1" applyFont="1" applyBorder="1" applyAlignment="1">
      <alignment horizontal="left"/>
    </xf>
    <xf numFmtId="186" fontId="87" fillId="0" borderId="12" xfId="0" applyNumberFormat="1" applyFont="1" applyBorder="1" applyAlignment="1">
      <alignment horizontal="left"/>
    </xf>
    <xf numFmtId="0" fontId="88" fillId="0" borderId="0" xfId="0" applyFont="1" applyAlignment="1">
      <alignment horizontal="left" vertical="top" wrapText="1"/>
    </xf>
    <xf numFmtId="0" fontId="88" fillId="0" borderId="0" xfId="0" applyFont="1" applyAlignment="1">
      <alignment horizontal="center" vertical="top" wrapText="1"/>
    </xf>
    <xf numFmtId="0" fontId="10" fillId="0" borderId="0" xfId="1" quotePrefix="1" applyFont="1"/>
    <xf numFmtId="49" fontId="0" fillId="0" borderId="0" xfId="0" quotePrefix="1" applyNumberFormat="1"/>
    <xf numFmtId="0" fontId="86" fillId="14" borderId="12" xfId="0" applyFont="1" applyFill="1" applyBorder="1" applyAlignment="1">
      <alignment horizontal="left"/>
    </xf>
    <xf numFmtId="0" fontId="46" fillId="0" borderId="0" xfId="24" applyFont="1" applyAlignment="1">
      <alignment horizontal="left"/>
    </xf>
    <xf numFmtId="178" fontId="33" fillId="0" borderId="0" xfId="0" applyNumberFormat="1" applyFont="1" applyAlignment="1" applyProtection="1">
      <alignment horizontal="left"/>
      <protection locked="0"/>
    </xf>
    <xf numFmtId="0" fontId="33" fillId="13" borderId="0" xfId="0" applyFont="1" applyFill="1" applyAlignment="1">
      <alignment horizontal="left"/>
    </xf>
    <xf numFmtId="176" fontId="33" fillId="0" borderId="0" xfId="5" applyNumberFormat="1" applyFont="1" applyFill="1" applyAlignment="1">
      <alignment horizontal="left"/>
    </xf>
    <xf numFmtId="0" fontId="33" fillId="5" borderId="0" xfId="0" applyFont="1" applyFill="1" applyAlignment="1">
      <alignment horizontal="left"/>
    </xf>
    <xf numFmtId="0" fontId="32" fillId="0" borderId="0" xfId="0" applyFont="1" applyAlignment="1">
      <alignment horizontal="left"/>
    </xf>
    <xf numFmtId="0" fontId="9" fillId="0" borderId="0" xfId="24" applyFont="1"/>
    <xf numFmtId="0" fontId="0" fillId="0" borderId="0" xfId="0" quotePrefix="1"/>
    <xf numFmtId="169" fontId="33" fillId="0" borderId="0" xfId="0" quotePrefix="1" applyNumberFormat="1" applyFont="1"/>
    <xf numFmtId="0" fontId="8" fillId="0" borderId="0" xfId="24" applyFont="1"/>
    <xf numFmtId="0" fontId="7" fillId="0" borderId="0" xfId="24" applyFont="1"/>
    <xf numFmtId="0" fontId="31" fillId="0" borderId="0" xfId="16" quotePrefix="1" applyFont="1"/>
    <xf numFmtId="0" fontId="6" fillId="0" borderId="0" xfId="12" applyFont="1"/>
    <xf numFmtId="0" fontId="6" fillId="0" borderId="0" xfId="12" quotePrefix="1" applyFont="1"/>
    <xf numFmtId="0" fontId="87" fillId="4" borderId="12" xfId="0" applyFont="1" applyFill="1" applyBorder="1" applyAlignment="1">
      <alignment horizontal="left"/>
    </xf>
    <xf numFmtId="0" fontId="33" fillId="4" borderId="0" xfId="0" applyFont="1" applyFill="1" applyAlignment="1">
      <alignment horizontal="left"/>
    </xf>
    <xf numFmtId="164" fontId="0" fillId="0" borderId="0" xfId="0" applyNumberFormat="1"/>
    <xf numFmtId="2" fontId="0" fillId="0" borderId="0" xfId="0" applyNumberFormat="1"/>
    <xf numFmtId="173" fontId="33" fillId="0" borderId="0" xfId="0" applyNumberFormat="1" applyFont="1"/>
    <xf numFmtId="0" fontId="87" fillId="0" borderId="0" xfId="0" applyFont="1" applyAlignment="1">
      <alignment horizontal="left"/>
    </xf>
    <xf numFmtId="184" fontId="87" fillId="0" borderId="0" xfId="0" applyNumberFormat="1" applyFont="1" applyAlignment="1">
      <alignment horizontal="left"/>
    </xf>
    <xf numFmtId="185" fontId="87" fillId="0" borderId="0" xfId="0" applyNumberFormat="1" applyFont="1" applyAlignment="1">
      <alignment horizontal="left"/>
    </xf>
    <xf numFmtId="187" fontId="87" fillId="0" borderId="0" xfId="0" applyNumberFormat="1" applyFont="1" applyAlignment="1">
      <alignment horizontal="left"/>
    </xf>
    <xf numFmtId="0" fontId="87" fillId="0" borderId="0" xfId="0" quotePrefix="1" applyFont="1" applyAlignment="1">
      <alignment horizontal="left"/>
    </xf>
    <xf numFmtId="186" fontId="87" fillId="0" borderId="0" xfId="0" applyNumberFormat="1" applyFont="1" applyAlignment="1">
      <alignment horizontal="left"/>
    </xf>
    <xf numFmtId="2" fontId="0" fillId="20" borderId="0" xfId="0" applyNumberFormat="1" applyFill="1"/>
    <xf numFmtId="10" fontId="51" fillId="0" borderId="0" xfId="4" applyNumberFormat="1" applyFont="1" applyFill="1"/>
    <xf numFmtId="41" fontId="51" fillId="0" borderId="0" xfId="4" applyNumberFormat="1" applyFont="1" applyFill="1"/>
    <xf numFmtId="172" fontId="51" fillId="0" borderId="0" xfId="4" applyNumberFormat="1" applyFont="1" applyFill="1"/>
    <xf numFmtId="41" fontId="51" fillId="24" borderId="0" xfId="2" applyNumberFormat="1" applyFont="1" applyFill="1"/>
    <xf numFmtId="41" fontId="63" fillId="24" borderId="0" xfId="2" applyNumberFormat="1" applyFont="1" applyFill="1"/>
    <xf numFmtId="41" fontId="51" fillId="24" borderId="0" xfId="0" applyNumberFormat="1" applyFont="1" applyFill="1"/>
    <xf numFmtId="41" fontId="64" fillId="24" borderId="16" xfId="2" applyNumberFormat="1" applyFont="1" applyFill="1" applyBorder="1"/>
    <xf numFmtId="10" fontId="63" fillId="0" borderId="0" xfId="4" applyNumberFormat="1" applyFont="1" applyFill="1"/>
    <xf numFmtId="41" fontId="53" fillId="0" borderId="16" xfId="5" applyNumberFormat="1" applyFont="1" applyFill="1" applyBorder="1"/>
    <xf numFmtId="0" fontId="53" fillId="0" borderId="16" xfId="2" applyFont="1" applyBorder="1"/>
    <xf numFmtId="10" fontId="51" fillId="0" borderId="16" xfId="4" applyNumberFormat="1" applyFont="1" applyBorder="1"/>
    <xf numFmtId="10" fontId="0" fillId="14" borderId="0" xfId="4" applyNumberFormat="1" applyFont="1" applyFill="1"/>
    <xf numFmtId="9" fontId="0" fillId="0" borderId="0" xfId="4" applyFont="1"/>
    <xf numFmtId="10" fontId="0" fillId="0" borderId="0" xfId="4" applyNumberFormat="1" applyFont="1" applyFill="1"/>
    <xf numFmtId="0" fontId="5" fillId="9" borderId="20" xfId="18" applyFont="1" applyFill="1" applyBorder="1" applyAlignment="1">
      <alignment horizontal="center" vertical="center"/>
    </xf>
    <xf numFmtId="0" fontId="5" fillId="9" borderId="1" xfId="18" applyFont="1" applyFill="1" applyBorder="1" applyAlignment="1">
      <alignment horizontal="center" vertical="center"/>
    </xf>
    <xf numFmtId="0" fontId="5" fillId="0" borderId="0" xfId="18" applyFont="1" applyAlignment="1">
      <alignment horizontal="center" vertical="center"/>
    </xf>
    <xf numFmtId="0" fontId="5" fillId="9" borderId="8" xfId="18" applyFont="1" applyFill="1" applyBorder="1" applyAlignment="1">
      <alignment horizontal="center" vertical="center"/>
    </xf>
    <xf numFmtId="0" fontId="22" fillId="9" borderId="8" xfId="18" applyFill="1" applyBorder="1" applyAlignment="1">
      <alignment horizontal="center" vertical="center"/>
    </xf>
    <xf numFmtId="0" fontId="5" fillId="0" borderId="0" xfId="18" applyFont="1" applyAlignment="1">
      <alignment horizontal="center" vertical="center" wrapText="1"/>
    </xf>
    <xf numFmtId="44" fontId="0" fillId="0" borderId="0" xfId="51" applyFont="1" applyFill="1" applyBorder="1" applyAlignment="1">
      <alignment horizontal="center" vertical="center"/>
    </xf>
    <xf numFmtId="0" fontId="4" fillId="0" borderId="0" xfId="24" applyFont="1"/>
    <xf numFmtId="41" fontId="65" fillId="0" borderId="0" xfId="16" applyNumberFormat="1" applyFont="1"/>
    <xf numFmtId="10" fontId="44" fillId="0" borderId="0" xfId="4" applyNumberFormat="1" applyFill="1"/>
    <xf numFmtId="41" fontId="44" fillId="4" borderId="0" xfId="16" applyNumberFormat="1" applyFill="1"/>
    <xf numFmtId="0" fontId="31" fillId="4" borderId="0" xfId="16" applyFont="1" applyFill="1"/>
    <xf numFmtId="189" fontId="50" fillId="0" borderId="0" xfId="0" applyNumberFormat="1" applyFont="1"/>
    <xf numFmtId="10" fontId="51" fillId="0" borderId="16" xfId="4" applyNumberFormat="1" applyFont="1" applyFill="1" applyBorder="1"/>
    <xf numFmtId="10" fontId="29" fillId="0" borderId="0" xfId="4" applyNumberFormat="1" applyFont="1" applyFill="1"/>
    <xf numFmtId="10" fontId="62" fillId="0" borderId="16" xfId="4" applyNumberFormat="1" applyFont="1" applyFill="1" applyBorder="1"/>
    <xf numFmtId="10" fontId="29" fillId="0" borderId="0" xfId="4" applyNumberFormat="1" applyFont="1"/>
    <xf numFmtId="10" fontId="51" fillId="0" borderId="0" xfId="4" applyNumberFormat="1" applyFont="1" applyBorder="1"/>
    <xf numFmtId="10" fontId="64" fillId="20" borderId="16" xfId="4" applyNumberFormat="1" applyFont="1" applyFill="1" applyBorder="1"/>
    <xf numFmtId="6" fontId="47" fillId="0" borderId="0" xfId="0" applyNumberFormat="1" applyFont="1"/>
    <xf numFmtId="10" fontId="35" fillId="0" borderId="0" xfId="4" applyNumberFormat="1" applyFont="1" applyBorder="1"/>
    <xf numFmtId="175" fontId="51" fillId="0" borderId="0" xfId="4" applyNumberFormat="1" applyFont="1" applyFill="1"/>
    <xf numFmtId="43" fontId="33" fillId="0" borderId="0" xfId="0" applyNumberFormat="1" applyFont="1"/>
    <xf numFmtId="172" fontId="33" fillId="0" borderId="0" xfId="4" applyNumberFormat="1" applyFont="1" applyFill="1"/>
    <xf numFmtId="0" fontId="91" fillId="0" borderId="12" xfId="0" applyFont="1" applyBorder="1" applyAlignment="1">
      <alignment horizontal="left"/>
    </xf>
    <xf numFmtId="184" fontId="91" fillId="0" borderId="12" xfId="0" applyNumberFormat="1" applyFont="1" applyBorder="1" applyAlignment="1">
      <alignment horizontal="left"/>
    </xf>
    <xf numFmtId="185" fontId="91" fillId="0" borderId="12" xfId="0" applyNumberFormat="1" applyFont="1" applyBorder="1" applyAlignment="1">
      <alignment horizontal="left"/>
    </xf>
    <xf numFmtId="186" fontId="91" fillId="0" borderId="12" xfId="0" applyNumberFormat="1" applyFont="1" applyBorder="1" applyAlignment="1">
      <alignment horizontal="left"/>
    </xf>
    <xf numFmtId="41" fontId="63" fillId="0" borderId="0" xfId="4" applyNumberFormat="1" applyFont="1"/>
    <xf numFmtId="43" fontId="63" fillId="0" borderId="0" xfId="5" applyFont="1"/>
    <xf numFmtId="0" fontId="98" fillId="0" borderId="12" xfId="0" applyFont="1" applyBorder="1" applyAlignment="1">
      <alignment horizontal="left"/>
    </xf>
    <xf numFmtId="184" fontId="98" fillId="0" borderId="12" xfId="0" applyNumberFormat="1" applyFont="1" applyBorder="1" applyAlignment="1">
      <alignment horizontal="left"/>
    </xf>
    <xf numFmtId="185" fontId="98" fillId="0" borderId="12" xfId="0" applyNumberFormat="1" applyFont="1" applyBorder="1" applyAlignment="1">
      <alignment horizontal="left"/>
    </xf>
    <xf numFmtId="186" fontId="98" fillId="0" borderId="12" xfId="0" applyNumberFormat="1" applyFont="1" applyBorder="1" applyAlignment="1">
      <alignment horizontal="left"/>
    </xf>
    <xf numFmtId="174" fontId="0" fillId="0" borderId="0" xfId="0" applyNumberFormat="1"/>
    <xf numFmtId="0" fontId="92" fillId="0" borderId="0" xfId="0" applyFont="1" applyAlignment="1">
      <alignment wrapText="1"/>
    </xf>
    <xf numFmtId="0" fontId="99" fillId="0" borderId="12" xfId="0" applyFont="1" applyBorder="1" applyAlignment="1">
      <alignment horizontal="left"/>
    </xf>
    <xf numFmtId="173" fontId="0" fillId="0" borderId="0" xfId="0" applyNumberFormat="1"/>
    <xf numFmtId="0" fontId="88" fillId="23" borderId="44" xfId="0" applyFont="1" applyFill="1" applyBorder="1" applyAlignment="1">
      <alignment horizontal="left" vertical="top" wrapText="1"/>
    </xf>
    <xf numFmtId="0" fontId="88" fillId="23" borderId="45" xfId="0" applyFont="1" applyFill="1" applyBorder="1" applyAlignment="1">
      <alignment horizontal="left" vertical="top" wrapText="1"/>
    </xf>
    <xf numFmtId="0" fontId="88" fillId="23" borderId="45" xfId="0" applyFont="1" applyFill="1" applyBorder="1" applyAlignment="1">
      <alignment horizontal="center" vertical="top" wrapText="1"/>
    </xf>
    <xf numFmtId="0" fontId="88" fillId="23" borderId="46" xfId="0" applyFont="1" applyFill="1" applyBorder="1" applyAlignment="1">
      <alignment horizontal="left" vertical="top" wrapText="1"/>
    </xf>
    <xf numFmtId="188" fontId="88" fillId="0" borderId="0" xfId="0" applyNumberFormat="1" applyFont="1" applyAlignment="1">
      <alignment horizontal="left" vertical="top" wrapText="1"/>
    </xf>
    <xf numFmtId="0" fontId="100" fillId="0" borderId="0" xfId="53"/>
    <xf numFmtId="0" fontId="88" fillId="0" borderId="0" xfId="53" applyFont="1" applyAlignment="1">
      <alignment horizontal="left" vertical="top" wrapText="1"/>
    </xf>
    <xf numFmtId="0" fontId="88" fillId="0" borderId="0" xfId="53" applyFont="1" applyAlignment="1">
      <alignment horizontal="center" vertical="top" wrapText="1"/>
    </xf>
    <xf numFmtId="0" fontId="88" fillId="0" borderId="0" xfId="53" applyFont="1" applyAlignment="1">
      <alignment horizontal="right" vertical="top" wrapText="1"/>
    </xf>
    <xf numFmtId="188" fontId="88" fillId="0" borderId="0" xfId="53" applyNumberFormat="1" applyFont="1" applyAlignment="1">
      <alignment horizontal="right" vertical="top" wrapText="1"/>
    </xf>
    <xf numFmtId="0" fontId="90" fillId="0" borderId="0" xfId="53" applyFont="1" applyAlignment="1">
      <alignment horizontal="left" vertical="top" wrapText="1"/>
    </xf>
    <xf numFmtId="0" fontId="90" fillId="0" borderId="0" xfId="53" applyFont="1" applyAlignment="1">
      <alignment horizontal="center" vertical="top" wrapText="1"/>
    </xf>
    <xf numFmtId="0" fontId="90" fillId="0" borderId="0" xfId="53" applyFont="1" applyAlignment="1">
      <alignment horizontal="right" vertical="top" wrapText="1"/>
    </xf>
    <xf numFmtId="43" fontId="100" fillId="0" borderId="0" xfId="5" applyFont="1"/>
    <xf numFmtId="44" fontId="63" fillId="0" borderId="0" xfId="51" applyFont="1"/>
    <xf numFmtId="3" fontId="3" fillId="0" borderId="0" xfId="12" applyNumberFormat="1" applyFont="1"/>
    <xf numFmtId="0" fontId="88" fillId="23" borderId="45" xfId="0" applyFont="1" applyFill="1" applyBorder="1" applyAlignment="1">
      <alignment horizontal="right" vertical="top" wrapText="1"/>
    </xf>
    <xf numFmtId="0" fontId="88" fillId="0" borderId="0" xfId="0" applyFont="1" applyAlignment="1">
      <alignment horizontal="right" vertical="top" wrapText="1"/>
    </xf>
    <xf numFmtId="188" fontId="88" fillId="0" borderId="0" xfId="0" applyNumberFormat="1" applyFont="1" applyAlignment="1">
      <alignment horizontal="right" vertical="top" wrapText="1"/>
    </xf>
    <xf numFmtId="0" fontId="2" fillId="0" borderId="0" xfId="24" applyFont="1"/>
    <xf numFmtId="0" fontId="1" fillId="0" borderId="0" xfId="24" applyFont="1"/>
    <xf numFmtId="10" fontId="35" fillId="0" borderId="0" xfId="0" applyNumberFormat="1" applyFont="1"/>
    <xf numFmtId="10" fontId="35" fillId="0" borderId="0" xfId="4" applyNumberFormat="1" applyFont="1"/>
    <xf numFmtId="10" fontId="22" fillId="0" borderId="0" xfId="4" applyNumberFormat="1" applyFont="1" applyAlignment="1">
      <alignment horizontal="center" vertical="center"/>
    </xf>
    <xf numFmtId="4" fontId="24" fillId="0" borderId="0" xfId="15" applyNumberFormat="1"/>
    <xf numFmtId="0" fontId="72" fillId="0" borderId="0" xfId="0" applyFont="1" applyAlignment="1">
      <alignment horizontal="right" wrapText="1"/>
    </xf>
    <xf numFmtId="0" fontId="72" fillId="0" borderId="0" xfId="0" applyFont="1" applyAlignment="1">
      <alignment vertical="top"/>
    </xf>
    <xf numFmtId="0" fontId="78" fillId="0" borderId="0" xfId="0" applyFont="1" applyAlignment="1">
      <alignment vertical="center"/>
    </xf>
    <xf numFmtId="4" fontId="71" fillId="0" borderId="0" xfId="0" applyNumberFormat="1" applyFont="1" applyAlignment="1">
      <alignment horizontal="right" vertical="top"/>
    </xf>
    <xf numFmtId="10" fontId="71" fillId="0" borderId="0" xfId="0" applyNumberFormat="1" applyFont="1" applyAlignment="1">
      <alignment horizontal="right" vertical="top"/>
    </xf>
    <xf numFmtId="4" fontId="71" fillId="0" borderId="38" xfId="0" applyNumberFormat="1" applyFont="1" applyBorder="1" applyAlignment="1">
      <alignment vertical="top"/>
    </xf>
    <xf numFmtId="4" fontId="71" fillId="0" borderId="38" xfId="0" applyNumberFormat="1" applyFont="1" applyBorder="1" applyAlignment="1">
      <alignment horizontal="right" vertical="top"/>
    </xf>
    <xf numFmtId="10" fontId="71" fillId="0" borderId="38" xfId="0" applyNumberFormat="1" applyFont="1" applyBorder="1" applyAlignment="1">
      <alignment horizontal="right" vertical="top"/>
    </xf>
    <xf numFmtId="4" fontId="72" fillId="0" borderId="39" xfId="0" applyNumberFormat="1" applyFont="1" applyBorder="1" applyAlignment="1">
      <alignment vertical="top"/>
    </xf>
    <xf numFmtId="4" fontId="72" fillId="0" borderId="39" xfId="0" applyNumberFormat="1" applyFont="1" applyBorder="1" applyAlignment="1">
      <alignment horizontal="right" vertical="top"/>
    </xf>
    <xf numFmtId="10" fontId="72" fillId="0" borderId="39" xfId="0" applyNumberFormat="1" applyFont="1" applyBorder="1" applyAlignment="1">
      <alignment horizontal="right" vertical="top"/>
    </xf>
    <xf numFmtId="0" fontId="73" fillId="0" borderId="38" xfId="0" applyFont="1" applyBorder="1" applyAlignment="1">
      <alignment vertical="top"/>
    </xf>
    <xf numFmtId="4" fontId="72" fillId="0" borderId="43" xfId="0" applyNumberFormat="1" applyFont="1" applyBorder="1" applyAlignment="1">
      <alignment vertical="top"/>
    </xf>
    <xf numFmtId="4" fontId="72" fillId="0" borderId="43" xfId="0" applyNumberFormat="1" applyFont="1" applyBorder="1" applyAlignment="1">
      <alignment horizontal="right" vertical="top"/>
    </xf>
    <xf numFmtId="10" fontId="72" fillId="0" borderId="43" xfId="0" applyNumberFormat="1" applyFont="1" applyBorder="1" applyAlignment="1">
      <alignment horizontal="right" vertical="top"/>
    </xf>
    <xf numFmtId="0" fontId="72" fillId="0" borderId="0" xfId="0" applyFont="1" applyAlignment="1">
      <alignment vertical="top" wrapText="1"/>
    </xf>
    <xf numFmtId="0" fontId="0" fillId="0" borderId="0" xfId="0" applyProtection="1">
      <protection locked="0"/>
    </xf>
    <xf numFmtId="179" fontId="0" fillId="0" borderId="0" xfId="0" applyNumberFormat="1" applyAlignment="1" applyProtection="1">
      <alignment horizontal="right"/>
      <protection locked="0"/>
    </xf>
    <xf numFmtId="0" fontId="92" fillId="0" borderId="0" xfId="0" applyFont="1" applyAlignment="1">
      <alignment horizontal="right" wrapText="1"/>
    </xf>
    <xf numFmtId="0" fontId="92" fillId="0" borderId="0" xfId="0" applyFont="1" applyAlignment="1">
      <alignment vertical="top"/>
    </xf>
    <xf numFmtId="10" fontId="93" fillId="0" borderId="0" xfId="0" applyNumberFormat="1" applyFont="1" applyAlignment="1">
      <alignment horizontal="right" vertical="top"/>
    </xf>
    <xf numFmtId="4" fontId="93" fillId="0" borderId="0" xfId="0" applyNumberFormat="1" applyFont="1" applyAlignment="1">
      <alignment vertical="top"/>
    </xf>
    <xf numFmtId="10" fontId="92" fillId="0" borderId="0" xfId="0" applyNumberFormat="1" applyFont="1" applyAlignment="1">
      <alignment horizontal="right" vertical="top"/>
    </xf>
    <xf numFmtId="4" fontId="92" fillId="0" borderId="0" xfId="0" applyNumberFormat="1" applyFont="1" applyAlignment="1">
      <alignment vertical="top"/>
    </xf>
    <xf numFmtId="0" fontId="94" fillId="0" borderId="0" xfId="0" applyFont="1" applyAlignment="1">
      <alignment vertical="top"/>
    </xf>
    <xf numFmtId="0" fontId="95" fillId="0" borderId="0" xfId="0" applyFont="1" applyAlignment="1">
      <alignment vertical="center"/>
    </xf>
    <xf numFmtId="0" fontId="96" fillId="0" borderId="0" xfId="0" applyFont="1" applyAlignment="1">
      <alignment vertical="top"/>
    </xf>
    <xf numFmtId="0" fontId="97" fillId="0" borderId="0" xfId="0" applyFont="1" applyAlignment="1">
      <alignment vertical="top"/>
    </xf>
    <xf numFmtId="4" fontId="79" fillId="0" borderId="0" xfId="0" applyNumberFormat="1" applyFont="1" applyAlignment="1">
      <alignment vertical="top"/>
    </xf>
    <xf numFmtId="0" fontId="83" fillId="0" borderId="0" xfId="0" applyFont="1" applyAlignment="1">
      <alignment vertical="top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right" vertical="top"/>
    </xf>
    <xf numFmtId="171" fontId="68" fillId="9" borderId="20" xfId="18" applyNumberFormat="1" applyFont="1" applyFill="1" applyBorder="1" applyAlignment="1">
      <alignment horizontal="center" vertical="center" wrapText="1"/>
    </xf>
    <xf numFmtId="171" fontId="68" fillId="9" borderId="2" xfId="18" applyNumberFormat="1" applyFont="1" applyFill="1" applyBorder="1" applyAlignment="1">
      <alignment horizontal="center" vertical="center" wrapText="1"/>
    </xf>
    <xf numFmtId="171" fontId="68" fillId="9" borderId="1" xfId="18" applyNumberFormat="1" applyFont="1" applyFill="1" applyBorder="1" applyAlignment="1">
      <alignment horizontal="center" vertical="center" wrapText="1"/>
    </xf>
    <xf numFmtId="0" fontId="62" fillId="0" borderId="20" xfId="18" applyFont="1" applyBorder="1" applyAlignment="1">
      <alignment horizontal="center" vertical="center"/>
    </xf>
    <xf numFmtId="0" fontId="62" fillId="0" borderId="1" xfId="18" applyFont="1" applyBorder="1" applyAlignment="1">
      <alignment horizontal="center" vertical="center"/>
    </xf>
    <xf numFmtId="0" fontId="62" fillId="0" borderId="2" xfId="18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42" fillId="3" borderId="16" xfId="0" applyFont="1" applyFill="1" applyBorder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7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3" fillId="0" borderId="4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1" fillId="0" borderId="14" xfId="0" applyFont="1" applyBorder="1" applyAlignment="1">
      <alignment horizontal="center"/>
    </xf>
    <xf numFmtId="0" fontId="52" fillId="0" borderId="20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4" fillId="0" borderId="4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/>
    </xf>
    <xf numFmtId="0" fontId="50" fillId="0" borderId="31" xfId="0" applyFont="1" applyBorder="1" applyAlignment="1">
      <alignment horizontal="center"/>
    </xf>
    <xf numFmtId="0" fontId="50" fillId="0" borderId="16" xfId="0" applyFont="1" applyBorder="1" applyAlignment="1">
      <alignment horizontal="center"/>
    </xf>
    <xf numFmtId="0" fontId="50" fillId="0" borderId="32" xfId="0" applyFont="1" applyBorder="1" applyAlignment="1">
      <alignment horizontal="center"/>
    </xf>
    <xf numFmtId="0" fontId="52" fillId="0" borderId="33" xfId="0" applyFont="1" applyBorder="1" applyAlignment="1">
      <alignment horizontal="center"/>
    </xf>
    <xf numFmtId="0" fontId="52" fillId="0" borderId="34" xfId="0" applyFont="1" applyBorder="1" applyAlignment="1">
      <alignment horizontal="center"/>
    </xf>
    <xf numFmtId="0" fontId="52" fillId="0" borderId="35" xfId="0" applyFont="1" applyBorder="1" applyAlignment="1">
      <alignment horizontal="center"/>
    </xf>
    <xf numFmtId="0" fontId="48" fillId="0" borderId="33" xfId="0" applyFont="1" applyBorder="1" applyAlignment="1">
      <alignment horizontal="center"/>
    </xf>
    <xf numFmtId="0" fontId="48" fillId="0" borderId="34" xfId="0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24" fillId="0" borderId="0" xfId="12" applyAlignment="1">
      <alignment horizontal="center"/>
    </xf>
  </cellXfs>
  <cellStyles count="54">
    <cellStyle name="Comma" xfId="5" builtinId="3"/>
    <cellStyle name="Comma 2" xfId="13" xr:uid="{00000000-0005-0000-0000-000001000000}"/>
    <cellStyle name="Comma 2 2" xfId="40" xr:uid="{00000000-0005-0000-0000-000002000000}"/>
    <cellStyle name="Comma 3" xfId="20" xr:uid="{00000000-0005-0000-0000-000003000000}"/>
    <cellStyle name="Comma 3 2" xfId="45" xr:uid="{00000000-0005-0000-0000-000004000000}"/>
    <cellStyle name="Comma 4" xfId="23" xr:uid="{00000000-0005-0000-0000-000005000000}"/>
    <cellStyle name="Comma 4 2" xfId="48" xr:uid="{00000000-0005-0000-0000-000006000000}"/>
    <cellStyle name="Comma 5" xfId="33" xr:uid="{00000000-0005-0000-0000-000007000000}"/>
    <cellStyle name="Currency" xfId="51" builtinId="4"/>
    <cellStyle name="Currency 2" xfId="21" xr:uid="{00000000-0005-0000-0000-000009000000}"/>
    <cellStyle name="Currency 2 2" xfId="46" xr:uid="{00000000-0005-0000-0000-00000A000000}"/>
    <cellStyle name="Normal" xfId="0" builtinId="0"/>
    <cellStyle name="Normal 10" xfId="24" xr:uid="{00000000-0005-0000-0000-00000C000000}"/>
    <cellStyle name="Normal 10 2" xfId="49" xr:uid="{00000000-0005-0000-0000-00000D000000}"/>
    <cellStyle name="Normal 11" xfId="25" xr:uid="{00000000-0005-0000-0000-00000E000000}"/>
    <cellStyle name="Normal 12" xfId="26" xr:uid="{00000000-0005-0000-0000-00000F000000}"/>
    <cellStyle name="Normal 12 2" xfId="50" xr:uid="{00000000-0005-0000-0000-000010000000}"/>
    <cellStyle name="Normal 13" xfId="28" xr:uid="{00000000-0005-0000-0000-000011000000}"/>
    <cellStyle name="Normal 14" xfId="27" xr:uid="{00000000-0005-0000-0000-000012000000}"/>
    <cellStyle name="Normal 15" xfId="52" xr:uid="{00000000-0005-0000-0000-000013000000}"/>
    <cellStyle name="Normal 16" xfId="53" xr:uid="{BCAFBFB8-C96A-4333-A156-5780838785B6}"/>
    <cellStyle name="Normal 2" xfId="2" xr:uid="{00000000-0005-0000-0000-000014000000}"/>
    <cellStyle name="Normal 2 2" xfId="9" xr:uid="{00000000-0005-0000-0000-000015000000}"/>
    <cellStyle name="Normal 2 2 2" xfId="36" xr:uid="{00000000-0005-0000-0000-000016000000}"/>
    <cellStyle name="Normal 2 3" xfId="16" xr:uid="{00000000-0005-0000-0000-000017000000}"/>
    <cellStyle name="Normal 2 4" xfId="30" xr:uid="{00000000-0005-0000-0000-000018000000}"/>
    <cellStyle name="Normal 3" xfId="1" xr:uid="{00000000-0005-0000-0000-000019000000}"/>
    <cellStyle name="Normal 3 2" xfId="8" xr:uid="{00000000-0005-0000-0000-00001A000000}"/>
    <cellStyle name="Normal 3 2 2" xfId="35" xr:uid="{00000000-0005-0000-0000-00001B000000}"/>
    <cellStyle name="Normal 3 3" xfId="29" xr:uid="{00000000-0005-0000-0000-00001C000000}"/>
    <cellStyle name="Normal 4" xfId="3" xr:uid="{00000000-0005-0000-0000-00001D000000}"/>
    <cellStyle name="Normal 4 2" xfId="10" xr:uid="{00000000-0005-0000-0000-00001E000000}"/>
    <cellStyle name="Normal 4 2 2" xfId="37" xr:uid="{00000000-0005-0000-0000-00001F000000}"/>
    <cellStyle name="Normal 4 3" xfId="31" xr:uid="{00000000-0005-0000-0000-000020000000}"/>
    <cellStyle name="Normal 5" xfId="6" xr:uid="{00000000-0005-0000-0000-000021000000}"/>
    <cellStyle name="Normal 5 2" xfId="15" xr:uid="{00000000-0005-0000-0000-000022000000}"/>
    <cellStyle name="Normal 5 2 2" xfId="42" xr:uid="{00000000-0005-0000-0000-000023000000}"/>
    <cellStyle name="Normal 6" xfId="7" xr:uid="{00000000-0005-0000-0000-000024000000}"/>
    <cellStyle name="Normal 6 2" xfId="11" xr:uid="{00000000-0005-0000-0000-000025000000}"/>
    <cellStyle name="Normal 6 2 2" xfId="38" xr:uid="{00000000-0005-0000-0000-000026000000}"/>
    <cellStyle name="Normal 6 3" xfId="17" xr:uid="{00000000-0005-0000-0000-000027000000}"/>
    <cellStyle name="Normal 6 4" xfId="34" xr:uid="{00000000-0005-0000-0000-000028000000}"/>
    <cellStyle name="Normal 7" xfId="12" xr:uid="{00000000-0005-0000-0000-000029000000}"/>
    <cellStyle name="Normal 7 2" xfId="39" xr:uid="{00000000-0005-0000-0000-00002A000000}"/>
    <cellStyle name="Normal 8" xfId="18" xr:uid="{00000000-0005-0000-0000-00002B000000}"/>
    <cellStyle name="Normal 8 2" xfId="43" xr:uid="{00000000-0005-0000-0000-00002C000000}"/>
    <cellStyle name="Normal 9" xfId="22" xr:uid="{00000000-0005-0000-0000-00002D000000}"/>
    <cellStyle name="Normal 9 2" xfId="47" xr:uid="{00000000-0005-0000-0000-00002E000000}"/>
    <cellStyle name="Percent" xfId="4" builtinId="5"/>
    <cellStyle name="Percent 2" xfId="14" xr:uid="{00000000-0005-0000-0000-000030000000}"/>
    <cellStyle name="Percent 2 2" xfId="41" xr:uid="{00000000-0005-0000-0000-000031000000}"/>
    <cellStyle name="Percent 3" xfId="19" xr:uid="{00000000-0005-0000-0000-000032000000}"/>
    <cellStyle name="Percent 3 2" xfId="44" xr:uid="{00000000-0005-0000-0000-000033000000}"/>
    <cellStyle name="Percent 4" xfId="32" xr:uid="{00000000-0005-0000-0000-000034000000}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FFFF66"/>
      <color rgb="FF66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Fiscal Year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84901332636857"/>
          <c:y val="0.11675958034093258"/>
          <c:w val="0.84183332165594371"/>
          <c:h val="0.64432505248854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Scenarios!$B$163</c:f>
              <c:strCache>
                <c:ptCount val="1"/>
                <c:pt idx="0">
                  <c:v>FY 2020-21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Scenarios!$A$164:$A$171</c:f>
              <c:strCache>
                <c:ptCount val="8"/>
                <c:pt idx="0">
                  <c:v>General Fund</c:v>
                </c:pt>
                <c:pt idx="1">
                  <c:v>W/WW Fund</c:v>
                </c:pt>
                <c:pt idx="2">
                  <c:v>Drainage Fund</c:v>
                </c:pt>
                <c:pt idx="3">
                  <c:v>IT Fund</c:v>
                </c:pt>
                <c:pt idx="4">
                  <c:v>Pointe</c:v>
                </c:pt>
                <c:pt idx="5">
                  <c:v>Crime Control</c:v>
                </c:pt>
                <c:pt idx="6">
                  <c:v>Public Safety</c:v>
                </c:pt>
                <c:pt idx="7">
                  <c:v>Parks Special Revenue</c:v>
                </c:pt>
              </c:strCache>
            </c:strRef>
          </c:cat>
          <c:val>
            <c:numRef>
              <c:f>Scenarios!$B$164:$B$171</c:f>
              <c:numCache>
                <c:formatCode>"$"#,##0</c:formatCode>
                <c:ptCount val="8"/>
                <c:pt idx="0">
                  <c:v>25919439</c:v>
                </c:pt>
                <c:pt idx="1">
                  <c:v>3578022</c:v>
                </c:pt>
                <c:pt idx="2">
                  <c:v>694479</c:v>
                </c:pt>
                <c:pt idx="3">
                  <c:v>948289</c:v>
                </c:pt>
                <c:pt idx="4">
                  <c:v>478753</c:v>
                </c:pt>
                <c:pt idx="5">
                  <c:v>0</c:v>
                </c:pt>
                <c:pt idx="6">
                  <c:v>0</c:v>
                </c:pt>
                <c:pt idx="7" formatCode="_(&quot;$&quot;* #,##0_);_(&quot;$&quot;* \(#,##0\);_(&quot;$&quot;* &quot;-&quot;_);_(@_)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3-4E7D-8C8E-5A8147E72CAD}"/>
            </c:ext>
          </c:extLst>
        </c:ser>
        <c:ser>
          <c:idx val="1"/>
          <c:order val="1"/>
          <c:tx>
            <c:strRef>
              <c:f>Scenarios!$C$163</c:f>
              <c:strCache>
                <c:ptCount val="1"/>
                <c:pt idx="0">
                  <c:v>FY 2021-22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Scenarios!$A$164:$A$171</c:f>
              <c:strCache>
                <c:ptCount val="8"/>
                <c:pt idx="0">
                  <c:v>General Fund</c:v>
                </c:pt>
                <c:pt idx="1">
                  <c:v>W/WW Fund</c:v>
                </c:pt>
                <c:pt idx="2">
                  <c:v>Drainage Fund</c:v>
                </c:pt>
                <c:pt idx="3">
                  <c:v>IT Fund</c:v>
                </c:pt>
                <c:pt idx="4">
                  <c:v>Pointe</c:v>
                </c:pt>
                <c:pt idx="5">
                  <c:v>Crime Control</c:v>
                </c:pt>
                <c:pt idx="6">
                  <c:v>Public Safety</c:v>
                </c:pt>
                <c:pt idx="7">
                  <c:v>Parks Special Revenue</c:v>
                </c:pt>
              </c:strCache>
            </c:strRef>
          </c:cat>
          <c:val>
            <c:numRef>
              <c:f>Scenarios!$C$164:$C$171</c:f>
              <c:numCache>
                <c:formatCode>"$"#,##0</c:formatCode>
                <c:ptCount val="8"/>
                <c:pt idx="0">
                  <c:v>5203533.7384181665</c:v>
                </c:pt>
                <c:pt idx="1">
                  <c:v>1883603.7131879497</c:v>
                </c:pt>
                <c:pt idx="2">
                  <c:v>300984.95780640002</c:v>
                </c:pt>
                <c:pt idx="3">
                  <c:v>408552.64631600003</c:v>
                </c:pt>
                <c:pt idx="4">
                  <c:v>535248.20140799996</c:v>
                </c:pt>
                <c:pt idx="5">
                  <c:v>0</c:v>
                </c:pt>
                <c:pt idx="6">
                  <c:v>0</c:v>
                </c:pt>
                <c:pt idx="7" formatCode="_(&quot;$&quot;* #,##0_);_(&quot;$&quot;* \(#,##0\);_(&quot;$&quot;* &quot;-&quot;_);_(@_)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3-4E7D-8C8E-5A8147E7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5615008"/>
        <c:axId val="955614024"/>
      </c:barChart>
      <c:catAx>
        <c:axId val="9556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614024"/>
        <c:crosses val="autoZero"/>
        <c:auto val="1"/>
        <c:lblAlgn val="ctr"/>
        <c:lblOffset val="100"/>
        <c:noMultiLvlLbl val="0"/>
      </c:catAx>
      <c:valAx>
        <c:axId val="95561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61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1690686</xdr:colOff>
      <xdr:row>141</xdr:row>
      <xdr:rowOff>116679</xdr:rowOff>
    </xdr:from>
    <xdr:to>
      <xdr:col>16</xdr:col>
      <xdr:colOff>1905000</xdr:colOff>
      <xdr:row>167</xdr:row>
      <xdr:rowOff>35717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942975" cy="902758"/>
    <xdr:pic>
      <xdr:nvPicPr>
        <xdr:cNvPr id="2" name="Picture 1" descr="image0000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975" cy="100012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0</xdr:row>
      <xdr:rowOff>0</xdr:rowOff>
    </xdr:from>
    <xdr:to>
      <xdr:col>3</xdr:col>
      <xdr:colOff>935355</xdr:colOff>
      <xdr:row>4</xdr:row>
      <xdr:rowOff>53340</xdr:rowOff>
    </xdr:to>
    <xdr:pic>
      <xdr:nvPicPr>
        <xdr:cNvPr id="3" name="Picture 2" descr="image0000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4297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935355</xdr:colOff>
      <xdr:row>4</xdr:row>
      <xdr:rowOff>53340</xdr:rowOff>
    </xdr:to>
    <xdr:pic>
      <xdr:nvPicPr>
        <xdr:cNvPr id="4" name="Picture 3" descr="image0000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42975" cy="1000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%20Department\Budget%20Files\FY%202023-24\Budget%20Prep\Personnel%20Budget%20FY24%20at%206-6.xlsx" TargetMode="External"/><Relationship Id="rId1" Type="http://schemas.openxmlformats.org/officeDocument/2006/relationships/externalLinkPath" Target="/Finance%20Department/Budget%20Files/FY%202023-24/Budget%20Prep/Personnel%20Budget%20FY24%20at%206-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%20Department\Budget%20Files\FY%202024-25\Budget%20Prep\Personnel%20Budget%20FY25%20at%203-19.xlsx" TargetMode="External"/><Relationship Id="rId1" Type="http://schemas.openxmlformats.org/officeDocument/2006/relationships/externalLinkPath" Target="Personnel%20Budget%20FY25%20at%203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patch &amp; Detention"/>
      <sheetName val="Market Study"/>
      <sheetName val="Prop Budget Summary"/>
      <sheetName val="Prop Budget Calc"/>
      <sheetName val="Proposed Step Plans"/>
      <sheetName val="Current Step Plans"/>
      <sheetName val="Base Pay Report"/>
      <sheetName val="Deduction Valuation"/>
      <sheetName val="Health Insurance"/>
      <sheetName val="Scenarios"/>
      <sheetName val="WKCMP"/>
      <sheetName val="Employee Enrollments"/>
      <sheetName val="YTD Personnel"/>
      <sheetName val="YEP Personnel Calc"/>
      <sheetName val="YEP Summaries"/>
      <sheetName val="PR Calendar"/>
    </sheetNames>
    <sheetDataSet>
      <sheetData sheetId="0" refreshError="1"/>
      <sheetData sheetId="1" refreshError="1"/>
      <sheetData sheetId="2">
        <row r="34">
          <cell r="C34">
            <v>4647411</v>
          </cell>
        </row>
        <row r="68">
          <cell r="T68">
            <v>3643153.80496431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patch &amp; Detention"/>
      <sheetName val="Market Study"/>
      <sheetName val="Prop Budget Summary"/>
      <sheetName val="Prop Budget Calc"/>
      <sheetName val="Proposed Step Plans"/>
      <sheetName val="Current Step Plans"/>
      <sheetName val="Base Pay Report"/>
      <sheetName val="Deduction Valuation"/>
      <sheetName val="Employee Enrollments"/>
      <sheetName val="Health Insurance"/>
      <sheetName val="Scenarios"/>
      <sheetName val="WKCMP"/>
      <sheetName val="YTD Personnel"/>
      <sheetName val="YEP Personnel Calc"/>
      <sheetName val="YEP Summaries"/>
      <sheetName val="PR Calendar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S1H008049</v>
          </cell>
        </row>
        <row r="5">
          <cell r="A5" t="str">
            <v>EE #</v>
          </cell>
        </row>
        <row r="6">
          <cell r="A6" t="str">
            <v>S1H0v002</v>
          </cell>
        </row>
        <row r="7">
          <cell r="A7" t="str">
            <v>S1H009091</v>
          </cell>
        </row>
        <row r="8">
          <cell r="A8" t="str">
            <v>S1H002570</v>
          </cell>
        </row>
        <row r="9">
          <cell r="A9" t="str">
            <v>S1H000123</v>
          </cell>
        </row>
        <row r="10">
          <cell r="A10" t="str">
            <v>S1H004533</v>
          </cell>
        </row>
        <row r="11">
          <cell r="A11" t="str">
            <v>S1H0v001</v>
          </cell>
        </row>
        <row r="12">
          <cell r="A12" t="str">
            <v>S1H005039</v>
          </cell>
        </row>
        <row r="13">
          <cell r="A13" t="str">
            <v>S1H000751</v>
          </cell>
        </row>
        <row r="14">
          <cell r="A14" t="str">
            <v>S1H000405</v>
          </cell>
        </row>
        <row r="15">
          <cell r="A15" t="str">
            <v>S1H010053</v>
          </cell>
        </row>
        <row r="16">
          <cell r="A16" t="str">
            <v>S1H004816</v>
          </cell>
        </row>
        <row r="17">
          <cell r="A17" t="str">
            <v>S1H002526</v>
          </cell>
        </row>
        <row r="18">
          <cell r="A18" t="str">
            <v>S1H009725</v>
          </cell>
        </row>
        <row r="19">
          <cell r="A19" t="str">
            <v>S1H009249</v>
          </cell>
        </row>
        <row r="20">
          <cell r="A20" t="str">
            <v>S1H004407</v>
          </cell>
        </row>
        <row r="21">
          <cell r="A21" t="str">
            <v>S1H009216</v>
          </cell>
        </row>
        <row r="22">
          <cell r="A22" t="str">
            <v>S1H009603</v>
          </cell>
        </row>
        <row r="23">
          <cell r="A23" t="str">
            <v>S1H009876</v>
          </cell>
        </row>
        <row r="24">
          <cell r="A24" t="str">
            <v>S1H009933</v>
          </cell>
        </row>
        <row r="25">
          <cell r="A25" t="str">
            <v>S1H006100</v>
          </cell>
        </row>
        <row r="26">
          <cell r="A26" t="str">
            <v>S1H009470</v>
          </cell>
        </row>
        <row r="27">
          <cell r="A27" t="str">
            <v>S1H009955</v>
          </cell>
        </row>
        <row r="28">
          <cell r="A28" t="str">
            <v>S1H009662</v>
          </cell>
        </row>
        <row r="29">
          <cell r="A29" t="str">
            <v>S1H009701</v>
          </cell>
        </row>
        <row r="30">
          <cell r="A30" t="str">
            <v>S1H009833</v>
          </cell>
        </row>
        <row r="31">
          <cell r="A31" t="str">
            <v>S1H101239</v>
          </cell>
        </row>
        <row r="32">
          <cell r="A32" t="str">
            <v>S1H009222</v>
          </cell>
        </row>
        <row r="33">
          <cell r="A33" t="str">
            <v>S1H101215</v>
          </cell>
        </row>
        <row r="34">
          <cell r="A34" t="str">
            <v>S1H0v005</v>
          </cell>
        </row>
        <row r="35">
          <cell r="A35" t="str">
            <v>S1H002771</v>
          </cell>
        </row>
        <row r="36">
          <cell r="A36" t="str">
            <v>S1H009682</v>
          </cell>
        </row>
        <row r="37">
          <cell r="A37" t="str">
            <v>S1H009958</v>
          </cell>
        </row>
        <row r="38">
          <cell r="A38" t="str">
            <v>S1H009938</v>
          </cell>
        </row>
        <row r="39">
          <cell r="A39" t="str">
            <v>S1H009008</v>
          </cell>
        </row>
        <row r="40">
          <cell r="A40" t="str">
            <v>S1H009417</v>
          </cell>
        </row>
        <row r="41">
          <cell r="A41" t="str">
            <v>S1H009875</v>
          </cell>
        </row>
        <row r="42">
          <cell r="A42" t="str">
            <v>S1H010190</v>
          </cell>
        </row>
        <row r="43">
          <cell r="A43" t="str">
            <v>S1H002954</v>
          </cell>
        </row>
        <row r="44">
          <cell r="A44" t="str">
            <v>S1H004646</v>
          </cell>
        </row>
        <row r="45">
          <cell r="A45" t="str">
            <v>S1H000740</v>
          </cell>
        </row>
        <row r="46">
          <cell r="A46" t="str">
            <v>S1H009281</v>
          </cell>
        </row>
        <row r="47">
          <cell r="A47" t="str">
            <v>S1H003573</v>
          </cell>
        </row>
        <row r="48">
          <cell r="A48" t="str">
            <v>S1H002250</v>
          </cell>
        </row>
        <row r="49">
          <cell r="A49" t="str">
            <v>S1H009950</v>
          </cell>
        </row>
        <row r="50">
          <cell r="A50" t="str">
            <v>S1H101241</v>
          </cell>
        </row>
        <row r="51">
          <cell r="A51" t="str">
            <v>S1H000065</v>
          </cell>
        </row>
        <row r="52">
          <cell r="A52" t="str">
            <v>S1H008049</v>
          </cell>
        </row>
        <row r="53">
          <cell r="A53" t="str">
            <v>S1H004169</v>
          </cell>
        </row>
        <row r="54">
          <cell r="A54" t="str">
            <v>S1H010018</v>
          </cell>
        </row>
        <row r="55">
          <cell r="A55" t="str">
            <v>S1H009030</v>
          </cell>
        </row>
        <row r="56">
          <cell r="A56" t="str">
            <v>S1H004705</v>
          </cell>
        </row>
        <row r="57">
          <cell r="A57" t="str">
            <v>S1H003275</v>
          </cell>
        </row>
        <row r="58">
          <cell r="A58" t="str">
            <v>S1H005454</v>
          </cell>
        </row>
        <row r="59">
          <cell r="A59" t="str">
            <v>S1H001112</v>
          </cell>
        </row>
        <row r="60">
          <cell r="A60" t="str">
            <v>S1H000774</v>
          </cell>
        </row>
        <row r="61">
          <cell r="A61" t="str">
            <v>S1H000770</v>
          </cell>
        </row>
        <row r="62">
          <cell r="A62" t="str">
            <v>S1H004551</v>
          </cell>
        </row>
        <row r="63">
          <cell r="A63" t="str">
            <v>S1H009640</v>
          </cell>
        </row>
        <row r="64">
          <cell r="A64" t="str">
            <v>S1H000152</v>
          </cell>
        </row>
        <row r="65">
          <cell r="A65" t="str">
            <v>S1H009641</v>
          </cell>
        </row>
        <row r="66">
          <cell r="A66" t="str">
            <v>S1H001485</v>
          </cell>
        </row>
        <row r="67">
          <cell r="A67" t="str">
            <v>S1H009336</v>
          </cell>
        </row>
        <row r="68">
          <cell r="A68" t="str">
            <v>S1H001461</v>
          </cell>
        </row>
        <row r="69">
          <cell r="A69" t="str">
            <v>S1H005680</v>
          </cell>
        </row>
        <row r="70">
          <cell r="A70" t="str">
            <v>S1H009952</v>
          </cell>
        </row>
        <row r="71">
          <cell r="A71" t="str">
            <v>S1H009636</v>
          </cell>
        </row>
        <row r="72">
          <cell r="A72" t="str">
            <v>S1H009009</v>
          </cell>
        </row>
        <row r="73">
          <cell r="A73" t="str">
            <v>S1H003337</v>
          </cell>
        </row>
        <row r="74">
          <cell r="A74" t="str">
            <v>S1H009961</v>
          </cell>
        </row>
        <row r="75">
          <cell r="A75" t="str">
            <v>S1H010000</v>
          </cell>
        </row>
        <row r="76">
          <cell r="A76" t="str">
            <v>S1H009906</v>
          </cell>
        </row>
        <row r="77">
          <cell r="A77" t="str">
            <v>S1H009907</v>
          </cell>
        </row>
        <row r="78">
          <cell r="A78" t="str">
            <v>S1H003646</v>
          </cell>
        </row>
        <row r="79">
          <cell r="A79" t="str">
            <v>S1H010002</v>
          </cell>
        </row>
        <row r="80">
          <cell r="A80" t="str">
            <v>S1H005770</v>
          </cell>
        </row>
        <row r="81">
          <cell r="A81" t="str">
            <v>S1H004665</v>
          </cell>
        </row>
        <row r="82">
          <cell r="A82" t="str">
            <v>S1H001628</v>
          </cell>
        </row>
        <row r="83">
          <cell r="A83" t="str">
            <v>S1H001942</v>
          </cell>
        </row>
        <row r="84">
          <cell r="A84" t="str">
            <v>S1H009087</v>
          </cell>
        </row>
        <row r="85">
          <cell r="A85" t="str">
            <v>S1H009209</v>
          </cell>
        </row>
        <row r="86">
          <cell r="A86" t="str">
            <v>S1H009046</v>
          </cell>
        </row>
        <row r="87">
          <cell r="A87" t="str">
            <v>S1H009052</v>
          </cell>
        </row>
        <row r="88">
          <cell r="A88" t="str">
            <v>S1H010019</v>
          </cell>
        </row>
        <row r="89">
          <cell r="A89" t="str">
            <v>S1H009503</v>
          </cell>
        </row>
        <row r="90">
          <cell r="A90" t="str">
            <v>S1H0v020</v>
          </cell>
        </row>
        <row r="91">
          <cell r="A91" t="str">
            <v>S1H000470</v>
          </cell>
        </row>
        <row r="92">
          <cell r="A92" t="str">
            <v>S1H009634</v>
          </cell>
        </row>
        <row r="93">
          <cell r="A93" t="str">
            <v>S1H101209</v>
          </cell>
        </row>
        <row r="94">
          <cell r="A94" t="str">
            <v>S1H009466</v>
          </cell>
        </row>
        <row r="95">
          <cell r="A95" t="str">
            <v>S1H009496</v>
          </cell>
        </row>
        <row r="96">
          <cell r="A96" t="str">
            <v>S1H009013</v>
          </cell>
        </row>
        <row r="97">
          <cell r="A97" t="str">
            <v>S1H002450</v>
          </cell>
        </row>
        <row r="98">
          <cell r="A98" t="str">
            <v>S1H009031</v>
          </cell>
        </row>
        <row r="99">
          <cell r="A99" t="str">
            <v>S1H009083</v>
          </cell>
        </row>
        <row r="100">
          <cell r="A100" t="str">
            <v>S1H009651</v>
          </cell>
        </row>
        <row r="101">
          <cell r="A101" t="str">
            <v>S1H010136</v>
          </cell>
        </row>
        <row r="102">
          <cell r="A102" t="str">
            <v>S1H010137</v>
          </cell>
        </row>
        <row r="103">
          <cell r="A103" t="str">
            <v>S1H010186</v>
          </cell>
        </row>
        <row r="104">
          <cell r="A104" t="str">
            <v>S1H009696</v>
          </cell>
        </row>
        <row r="105">
          <cell r="A105" t="str">
            <v>S1H001725</v>
          </cell>
        </row>
        <row r="106">
          <cell r="A106" t="str">
            <v>S1H002516</v>
          </cell>
        </row>
        <row r="107">
          <cell r="A107" t="str">
            <v>S1H0v024</v>
          </cell>
        </row>
        <row r="108">
          <cell r="A108" t="str">
            <v>S1H009457</v>
          </cell>
        </row>
        <row r="109">
          <cell r="A109" t="str">
            <v>S1H003505</v>
          </cell>
        </row>
        <row r="110">
          <cell r="A110" t="str">
            <v>S1H001116</v>
          </cell>
        </row>
        <row r="111">
          <cell r="A111" t="str">
            <v>S1H005760</v>
          </cell>
        </row>
        <row r="112">
          <cell r="A112" t="str">
            <v>S1H0v024</v>
          </cell>
        </row>
        <row r="113">
          <cell r="A113" t="str">
            <v>S1H010146</v>
          </cell>
        </row>
        <row r="114">
          <cell r="A114" t="str">
            <v>S1H009022</v>
          </cell>
        </row>
        <row r="115">
          <cell r="A115" t="str">
            <v>S1H004305</v>
          </cell>
        </row>
        <row r="116">
          <cell r="A116" t="str">
            <v>S1H002165</v>
          </cell>
        </row>
        <row r="117">
          <cell r="A117" t="str">
            <v>S1H0v025</v>
          </cell>
        </row>
        <row r="118">
          <cell r="A118" t="str">
            <v>S1H101204</v>
          </cell>
        </row>
        <row r="119">
          <cell r="A119" t="str">
            <v>S1H009663</v>
          </cell>
        </row>
        <row r="120">
          <cell r="A120" t="str">
            <v>S1H009455</v>
          </cell>
        </row>
        <row r="121">
          <cell r="A121" t="str">
            <v>S1H000435</v>
          </cell>
        </row>
        <row r="122">
          <cell r="A122" t="str">
            <v>S1H101229</v>
          </cell>
        </row>
        <row r="123">
          <cell r="A123" t="str">
            <v>S1H001724</v>
          </cell>
        </row>
        <row r="124">
          <cell r="A124" t="str">
            <v>S1H009076</v>
          </cell>
        </row>
        <row r="125">
          <cell r="A125" t="str">
            <v>S1H101206</v>
          </cell>
        </row>
        <row r="126">
          <cell r="A126" t="str">
            <v>S1H101208</v>
          </cell>
        </row>
        <row r="127">
          <cell r="A127" t="str">
            <v>S1H0v026</v>
          </cell>
        </row>
        <row r="128">
          <cell r="A128" t="str">
            <v>S1H010194</v>
          </cell>
        </row>
        <row r="129">
          <cell r="A129" t="str">
            <v>S1H101216</v>
          </cell>
        </row>
        <row r="130">
          <cell r="A130" t="str">
            <v>S1H009075</v>
          </cell>
        </row>
        <row r="131">
          <cell r="A131" t="str">
            <v>S1H009519</v>
          </cell>
        </row>
        <row r="132">
          <cell r="A132" t="str">
            <v>S1H009975</v>
          </cell>
        </row>
        <row r="133">
          <cell r="A133" t="str">
            <v>S1H009962</v>
          </cell>
        </row>
        <row r="134">
          <cell r="A134" t="str">
            <v>S1H009919</v>
          </cell>
        </row>
        <row r="135">
          <cell r="A135" t="str">
            <v>S1H009462</v>
          </cell>
        </row>
        <row r="136">
          <cell r="A136" t="str">
            <v>S1H009937</v>
          </cell>
        </row>
        <row r="137">
          <cell r="A137" t="str">
            <v>S1H101233</v>
          </cell>
        </row>
        <row r="138">
          <cell r="A138" t="str">
            <v>S1H0v011</v>
          </cell>
        </row>
        <row r="139">
          <cell r="A139" t="str">
            <v>S1H009957</v>
          </cell>
        </row>
        <row r="140">
          <cell r="A140" t="str">
            <v>S1H009304</v>
          </cell>
        </row>
        <row r="141">
          <cell r="A141" t="str">
            <v>S1H101200</v>
          </cell>
        </row>
        <row r="142">
          <cell r="A142" t="str">
            <v>S1H101210</v>
          </cell>
        </row>
        <row r="143">
          <cell r="A143" t="str">
            <v>S1H009947</v>
          </cell>
        </row>
        <row r="144">
          <cell r="A144" t="str">
            <v>S1H002530</v>
          </cell>
        </row>
        <row r="145">
          <cell r="A145" t="str">
            <v>S1H0v003</v>
          </cell>
        </row>
        <row r="146">
          <cell r="A146" t="str">
            <v>S1H009020</v>
          </cell>
        </row>
        <row r="147">
          <cell r="A147" t="str">
            <v>S1H003335</v>
          </cell>
        </row>
        <row r="148">
          <cell r="A148" t="str">
            <v>S1H005745</v>
          </cell>
        </row>
        <row r="149">
          <cell r="A149" t="str">
            <v>S1H003638</v>
          </cell>
        </row>
        <row r="150">
          <cell r="A150" t="str">
            <v>S1H004526</v>
          </cell>
        </row>
        <row r="151">
          <cell r="A151" t="str">
            <v>S1H010188</v>
          </cell>
        </row>
        <row r="152">
          <cell r="A152" t="str">
            <v>S1H005062</v>
          </cell>
        </row>
        <row r="153">
          <cell r="A153" t="str">
            <v>S1H004674</v>
          </cell>
        </row>
        <row r="154">
          <cell r="A154" t="str">
            <v>S1H000586</v>
          </cell>
        </row>
        <row r="155">
          <cell r="A155" t="str">
            <v>S1H009482</v>
          </cell>
        </row>
        <row r="156">
          <cell r="A156" t="str">
            <v>S1H002647</v>
          </cell>
        </row>
        <row r="157">
          <cell r="A157" t="str">
            <v>S1H009483</v>
          </cell>
        </row>
        <row r="158">
          <cell r="A158" t="str">
            <v>S1H004883</v>
          </cell>
        </row>
        <row r="159">
          <cell r="A159" t="str">
            <v>S1H010187</v>
          </cell>
        </row>
        <row r="160">
          <cell r="A160" t="str">
            <v>S1H101207</v>
          </cell>
        </row>
        <row r="161">
          <cell r="A161" t="str">
            <v>S1H000775</v>
          </cell>
        </row>
        <row r="162">
          <cell r="A162" t="str">
            <v>S1H002734</v>
          </cell>
        </row>
        <row r="163">
          <cell r="A163" t="str">
            <v>S1H002531</v>
          </cell>
        </row>
        <row r="164">
          <cell r="A164" t="str">
            <v>S1H009059</v>
          </cell>
        </row>
        <row r="165">
          <cell r="A165" t="str">
            <v>S1H009137</v>
          </cell>
        </row>
        <row r="166">
          <cell r="A166" t="str">
            <v>S1H004635</v>
          </cell>
        </row>
        <row r="167">
          <cell r="A167" t="str">
            <v>S1H010077</v>
          </cell>
        </row>
        <row r="168">
          <cell r="A168" t="str">
            <v>S1H009260</v>
          </cell>
        </row>
        <row r="169">
          <cell r="A169" t="str">
            <v>S1H010189</v>
          </cell>
        </row>
        <row r="170">
          <cell r="A170" t="str">
            <v>S1H009029</v>
          </cell>
        </row>
        <row r="171">
          <cell r="A171" t="str">
            <v>S1H004476</v>
          </cell>
        </row>
        <row r="172">
          <cell r="A172" t="str">
            <v>S1H006453</v>
          </cell>
        </row>
        <row r="173">
          <cell r="A173" t="str">
            <v>S1H009723</v>
          </cell>
        </row>
        <row r="174">
          <cell r="A174" t="str">
            <v>S1H009111</v>
          </cell>
        </row>
        <row r="175">
          <cell r="A175" t="str">
            <v>S1H002486</v>
          </cell>
        </row>
        <row r="176">
          <cell r="A176" t="str">
            <v>S1H010060</v>
          </cell>
        </row>
        <row r="177">
          <cell r="A177" t="str">
            <v>S1H008028</v>
          </cell>
        </row>
        <row r="178">
          <cell r="A178" t="str">
            <v>S1H009806</v>
          </cell>
        </row>
        <row r="179">
          <cell r="A179" t="str">
            <v>S1H009346</v>
          </cell>
        </row>
        <row r="180">
          <cell r="A180" t="str">
            <v>S1H009005</v>
          </cell>
        </row>
        <row r="181">
          <cell r="A181" t="str">
            <v>S1H004328</v>
          </cell>
        </row>
        <row r="182">
          <cell r="A182" t="str">
            <v>S1H004679</v>
          </cell>
        </row>
        <row r="183">
          <cell r="A183" t="str">
            <v>S1H004693</v>
          </cell>
        </row>
        <row r="184">
          <cell r="A184" t="str">
            <v>S1H000747</v>
          </cell>
        </row>
        <row r="185">
          <cell r="A185" t="str">
            <v>S1H009172</v>
          </cell>
        </row>
        <row r="186">
          <cell r="A186" t="str">
            <v>S1H009945</v>
          </cell>
        </row>
        <row r="187">
          <cell r="A187" t="str">
            <v>S1H009585</v>
          </cell>
        </row>
        <row r="188">
          <cell r="A188" t="str">
            <v>S1H000058</v>
          </cell>
        </row>
        <row r="189">
          <cell r="A189" t="str">
            <v>S1H005748</v>
          </cell>
        </row>
        <row r="190">
          <cell r="A190" t="str">
            <v>S1H002941</v>
          </cell>
        </row>
        <row r="191">
          <cell r="A191" t="str">
            <v>S1H010059</v>
          </cell>
        </row>
        <row r="192">
          <cell r="A192" t="str">
            <v>S1H003346</v>
          </cell>
        </row>
        <row r="193">
          <cell r="A193" t="str">
            <v>S1H004617</v>
          </cell>
        </row>
        <row r="194">
          <cell r="A194" t="str">
            <v>S1H005473</v>
          </cell>
        </row>
        <row r="195">
          <cell r="A195" t="str">
            <v>S1H001750</v>
          </cell>
        </row>
        <row r="196">
          <cell r="A196" t="str">
            <v>S1H004461</v>
          </cell>
        </row>
        <row r="197">
          <cell r="A197" t="str">
            <v>S1H0v006</v>
          </cell>
        </row>
        <row r="198">
          <cell r="A198" t="str">
            <v>S1H004151</v>
          </cell>
        </row>
        <row r="199">
          <cell r="A199" t="str">
            <v>S1H009737</v>
          </cell>
        </row>
        <row r="200">
          <cell r="A200" t="str">
            <v>S1H009729</v>
          </cell>
        </row>
        <row r="201">
          <cell r="A201" t="str">
            <v>S1H003395</v>
          </cell>
        </row>
        <row r="202">
          <cell r="A202" t="str">
            <v>S1H009709</v>
          </cell>
        </row>
        <row r="203">
          <cell r="A203" t="str">
            <v>S1H000097</v>
          </cell>
        </row>
        <row r="204">
          <cell r="A204" t="str">
            <v>S1H009247</v>
          </cell>
        </row>
        <row r="205">
          <cell r="A205" t="str">
            <v>S1H0v009</v>
          </cell>
        </row>
        <row r="206">
          <cell r="A206" t="str">
            <v>S1H005263</v>
          </cell>
        </row>
        <row r="207">
          <cell r="A207" t="str">
            <v>S1H101267</v>
          </cell>
        </row>
        <row r="208">
          <cell r="A208" t="str">
            <v>S1H0v007</v>
          </cell>
        </row>
        <row r="209">
          <cell r="A209" t="str">
            <v>S1H009989</v>
          </cell>
        </row>
        <row r="210">
          <cell r="A210" t="str">
            <v>S1H0v007</v>
          </cell>
        </row>
        <row r="211">
          <cell r="A211" t="str">
            <v>S1H009706</v>
          </cell>
        </row>
        <row r="212">
          <cell r="A212" t="str">
            <v>S1H004097</v>
          </cell>
        </row>
        <row r="213">
          <cell r="A213" t="str">
            <v>S1H009926</v>
          </cell>
        </row>
        <row r="214">
          <cell r="A214" t="str">
            <v>S1H101247</v>
          </cell>
        </row>
        <row r="215">
          <cell r="A215" t="str">
            <v>S1H010123</v>
          </cell>
        </row>
        <row r="216">
          <cell r="A216" t="str">
            <v>S1H101217</v>
          </cell>
        </row>
        <row r="217">
          <cell r="A217" t="str">
            <v>S1H010087</v>
          </cell>
        </row>
        <row r="218">
          <cell r="A218" t="str">
            <v>S1H009069</v>
          </cell>
        </row>
        <row r="219">
          <cell r="A219" t="str">
            <v>S1H009776</v>
          </cell>
        </row>
        <row r="220">
          <cell r="A220" t="str">
            <v>S1H009171</v>
          </cell>
        </row>
        <row r="221">
          <cell r="A221" t="str">
            <v>S1H009598</v>
          </cell>
        </row>
        <row r="222">
          <cell r="A222" t="str">
            <v>S1H101212</v>
          </cell>
        </row>
        <row r="223">
          <cell r="A223" t="str">
            <v>S1H002314</v>
          </cell>
        </row>
        <row r="224">
          <cell r="A224" t="str">
            <v>S1H009094</v>
          </cell>
        </row>
        <row r="225">
          <cell r="A225" t="str">
            <v>S1H101262</v>
          </cell>
        </row>
        <row r="226">
          <cell r="A226" t="str">
            <v>S1H010008</v>
          </cell>
        </row>
        <row r="227">
          <cell r="A227" t="str">
            <v>S1H004530</v>
          </cell>
        </row>
        <row r="228">
          <cell r="A228" t="str">
            <v>S1H009681</v>
          </cell>
        </row>
        <row r="229">
          <cell r="A229" t="str">
            <v>S1H009941</v>
          </cell>
        </row>
        <row r="230">
          <cell r="A230" t="str">
            <v>S1H009413</v>
          </cell>
        </row>
        <row r="231">
          <cell r="A231" t="str">
            <v>S1H001640</v>
          </cell>
        </row>
        <row r="232">
          <cell r="A232" t="str">
            <v>S1H101230</v>
          </cell>
        </row>
        <row r="233">
          <cell r="A233" t="str">
            <v>S1H009767</v>
          </cell>
        </row>
        <row r="234">
          <cell r="A234" t="str">
            <v>S1H100012</v>
          </cell>
        </row>
        <row r="235">
          <cell r="A235" t="str">
            <v>S1H009088</v>
          </cell>
        </row>
        <row r="236">
          <cell r="A236" t="str">
            <v>S1H0v027</v>
          </cell>
        </row>
        <row r="237">
          <cell r="A237" t="str">
            <v>S1H004115</v>
          </cell>
        </row>
        <row r="238">
          <cell r="A238" t="str">
            <v>S1H009805</v>
          </cell>
        </row>
        <row r="239">
          <cell r="A239" t="str">
            <v>S1H009976</v>
          </cell>
        </row>
        <row r="240">
          <cell r="A240" t="str">
            <v>S1H100040</v>
          </cell>
        </row>
        <row r="241">
          <cell r="A241" t="str">
            <v>S1H009699</v>
          </cell>
        </row>
        <row r="242">
          <cell r="A242" t="str">
            <v>S1H101214</v>
          </cell>
        </row>
        <row r="243">
          <cell r="A243" t="str">
            <v>S1H009259</v>
          </cell>
        </row>
        <row r="244">
          <cell r="A244" t="str">
            <v>S1H100018</v>
          </cell>
        </row>
        <row r="245">
          <cell r="A245" t="str">
            <v>S1H003349</v>
          </cell>
        </row>
        <row r="246">
          <cell r="A246" t="str">
            <v>S1H009708</v>
          </cell>
        </row>
        <row r="247">
          <cell r="A247" t="str">
            <v>S1H100034</v>
          </cell>
        </row>
        <row r="248">
          <cell r="A248" t="str">
            <v>S1H100016</v>
          </cell>
        </row>
        <row r="249">
          <cell r="A249" t="str">
            <v>S1H003731</v>
          </cell>
        </row>
        <row r="250">
          <cell r="A250" t="str">
            <v>S1H003653</v>
          </cell>
        </row>
        <row r="251">
          <cell r="A251" t="str">
            <v>S1H000096</v>
          </cell>
        </row>
        <row r="252">
          <cell r="A252" t="str">
            <v>S1H009595</v>
          </cell>
        </row>
        <row r="253">
          <cell r="A253" t="str">
            <v>S1H010078</v>
          </cell>
        </row>
        <row r="254">
          <cell r="A254" t="str">
            <v>S1H009973</v>
          </cell>
        </row>
        <row r="255">
          <cell r="A255" t="str">
            <v>S1H101236</v>
          </cell>
        </row>
        <row r="256">
          <cell r="A256" t="str">
            <v>S1H010004</v>
          </cell>
        </row>
        <row r="257">
          <cell r="A257" t="str">
            <v>S1H001701</v>
          </cell>
        </row>
        <row r="258">
          <cell r="A258" t="str">
            <v>S1H004649</v>
          </cell>
        </row>
        <row r="259">
          <cell r="A259" t="str">
            <v>S1H0v013</v>
          </cell>
        </row>
        <row r="260">
          <cell r="A260" t="str">
            <v>S1H009953</v>
          </cell>
        </row>
        <row r="261">
          <cell r="A261" t="str">
            <v>S1H000083</v>
          </cell>
        </row>
        <row r="262">
          <cell r="A262" t="str">
            <v>S1H005761</v>
          </cell>
        </row>
        <row r="263">
          <cell r="A263" t="str">
            <v>S1H0v010</v>
          </cell>
        </row>
        <row r="264">
          <cell r="A264" t="str">
            <v>S1H002556</v>
          </cell>
        </row>
        <row r="265">
          <cell r="A265" t="str">
            <v>S1H001143</v>
          </cell>
        </row>
        <row r="266">
          <cell r="A266" t="str">
            <v>S1H009653</v>
          </cell>
        </row>
        <row r="267">
          <cell r="A267" t="str">
            <v>S1H002835</v>
          </cell>
        </row>
        <row r="268">
          <cell r="A268" t="str">
            <v>S1H009082</v>
          </cell>
        </row>
        <row r="269">
          <cell r="A269" t="str">
            <v>S1H000303</v>
          </cell>
        </row>
        <row r="270">
          <cell r="A270" t="str">
            <v>S1H009693</v>
          </cell>
        </row>
        <row r="271">
          <cell r="A271" t="str">
            <v>S1H009629</v>
          </cell>
        </row>
        <row r="272">
          <cell r="A272" t="str">
            <v>S1H009688</v>
          </cell>
        </row>
        <row r="273">
          <cell r="A273" t="str">
            <v>S1H008152</v>
          </cell>
        </row>
        <row r="274">
          <cell r="A274" t="str">
            <v>S1H101232</v>
          </cell>
        </row>
        <row r="275">
          <cell r="A275" t="str">
            <v>S1H0AQ-PT</v>
          </cell>
        </row>
        <row r="276">
          <cell r="A276" t="str">
            <v>S1H0AQ-S</v>
          </cell>
        </row>
        <row r="277">
          <cell r="A277" t="str">
            <v>S1H009620</v>
          </cell>
        </row>
        <row r="278">
          <cell r="A278" t="str">
            <v>S1H009756</v>
          </cell>
        </row>
        <row r="279">
          <cell r="A279" t="str">
            <v>S1H009449</v>
          </cell>
        </row>
        <row r="280">
          <cell r="A280" t="str">
            <v>S1H0RC-PT</v>
          </cell>
        </row>
        <row r="281">
          <cell r="A281" t="str">
            <v>S1H0RC-S</v>
          </cell>
        </row>
        <row r="282">
          <cell r="A282" t="str">
            <v>S1H009033</v>
          </cell>
        </row>
        <row r="283">
          <cell r="A283" t="str">
            <v>S1H0FC-PT</v>
          </cell>
        </row>
        <row r="284">
          <cell r="A284" t="str">
            <v>S1H009683</v>
          </cell>
        </row>
        <row r="285">
          <cell r="A285" t="str">
            <v>S1H0CS-PT</v>
          </cell>
        </row>
        <row r="286">
          <cell r="A286" t="str">
            <v>S1H0CS-S</v>
          </cell>
        </row>
        <row r="287">
          <cell r="A287" t="str">
            <v>S1H002510</v>
          </cell>
        </row>
        <row r="288">
          <cell r="A288" t="str">
            <v>S1H010169</v>
          </cell>
        </row>
        <row r="289">
          <cell r="A289" t="str">
            <v>S1H000550</v>
          </cell>
        </row>
        <row r="290">
          <cell r="A290" t="str">
            <v>S1H003631</v>
          </cell>
        </row>
        <row r="291">
          <cell r="A291" t="str">
            <v>S1H101223</v>
          </cell>
        </row>
        <row r="292">
          <cell r="A292" t="str">
            <v>S1H010172</v>
          </cell>
        </row>
        <row r="293">
          <cell r="A293" t="str">
            <v>S1H002535</v>
          </cell>
        </row>
        <row r="294">
          <cell r="A294" t="str">
            <v>S1H008998</v>
          </cell>
        </row>
        <row r="295">
          <cell r="A295" t="str">
            <v>S1H004120</v>
          </cell>
        </row>
        <row r="296">
          <cell r="A296" t="str">
            <v>S1H009594</v>
          </cell>
        </row>
        <row r="297">
          <cell r="A297" t="str">
            <v>S1H009017</v>
          </cell>
        </row>
        <row r="298">
          <cell r="A298" t="str">
            <v>S1H009661</v>
          </cell>
        </row>
        <row r="299">
          <cell r="A299" t="str">
            <v>S1H009722</v>
          </cell>
        </row>
        <row r="300">
          <cell r="A300" t="str">
            <v>S1H009675</v>
          </cell>
        </row>
        <row r="301">
          <cell r="A301" t="str">
            <v>S1H009742</v>
          </cell>
        </row>
        <row r="302">
          <cell r="A302" t="str">
            <v>S1H004562</v>
          </cell>
        </row>
        <row r="303">
          <cell r="A303" t="str">
            <v>S1H004315</v>
          </cell>
        </row>
        <row r="304">
          <cell r="A304" t="str">
            <v>S1H005230</v>
          </cell>
        </row>
        <row r="305">
          <cell r="A305" t="str">
            <v>S1H004246</v>
          </cell>
        </row>
        <row r="306">
          <cell r="A306" t="str">
            <v>S1H002948</v>
          </cell>
        </row>
        <row r="307">
          <cell r="A307" t="str">
            <v>S1H002507</v>
          </cell>
        </row>
        <row r="308">
          <cell r="A308" t="str">
            <v>S1H008051</v>
          </cell>
        </row>
        <row r="309">
          <cell r="A309" t="str">
            <v>S1H000776</v>
          </cell>
        </row>
        <row r="310">
          <cell r="A310" t="str">
            <v>S1H009704</v>
          </cell>
        </row>
        <row r="311">
          <cell r="A311" t="str">
            <v>S1H0v016</v>
          </cell>
        </row>
        <row r="312">
          <cell r="A312" t="str">
            <v>S1H009715</v>
          </cell>
        </row>
        <row r="313">
          <cell r="A313" t="str">
            <v>S1H009939</v>
          </cell>
        </row>
        <row r="314">
          <cell r="A314" t="str">
            <v>S1H004712</v>
          </cell>
        </row>
        <row r="315">
          <cell r="A315" t="str">
            <v>S1H002669</v>
          </cell>
        </row>
        <row r="316">
          <cell r="A316" t="str">
            <v>S1H009389</v>
          </cell>
        </row>
        <row r="317">
          <cell r="A317" t="str">
            <v>S1H101258</v>
          </cell>
        </row>
        <row r="318">
          <cell r="A318" t="str">
            <v>S1H0v016</v>
          </cell>
        </row>
        <row r="319">
          <cell r="A319" t="str">
            <v>S1H0v029</v>
          </cell>
        </row>
        <row r="320">
          <cell r="A320" t="str">
            <v>S1H008065</v>
          </cell>
        </row>
        <row r="321">
          <cell r="A321" t="str">
            <v>S1H009366</v>
          </cell>
        </row>
        <row r="322">
          <cell r="A322" t="str">
            <v>S1H0v016</v>
          </cell>
        </row>
        <row r="323">
          <cell r="A323" t="str">
            <v>S1H101213</v>
          </cell>
        </row>
        <row r="324">
          <cell r="A324" t="str">
            <v>S1H009395</v>
          </cell>
        </row>
        <row r="325">
          <cell r="A325" t="str">
            <v>S1H009002</v>
          </cell>
        </row>
        <row r="326">
          <cell r="A326" t="str">
            <v>S1H0v016</v>
          </cell>
        </row>
        <row r="327">
          <cell r="A327" t="str">
            <v>S1H004626</v>
          </cell>
        </row>
        <row r="328">
          <cell r="A328" t="str">
            <v>S1H009710</v>
          </cell>
        </row>
        <row r="329">
          <cell r="A329" t="str">
            <v>S1H005788</v>
          </cell>
        </row>
        <row r="330">
          <cell r="A330" t="str">
            <v>S1H101203</v>
          </cell>
        </row>
        <row r="331">
          <cell r="A331" t="str">
            <v>S1H009994</v>
          </cell>
        </row>
        <row r="332">
          <cell r="A332" t="str">
            <v>S1H0v019</v>
          </cell>
        </row>
        <row r="333">
          <cell r="A333" t="str">
            <v>S1H004085</v>
          </cell>
        </row>
        <row r="334">
          <cell r="A334" t="str">
            <v>S1H003528</v>
          </cell>
        </row>
        <row r="335">
          <cell r="A335" t="str">
            <v>S1H010085</v>
          </cell>
        </row>
        <row r="336">
          <cell r="A336" t="str">
            <v>S1H009019</v>
          </cell>
        </row>
        <row r="431">
          <cell r="A431" t="str">
            <v>S1H003573</v>
          </cell>
        </row>
        <row r="432">
          <cell r="A432" t="str">
            <v>S1H003573</v>
          </cell>
        </row>
        <row r="437">
          <cell r="A437" t="str">
            <v>S1H009699</v>
          </cell>
        </row>
        <row r="438">
          <cell r="A438" t="str">
            <v>S1H009259</v>
          </cell>
        </row>
        <row r="439">
          <cell r="A439" t="str">
            <v>S1H009699</v>
          </cell>
        </row>
        <row r="440">
          <cell r="A440" t="str">
            <v>S1H009259</v>
          </cell>
        </row>
        <row r="449">
          <cell r="A449">
            <v>776</v>
          </cell>
        </row>
        <row r="450">
          <cell r="A450">
            <v>776</v>
          </cell>
        </row>
      </sheetData>
      <sheetData sheetId="4" refreshError="1"/>
      <sheetData sheetId="5" refreshError="1"/>
      <sheetData sheetId="6">
        <row r="68">
          <cell r="A68" t="str">
            <v>S1H003638</v>
          </cell>
        </row>
        <row r="462">
          <cell r="A462" t="str">
            <v>S1H101269</v>
          </cell>
        </row>
        <row r="463">
          <cell r="A463" t="str">
            <v>S1H101270</v>
          </cell>
        </row>
        <row r="464">
          <cell r="A464" t="str">
            <v>S1H101271</v>
          </cell>
        </row>
        <row r="465">
          <cell r="A465" t="str">
            <v>S1H101272</v>
          </cell>
        </row>
        <row r="466">
          <cell r="A466" t="str">
            <v>S1H101274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incode.tylerhost.net/kellertx/apps/form/?path=General%20Ledger/Account&amp;$filter=AccountId%20eq%2000e66bba-cd0f-6313-3475-8d5478fb2820" TargetMode="External"/><Relationship Id="rId299" Type="http://schemas.openxmlformats.org/officeDocument/2006/relationships/hyperlink" Target="https://incode.tylerhost.net/kellertx/apps/form/?path=General%20Ledger/Account&amp;$filter=AccountId%20eq%207cf1ed57-dec3-b037-b7ad-9f684164d62e" TargetMode="External"/><Relationship Id="rId21" Type="http://schemas.openxmlformats.org/officeDocument/2006/relationships/hyperlink" Target="https://incode.tylerhost.net/kellertx/apps/form/?path=General%20Ledger/Account&amp;$filter=AccountId%20eq%20151d8f66-777e-4ec7-6c02-1f6a1f5fc753" TargetMode="External"/><Relationship Id="rId63" Type="http://schemas.openxmlformats.org/officeDocument/2006/relationships/hyperlink" Target="https://incode.tylerhost.net/kellertx/apps/form/?path=General%20Ledger/Account&amp;$filter=AccountId%20eq%20be691e7e-4584-a4b2-cbac-f65d772af22e" TargetMode="External"/><Relationship Id="rId159" Type="http://schemas.openxmlformats.org/officeDocument/2006/relationships/hyperlink" Target="https://incode.tylerhost.net/kellertx/apps/form/?path=General%20Ledger/Account&amp;$filter=AccountId%20eq%202134c16a-9f0f-c694-2d22-7aec695c35ef" TargetMode="External"/><Relationship Id="rId324" Type="http://schemas.openxmlformats.org/officeDocument/2006/relationships/hyperlink" Target="https://incode.tylerhost.net/kellertx/apps/form/?path=General%20Ledger/Account&amp;$filter=AccountId%20eq%2020bcfe08-907d-9672-2f1b-39fefdf5b18d" TargetMode="External"/><Relationship Id="rId170" Type="http://schemas.openxmlformats.org/officeDocument/2006/relationships/hyperlink" Target="https://incode.tylerhost.net/kellertx/apps/form/?path=General%20Ledger/Account&amp;$filter=AccountId%20eq%202c3b1f91-eeab-528b-907f-f1f06136d1d5" TargetMode="External"/><Relationship Id="rId226" Type="http://schemas.openxmlformats.org/officeDocument/2006/relationships/hyperlink" Target="https://incode.tylerhost.net/kellertx/apps/form/?path=General%20Ledger/Account&amp;$filter=AccountId%20eq%201372558b-e5c2-1c5e-24a6-ab0c58dafbb2" TargetMode="External"/><Relationship Id="rId268" Type="http://schemas.openxmlformats.org/officeDocument/2006/relationships/hyperlink" Target="https://incode.tylerhost.net/kellertx/apps/form/?path=General%20Ledger/Account&amp;$filter=AccountId%20eq%205c322a0a-579e-4471-c52e-98479e3b64c4" TargetMode="External"/><Relationship Id="rId32" Type="http://schemas.openxmlformats.org/officeDocument/2006/relationships/hyperlink" Target="https://incode.tylerhost.net/kellertx/apps/form/?path=General%20Ledger/Account&amp;$filter=AccountId%20eq%20a978e130-3199-14f0-b69e-8fb250b0b214" TargetMode="External"/><Relationship Id="rId74" Type="http://schemas.openxmlformats.org/officeDocument/2006/relationships/hyperlink" Target="https://incode.tylerhost.net/kellertx/apps/form/?path=General%20Ledger/Account&amp;$filter=AccountId%20eq%209ccb83e1-7841-1766-eb1b-f9d2cd1e0344" TargetMode="External"/><Relationship Id="rId128" Type="http://schemas.openxmlformats.org/officeDocument/2006/relationships/hyperlink" Target="https://incode.tylerhost.net/kellertx/apps/form/?path=General%20Ledger/Account&amp;$filter=AccountId%20eq%207a649767-ba3a-9e2e-2f25-e0e0964eecd7" TargetMode="External"/><Relationship Id="rId335" Type="http://schemas.openxmlformats.org/officeDocument/2006/relationships/hyperlink" Target="https://incode.tylerhost.net/kellertx/apps/form/?path=General%20Ledger/Account&amp;$filter=AccountId%20eq%20f4bdc755-e054-5c86-da97-351ac70feae2" TargetMode="External"/><Relationship Id="rId5" Type="http://schemas.openxmlformats.org/officeDocument/2006/relationships/hyperlink" Target="https://incode.tylerhost.net/kellertx/apps/form/?path=General%20Ledger/Account&amp;$filter=AccountId%20eq%20b8e7f203-f437-603e-a369-d990436aa632" TargetMode="External"/><Relationship Id="rId181" Type="http://schemas.openxmlformats.org/officeDocument/2006/relationships/hyperlink" Target="https://incode.tylerhost.net/kellertx/apps/form/?path=General%20Ledger/Account&amp;$filter=AccountId%20eq%2051775148-ed27-d5b5-695e-6e1d6c736ea7" TargetMode="External"/><Relationship Id="rId237" Type="http://schemas.openxmlformats.org/officeDocument/2006/relationships/hyperlink" Target="https://incode.tylerhost.net/kellertx/apps/form/?path=General%20Ledger/Account&amp;$filter=AccountId%20eq%20e80a94b6-130a-7014-bc65-03ca9e6481d9" TargetMode="External"/><Relationship Id="rId279" Type="http://schemas.openxmlformats.org/officeDocument/2006/relationships/hyperlink" Target="https://incode.tylerhost.net/kellertx/apps/form/?path=General%20Ledger/Account&amp;$filter=AccountId%20eq%20f30e2917-f6a5-c54d-f8da-9f540c52fd9b" TargetMode="External"/><Relationship Id="rId43" Type="http://schemas.openxmlformats.org/officeDocument/2006/relationships/hyperlink" Target="https://incode.tylerhost.net/kellertx/apps/form/?path=General%20Ledger/Account&amp;$filter=AccountId%20eq%20b5de2f90-6100-1d09-71c4-2a4f293f6e8a" TargetMode="External"/><Relationship Id="rId139" Type="http://schemas.openxmlformats.org/officeDocument/2006/relationships/hyperlink" Target="https://incode.tylerhost.net/kellertx/apps/form/?path=General%20Ledger/Account&amp;$filter=AccountId%20eq%207efcd881-ec7d-0720-193a-464ebee29add" TargetMode="External"/><Relationship Id="rId290" Type="http://schemas.openxmlformats.org/officeDocument/2006/relationships/hyperlink" Target="https://incode.tylerhost.net/kellertx/apps/form/?path=General%20Ledger/Account&amp;$filter=AccountId%20eq%20511412d8-340c-53a9-bfc9-e80a51e3b5e5" TargetMode="External"/><Relationship Id="rId304" Type="http://schemas.openxmlformats.org/officeDocument/2006/relationships/hyperlink" Target="https://incode.tylerhost.net/kellertx/apps/form/?path=General%20Ledger/Account&amp;$filter=AccountId%20eq%20895523db-adfa-ba8c-6925-f1831326ab52" TargetMode="External"/><Relationship Id="rId346" Type="http://schemas.openxmlformats.org/officeDocument/2006/relationships/hyperlink" Target="https://incode.tylerhost.net/kellertx/apps/form/?path=General%20Ledger/Account&amp;$filter=AccountId%20eq%20f9b47667-28c3-c318-24d1-4c5afaa23052" TargetMode="External"/><Relationship Id="rId85" Type="http://schemas.openxmlformats.org/officeDocument/2006/relationships/hyperlink" Target="https://incode.tylerhost.net/kellertx/apps/form/?path=General%20Ledger/Account&amp;$filter=AccountId%20eq%20b92538e4-fbf7-a612-50d1-54214742eadb" TargetMode="External"/><Relationship Id="rId150" Type="http://schemas.openxmlformats.org/officeDocument/2006/relationships/hyperlink" Target="https://incode.tylerhost.net/kellertx/apps/form/?path=General%20Ledger/Account&amp;$filter=AccountId%20eq%20fd7d97f5-75c5-ffe6-6a09-b08b77967d0a" TargetMode="External"/><Relationship Id="rId192" Type="http://schemas.openxmlformats.org/officeDocument/2006/relationships/hyperlink" Target="https://incode.tylerhost.net/kellertx/apps/form/?path=General%20Ledger/Account&amp;$filter=AccountId%20eq%2055e6120c-6934-3cca-6922-f8d102cf2146" TargetMode="External"/><Relationship Id="rId206" Type="http://schemas.openxmlformats.org/officeDocument/2006/relationships/hyperlink" Target="https://incode.tylerhost.net/kellertx/apps/form/?path=General%20Ledger/Account&amp;$filter=AccountId%20eq%20a9d072cf-6673-4578-7431-eea579cd5099" TargetMode="External"/><Relationship Id="rId248" Type="http://schemas.openxmlformats.org/officeDocument/2006/relationships/hyperlink" Target="https://incode.tylerhost.net/kellertx/apps/form/?path=General%20Ledger/Account&amp;$filter=AccountId%20eq%2065bab260-90cf-872b-b262-86e2d682abe4" TargetMode="External"/><Relationship Id="rId12" Type="http://schemas.openxmlformats.org/officeDocument/2006/relationships/hyperlink" Target="https://incode.tylerhost.net/kellertx/apps/form/?path=General%20Ledger/Account&amp;$filter=AccountId%20eq%20ed57f67e-775f-e394-6c34-2a27eadaa1a0" TargetMode="External"/><Relationship Id="rId108" Type="http://schemas.openxmlformats.org/officeDocument/2006/relationships/hyperlink" Target="https://incode.tylerhost.net/kellertx/apps/form/?path=General%20Ledger/Account&amp;$filter=AccountId%20eq%20518de355-a526-eea5-8be0-ae9da5a2275c" TargetMode="External"/><Relationship Id="rId315" Type="http://schemas.openxmlformats.org/officeDocument/2006/relationships/hyperlink" Target="https://incode.tylerhost.net/kellertx/apps/form/?path=General%20Ledger/Account&amp;$filter=AccountId%20eq%201ce53d4a-f38f-13b1-a9ba-84b9f954bf0f" TargetMode="External"/><Relationship Id="rId357" Type="http://schemas.openxmlformats.org/officeDocument/2006/relationships/hyperlink" Target="https://incode.tylerhost.net/kellertx/apps/form/?path=General%20Ledger/Account&amp;$filter=AccountId%20eq%20e6d4aafd-bd33-ec20-5b52-c67b0d541dc4" TargetMode="External"/><Relationship Id="rId54" Type="http://schemas.openxmlformats.org/officeDocument/2006/relationships/hyperlink" Target="https://incode.tylerhost.net/kellertx/apps/form/?path=General%20Ledger/Account&amp;$filter=AccountId%20eq%2040bf8c3f-c15a-0d52-1481-449c8570f0e5" TargetMode="External"/><Relationship Id="rId96" Type="http://schemas.openxmlformats.org/officeDocument/2006/relationships/hyperlink" Target="https://incode.tylerhost.net/kellertx/apps/form/?path=General%20Ledger/Account&amp;$filter=AccountId%20eq%207010c41f-b2d9-702b-4ffb-f6aec906f869" TargetMode="External"/><Relationship Id="rId161" Type="http://schemas.openxmlformats.org/officeDocument/2006/relationships/hyperlink" Target="https://incode.tylerhost.net/kellertx/apps/form/?path=General%20Ledger/Account&amp;$filter=AccountId%20eq%2034e8e11f-d92b-f3cb-467f-bb04fbb1fdea" TargetMode="External"/><Relationship Id="rId217" Type="http://schemas.openxmlformats.org/officeDocument/2006/relationships/hyperlink" Target="https://incode.tylerhost.net/kellertx/apps/form/?path=General%20Ledger/Account&amp;$filter=AccountId%20eq%20a027ab54-3a8b-d4cb-f400-5e34d7ba5a2c" TargetMode="External"/><Relationship Id="rId259" Type="http://schemas.openxmlformats.org/officeDocument/2006/relationships/hyperlink" Target="https://incode.tylerhost.net/kellertx/apps/form/?path=General%20Ledger/Account&amp;$filter=AccountId%20eq%208a8ffe91-d12d-5f25-c006-d1b7ac85848e" TargetMode="External"/><Relationship Id="rId23" Type="http://schemas.openxmlformats.org/officeDocument/2006/relationships/hyperlink" Target="https://incode.tylerhost.net/kellertx/apps/form/?path=General%20Ledger/Account&amp;$filter=AccountId%20eq%203a1074ba-b993-142e-4ca6-048621acd61b" TargetMode="External"/><Relationship Id="rId119" Type="http://schemas.openxmlformats.org/officeDocument/2006/relationships/hyperlink" Target="https://incode.tylerhost.net/kellertx/apps/form/?path=General%20Ledger/Account&amp;$filter=AccountId%20eq%200a695c56-834e-1f27-95af-9e0d1041acf3" TargetMode="External"/><Relationship Id="rId270" Type="http://schemas.openxmlformats.org/officeDocument/2006/relationships/hyperlink" Target="https://incode.tylerhost.net/kellertx/apps/form/?path=General%20Ledger/Account&amp;$filter=AccountId%20eq%20f4430b82-d168-dbd6-7e46-88e45041eaec" TargetMode="External"/><Relationship Id="rId326" Type="http://schemas.openxmlformats.org/officeDocument/2006/relationships/hyperlink" Target="https://incode.tylerhost.net/kellertx/apps/form/?path=General%20Ledger/Account&amp;$filter=AccountId%20eq%2057770c79-59bb-2124-af8c-0c3deff2c060" TargetMode="External"/><Relationship Id="rId65" Type="http://schemas.openxmlformats.org/officeDocument/2006/relationships/hyperlink" Target="https://incode.tylerhost.net/kellertx/apps/form/?path=General%20Ledger/Account&amp;$filter=AccountId%20eq%20fd6b9903-4807-cb99-f1ff-a54d52ce28d2" TargetMode="External"/><Relationship Id="rId130" Type="http://schemas.openxmlformats.org/officeDocument/2006/relationships/hyperlink" Target="https://incode.tylerhost.net/kellertx/apps/form/?path=General%20Ledger/Account&amp;$filter=AccountId%20eq%20cc2867a9-c656-32c3-4be9-e1cce4dd6790" TargetMode="External"/><Relationship Id="rId172" Type="http://schemas.openxmlformats.org/officeDocument/2006/relationships/hyperlink" Target="https://incode.tylerhost.net/kellertx/apps/form/?path=General%20Ledger/Account&amp;$filter=AccountId%20eq%208ebb3067-0224-322b-148c-36729706ee45" TargetMode="External"/><Relationship Id="rId228" Type="http://schemas.openxmlformats.org/officeDocument/2006/relationships/hyperlink" Target="https://incode.tylerhost.net/kellertx/apps/form/?path=General%20Ledger/Account&amp;$filter=AccountId%20eq%20e269ce54-e7ab-3555-0ad4-2dc4c1c4e6ab" TargetMode="External"/><Relationship Id="rId281" Type="http://schemas.openxmlformats.org/officeDocument/2006/relationships/hyperlink" Target="https://incode.tylerhost.net/kellertx/apps/form/?path=General%20Ledger/Account&amp;$filter=AccountId%20eq%204e01facf-d143-bd46-836e-6e2265ad077a" TargetMode="External"/><Relationship Id="rId337" Type="http://schemas.openxmlformats.org/officeDocument/2006/relationships/hyperlink" Target="https://incode.tylerhost.net/kellertx/apps/form/?path=General%20Ledger/Account&amp;$filter=AccountId%20eq%208ca67677-1d0e-f2d3-64d4-1f4bfbb1a27a" TargetMode="External"/><Relationship Id="rId34" Type="http://schemas.openxmlformats.org/officeDocument/2006/relationships/hyperlink" Target="https://incode.tylerhost.net/kellertx/apps/form/?path=General%20Ledger/Account&amp;$filter=AccountId%20eq%202cc105eb-8da5-e6aa-76d1-2bd35dbbc5f7" TargetMode="External"/><Relationship Id="rId76" Type="http://schemas.openxmlformats.org/officeDocument/2006/relationships/hyperlink" Target="https://incode.tylerhost.net/kellertx/apps/form/?path=General%20Ledger/Account&amp;$filter=AccountId%20eq%2003d08fbc-b5e4-baa7-1304-f6ae22163c7e" TargetMode="External"/><Relationship Id="rId141" Type="http://schemas.openxmlformats.org/officeDocument/2006/relationships/hyperlink" Target="https://incode.tylerhost.net/kellertx/apps/form/?path=General%20Ledger/Account&amp;$filter=AccountId%20eq%20d8e21473-2328-1341-9e3e-2392c94c87ef" TargetMode="External"/><Relationship Id="rId7" Type="http://schemas.openxmlformats.org/officeDocument/2006/relationships/hyperlink" Target="https://incode.tylerhost.net/kellertx/apps/form/?path=General%20Ledger/Account&amp;$filter=AccountId%20eq%206f53c556-772d-df80-7ece-81034faa4234" TargetMode="External"/><Relationship Id="rId183" Type="http://schemas.openxmlformats.org/officeDocument/2006/relationships/hyperlink" Target="https://incode.tylerhost.net/kellertx/apps/form/?path=General%20Ledger/Account&amp;$filter=AccountId%20eq%20fc61fbf4-c9b6-22ea-5247-d27ed203561c" TargetMode="External"/><Relationship Id="rId239" Type="http://schemas.openxmlformats.org/officeDocument/2006/relationships/hyperlink" Target="https://incode.tylerhost.net/kellertx/apps/form/?path=General%20Ledger/Account&amp;$filter=AccountId%20eq%202ee8f870-e2df-a418-3764-f5f419175a9e" TargetMode="External"/><Relationship Id="rId250" Type="http://schemas.openxmlformats.org/officeDocument/2006/relationships/hyperlink" Target="https://incode.tylerhost.net/kellertx/apps/form/?path=General%20Ledger/Account&amp;$filter=AccountId%20eq%20be97a7a3-b88d-d462-cdd5-752699398364" TargetMode="External"/><Relationship Id="rId292" Type="http://schemas.openxmlformats.org/officeDocument/2006/relationships/hyperlink" Target="https://incode.tylerhost.net/kellertx/apps/form/?path=General%20Ledger/Account&amp;$filter=AccountId%20eq%20f26197cd-176d-d7b2-beff-ee00adb9db36" TargetMode="External"/><Relationship Id="rId306" Type="http://schemas.openxmlformats.org/officeDocument/2006/relationships/hyperlink" Target="https://incode.tylerhost.net/kellertx/apps/form/?path=General%20Ledger/Account&amp;$filter=AccountId%20eq%20d9b34808-de02-f1ee-0517-b8466f1dbc0e" TargetMode="External"/><Relationship Id="rId45" Type="http://schemas.openxmlformats.org/officeDocument/2006/relationships/hyperlink" Target="https://incode.tylerhost.net/kellertx/apps/form/?path=General%20Ledger/Account&amp;$filter=AccountId%20eq%20b7fa8f8e-ebf6-abb4-cfae-4673b41700fe" TargetMode="External"/><Relationship Id="rId87" Type="http://schemas.openxmlformats.org/officeDocument/2006/relationships/hyperlink" Target="https://incode.tylerhost.net/kellertx/apps/form/?path=General%20Ledger/Account&amp;$filter=AccountId%20eq%20796d0f6c-c632-8c5a-15ac-fac069f3e322" TargetMode="External"/><Relationship Id="rId110" Type="http://schemas.openxmlformats.org/officeDocument/2006/relationships/hyperlink" Target="https://incode.tylerhost.net/kellertx/apps/form/?path=General%20Ledger/Account&amp;$filter=AccountId%20eq%207e574bcb-cbe7-05e4-4710-879df2f020eb" TargetMode="External"/><Relationship Id="rId348" Type="http://schemas.openxmlformats.org/officeDocument/2006/relationships/hyperlink" Target="https://incode.tylerhost.net/kellertx/apps/form/?path=General%20Ledger/Account&amp;$filter=AccountId%20eq%20abcb6b39-ffd3-b90a-785c-106cef37165c" TargetMode="External"/><Relationship Id="rId152" Type="http://schemas.openxmlformats.org/officeDocument/2006/relationships/hyperlink" Target="https://incode.tylerhost.net/kellertx/apps/form/?path=General%20Ledger/Account&amp;$filter=AccountId%20eq%200eb3ed08-f13e-feb4-c6e9-2dda0ed0b9ab" TargetMode="External"/><Relationship Id="rId194" Type="http://schemas.openxmlformats.org/officeDocument/2006/relationships/hyperlink" Target="https://incode.tylerhost.net/kellertx/apps/form/?path=General%20Ledger/Account&amp;$filter=AccountId%20eq%2074eba100-92ef-a942-5477-04244a34878f" TargetMode="External"/><Relationship Id="rId208" Type="http://schemas.openxmlformats.org/officeDocument/2006/relationships/hyperlink" Target="https://incode.tylerhost.net/kellertx/apps/form/?path=General%20Ledger/Account&amp;$filter=AccountId%20eq%20e6a802b3-e70f-19a9-5e66-097426eb2614" TargetMode="External"/><Relationship Id="rId261" Type="http://schemas.openxmlformats.org/officeDocument/2006/relationships/hyperlink" Target="https://incode.tylerhost.net/kellertx/apps/form/?path=General%20Ledger/Account&amp;$filter=AccountId%20eq%2017bf7453-3330-1a24-240c-7a36e0bed8e9" TargetMode="External"/><Relationship Id="rId14" Type="http://schemas.openxmlformats.org/officeDocument/2006/relationships/hyperlink" Target="https://incode.tylerhost.net/kellertx/apps/form/?path=General%20Ledger/Account&amp;$filter=AccountId%20eq%20155626c8-1666-743d-6592-20941d3b5d45" TargetMode="External"/><Relationship Id="rId56" Type="http://schemas.openxmlformats.org/officeDocument/2006/relationships/hyperlink" Target="https://incode.tylerhost.net/kellertx/apps/form/?path=General%20Ledger/Account&amp;$filter=AccountId%20eq%20a5888a0f-93d8-fe66-b206-25525ae32938" TargetMode="External"/><Relationship Id="rId317" Type="http://schemas.openxmlformats.org/officeDocument/2006/relationships/hyperlink" Target="https://incode.tylerhost.net/kellertx/apps/form/?path=General%20Ledger/Account&amp;$filter=AccountId%20eq%20cf5a8fc3-d0aa-d40e-a0a2-2f096ae2675a" TargetMode="External"/><Relationship Id="rId359" Type="http://schemas.openxmlformats.org/officeDocument/2006/relationships/printerSettings" Target="../printerSettings/printerSettings12.bin"/><Relationship Id="rId98" Type="http://schemas.openxmlformats.org/officeDocument/2006/relationships/hyperlink" Target="https://incode.tylerhost.net/kellertx/apps/form/?path=General%20Ledger/Account&amp;$filter=AccountId%20eq%2008186d86-bc31-ba26-5b81-a90f73912187" TargetMode="External"/><Relationship Id="rId121" Type="http://schemas.openxmlformats.org/officeDocument/2006/relationships/hyperlink" Target="https://incode.tylerhost.net/kellertx/apps/form/?path=General%20Ledger/Account&amp;$filter=AccountId%20eq%20760dd92d-002b-7486-14e3-7110e208d8c6" TargetMode="External"/><Relationship Id="rId163" Type="http://schemas.openxmlformats.org/officeDocument/2006/relationships/hyperlink" Target="https://incode.tylerhost.net/kellertx/apps/form/?path=General%20Ledger/Account&amp;$filter=AccountId%20eq%20811e2a72-9ec7-a9f8-8e10-5435d09e1ce5" TargetMode="External"/><Relationship Id="rId219" Type="http://schemas.openxmlformats.org/officeDocument/2006/relationships/hyperlink" Target="https://incode.tylerhost.net/kellertx/apps/form/?path=General%20Ledger/Account&amp;$filter=AccountId%20eq%20cd41d1b4-4cc6-3409-c0fb-ee9e1361d3ff" TargetMode="External"/><Relationship Id="rId230" Type="http://schemas.openxmlformats.org/officeDocument/2006/relationships/hyperlink" Target="https://incode.tylerhost.net/kellertx/apps/form/?path=General%20Ledger/Account&amp;$filter=AccountId%20eq%200ebe85dc-3dad-c43e-7f6b-6de8b7c30076" TargetMode="External"/><Relationship Id="rId25" Type="http://schemas.openxmlformats.org/officeDocument/2006/relationships/hyperlink" Target="https://incode.tylerhost.net/kellertx/apps/form/?path=General%20Ledger/Account&amp;$filter=AccountId%20eq%20c5ac055c-bf64-74a8-2b67-b85c55d904fb" TargetMode="External"/><Relationship Id="rId46" Type="http://schemas.openxmlformats.org/officeDocument/2006/relationships/hyperlink" Target="https://incode.tylerhost.net/kellertx/apps/form/?path=General%20Ledger/Account&amp;$filter=AccountId%20eq%2019c1fc5f-0ba9-8f73-b871-cd59f82d1a58" TargetMode="External"/><Relationship Id="rId67" Type="http://schemas.openxmlformats.org/officeDocument/2006/relationships/hyperlink" Target="https://incode.tylerhost.net/kellertx/apps/form/?path=General%20Ledger/Account&amp;$filter=AccountId%20eq%20f06b69da-b98e-f213-6fb3-17af92a8317f" TargetMode="External"/><Relationship Id="rId272" Type="http://schemas.openxmlformats.org/officeDocument/2006/relationships/hyperlink" Target="https://incode.tylerhost.net/kellertx/apps/form/?path=General%20Ledger/Account&amp;$filter=AccountId%20eq%2038d2a3c3-9746-d2fb-8e1b-a3fab2ed8cfa" TargetMode="External"/><Relationship Id="rId293" Type="http://schemas.openxmlformats.org/officeDocument/2006/relationships/hyperlink" Target="https://incode.tylerhost.net/kellertx/apps/form/?path=General%20Ledger/Account&amp;$filter=AccountId%20eq%208568fb80-e404-baff-0abf-b3c23a39ea73" TargetMode="External"/><Relationship Id="rId307" Type="http://schemas.openxmlformats.org/officeDocument/2006/relationships/hyperlink" Target="https://incode.tylerhost.net/kellertx/apps/form/?path=General%20Ledger/Account&amp;$filter=AccountId%20eq%2003aafd62-1205-d85d-cf66-d7d8908708c4" TargetMode="External"/><Relationship Id="rId328" Type="http://schemas.openxmlformats.org/officeDocument/2006/relationships/hyperlink" Target="https://incode.tylerhost.net/kellertx/apps/form/?path=General%20Ledger/Account&amp;$filter=AccountId%20eq%207b53380d-3478-599f-4931-1e98d61dc184" TargetMode="External"/><Relationship Id="rId349" Type="http://schemas.openxmlformats.org/officeDocument/2006/relationships/hyperlink" Target="https://incode.tylerhost.net/kellertx/apps/form/?path=General%20Ledger/Account&amp;$filter=AccountId%20eq%202b1df049-f590-b213-1ffb-e90d9156fdeb" TargetMode="External"/><Relationship Id="rId88" Type="http://schemas.openxmlformats.org/officeDocument/2006/relationships/hyperlink" Target="https://incode.tylerhost.net/kellertx/apps/form/?path=General%20Ledger/Account&amp;$filter=AccountId%20eq%2042084487-37b0-db61-6b39-ef8136fad4e3" TargetMode="External"/><Relationship Id="rId111" Type="http://schemas.openxmlformats.org/officeDocument/2006/relationships/hyperlink" Target="https://incode.tylerhost.net/kellertx/apps/form/?path=General%20Ledger/Account&amp;$filter=AccountId%20eq%205ed4808b-cef4-131a-49e0-62c8d5aae4ee" TargetMode="External"/><Relationship Id="rId132" Type="http://schemas.openxmlformats.org/officeDocument/2006/relationships/hyperlink" Target="https://incode.tylerhost.net/kellertx/apps/form/?path=General%20Ledger/Account&amp;$filter=AccountId%20eq%20dad9b091-55dc-edfb-f124-5a1948e3b7f8" TargetMode="External"/><Relationship Id="rId153" Type="http://schemas.openxmlformats.org/officeDocument/2006/relationships/hyperlink" Target="https://incode.tylerhost.net/kellertx/apps/form/?path=General%20Ledger/Account&amp;$filter=AccountId%20eq%20d8e25a06-c42b-cd93-cbbf-58e0dfa2c063" TargetMode="External"/><Relationship Id="rId174" Type="http://schemas.openxmlformats.org/officeDocument/2006/relationships/hyperlink" Target="https://incode.tylerhost.net/kellertx/apps/form/?path=General%20Ledger/Account&amp;$filter=AccountId%20eq%2069627d5b-b937-8d99-41b4-98dbac11d7fa" TargetMode="External"/><Relationship Id="rId195" Type="http://schemas.openxmlformats.org/officeDocument/2006/relationships/hyperlink" Target="https://incode.tylerhost.net/kellertx/apps/form/?path=General%20Ledger/Account&amp;$filter=AccountId%20eq%20a431465f-bd1e-40ab-9455-8871a1cdfa6c" TargetMode="External"/><Relationship Id="rId209" Type="http://schemas.openxmlformats.org/officeDocument/2006/relationships/hyperlink" Target="https://incode.tylerhost.net/kellertx/apps/form/?path=General%20Ledger/Account&amp;$filter=AccountId%20eq%206c846a71-6137-28e1-e4b3-cfecba799632" TargetMode="External"/><Relationship Id="rId360" Type="http://schemas.openxmlformats.org/officeDocument/2006/relationships/drawing" Target="../drawings/drawing2.xml"/><Relationship Id="rId220" Type="http://schemas.openxmlformats.org/officeDocument/2006/relationships/hyperlink" Target="https://incode.tylerhost.net/kellertx/apps/form/?path=General%20Ledger/Account&amp;$filter=AccountId%20eq%20c6b91457-3e05-0f10-34d2-0b4b7e8809d6" TargetMode="External"/><Relationship Id="rId241" Type="http://schemas.openxmlformats.org/officeDocument/2006/relationships/hyperlink" Target="https://incode.tylerhost.net/kellertx/apps/form/?path=General%20Ledger/Account&amp;$filter=AccountId%20eq%205a0e576f-1ee8-209f-4e2d-8a2e83bddd4b" TargetMode="External"/><Relationship Id="rId15" Type="http://schemas.openxmlformats.org/officeDocument/2006/relationships/hyperlink" Target="https://incode.tylerhost.net/kellertx/apps/form/?path=General%20Ledger/Account&amp;$filter=AccountId%20eq%20f01e421f-cbbd-e199-060c-04c5a4386a09" TargetMode="External"/><Relationship Id="rId36" Type="http://schemas.openxmlformats.org/officeDocument/2006/relationships/hyperlink" Target="https://incode.tylerhost.net/kellertx/apps/form/?path=General%20Ledger/Account&amp;$filter=AccountId%20eq%2096febc1b-495a-da30-e1ac-6e195497a7a6" TargetMode="External"/><Relationship Id="rId57" Type="http://schemas.openxmlformats.org/officeDocument/2006/relationships/hyperlink" Target="https://incode.tylerhost.net/kellertx/apps/form/?path=General%20Ledger/Account&amp;$filter=AccountId%20eq%208da13182-05b6-06b5-da3f-418a49aac82d" TargetMode="External"/><Relationship Id="rId262" Type="http://schemas.openxmlformats.org/officeDocument/2006/relationships/hyperlink" Target="https://incode.tylerhost.net/kellertx/apps/form/?path=General%20Ledger/Account&amp;$filter=AccountId%20eq%20058ea69b-6b03-e09c-00b7-b358b40810a7" TargetMode="External"/><Relationship Id="rId283" Type="http://schemas.openxmlformats.org/officeDocument/2006/relationships/hyperlink" Target="https://incode.tylerhost.net/kellertx/apps/form/?path=General%20Ledger/Account&amp;$filter=AccountId%20eq%20429d0539-6e09-8a2e-3563-1e5f102053ec" TargetMode="External"/><Relationship Id="rId318" Type="http://schemas.openxmlformats.org/officeDocument/2006/relationships/hyperlink" Target="https://incode.tylerhost.net/kellertx/apps/form/?path=General%20Ledger/Account&amp;$filter=AccountId%20eq%20f4809ceb-9cce-76c8-cb05-ff42fcb47196" TargetMode="External"/><Relationship Id="rId339" Type="http://schemas.openxmlformats.org/officeDocument/2006/relationships/hyperlink" Target="https://incode.tylerhost.net/kellertx/apps/form/?path=General%20Ledger/Account&amp;$filter=AccountId%20eq%2018f7aff2-5f6c-a272-d29a-be75243ac3d1" TargetMode="External"/><Relationship Id="rId78" Type="http://schemas.openxmlformats.org/officeDocument/2006/relationships/hyperlink" Target="https://incode.tylerhost.net/kellertx/apps/form/?path=General%20Ledger/Account&amp;$filter=AccountId%20eq%20568c7ea1-6225-14f4-c200-310db82eca48" TargetMode="External"/><Relationship Id="rId99" Type="http://schemas.openxmlformats.org/officeDocument/2006/relationships/hyperlink" Target="https://incode.tylerhost.net/kellertx/apps/form/?path=General%20Ledger/Account&amp;$filter=AccountId%20eq%2006d284b7-8a8a-bdef-bbce-c9ff4a04f54e" TargetMode="External"/><Relationship Id="rId101" Type="http://schemas.openxmlformats.org/officeDocument/2006/relationships/hyperlink" Target="https://incode.tylerhost.net/kellertx/apps/form/?path=General%20Ledger/Account&amp;$filter=AccountId%20eq%20ac9a6f3d-baec-a6d9-718a-e4556a35c23d" TargetMode="External"/><Relationship Id="rId122" Type="http://schemas.openxmlformats.org/officeDocument/2006/relationships/hyperlink" Target="https://incode.tylerhost.net/kellertx/apps/form/?path=General%20Ledger/Account&amp;$filter=AccountId%20eq%20dc4a439e-4822-f384-faf3-3a2f867b9f88" TargetMode="External"/><Relationship Id="rId143" Type="http://schemas.openxmlformats.org/officeDocument/2006/relationships/hyperlink" Target="https://incode.tylerhost.net/kellertx/apps/form/?path=General%20Ledger/Account&amp;$filter=AccountId%20eq%200e05cd01-5f38-6ff6-0da1-d56c30d1777f" TargetMode="External"/><Relationship Id="rId164" Type="http://schemas.openxmlformats.org/officeDocument/2006/relationships/hyperlink" Target="https://incode.tylerhost.net/kellertx/apps/form/?path=General%20Ledger/Account&amp;$filter=AccountId%20eq%202db89c36-24b9-d7e6-512d-8771780d16e5" TargetMode="External"/><Relationship Id="rId185" Type="http://schemas.openxmlformats.org/officeDocument/2006/relationships/hyperlink" Target="https://incode.tylerhost.net/kellertx/apps/form/?path=General%20Ledger/Account&amp;$filter=AccountId%20eq%2076cf4213-c046-4306-1fe5-14d8a968ceed" TargetMode="External"/><Relationship Id="rId350" Type="http://schemas.openxmlformats.org/officeDocument/2006/relationships/hyperlink" Target="https://incode.tylerhost.net/kellertx/apps/form/?path=General%20Ledger/Account&amp;$filter=AccountId%20eq%20f2bd3299-81b6-4dd4-d1f9-94da0abbd9d6" TargetMode="External"/><Relationship Id="rId9" Type="http://schemas.openxmlformats.org/officeDocument/2006/relationships/hyperlink" Target="https://incode.tylerhost.net/kellertx/apps/form/?path=General%20Ledger/Account&amp;$filter=AccountId%20eq%208ba51a4a-712d-159e-7a27-ab464464601c" TargetMode="External"/><Relationship Id="rId210" Type="http://schemas.openxmlformats.org/officeDocument/2006/relationships/hyperlink" Target="https://incode.tylerhost.net/kellertx/apps/form/?path=General%20Ledger/Account&amp;$filter=AccountId%20eq%2099bfde85-fe6c-09f1-7686-a908fdc86722" TargetMode="External"/><Relationship Id="rId26" Type="http://schemas.openxmlformats.org/officeDocument/2006/relationships/hyperlink" Target="https://incode.tylerhost.net/kellertx/apps/form/?path=General%20Ledger/Account&amp;$filter=AccountId%20eq%201ee58023-bf55-b4c6-eca3-763359ff07e8" TargetMode="External"/><Relationship Id="rId231" Type="http://schemas.openxmlformats.org/officeDocument/2006/relationships/hyperlink" Target="https://incode.tylerhost.net/kellertx/apps/form/?path=General%20Ledger/Account&amp;$filter=AccountId%20eq%20743a7691-d471-a000-637e-cca01d964abb" TargetMode="External"/><Relationship Id="rId252" Type="http://schemas.openxmlformats.org/officeDocument/2006/relationships/hyperlink" Target="https://incode.tylerhost.net/kellertx/apps/form/?path=General%20Ledger/Account&amp;$filter=AccountId%20eq%2012f498eb-7e8e-0c5c-c3c1-f9d2253247b3" TargetMode="External"/><Relationship Id="rId273" Type="http://schemas.openxmlformats.org/officeDocument/2006/relationships/hyperlink" Target="https://incode.tylerhost.net/kellertx/apps/form/?path=General%20Ledger/Account&amp;$filter=AccountId%20eq%209fc040cf-7a64-0ec4-0af2-cb7c0fa91dcf" TargetMode="External"/><Relationship Id="rId294" Type="http://schemas.openxmlformats.org/officeDocument/2006/relationships/hyperlink" Target="https://incode.tylerhost.net/kellertx/apps/form/?path=General%20Ledger/Account&amp;$filter=AccountId%20eq%20549e8e4a-250d-96c5-9ebd-747f6431820a" TargetMode="External"/><Relationship Id="rId308" Type="http://schemas.openxmlformats.org/officeDocument/2006/relationships/hyperlink" Target="https://incode.tylerhost.net/kellertx/apps/form/?path=General%20Ledger/Account&amp;$filter=AccountId%20eq%20e6bb5aed-6945-9d5d-fb37-1a80b5f64ca6" TargetMode="External"/><Relationship Id="rId329" Type="http://schemas.openxmlformats.org/officeDocument/2006/relationships/hyperlink" Target="https://incode.tylerhost.net/kellertx/apps/form/?path=General%20Ledger/Account&amp;$filter=AccountId%20eq%20ec9d224f-c641-0ed3-7a50-5fdb4413a53d" TargetMode="External"/><Relationship Id="rId47" Type="http://schemas.openxmlformats.org/officeDocument/2006/relationships/hyperlink" Target="https://incode.tylerhost.net/kellertx/apps/form/?path=General%20Ledger/Account&amp;$filter=AccountId%20eq%208347ae18-35d5-0ac0-d671-76049368d884" TargetMode="External"/><Relationship Id="rId68" Type="http://schemas.openxmlformats.org/officeDocument/2006/relationships/hyperlink" Target="https://incode.tylerhost.net/kellertx/apps/form/?path=General%20Ledger/Account&amp;$filter=AccountId%20eq%2041015ce0-351a-0a1d-548c-8892aad3796b" TargetMode="External"/><Relationship Id="rId89" Type="http://schemas.openxmlformats.org/officeDocument/2006/relationships/hyperlink" Target="https://incode.tylerhost.net/kellertx/apps/form/?path=General%20Ledger/Account&amp;$filter=AccountId%20eq%20fa0471f8-1154-ea44-08e1-4b12e92a629f" TargetMode="External"/><Relationship Id="rId112" Type="http://schemas.openxmlformats.org/officeDocument/2006/relationships/hyperlink" Target="https://incode.tylerhost.net/kellertx/apps/form/?path=General%20Ledger/Account&amp;$filter=AccountId%20eq%20a983f8b0-de11-8024-59a4-cff683605905" TargetMode="External"/><Relationship Id="rId133" Type="http://schemas.openxmlformats.org/officeDocument/2006/relationships/hyperlink" Target="https://incode.tylerhost.net/kellertx/apps/form/?path=General%20Ledger/Account&amp;$filter=AccountId%20eq%2063a995b6-fd1a-a565-c84e-6a711036d03e" TargetMode="External"/><Relationship Id="rId154" Type="http://schemas.openxmlformats.org/officeDocument/2006/relationships/hyperlink" Target="https://incode.tylerhost.net/kellertx/apps/form/?path=General%20Ledger/Account&amp;$filter=AccountId%20eq%209f0af5ed-fd61-f2be-fd52-ac60b567fbdb" TargetMode="External"/><Relationship Id="rId175" Type="http://schemas.openxmlformats.org/officeDocument/2006/relationships/hyperlink" Target="https://incode.tylerhost.net/kellertx/apps/form/?path=General%20Ledger/Account&amp;$filter=AccountId%20eq%2068c62cf3-bf72-100a-8e38-06966a5a5eb1" TargetMode="External"/><Relationship Id="rId340" Type="http://schemas.openxmlformats.org/officeDocument/2006/relationships/hyperlink" Target="https://incode.tylerhost.net/kellertx/apps/form/?path=General%20Ledger/Account&amp;$filter=AccountId%20eq%209e782f59-ee0d-3045-cc70-2b26add27203" TargetMode="External"/><Relationship Id="rId196" Type="http://schemas.openxmlformats.org/officeDocument/2006/relationships/hyperlink" Target="https://incode.tylerhost.net/kellertx/apps/form/?path=General%20Ledger/Account&amp;$filter=AccountId%20eq%205f70500a-5813-30e0-ce94-91b3bbebb804" TargetMode="External"/><Relationship Id="rId200" Type="http://schemas.openxmlformats.org/officeDocument/2006/relationships/hyperlink" Target="https://incode.tylerhost.net/kellertx/apps/form/?path=General%20Ledger/Account&amp;$filter=AccountId%20eq%20f8f57fee-c4e9-2409-f5c1-4e9428dd6636" TargetMode="External"/><Relationship Id="rId16" Type="http://schemas.openxmlformats.org/officeDocument/2006/relationships/hyperlink" Target="https://incode.tylerhost.net/kellertx/apps/form/?path=General%20Ledger/Account&amp;$filter=AccountId%20eq%20686ae695-c8af-3184-ce13-7bdb76f8d047" TargetMode="External"/><Relationship Id="rId221" Type="http://schemas.openxmlformats.org/officeDocument/2006/relationships/hyperlink" Target="https://incode.tylerhost.net/kellertx/apps/form/?path=General%20Ledger/Account&amp;$filter=AccountId%20eq%2081f627da-2748-63d0-de2e-03aa377476a9" TargetMode="External"/><Relationship Id="rId242" Type="http://schemas.openxmlformats.org/officeDocument/2006/relationships/hyperlink" Target="https://incode.tylerhost.net/kellertx/apps/form/?path=General%20Ledger/Account&amp;$filter=AccountId%20eq%20a29da2ab-442c-3332-caae-ae12553c1542" TargetMode="External"/><Relationship Id="rId263" Type="http://schemas.openxmlformats.org/officeDocument/2006/relationships/hyperlink" Target="https://incode.tylerhost.net/kellertx/apps/form/?path=General%20Ledger/Account&amp;$filter=AccountId%20eq%20a15ca24a-b0e3-bd2f-7643-608abf518a04" TargetMode="External"/><Relationship Id="rId284" Type="http://schemas.openxmlformats.org/officeDocument/2006/relationships/hyperlink" Target="https://incode.tylerhost.net/kellertx/apps/form/?path=General%20Ledger/Account&amp;$filter=AccountId%20eq%20354b24d1-6fc3-3030-8fde-c4b47f3fcbf4" TargetMode="External"/><Relationship Id="rId319" Type="http://schemas.openxmlformats.org/officeDocument/2006/relationships/hyperlink" Target="https://incode.tylerhost.net/kellertx/apps/form/?path=General%20Ledger/Account&amp;$filter=AccountId%20eq%2037dcf844-2ce0-1004-9679-b33d53a2596f" TargetMode="External"/><Relationship Id="rId37" Type="http://schemas.openxmlformats.org/officeDocument/2006/relationships/hyperlink" Target="https://incode.tylerhost.net/kellertx/apps/form/?path=General%20Ledger/Account&amp;$filter=AccountId%20eq%2012065e1b-998f-1038-d5e2-b03c3ad77134" TargetMode="External"/><Relationship Id="rId58" Type="http://schemas.openxmlformats.org/officeDocument/2006/relationships/hyperlink" Target="https://incode.tylerhost.net/kellertx/apps/form/?path=General%20Ledger/Account&amp;$filter=AccountId%20eq%20e94cda61-02cf-8c97-38e0-dce0db6bb316" TargetMode="External"/><Relationship Id="rId79" Type="http://schemas.openxmlformats.org/officeDocument/2006/relationships/hyperlink" Target="https://incode.tylerhost.net/kellertx/apps/form/?path=General%20Ledger/Account&amp;$filter=AccountId%20eq%2083d97a06-e1d8-ee59-08e4-cb037e89d10e" TargetMode="External"/><Relationship Id="rId102" Type="http://schemas.openxmlformats.org/officeDocument/2006/relationships/hyperlink" Target="https://incode.tylerhost.net/kellertx/apps/form/?path=General%20Ledger/Account&amp;$filter=AccountId%20eq%20e9951b44-2b79-443b-6b16-20671357d2f5" TargetMode="External"/><Relationship Id="rId123" Type="http://schemas.openxmlformats.org/officeDocument/2006/relationships/hyperlink" Target="https://incode.tylerhost.net/kellertx/apps/form/?path=General%20Ledger/Account&amp;$filter=AccountId%20eq%20bb23c0a0-edde-872a-462d-498276519181" TargetMode="External"/><Relationship Id="rId144" Type="http://schemas.openxmlformats.org/officeDocument/2006/relationships/hyperlink" Target="https://incode.tylerhost.net/kellertx/apps/form/?path=General%20Ledger/Account&amp;$filter=AccountId%20eq%209ecd67a5-e55d-c149-294b-26caf4c70cd7" TargetMode="External"/><Relationship Id="rId330" Type="http://schemas.openxmlformats.org/officeDocument/2006/relationships/hyperlink" Target="https://incode.tylerhost.net/kellertx/apps/form/?path=General%20Ledger/Account&amp;$filter=AccountId%20eq%208e8395ee-b533-a573-b808-a24906d6ce86" TargetMode="External"/><Relationship Id="rId90" Type="http://schemas.openxmlformats.org/officeDocument/2006/relationships/hyperlink" Target="https://incode.tylerhost.net/kellertx/apps/form/?path=General%20Ledger/Account&amp;$filter=AccountId%20eq%20bc9de4de-71f3-857a-f9bc-526beb5fe2d3" TargetMode="External"/><Relationship Id="rId165" Type="http://schemas.openxmlformats.org/officeDocument/2006/relationships/hyperlink" Target="https://incode.tylerhost.net/kellertx/apps/form/?path=General%20Ledger/Account&amp;$filter=AccountId%20eq%2001bb2b2f-063c-3c87-8c97-c7d0d206195f" TargetMode="External"/><Relationship Id="rId186" Type="http://schemas.openxmlformats.org/officeDocument/2006/relationships/hyperlink" Target="https://incode.tylerhost.net/kellertx/apps/form/?path=General%20Ledger/Account&amp;$filter=AccountId%20eq%20506be636-db97-8c50-9e28-b432fb6329aa" TargetMode="External"/><Relationship Id="rId351" Type="http://schemas.openxmlformats.org/officeDocument/2006/relationships/hyperlink" Target="https://incode.tylerhost.net/kellertx/apps/form/?path=General%20Ledger/Account&amp;$filter=AccountId%20eq%20bb6450fe-8511-34f5-bb15-fa87980c6708" TargetMode="External"/><Relationship Id="rId211" Type="http://schemas.openxmlformats.org/officeDocument/2006/relationships/hyperlink" Target="https://incode.tylerhost.net/kellertx/apps/form/?path=General%20Ledger/Account&amp;$filter=AccountId%20eq%20fdd98fe6-453d-f2c2-c72f-d4834cba3e3e" TargetMode="External"/><Relationship Id="rId232" Type="http://schemas.openxmlformats.org/officeDocument/2006/relationships/hyperlink" Target="https://incode.tylerhost.net/kellertx/apps/form/?path=General%20Ledger/Account&amp;$filter=AccountId%20eq%209a3b7689-c793-b2a7-f261-64ef477bca62" TargetMode="External"/><Relationship Id="rId253" Type="http://schemas.openxmlformats.org/officeDocument/2006/relationships/hyperlink" Target="https://incode.tylerhost.net/kellertx/apps/form/?path=General%20Ledger/Account&amp;$filter=AccountId%20eq%2005ff09c3-7bc0-487e-7755-8856b43b1471" TargetMode="External"/><Relationship Id="rId274" Type="http://schemas.openxmlformats.org/officeDocument/2006/relationships/hyperlink" Target="https://incode.tylerhost.net/kellertx/apps/form/?path=General%20Ledger/Account&amp;$filter=AccountId%20eq%20a12c8fa9-7d52-1b8c-c87c-58f17f3cd4ab" TargetMode="External"/><Relationship Id="rId295" Type="http://schemas.openxmlformats.org/officeDocument/2006/relationships/hyperlink" Target="https://incode.tylerhost.net/kellertx/apps/form/?path=General%20Ledger/Account&amp;$filter=AccountId%20eq%20cf43130f-f9c6-4440-a0bc-d314ff5859fc" TargetMode="External"/><Relationship Id="rId309" Type="http://schemas.openxmlformats.org/officeDocument/2006/relationships/hyperlink" Target="https://incode.tylerhost.net/kellertx/apps/form/?path=General%20Ledger/Account&amp;$filter=AccountId%20eq%201ff25c78-91fd-bd0f-a508-43f7629aa974" TargetMode="External"/><Relationship Id="rId27" Type="http://schemas.openxmlformats.org/officeDocument/2006/relationships/hyperlink" Target="https://incode.tylerhost.net/kellertx/apps/form/?path=General%20Ledger/Account&amp;$filter=AccountId%20eq%203f392510-cbf6-df55-da43-f5dd0abd5ed4" TargetMode="External"/><Relationship Id="rId48" Type="http://schemas.openxmlformats.org/officeDocument/2006/relationships/hyperlink" Target="https://incode.tylerhost.net/kellertx/apps/form/?path=General%20Ledger/Account&amp;$filter=AccountId%20eq%20ca1cc53e-1301-5b13-bc5f-01ed98010eed" TargetMode="External"/><Relationship Id="rId69" Type="http://schemas.openxmlformats.org/officeDocument/2006/relationships/hyperlink" Target="https://incode.tylerhost.net/kellertx/apps/form/?path=General%20Ledger/Account&amp;$filter=AccountId%20eq%20fa877fb5-a41e-f8fe-524f-b374d54987b8" TargetMode="External"/><Relationship Id="rId113" Type="http://schemas.openxmlformats.org/officeDocument/2006/relationships/hyperlink" Target="https://incode.tylerhost.net/kellertx/apps/form/?path=General%20Ledger/Account&amp;$filter=AccountId%20eq%20a86b55fc-d5b4-bfdf-9c89-6a28993e14f7" TargetMode="External"/><Relationship Id="rId134" Type="http://schemas.openxmlformats.org/officeDocument/2006/relationships/hyperlink" Target="https://incode.tylerhost.net/kellertx/apps/form/?path=General%20Ledger/Account&amp;$filter=AccountId%20eq%20e562b2ce-6bc5-155c-b63e-eb0e4293d11d" TargetMode="External"/><Relationship Id="rId320" Type="http://schemas.openxmlformats.org/officeDocument/2006/relationships/hyperlink" Target="https://incode.tylerhost.net/kellertx/apps/form/?path=General%20Ledger/Account&amp;$filter=AccountId%20eq%204c5d9557-42e8-4159-a98e-6603de2c9a09" TargetMode="External"/><Relationship Id="rId80" Type="http://schemas.openxmlformats.org/officeDocument/2006/relationships/hyperlink" Target="https://incode.tylerhost.net/kellertx/apps/form/?path=General%20Ledger/Account&amp;$filter=AccountId%20eq%206dea2de2-0610-75b4-48fb-8b6e8b4a5b1e" TargetMode="External"/><Relationship Id="rId155" Type="http://schemas.openxmlformats.org/officeDocument/2006/relationships/hyperlink" Target="https://incode.tylerhost.net/kellertx/apps/form/?path=General%20Ledger/Account&amp;$filter=AccountId%20eq%208d4ad670-faef-e804-76c6-288ea2bea586" TargetMode="External"/><Relationship Id="rId176" Type="http://schemas.openxmlformats.org/officeDocument/2006/relationships/hyperlink" Target="https://incode.tylerhost.net/kellertx/apps/form/?path=General%20Ledger/Account&amp;$filter=AccountId%20eq%20f79fcacd-c117-bf2e-256c-2b1a33565248" TargetMode="External"/><Relationship Id="rId197" Type="http://schemas.openxmlformats.org/officeDocument/2006/relationships/hyperlink" Target="https://incode.tylerhost.net/kellertx/apps/form/?path=General%20Ledger/Account&amp;$filter=AccountId%20eq%20731a0120-c6e2-3df0-2f87-28368502a5ef" TargetMode="External"/><Relationship Id="rId341" Type="http://schemas.openxmlformats.org/officeDocument/2006/relationships/hyperlink" Target="https://incode.tylerhost.net/kellertx/apps/form/?path=General%20Ledger/Account&amp;$filter=AccountId%20eq%20fc1c1faf-65e5-5e56-d8b3-e45cdf22bb79" TargetMode="External"/><Relationship Id="rId201" Type="http://schemas.openxmlformats.org/officeDocument/2006/relationships/hyperlink" Target="https://incode.tylerhost.net/kellertx/apps/form/?path=General%20Ledger/Account&amp;$filter=AccountId%20eq%2066d8f774-3944-6bdb-f3fb-9ac90fdb7d6d" TargetMode="External"/><Relationship Id="rId222" Type="http://schemas.openxmlformats.org/officeDocument/2006/relationships/hyperlink" Target="https://incode.tylerhost.net/kellertx/apps/form/?path=General%20Ledger/Account&amp;$filter=AccountId%20eq%208a1a09ae-d244-efd3-719d-e0b47c0822a0" TargetMode="External"/><Relationship Id="rId243" Type="http://schemas.openxmlformats.org/officeDocument/2006/relationships/hyperlink" Target="https://incode.tylerhost.net/kellertx/apps/form/?path=General%20Ledger/Account&amp;$filter=AccountId%20eq%2014c6e9b5-6ee0-3a41-cd1f-fcf551731a57" TargetMode="External"/><Relationship Id="rId264" Type="http://schemas.openxmlformats.org/officeDocument/2006/relationships/hyperlink" Target="https://incode.tylerhost.net/kellertx/apps/form/?path=General%20Ledger/Account&amp;$filter=AccountId%20eq%20a8335547-7278-c62f-07b0-9842b3d08b74" TargetMode="External"/><Relationship Id="rId285" Type="http://schemas.openxmlformats.org/officeDocument/2006/relationships/hyperlink" Target="https://incode.tylerhost.net/kellertx/apps/form/?path=General%20Ledger/Account&amp;$filter=AccountId%20eq%20af410654-57cf-a467-43ea-5c23071c4ce2" TargetMode="External"/><Relationship Id="rId17" Type="http://schemas.openxmlformats.org/officeDocument/2006/relationships/hyperlink" Target="https://incode.tylerhost.net/kellertx/apps/form/?path=General%20Ledger/Account&amp;$filter=AccountId%20eq%208cb1140e-ceb0-8cd3-7e15-f78c62257728" TargetMode="External"/><Relationship Id="rId38" Type="http://schemas.openxmlformats.org/officeDocument/2006/relationships/hyperlink" Target="https://incode.tylerhost.net/kellertx/apps/form/?path=General%20Ledger/Account&amp;$filter=AccountId%20eq%2025af7d45-9aae-dc60-8aed-36571cc0e144" TargetMode="External"/><Relationship Id="rId59" Type="http://schemas.openxmlformats.org/officeDocument/2006/relationships/hyperlink" Target="https://incode.tylerhost.net/kellertx/apps/form/?path=General%20Ledger/Account&amp;$filter=AccountId%20eq%207b300349-7503-e8d0-c3b3-4bfe9bc947ad" TargetMode="External"/><Relationship Id="rId103" Type="http://schemas.openxmlformats.org/officeDocument/2006/relationships/hyperlink" Target="https://incode.tylerhost.net/kellertx/apps/form/?path=General%20Ledger/Account&amp;$filter=AccountId%20eq%200eb3f568-e383-7217-e736-442c0a997cb9" TargetMode="External"/><Relationship Id="rId124" Type="http://schemas.openxmlformats.org/officeDocument/2006/relationships/hyperlink" Target="https://incode.tylerhost.net/kellertx/apps/form/?path=General%20Ledger/Account&amp;$filter=AccountId%20eq%201321cd2b-a19a-5871-1e42-2d30ad53635f" TargetMode="External"/><Relationship Id="rId310" Type="http://schemas.openxmlformats.org/officeDocument/2006/relationships/hyperlink" Target="https://incode.tylerhost.net/kellertx/apps/form/?path=General%20Ledger/Account&amp;$filter=AccountId%20eq%201019da58-f9e6-ae1d-5cde-3b74c2b5dd15" TargetMode="External"/><Relationship Id="rId70" Type="http://schemas.openxmlformats.org/officeDocument/2006/relationships/hyperlink" Target="https://incode.tylerhost.net/kellertx/apps/form/?path=General%20Ledger/Account&amp;$filter=AccountId%20eq%20ed727389-b2e2-82bb-bd09-74ff805f5ce1" TargetMode="External"/><Relationship Id="rId91" Type="http://schemas.openxmlformats.org/officeDocument/2006/relationships/hyperlink" Target="https://incode.tylerhost.net/kellertx/apps/form/?path=General%20Ledger/Account&amp;$filter=AccountId%20eq%20a08f1816-2c20-96a4-4aed-3cb5ba7ef3c0" TargetMode="External"/><Relationship Id="rId145" Type="http://schemas.openxmlformats.org/officeDocument/2006/relationships/hyperlink" Target="https://incode.tylerhost.net/kellertx/apps/form/?path=General%20Ledger/Account&amp;$filter=AccountId%20eq%2020cd6ba9-4be5-1a06-8e3d-5a3af438192e" TargetMode="External"/><Relationship Id="rId166" Type="http://schemas.openxmlformats.org/officeDocument/2006/relationships/hyperlink" Target="https://incode.tylerhost.net/kellertx/apps/form/?path=General%20Ledger/Account&amp;$filter=AccountId%20eq%20a066de48-aa85-c459-5e4a-17f35ead6cbd" TargetMode="External"/><Relationship Id="rId187" Type="http://schemas.openxmlformats.org/officeDocument/2006/relationships/hyperlink" Target="https://incode.tylerhost.net/kellertx/apps/form/?path=General%20Ledger/Account&amp;$filter=AccountId%20eq%20417c7d7a-d49c-4ce3-6bf9-07b3cf465e5e" TargetMode="External"/><Relationship Id="rId331" Type="http://schemas.openxmlformats.org/officeDocument/2006/relationships/hyperlink" Target="https://incode.tylerhost.net/kellertx/apps/form/?path=General%20Ledger/Account&amp;$filter=AccountId%20eq%205a456d16-d1ac-c109-b2d1-704e34ff8348" TargetMode="External"/><Relationship Id="rId352" Type="http://schemas.openxmlformats.org/officeDocument/2006/relationships/hyperlink" Target="https://incode.tylerhost.net/kellertx/apps/form/?path=General%20Ledger/Account&amp;$filter=AccountId%20eq%20f37f6ebe-b059-663d-28ae-c53375123639" TargetMode="External"/><Relationship Id="rId1" Type="http://schemas.openxmlformats.org/officeDocument/2006/relationships/hyperlink" Target="https://incode.tylerhost.net/kellertx/apps/form/?path=General%20Ledger/Account&amp;$filter=AccountId%20eq%20f4243941-9e6a-d49e-9828-25cfa092af55" TargetMode="External"/><Relationship Id="rId212" Type="http://schemas.openxmlformats.org/officeDocument/2006/relationships/hyperlink" Target="https://incode.tylerhost.net/kellertx/apps/form/?path=General%20Ledger/Account&amp;$filter=AccountId%20eq%20ff427c99-4237-1564-6260-b1ed8a897028" TargetMode="External"/><Relationship Id="rId233" Type="http://schemas.openxmlformats.org/officeDocument/2006/relationships/hyperlink" Target="https://incode.tylerhost.net/kellertx/apps/form/?path=General%20Ledger/Account&amp;$filter=AccountId%20eq%20b4443ef6-2b5f-aa4b-6361-59cd9f50bf46" TargetMode="External"/><Relationship Id="rId254" Type="http://schemas.openxmlformats.org/officeDocument/2006/relationships/hyperlink" Target="https://incode.tylerhost.net/kellertx/apps/form/?path=General%20Ledger/Account&amp;$filter=AccountId%20eq%2093315039-46ff-e421-31ae-0dabbffa6a18" TargetMode="External"/><Relationship Id="rId28" Type="http://schemas.openxmlformats.org/officeDocument/2006/relationships/hyperlink" Target="https://incode.tylerhost.net/kellertx/apps/form/?path=General%20Ledger/Account&amp;$filter=AccountId%20eq%2007dba406-5360-7d25-0fd8-57d7047f0f00" TargetMode="External"/><Relationship Id="rId49" Type="http://schemas.openxmlformats.org/officeDocument/2006/relationships/hyperlink" Target="https://incode.tylerhost.net/kellertx/apps/form/?path=General%20Ledger/Account&amp;$filter=AccountId%20eq%20f25a382d-6bd4-3c3d-c235-4d9ed37e58b0" TargetMode="External"/><Relationship Id="rId114" Type="http://schemas.openxmlformats.org/officeDocument/2006/relationships/hyperlink" Target="https://incode.tylerhost.net/kellertx/apps/form/?path=General%20Ledger/Account&amp;$filter=AccountId%20eq%20b065a31b-eebc-a553-9592-31497e0cfa94" TargetMode="External"/><Relationship Id="rId275" Type="http://schemas.openxmlformats.org/officeDocument/2006/relationships/hyperlink" Target="https://incode.tylerhost.net/kellertx/apps/form/?path=General%20Ledger/Account&amp;$filter=AccountId%20eq%20092cf029-fc07-ee17-55ab-7e1eb90294d4" TargetMode="External"/><Relationship Id="rId296" Type="http://schemas.openxmlformats.org/officeDocument/2006/relationships/hyperlink" Target="https://incode.tylerhost.net/kellertx/apps/form/?path=General%20Ledger/Account&amp;$filter=AccountId%20eq%20f18a6dd9-4616-6cd9-9b68-b28dccd95032" TargetMode="External"/><Relationship Id="rId300" Type="http://schemas.openxmlformats.org/officeDocument/2006/relationships/hyperlink" Target="https://incode.tylerhost.net/kellertx/apps/form/?path=General%20Ledger/Account&amp;$filter=AccountId%20eq%206284cab2-738e-11ab-0706-f729f2d32cc0" TargetMode="External"/><Relationship Id="rId60" Type="http://schemas.openxmlformats.org/officeDocument/2006/relationships/hyperlink" Target="https://incode.tylerhost.net/kellertx/apps/form/?path=General%20Ledger/Account&amp;$filter=AccountId%20eq%20aeb25378-f57c-b19e-74f7-20c52e42d7cf" TargetMode="External"/><Relationship Id="rId81" Type="http://schemas.openxmlformats.org/officeDocument/2006/relationships/hyperlink" Target="https://incode.tylerhost.net/kellertx/apps/form/?path=General%20Ledger/Account&amp;$filter=AccountId%20eq%20672532f6-b326-5e03-1fe3-eaab347385b2" TargetMode="External"/><Relationship Id="rId135" Type="http://schemas.openxmlformats.org/officeDocument/2006/relationships/hyperlink" Target="https://incode.tylerhost.net/kellertx/apps/form/?path=General%20Ledger/Account&amp;$filter=AccountId%20eq%200297d85b-b731-0e59-af70-1f104b4fb55c" TargetMode="External"/><Relationship Id="rId156" Type="http://schemas.openxmlformats.org/officeDocument/2006/relationships/hyperlink" Target="https://incode.tylerhost.net/kellertx/apps/form/?path=General%20Ledger/Account&amp;$filter=AccountId%20eq%20db0f872a-1808-9dc2-51e5-110c07a0af58" TargetMode="External"/><Relationship Id="rId177" Type="http://schemas.openxmlformats.org/officeDocument/2006/relationships/hyperlink" Target="https://incode.tylerhost.net/kellertx/apps/form/?path=General%20Ledger/Account&amp;$filter=AccountId%20eq%203389c4c5-0219-8c88-b9f6-5b42c283e079" TargetMode="External"/><Relationship Id="rId198" Type="http://schemas.openxmlformats.org/officeDocument/2006/relationships/hyperlink" Target="https://incode.tylerhost.net/kellertx/apps/form/?path=General%20Ledger/Account&amp;$filter=AccountId%20eq%20467b5ad5-ee53-89ac-baba-d3232db317a1" TargetMode="External"/><Relationship Id="rId321" Type="http://schemas.openxmlformats.org/officeDocument/2006/relationships/hyperlink" Target="https://incode.tylerhost.net/kellertx/apps/form/?path=General%20Ledger/Account&amp;$filter=AccountId%20eq%20c773c464-69e4-6f0b-d794-60a5b4758467" TargetMode="External"/><Relationship Id="rId342" Type="http://schemas.openxmlformats.org/officeDocument/2006/relationships/hyperlink" Target="https://incode.tylerhost.net/kellertx/apps/form/?path=General%20Ledger/Account&amp;$filter=AccountId%20eq%20b51478e5-b520-acb2-3def-f608b78a3aee" TargetMode="External"/><Relationship Id="rId202" Type="http://schemas.openxmlformats.org/officeDocument/2006/relationships/hyperlink" Target="https://incode.tylerhost.net/kellertx/apps/form/?path=General%20Ledger/Account&amp;$filter=AccountId%20eq%209a58be72-42c4-cee0-0b15-66a092541b10" TargetMode="External"/><Relationship Id="rId223" Type="http://schemas.openxmlformats.org/officeDocument/2006/relationships/hyperlink" Target="https://incode.tylerhost.net/kellertx/apps/form/?path=General%20Ledger/Account&amp;$filter=AccountId%20eq%20ba86132b-6e2c-3045-dac1-53954adab1b8" TargetMode="External"/><Relationship Id="rId244" Type="http://schemas.openxmlformats.org/officeDocument/2006/relationships/hyperlink" Target="https://incode.tylerhost.net/kellertx/apps/form/?path=General%20Ledger/Account&amp;$filter=AccountId%20eq%2008499bec-e845-f5da-2a11-b1c2c80d24a4" TargetMode="External"/><Relationship Id="rId18" Type="http://schemas.openxmlformats.org/officeDocument/2006/relationships/hyperlink" Target="https://incode.tylerhost.net/kellertx/apps/form/?path=General%20Ledger/Account&amp;$filter=AccountId%20eq%20711117b9-309f-cb34-f583-c26e161993a8" TargetMode="External"/><Relationship Id="rId39" Type="http://schemas.openxmlformats.org/officeDocument/2006/relationships/hyperlink" Target="https://incode.tylerhost.net/kellertx/apps/form/?path=General%20Ledger/Account&amp;$filter=AccountId%20eq%205f9b4e2a-76e8-bd3a-8d3c-3db51c376e05" TargetMode="External"/><Relationship Id="rId265" Type="http://schemas.openxmlformats.org/officeDocument/2006/relationships/hyperlink" Target="https://incode.tylerhost.net/kellertx/apps/form/?path=General%20Ledger/Account&amp;$filter=AccountId%20eq%20f0029fbe-ac84-f5e7-e947-e96b0d5dd634" TargetMode="External"/><Relationship Id="rId286" Type="http://schemas.openxmlformats.org/officeDocument/2006/relationships/hyperlink" Target="https://incode.tylerhost.net/kellertx/apps/form/?path=General%20Ledger/Account&amp;$filter=AccountId%20eq%2054945378-55e3-6b05-91a6-b465a9cf7fec" TargetMode="External"/><Relationship Id="rId50" Type="http://schemas.openxmlformats.org/officeDocument/2006/relationships/hyperlink" Target="https://incode.tylerhost.net/kellertx/apps/form/?path=General%20Ledger/Account&amp;$filter=AccountId%20eq%20c2d24486-5186-a8e3-2169-c05f92609e31" TargetMode="External"/><Relationship Id="rId104" Type="http://schemas.openxmlformats.org/officeDocument/2006/relationships/hyperlink" Target="https://incode.tylerhost.net/kellertx/apps/form/?path=General%20Ledger/Account&amp;$filter=AccountId%20eq%2047165068-5efe-49e1-4540-d31aa128d2ca" TargetMode="External"/><Relationship Id="rId125" Type="http://schemas.openxmlformats.org/officeDocument/2006/relationships/hyperlink" Target="https://incode.tylerhost.net/kellertx/apps/form/?path=General%20Ledger/Account&amp;$filter=AccountId%20eq%20f5e264c0-de53-c8c4-e400-a7743516941f" TargetMode="External"/><Relationship Id="rId146" Type="http://schemas.openxmlformats.org/officeDocument/2006/relationships/hyperlink" Target="https://incode.tylerhost.net/kellertx/apps/form/?path=General%20Ledger/Account&amp;$filter=AccountId%20eq%207ee3be1b-4749-ffc4-bdd3-78e0188c8838" TargetMode="External"/><Relationship Id="rId167" Type="http://schemas.openxmlformats.org/officeDocument/2006/relationships/hyperlink" Target="https://incode.tylerhost.net/kellertx/apps/form/?path=General%20Ledger/Account&amp;$filter=AccountId%20eq%20c1487106-c67a-a4af-f5d0-9a9788972b4c" TargetMode="External"/><Relationship Id="rId188" Type="http://schemas.openxmlformats.org/officeDocument/2006/relationships/hyperlink" Target="https://incode.tylerhost.net/kellertx/apps/form/?path=General%20Ledger/Account&amp;$filter=AccountId%20eq%209621686e-3bb8-9cb0-ff64-65eafc7d8c8f" TargetMode="External"/><Relationship Id="rId311" Type="http://schemas.openxmlformats.org/officeDocument/2006/relationships/hyperlink" Target="https://incode.tylerhost.net/kellertx/apps/form/?path=General%20Ledger/Account&amp;$filter=AccountId%20eq%20568f56ee-62f8-d237-7860-8301ff8c6cb2" TargetMode="External"/><Relationship Id="rId332" Type="http://schemas.openxmlformats.org/officeDocument/2006/relationships/hyperlink" Target="https://incode.tylerhost.net/kellertx/apps/form/?path=General%20Ledger/Account&amp;$filter=AccountId%20eq%20b64fde95-abe0-5260-47de-a1ca71ab115d" TargetMode="External"/><Relationship Id="rId353" Type="http://schemas.openxmlformats.org/officeDocument/2006/relationships/hyperlink" Target="https://incode.tylerhost.net/kellertx/apps/form/?path=General%20Ledger/Account&amp;$filter=AccountId%20eq%204970e839-5fc0-2a92-b75a-7785970203f4" TargetMode="External"/><Relationship Id="rId71" Type="http://schemas.openxmlformats.org/officeDocument/2006/relationships/hyperlink" Target="https://incode.tylerhost.net/kellertx/apps/form/?path=General%20Ledger/Account&amp;$filter=AccountId%20eq%2092851499-d409-ebe9-126f-f1449ec5deae" TargetMode="External"/><Relationship Id="rId92" Type="http://schemas.openxmlformats.org/officeDocument/2006/relationships/hyperlink" Target="https://incode.tylerhost.net/kellertx/apps/form/?path=General%20Ledger/Account&amp;$filter=AccountId%20eq%20272fe8ce-c460-0790-9855-4bfc6fd9c3b0" TargetMode="External"/><Relationship Id="rId213" Type="http://schemas.openxmlformats.org/officeDocument/2006/relationships/hyperlink" Target="https://incode.tylerhost.net/kellertx/apps/form/?path=General%20Ledger/Account&amp;$filter=AccountId%20eq%204d87441c-eace-dd8c-39ea-bbc74141e96e" TargetMode="External"/><Relationship Id="rId234" Type="http://schemas.openxmlformats.org/officeDocument/2006/relationships/hyperlink" Target="https://incode.tylerhost.net/kellertx/apps/form/?path=General%20Ledger/Account&amp;$filter=AccountId%20eq%20ae99e9bd-a66c-1722-67b5-0df7c56632ee" TargetMode="External"/><Relationship Id="rId2" Type="http://schemas.openxmlformats.org/officeDocument/2006/relationships/hyperlink" Target="https://incode.tylerhost.net/kellertx/apps/form/?path=General%20Ledger/Account&amp;$filter=AccountId%20eq%201dbcfd04-875e-1b31-146f-1beac8e6d667" TargetMode="External"/><Relationship Id="rId29" Type="http://schemas.openxmlformats.org/officeDocument/2006/relationships/hyperlink" Target="https://incode.tylerhost.net/kellertx/apps/form/?path=General%20Ledger/Account&amp;$filter=AccountId%20eq%20624ba5f7-342a-5933-ba18-fc86ced4b2fc" TargetMode="External"/><Relationship Id="rId255" Type="http://schemas.openxmlformats.org/officeDocument/2006/relationships/hyperlink" Target="https://incode.tylerhost.net/kellertx/apps/form/?path=General%20Ledger/Account&amp;$filter=AccountId%20eq%2016e60796-c4c9-40a3-6963-26489bddf31c" TargetMode="External"/><Relationship Id="rId276" Type="http://schemas.openxmlformats.org/officeDocument/2006/relationships/hyperlink" Target="https://incode.tylerhost.net/kellertx/apps/form/?path=General%20Ledger/Account&amp;$filter=AccountId%20eq%20dab609a7-fab0-dc70-c90c-08cddf96647e" TargetMode="External"/><Relationship Id="rId297" Type="http://schemas.openxmlformats.org/officeDocument/2006/relationships/hyperlink" Target="https://incode.tylerhost.net/kellertx/apps/form/?path=General%20Ledger/Account&amp;$filter=AccountId%20eq%2079e72fdf-a55f-5f65-fa2a-9093eb57e5c8" TargetMode="External"/><Relationship Id="rId40" Type="http://schemas.openxmlformats.org/officeDocument/2006/relationships/hyperlink" Target="https://incode.tylerhost.net/kellertx/apps/form/?path=General%20Ledger/Account&amp;$filter=AccountId%20eq%20f6af9347-cf53-7caa-9cb5-2acbe1a156be" TargetMode="External"/><Relationship Id="rId115" Type="http://schemas.openxmlformats.org/officeDocument/2006/relationships/hyperlink" Target="https://incode.tylerhost.net/kellertx/apps/form/?path=General%20Ledger/Account&amp;$filter=AccountId%20eq%20d0e4594b-ece7-8724-fd2f-18fb2e13875f" TargetMode="External"/><Relationship Id="rId136" Type="http://schemas.openxmlformats.org/officeDocument/2006/relationships/hyperlink" Target="https://incode.tylerhost.net/kellertx/apps/form/?path=General%20Ledger/Account&amp;$filter=AccountId%20eq%20c4125096-70c7-0bb4-bda2-ca7cc7b075bf" TargetMode="External"/><Relationship Id="rId157" Type="http://schemas.openxmlformats.org/officeDocument/2006/relationships/hyperlink" Target="https://incode.tylerhost.net/kellertx/apps/form/?path=General%20Ledger/Account&amp;$filter=AccountId%20eq%204f000bc1-61dc-3f3f-9212-cf515fccc9e9" TargetMode="External"/><Relationship Id="rId178" Type="http://schemas.openxmlformats.org/officeDocument/2006/relationships/hyperlink" Target="https://incode.tylerhost.net/kellertx/apps/form/?path=General%20Ledger/Account&amp;$filter=AccountId%20eq%201d0f4a77-473e-68aa-5076-731f00c40233" TargetMode="External"/><Relationship Id="rId301" Type="http://schemas.openxmlformats.org/officeDocument/2006/relationships/hyperlink" Target="https://incode.tylerhost.net/kellertx/apps/form/?path=General%20Ledger/Account&amp;$filter=AccountId%20eq%20d7f65077-0747-88e8-503f-e4b13523a7d1" TargetMode="External"/><Relationship Id="rId322" Type="http://schemas.openxmlformats.org/officeDocument/2006/relationships/hyperlink" Target="https://incode.tylerhost.net/kellertx/apps/form/?path=General%20Ledger/Account&amp;$filter=AccountId%20eq%205046eb1e-08e1-caa2-21cc-7871073c4b79" TargetMode="External"/><Relationship Id="rId343" Type="http://schemas.openxmlformats.org/officeDocument/2006/relationships/hyperlink" Target="https://incode.tylerhost.net/kellertx/apps/form/?path=General%20Ledger/Account&amp;$filter=AccountId%20eq%207d082c9f-b641-7d9c-2b28-781800404c27" TargetMode="External"/><Relationship Id="rId61" Type="http://schemas.openxmlformats.org/officeDocument/2006/relationships/hyperlink" Target="https://incode.tylerhost.net/kellertx/apps/form/?path=General%20Ledger/Account&amp;$filter=AccountId%20eq%208594248e-5928-58e9-8457-82ab5c23f2ee" TargetMode="External"/><Relationship Id="rId82" Type="http://schemas.openxmlformats.org/officeDocument/2006/relationships/hyperlink" Target="https://incode.tylerhost.net/kellertx/apps/form/?path=General%20Ledger/Account&amp;$filter=AccountId%20eq%20376acd39-80ff-4464-e033-1324c6470b4d" TargetMode="External"/><Relationship Id="rId199" Type="http://schemas.openxmlformats.org/officeDocument/2006/relationships/hyperlink" Target="https://incode.tylerhost.net/kellertx/apps/form/?path=General%20Ledger/Account&amp;$filter=AccountId%20eq%2088feeed6-dc21-582c-35d5-241413d082bc" TargetMode="External"/><Relationship Id="rId203" Type="http://schemas.openxmlformats.org/officeDocument/2006/relationships/hyperlink" Target="https://incode.tylerhost.net/kellertx/apps/form/?path=General%20Ledger/Account&amp;$filter=AccountId%20eq%20cc5a5ace-4686-8451-b9e0-036101d60660" TargetMode="External"/><Relationship Id="rId19" Type="http://schemas.openxmlformats.org/officeDocument/2006/relationships/hyperlink" Target="https://incode.tylerhost.net/kellertx/apps/form/?path=General%20Ledger/Account&amp;$filter=AccountId%20eq%20dc4baecc-8f71-c52d-681f-954de151e452" TargetMode="External"/><Relationship Id="rId224" Type="http://schemas.openxmlformats.org/officeDocument/2006/relationships/hyperlink" Target="https://incode.tylerhost.net/kellertx/apps/form/?path=General%20Ledger/Account&amp;$filter=AccountId%20eq%204f140237-bec7-6fa9-f1e1-42d6e8b99c3e" TargetMode="External"/><Relationship Id="rId245" Type="http://schemas.openxmlformats.org/officeDocument/2006/relationships/hyperlink" Target="https://incode.tylerhost.net/kellertx/apps/form/?path=General%20Ledger/Account&amp;$filter=AccountId%20eq%20b7c323d2-babb-761b-22ab-03ccf4dd5159" TargetMode="External"/><Relationship Id="rId266" Type="http://schemas.openxmlformats.org/officeDocument/2006/relationships/hyperlink" Target="https://incode.tylerhost.net/kellertx/apps/form/?path=General%20Ledger/Account&amp;$filter=AccountId%20eq%2050aa6c65-b121-2c96-f829-ce80e69fa3ec" TargetMode="External"/><Relationship Id="rId287" Type="http://schemas.openxmlformats.org/officeDocument/2006/relationships/hyperlink" Target="https://incode.tylerhost.net/kellertx/apps/form/?path=General%20Ledger/Account&amp;$filter=AccountId%20eq%20f1f47d06-2222-3a81-602d-d3bc32969f12" TargetMode="External"/><Relationship Id="rId30" Type="http://schemas.openxmlformats.org/officeDocument/2006/relationships/hyperlink" Target="https://incode.tylerhost.net/kellertx/apps/form/?path=General%20Ledger/Account&amp;$filter=AccountId%20eq%20d90ad5c1-cce5-2f72-75d5-e06f1c2f6ad9" TargetMode="External"/><Relationship Id="rId105" Type="http://schemas.openxmlformats.org/officeDocument/2006/relationships/hyperlink" Target="https://incode.tylerhost.net/kellertx/apps/form/?path=General%20Ledger/Account&amp;$filter=AccountId%20eq%2060811494-c479-84ac-8fe5-fa0305238b42" TargetMode="External"/><Relationship Id="rId126" Type="http://schemas.openxmlformats.org/officeDocument/2006/relationships/hyperlink" Target="https://incode.tylerhost.net/kellertx/apps/form/?path=General%20Ledger/Account&amp;$filter=AccountId%20eq%20141369b1-ad0d-0810-08e2-5219ee6946b9" TargetMode="External"/><Relationship Id="rId147" Type="http://schemas.openxmlformats.org/officeDocument/2006/relationships/hyperlink" Target="https://incode.tylerhost.net/kellertx/apps/form/?path=General%20Ledger/Account&amp;$filter=AccountId%20eq%204d42302b-c886-73e8-9131-89e0d37391d7" TargetMode="External"/><Relationship Id="rId168" Type="http://schemas.openxmlformats.org/officeDocument/2006/relationships/hyperlink" Target="https://incode.tylerhost.net/kellertx/apps/form/?path=General%20Ledger/Account&amp;$filter=AccountId%20eq%20e1a55776-8532-86af-0eb5-447ae877ab66" TargetMode="External"/><Relationship Id="rId312" Type="http://schemas.openxmlformats.org/officeDocument/2006/relationships/hyperlink" Target="https://incode.tylerhost.net/kellertx/apps/form/?path=General%20Ledger/Account&amp;$filter=AccountId%20eq%20d5245097-8a64-d861-4a04-a359a99db0a6" TargetMode="External"/><Relationship Id="rId333" Type="http://schemas.openxmlformats.org/officeDocument/2006/relationships/hyperlink" Target="https://incode.tylerhost.net/kellertx/apps/form/?path=General%20Ledger/Account&amp;$filter=AccountId%20eq%20d4d4ce71-3e94-0c8e-7efc-1a0cee4b5c0c" TargetMode="External"/><Relationship Id="rId354" Type="http://schemas.openxmlformats.org/officeDocument/2006/relationships/hyperlink" Target="https://incode.tylerhost.net/kellertx/apps/form/?path=General%20Ledger/Account&amp;$filter=AccountId%20eq%20631f37d8-c24c-f07e-d6a4-daa3a695196c" TargetMode="External"/><Relationship Id="rId51" Type="http://schemas.openxmlformats.org/officeDocument/2006/relationships/hyperlink" Target="https://incode.tylerhost.net/kellertx/apps/form/?path=General%20Ledger/Account&amp;$filter=AccountId%20eq%20350feee3-ec9f-46de-a9df-7e9f4ddb334b" TargetMode="External"/><Relationship Id="rId72" Type="http://schemas.openxmlformats.org/officeDocument/2006/relationships/hyperlink" Target="https://incode.tylerhost.net/kellertx/apps/form/?path=General%20Ledger/Account&amp;$filter=AccountId%20eq%20dfe256c8-0d2d-8d96-f69a-ce57f6b0887b" TargetMode="External"/><Relationship Id="rId93" Type="http://schemas.openxmlformats.org/officeDocument/2006/relationships/hyperlink" Target="https://incode.tylerhost.net/kellertx/apps/form/?path=General%20Ledger/Account&amp;$filter=AccountId%20eq%20c772d874-6b75-a620-00e8-6cce353a8495" TargetMode="External"/><Relationship Id="rId189" Type="http://schemas.openxmlformats.org/officeDocument/2006/relationships/hyperlink" Target="https://incode.tylerhost.net/kellertx/apps/form/?path=General%20Ledger/Account&amp;$filter=AccountId%20eq%2070baa720-8c04-fda9-719c-71a29e44c5b5" TargetMode="External"/><Relationship Id="rId3" Type="http://schemas.openxmlformats.org/officeDocument/2006/relationships/hyperlink" Target="https://incode.tylerhost.net/kellertx/apps/form/?path=General%20Ledger/Account&amp;$filter=AccountId%20eq%20c99ebe29-cab0-f5f4-7e69-c71469f513a5" TargetMode="External"/><Relationship Id="rId214" Type="http://schemas.openxmlformats.org/officeDocument/2006/relationships/hyperlink" Target="https://incode.tylerhost.net/kellertx/apps/form/?path=General%20Ledger/Account&amp;$filter=AccountId%20eq%2006debd8f-8ea0-0df5-4b1f-3eb5be296f17" TargetMode="External"/><Relationship Id="rId235" Type="http://schemas.openxmlformats.org/officeDocument/2006/relationships/hyperlink" Target="https://incode.tylerhost.net/kellertx/apps/form/?path=General%20Ledger/Account&amp;$filter=AccountId%20eq%20ff1b701f-729a-d368-5cbb-3f052aaece2f" TargetMode="External"/><Relationship Id="rId256" Type="http://schemas.openxmlformats.org/officeDocument/2006/relationships/hyperlink" Target="https://incode.tylerhost.net/kellertx/apps/form/?path=General%20Ledger/Account&amp;$filter=AccountId%20eq%202394930a-f784-dcd0-03fe-4aab88802f32" TargetMode="External"/><Relationship Id="rId277" Type="http://schemas.openxmlformats.org/officeDocument/2006/relationships/hyperlink" Target="https://incode.tylerhost.net/kellertx/apps/form/?path=General%20Ledger/Account&amp;$filter=AccountId%20eq%20ee7231c5-989a-4d34-d787-b112b6e65ccc" TargetMode="External"/><Relationship Id="rId298" Type="http://schemas.openxmlformats.org/officeDocument/2006/relationships/hyperlink" Target="https://incode.tylerhost.net/kellertx/apps/form/?path=General%20Ledger/Account&amp;$filter=AccountId%20eq%20a10dea96-8686-47de-8ca1-5aa1317760a8" TargetMode="External"/><Relationship Id="rId116" Type="http://schemas.openxmlformats.org/officeDocument/2006/relationships/hyperlink" Target="https://incode.tylerhost.net/kellertx/apps/form/?path=General%20Ledger/Account&amp;$filter=AccountId%20eq%20071aba6d-0617-e595-8a8e-1554b6bb6f7f" TargetMode="External"/><Relationship Id="rId137" Type="http://schemas.openxmlformats.org/officeDocument/2006/relationships/hyperlink" Target="https://incode.tylerhost.net/kellertx/apps/form/?path=General%20Ledger/Account&amp;$filter=AccountId%20eq%20167ac6ce-ba70-22c5-5db6-b4ad127aea58" TargetMode="External"/><Relationship Id="rId158" Type="http://schemas.openxmlformats.org/officeDocument/2006/relationships/hyperlink" Target="https://incode.tylerhost.net/kellertx/apps/form/?path=General%20Ledger/Account&amp;$filter=AccountId%20eq%20fd994e4e-ea29-e573-6424-bb6c407b80fe" TargetMode="External"/><Relationship Id="rId302" Type="http://schemas.openxmlformats.org/officeDocument/2006/relationships/hyperlink" Target="https://incode.tylerhost.net/kellertx/apps/form/?path=General%20Ledger/Account&amp;$filter=AccountId%20eq%20be687c12-2402-8904-e42d-6053e0391b35" TargetMode="External"/><Relationship Id="rId323" Type="http://schemas.openxmlformats.org/officeDocument/2006/relationships/hyperlink" Target="https://incode.tylerhost.net/kellertx/apps/form/?path=General%20Ledger/Account&amp;$filter=AccountId%20eq%20f0c1bd2a-7e07-deac-88d4-eccdddf388a5" TargetMode="External"/><Relationship Id="rId344" Type="http://schemas.openxmlformats.org/officeDocument/2006/relationships/hyperlink" Target="https://incode.tylerhost.net/kellertx/apps/form/?path=General%20Ledger/Account&amp;$filter=AccountId%20eq%201707b3a6-3042-4cba-05e9-cc31647a84ba" TargetMode="External"/><Relationship Id="rId20" Type="http://schemas.openxmlformats.org/officeDocument/2006/relationships/hyperlink" Target="https://incode.tylerhost.net/kellertx/apps/form/?path=General%20Ledger/Account&amp;$filter=AccountId%20eq%20519bf473-d9b5-5d2d-d41f-e62db9126bb7" TargetMode="External"/><Relationship Id="rId41" Type="http://schemas.openxmlformats.org/officeDocument/2006/relationships/hyperlink" Target="https://incode.tylerhost.net/kellertx/apps/form/?path=General%20Ledger/Account&amp;$filter=AccountId%20eq%20872d0c8a-f3b6-9170-6fa6-2c8f9f786483" TargetMode="External"/><Relationship Id="rId62" Type="http://schemas.openxmlformats.org/officeDocument/2006/relationships/hyperlink" Target="https://incode.tylerhost.net/kellertx/apps/form/?path=General%20Ledger/Account&amp;$filter=AccountId%20eq%20bd252a3e-cbe0-e6a5-49e4-7b996683674f" TargetMode="External"/><Relationship Id="rId83" Type="http://schemas.openxmlformats.org/officeDocument/2006/relationships/hyperlink" Target="https://incode.tylerhost.net/kellertx/apps/form/?path=General%20Ledger/Account&amp;$filter=AccountId%20eq%20261d4c9d-7107-a4ee-5b0e-75416bcc5419" TargetMode="External"/><Relationship Id="rId179" Type="http://schemas.openxmlformats.org/officeDocument/2006/relationships/hyperlink" Target="https://incode.tylerhost.net/kellertx/apps/form/?path=General%20Ledger/Account&amp;$filter=AccountId%20eq%20fb3d5ddd-e505-d838-c0e8-9adfdc7b4ee6" TargetMode="External"/><Relationship Id="rId190" Type="http://schemas.openxmlformats.org/officeDocument/2006/relationships/hyperlink" Target="https://incode.tylerhost.net/kellertx/apps/form/?path=General%20Ledger/Account&amp;$filter=AccountId%20eq%204e8b6a7f-950f-de15-797f-bfd25238c902" TargetMode="External"/><Relationship Id="rId204" Type="http://schemas.openxmlformats.org/officeDocument/2006/relationships/hyperlink" Target="https://incode.tylerhost.net/kellertx/apps/form/?path=General%20Ledger/Account&amp;$filter=AccountId%20eq%202db9486e-a3de-c756-c257-a06c19d3abb9" TargetMode="External"/><Relationship Id="rId225" Type="http://schemas.openxmlformats.org/officeDocument/2006/relationships/hyperlink" Target="https://incode.tylerhost.net/kellertx/apps/form/?path=General%20Ledger/Account&amp;$filter=AccountId%20eq%2051994140-87fb-3db4-e0af-c33a00158d0b" TargetMode="External"/><Relationship Id="rId246" Type="http://schemas.openxmlformats.org/officeDocument/2006/relationships/hyperlink" Target="https://incode.tylerhost.net/kellertx/apps/form/?path=General%20Ledger/Account&amp;$filter=AccountId%20eq%200c14835e-5f64-1b0d-b219-0b5931624c8f" TargetMode="External"/><Relationship Id="rId267" Type="http://schemas.openxmlformats.org/officeDocument/2006/relationships/hyperlink" Target="https://incode.tylerhost.net/kellertx/apps/form/?path=General%20Ledger/Account&amp;$filter=AccountId%20eq%2057506f2e-93b7-1a27-cd64-4230d502c9ae" TargetMode="External"/><Relationship Id="rId288" Type="http://schemas.openxmlformats.org/officeDocument/2006/relationships/hyperlink" Target="https://incode.tylerhost.net/kellertx/apps/form/?path=General%20Ledger/Account&amp;$filter=AccountId%20eq%205e33bc03-66c7-ba5a-9a04-30ed4d394956" TargetMode="External"/><Relationship Id="rId106" Type="http://schemas.openxmlformats.org/officeDocument/2006/relationships/hyperlink" Target="https://incode.tylerhost.net/kellertx/apps/form/?path=General%20Ledger/Account&amp;$filter=AccountId%20eq%205eea2325-b893-c6ad-c411-bc9a635607ac" TargetMode="External"/><Relationship Id="rId127" Type="http://schemas.openxmlformats.org/officeDocument/2006/relationships/hyperlink" Target="https://incode.tylerhost.net/kellertx/apps/form/?path=General%20Ledger/Account&amp;$filter=AccountId%20eq%207669e757-5255-89e9-2e7b-ffe4d1d315b7" TargetMode="External"/><Relationship Id="rId313" Type="http://schemas.openxmlformats.org/officeDocument/2006/relationships/hyperlink" Target="https://incode.tylerhost.net/kellertx/apps/form/?path=General%20Ledger/Account&amp;$filter=AccountId%20eq%20dc55d908-00fd-bee6-a170-8333c83a5fea" TargetMode="External"/><Relationship Id="rId10" Type="http://schemas.openxmlformats.org/officeDocument/2006/relationships/hyperlink" Target="https://incode.tylerhost.net/kellertx/apps/form/?path=General%20Ledger/Account&amp;$filter=AccountId%20eq%20271359d9-f747-aa20-3a54-8d9fb056f2c4" TargetMode="External"/><Relationship Id="rId31" Type="http://schemas.openxmlformats.org/officeDocument/2006/relationships/hyperlink" Target="https://incode.tylerhost.net/kellertx/apps/form/?path=General%20Ledger/Account&amp;$filter=AccountId%20eq%20d860ee57-15ae-4b54-e660-16dc09352f14" TargetMode="External"/><Relationship Id="rId52" Type="http://schemas.openxmlformats.org/officeDocument/2006/relationships/hyperlink" Target="https://incode.tylerhost.net/kellertx/apps/form/?path=General%20Ledger/Account&amp;$filter=AccountId%20eq%20dd6c0bc9-6ebe-6d0b-d50e-af16896dffe6" TargetMode="External"/><Relationship Id="rId73" Type="http://schemas.openxmlformats.org/officeDocument/2006/relationships/hyperlink" Target="https://incode.tylerhost.net/kellertx/apps/form/?path=General%20Ledger/Account&amp;$filter=AccountId%20eq%20cfe0e610-9057-40f9-27d9-4b4254e09a59" TargetMode="External"/><Relationship Id="rId94" Type="http://schemas.openxmlformats.org/officeDocument/2006/relationships/hyperlink" Target="https://incode.tylerhost.net/kellertx/apps/form/?path=General%20Ledger/Account&amp;$filter=AccountId%20eq%2067b34b38-de2a-1015-26df-c2efeb7ee731" TargetMode="External"/><Relationship Id="rId148" Type="http://schemas.openxmlformats.org/officeDocument/2006/relationships/hyperlink" Target="https://incode.tylerhost.net/kellertx/apps/form/?path=General%20Ledger/Account&amp;$filter=AccountId%20eq%20a6b014fd-3f0f-0b89-89dc-1fed8ed4f2c4" TargetMode="External"/><Relationship Id="rId169" Type="http://schemas.openxmlformats.org/officeDocument/2006/relationships/hyperlink" Target="https://incode.tylerhost.net/kellertx/apps/form/?path=General%20Ledger/Account&amp;$filter=AccountId%20eq%2064e5facf-c2f9-1979-c079-2db19c14212a" TargetMode="External"/><Relationship Id="rId334" Type="http://schemas.openxmlformats.org/officeDocument/2006/relationships/hyperlink" Target="https://incode.tylerhost.net/kellertx/apps/form/?path=General%20Ledger/Account&amp;$filter=AccountId%20eq%20d64ea4aa-1cfb-e443-d22e-62a2fa6f2d3d" TargetMode="External"/><Relationship Id="rId355" Type="http://schemas.openxmlformats.org/officeDocument/2006/relationships/hyperlink" Target="https://incode.tylerhost.net/kellertx/apps/form/?path=General%20Ledger/Account&amp;$filter=AccountId%20eq%2086a4fd66-d934-a3fc-f42b-af7fbf4ddab1" TargetMode="External"/><Relationship Id="rId4" Type="http://schemas.openxmlformats.org/officeDocument/2006/relationships/hyperlink" Target="https://incode.tylerhost.net/kellertx/apps/form/?path=General%20Ledger/Account&amp;$filter=AccountId%20eq%202b224094-7b8a-fb4d-3ec7-5a1b99610719" TargetMode="External"/><Relationship Id="rId180" Type="http://schemas.openxmlformats.org/officeDocument/2006/relationships/hyperlink" Target="https://incode.tylerhost.net/kellertx/apps/form/?path=General%20Ledger/Account&amp;$filter=AccountId%20eq%209c9c9b51-0167-662c-b932-81434041a64c" TargetMode="External"/><Relationship Id="rId215" Type="http://schemas.openxmlformats.org/officeDocument/2006/relationships/hyperlink" Target="https://incode.tylerhost.net/kellertx/apps/form/?path=General%20Ledger/Account&amp;$filter=AccountId%20eq%2072099c45-61eb-6c86-39ad-5cbe9e71833c" TargetMode="External"/><Relationship Id="rId236" Type="http://schemas.openxmlformats.org/officeDocument/2006/relationships/hyperlink" Target="https://incode.tylerhost.net/kellertx/apps/form/?path=General%20Ledger/Account&amp;$filter=AccountId%20eq%201cda197f-8286-78b9-746a-c8fa35595c1f" TargetMode="External"/><Relationship Id="rId257" Type="http://schemas.openxmlformats.org/officeDocument/2006/relationships/hyperlink" Target="https://incode.tylerhost.net/kellertx/apps/form/?path=General%20Ledger/Account&amp;$filter=AccountId%20eq%204033ddb6-e3ab-67b0-613f-581073ff378c" TargetMode="External"/><Relationship Id="rId278" Type="http://schemas.openxmlformats.org/officeDocument/2006/relationships/hyperlink" Target="https://incode.tylerhost.net/kellertx/apps/form/?path=General%20Ledger/Account&amp;$filter=AccountId%20eq%208196baa6-3298-38af-6c5f-7cfee2ca3fa5" TargetMode="External"/><Relationship Id="rId303" Type="http://schemas.openxmlformats.org/officeDocument/2006/relationships/hyperlink" Target="https://incode.tylerhost.net/kellertx/apps/form/?path=General%20Ledger/Account&amp;$filter=AccountId%20eq%203e570ec2-c44b-352a-f810-4be052466f09" TargetMode="External"/><Relationship Id="rId42" Type="http://schemas.openxmlformats.org/officeDocument/2006/relationships/hyperlink" Target="https://incode.tylerhost.net/kellertx/apps/form/?path=General%20Ledger/Account&amp;$filter=AccountId%20eq%20c40fc5b5-4056-b3b4-53ca-fec1f76b05bc" TargetMode="External"/><Relationship Id="rId84" Type="http://schemas.openxmlformats.org/officeDocument/2006/relationships/hyperlink" Target="https://incode.tylerhost.net/kellertx/apps/form/?path=General%20Ledger/Account&amp;$filter=AccountId%20eq%20fb1259a3-aa03-578c-225d-0bd95f3d334e" TargetMode="External"/><Relationship Id="rId138" Type="http://schemas.openxmlformats.org/officeDocument/2006/relationships/hyperlink" Target="https://incode.tylerhost.net/kellertx/apps/form/?path=General%20Ledger/Account&amp;$filter=AccountId%20eq%2027f1c23d-a126-3ac9-247f-cc32057fa928" TargetMode="External"/><Relationship Id="rId345" Type="http://schemas.openxmlformats.org/officeDocument/2006/relationships/hyperlink" Target="https://incode.tylerhost.net/kellertx/apps/form/?path=General%20Ledger/Account&amp;$filter=AccountId%20eq%202a0f9158-a398-3600-c958-78afee5f16a9" TargetMode="External"/><Relationship Id="rId191" Type="http://schemas.openxmlformats.org/officeDocument/2006/relationships/hyperlink" Target="https://incode.tylerhost.net/kellertx/apps/form/?path=General%20Ledger/Account&amp;$filter=AccountId%20eq%2031f3b8a4-c77d-4acd-be1b-4b7d6bddb83c" TargetMode="External"/><Relationship Id="rId205" Type="http://schemas.openxmlformats.org/officeDocument/2006/relationships/hyperlink" Target="https://incode.tylerhost.net/kellertx/apps/form/?path=General%20Ledger/Account&amp;$filter=AccountId%20eq%20a1a24c3e-8773-9d83-4abc-24abd1f8d9c9" TargetMode="External"/><Relationship Id="rId247" Type="http://schemas.openxmlformats.org/officeDocument/2006/relationships/hyperlink" Target="https://incode.tylerhost.net/kellertx/apps/form/?path=General%20Ledger/Account&amp;$filter=AccountId%20eq%2079c6b47b-1c42-c27f-6d05-90bd8fb39de4" TargetMode="External"/><Relationship Id="rId107" Type="http://schemas.openxmlformats.org/officeDocument/2006/relationships/hyperlink" Target="https://incode.tylerhost.net/kellertx/apps/form/?path=General%20Ledger/Account&amp;$filter=AccountId%20eq%20540f89e8-8fc2-64eb-4e4f-74b29e657cce" TargetMode="External"/><Relationship Id="rId289" Type="http://schemas.openxmlformats.org/officeDocument/2006/relationships/hyperlink" Target="https://incode.tylerhost.net/kellertx/apps/form/?path=General%20Ledger/Account&amp;$filter=AccountId%20eq%201f865091-d137-9b5a-d3d7-8eb56515a1ac" TargetMode="External"/><Relationship Id="rId11" Type="http://schemas.openxmlformats.org/officeDocument/2006/relationships/hyperlink" Target="https://incode.tylerhost.net/kellertx/apps/form/?path=General%20Ledger/Account&amp;$filter=AccountId%20eq%20cef1541b-3925-43de-58a2-5ff60e374dc6" TargetMode="External"/><Relationship Id="rId53" Type="http://schemas.openxmlformats.org/officeDocument/2006/relationships/hyperlink" Target="https://incode.tylerhost.net/kellertx/apps/form/?path=General%20Ledger/Account&amp;$filter=AccountId%20eq%20606db31d-713b-519a-b07c-bff4a0e69db4" TargetMode="External"/><Relationship Id="rId149" Type="http://schemas.openxmlformats.org/officeDocument/2006/relationships/hyperlink" Target="https://incode.tylerhost.net/kellertx/apps/form/?path=General%20Ledger/Account&amp;$filter=AccountId%20eq%20921cea7d-c84c-e7b6-7cd1-5f63c4b71617" TargetMode="External"/><Relationship Id="rId314" Type="http://schemas.openxmlformats.org/officeDocument/2006/relationships/hyperlink" Target="https://incode.tylerhost.net/kellertx/apps/form/?path=General%20Ledger/Account&amp;$filter=AccountId%20eq%205f90fb23-3a4f-bc81-bb16-087fefe1d094" TargetMode="External"/><Relationship Id="rId356" Type="http://schemas.openxmlformats.org/officeDocument/2006/relationships/hyperlink" Target="https://incode.tylerhost.net/kellertx/apps/form/?path=General%20Ledger/Account&amp;$filter=AccountId%20eq%20e272e8d3-543a-772e-f8a1-9de54dda19ec" TargetMode="External"/><Relationship Id="rId95" Type="http://schemas.openxmlformats.org/officeDocument/2006/relationships/hyperlink" Target="https://incode.tylerhost.net/kellertx/apps/form/?path=General%20Ledger/Account&amp;$filter=AccountId%20eq%207d70e1be-0b4d-102f-d248-afac3c020b1a" TargetMode="External"/><Relationship Id="rId160" Type="http://schemas.openxmlformats.org/officeDocument/2006/relationships/hyperlink" Target="https://incode.tylerhost.net/kellertx/apps/form/?path=General%20Ledger/Account&amp;$filter=AccountId%20eq%2032b2ea50-82df-aa14-fcc6-fc7d804aa413" TargetMode="External"/><Relationship Id="rId216" Type="http://schemas.openxmlformats.org/officeDocument/2006/relationships/hyperlink" Target="https://incode.tylerhost.net/kellertx/apps/form/?path=General%20Ledger/Account&amp;$filter=AccountId%20eq%200b7c914b-4fb4-b4c4-1df2-7a0f9d4230f2" TargetMode="External"/><Relationship Id="rId258" Type="http://schemas.openxmlformats.org/officeDocument/2006/relationships/hyperlink" Target="https://incode.tylerhost.net/kellertx/apps/form/?path=General%20Ledger/Account&amp;$filter=AccountId%20eq%207b153af2-0c55-3cd2-ed4e-a44eb7b11c5f" TargetMode="External"/><Relationship Id="rId22" Type="http://schemas.openxmlformats.org/officeDocument/2006/relationships/hyperlink" Target="https://incode.tylerhost.net/kellertx/apps/form/?path=General%20Ledger/Account&amp;$filter=AccountId%20eq%2042bb5852-fad6-0370-e995-dc3a4eb1a841" TargetMode="External"/><Relationship Id="rId64" Type="http://schemas.openxmlformats.org/officeDocument/2006/relationships/hyperlink" Target="https://incode.tylerhost.net/kellertx/apps/form/?path=General%20Ledger/Account&amp;$filter=AccountId%20eq%2081e7a699-92aa-dcb5-af2a-3a7ae0f41efb" TargetMode="External"/><Relationship Id="rId118" Type="http://schemas.openxmlformats.org/officeDocument/2006/relationships/hyperlink" Target="https://incode.tylerhost.net/kellertx/apps/form/?path=General%20Ledger/Account&amp;$filter=AccountId%20eq%20ef2c8036-a43d-6a97-305d-0f90ab141064" TargetMode="External"/><Relationship Id="rId325" Type="http://schemas.openxmlformats.org/officeDocument/2006/relationships/hyperlink" Target="https://incode.tylerhost.net/kellertx/apps/form/?path=General%20Ledger/Account&amp;$filter=AccountId%20eq%20c2a3bfdd-f8f8-842a-b6bd-0c2e6462adf0" TargetMode="External"/><Relationship Id="rId171" Type="http://schemas.openxmlformats.org/officeDocument/2006/relationships/hyperlink" Target="https://incode.tylerhost.net/kellertx/apps/form/?path=General%20Ledger/Account&amp;$filter=AccountId%20eq%200dcaefa3-af62-a268-d9ac-cb07f3a279aa" TargetMode="External"/><Relationship Id="rId227" Type="http://schemas.openxmlformats.org/officeDocument/2006/relationships/hyperlink" Target="https://incode.tylerhost.net/kellertx/apps/form/?path=General%20Ledger/Account&amp;$filter=AccountId%20eq%20a1aad80c-f02f-4ea6-a980-b08300ed62f0" TargetMode="External"/><Relationship Id="rId269" Type="http://schemas.openxmlformats.org/officeDocument/2006/relationships/hyperlink" Target="https://incode.tylerhost.net/kellertx/apps/form/?path=General%20Ledger/Account&amp;$filter=AccountId%20eq%2054896579-0f59-bfb8-3f35-f636de4ae657" TargetMode="External"/><Relationship Id="rId33" Type="http://schemas.openxmlformats.org/officeDocument/2006/relationships/hyperlink" Target="https://incode.tylerhost.net/kellertx/apps/form/?path=General%20Ledger/Account&amp;$filter=AccountId%20eq%200cdab318-06df-78b8-8c9a-7bf2c9e1eb82" TargetMode="External"/><Relationship Id="rId129" Type="http://schemas.openxmlformats.org/officeDocument/2006/relationships/hyperlink" Target="https://incode.tylerhost.net/kellertx/apps/form/?path=General%20Ledger/Account&amp;$filter=AccountId%20eq%205cef4d05-2442-358d-f199-8affdf52384c" TargetMode="External"/><Relationship Id="rId280" Type="http://schemas.openxmlformats.org/officeDocument/2006/relationships/hyperlink" Target="https://incode.tylerhost.net/kellertx/apps/form/?path=General%20Ledger/Account&amp;$filter=AccountId%20eq%20a4782820-b928-d1ce-4066-cd8210b66a46" TargetMode="External"/><Relationship Id="rId336" Type="http://schemas.openxmlformats.org/officeDocument/2006/relationships/hyperlink" Target="https://incode.tylerhost.net/kellertx/apps/form/?path=General%20Ledger/Account&amp;$filter=AccountId%20eq%2002359b16-9d7a-21a6-fdaf-ff7ea90e6e17" TargetMode="External"/><Relationship Id="rId75" Type="http://schemas.openxmlformats.org/officeDocument/2006/relationships/hyperlink" Target="https://incode.tylerhost.net/kellertx/apps/form/?path=General%20Ledger/Account&amp;$filter=AccountId%20eq%20cdaf2b29-1341-b827-9f06-7ab460021195" TargetMode="External"/><Relationship Id="rId140" Type="http://schemas.openxmlformats.org/officeDocument/2006/relationships/hyperlink" Target="https://incode.tylerhost.net/kellertx/apps/form/?path=General%20Ledger/Account&amp;$filter=AccountId%20eq%20fb1d1fae-dadf-40c9-2a77-a49a515645ae" TargetMode="External"/><Relationship Id="rId182" Type="http://schemas.openxmlformats.org/officeDocument/2006/relationships/hyperlink" Target="https://incode.tylerhost.net/kellertx/apps/form/?path=General%20Ledger/Account&amp;$filter=AccountId%20eq%202b23da03-7231-047b-5ba8-d1fb1428d983" TargetMode="External"/><Relationship Id="rId6" Type="http://schemas.openxmlformats.org/officeDocument/2006/relationships/hyperlink" Target="https://incode.tylerhost.net/kellertx/apps/form/?path=General%20Ledger/Account&amp;$filter=AccountId%20eq%209090a739-1475-c8a4-737c-48f2c9554bbc" TargetMode="External"/><Relationship Id="rId238" Type="http://schemas.openxmlformats.org/officeDocument/2006/relationships/hyperlink" Target="https://incode.tylerhost.net/kellertx/apps/form/?path=General%20Ledger/Account&amp;$filter=AccountId%20eq%2096fa7eb6-d9cf-afe5-ba89-e15559fe7609" TargetMode="External"/><Relationship Id="rId291" Type="http://schemas.openxmlformats.org/officeDocument/2006/relationships/hyperlink" Target="https://incode.tylerhost.net/kellertx/apps/form/?path=General%20Ledger/Account&amp;$filter=AccountId%20eq%20980b99c4-5522-ddef-f0ef-e42468e27cc6" TargetMode="External"/><Relationship Id="rId305" Type="http://schemas.openxmlformats.org/officeDocument/2006/relationships/hyperlink" Target="https://incode.tylerhost.net/kellertx/apps/form/?path=General%20Ledger/Account&amp;$filter=AccountId%20eq%20017174d3-8266-7df0-68b9-fb0aeaf1f351" TargetMode="External"/><Relationship Id="rId347" Type="http://schemas.openxmlformats.org/officeDocument/2006/relationships/hyperlink" Target="https://incode.tylerhost.net/kellertx/apps/form/?path=General%20Ledger/Account&amp;$filter=AccountId%20eq%20086e62e5-38e2-607d-98ea-a3626bb72707" TargetMode="External"/><Relationship Id="rId44" Type="http://schemas.openxmlformats.org/officeDocument/2006/relationships/hyperlink" Target="https://incode.tylerhost.net/kellertx/apps/form/?path=General%20Ledger/Account&amp;$filter=AccountId%20eq%206b942e78-f4ac-2864-3943-0742f0d10c62" TargetMode="External"/><Relationship Id="rId86" Type="http://schemas.openxmlformats.org/officeDocument/2006/relationships/hyperlink" Target="https://incode.tylerhost.net/kellertx/apps/form/?path=General%20Ledger/Account&amp;$filter=AccountId%20eq%201b700bda-44d0-6de8-8b5a-9c9d32721aca" TargetMode="External"/><Relationship Id="rId151" Type="http://schemas.openxmlformats.org/officeDocument/2006/relationships/hyperlink" Target="https://incode.tylerhost.net/kellertx/apps/form/?path=General%20Ledger/Account&amp;$filter=AccountId%20eq%20d8149343-5290-dfe9-0799-b03147034fef" TargetMode="External"/><Relationship Id="rId193" Type="http://schemas.openxmlformats.org/officeDocument/2006/relationships/hyperlink" Target="https://incode.tylerhost.net/kellertx/apps/form/?path=General%20Ledger/Account&amp;$filter=AccountId%20eq%20965c6a68-17f3-1f66-2972-0ea9c870ffa9" TargetMode="External"/><Relationship Id="rId207" Type="http://schemas.openxmlformats.org/officeDocument/2006/relationships/hyperlink" Target="https://incode.tylerhost.net/kellertx/apps/form/?path=General%20Ledger/Account&amp;$filter=AccountId%20eq%201bfe930d-b1f3-7045-4114-eab48f5e0d9b" TargetMode="External"/><Relationship Id="rId249" Type="http://schemas.openxmlformats.org/officeDocument/2006/relationships/hyperlink" Target="https://incode.tylerhost.net/kellertx/apps/form/?path=General%20Ledger/Account&amp;$filter=AccountId%20eq%209e9b8d10-267c-9999-a0cf-25c6a7f85025" TargetMode="External"/><Relationship Id="rId13" Type="http://schemas.openxmlformats.org/officeDocument/2006/relationships/hyperlink" Target="https://incode.tylerhost.net/kellertx/apps/form/?path=General%20Ledger/Account&amp;$filter=AccountId%20eq%2001e6eb19-931b-ceec-a209-e4e86747d0cc" TargetMode="External"/><Relationship Id="rId109" Type="http://schemas.openxmlformats.org/officeDocument/2006/relationships/hyperlink" Target="https://incode.tylerhost.net/kellertx/apps/form/?path=General%20Ledger/Account&amp;$filter=AccountId%20eq%20610718a3-c497-ebcb-0e2b-8e5e47a427a0" TargetMode="External"/><Relationship Id="rId260" Type="http://schemas.openxmlformats.org/officeDocument/2006/relationships/hyperlink" Target="https://incode.tylerhost.net/kellertx/apps/form/?path=General%20Ledger/Account&amp;$filter=AccountId%20eq%20dea36b90-31f2-3ab4-745d-233f863e52a8" TargetMode="External"/><Relationship Id="rId316" Type="http://schemas.openxmlformats.org/officeDocument/2006/relationships/hyperlink" Target="https://incode.tylerhost.net/kellertx/apps/form/?path=General%20Ledger/Account&amp;$filter=AccountId%20eq%20cc6e8bc1-adf8-2ce5-3317-b40ccf0ddff1" TargetMode="External"/><Relationship Id="rId55" Type="http://schemas.openxmlformats.org/officeDocument/2006/relationships/hyperlink" Target="https://incode.tylerhost.net/kellertx/apps/form/?path=General%20Ledger/Account&amp;$filter=AccountId%20eq%208f9147a9-1446-0454-824b-d0146905df98" TargetMode="External"/><Relationship Id="rId97" Type="http://schemas.openxmlformats.org/officeDocument/2006/relationships/hyperlink" Target="https://incode.tylerhost.net/kellertx/apps/form/?path=General%20Ledger/Account&amp;$filter=AccountId%20eq%20d8cd9c6e-4589-7208-dfd7-553ffb5da674" TargetMode="External"/><Relationship Id="rId120" Type="http://schemas.openxmlformats.org/officeDocument/2006/relationships/hyperlink" Target="https://incode.tylerhost.net/kellertx/apps/form/?path=General%20Ledger/Account&amp;$filter=AccountId%20eq%20138d55d0-6934-415b-6e36-8d65221e220d" TargetMode="External"/><Relationship Id="rId358" Type="http://schemas.openxmlformats.org/officeDocument/2006/relationships/hyperlink" Target="https://incode.tylerhost.net/kellertx/apps/form/?path=General%20Ledger/Account&amp;$filter=AccountId%20eq%20522bb744-1744-1bbc-1d97-f707552e249f" TargetMode="External"/><Relationship Id="rId162" Type="http://schemas.openxmlformats.org/officeDocument/2006/relationships/hyperlink" Target="https://incode.tylerhost.net/kellertx/apps/form/?path=General%20Ledger/Account&amp;$filter=AccountId%20eq%201907713d-3c38-211c-fdf7-85a5e0969a6d" TargetMode="External"/><Relationship Id="rId218" Type="http://schemas.openxmlformats.org/officeDocument/2006/relationships/hyperlink" Target="https://incode.tylerhost.net/kellertx/apps/form/?path=General%20Ledger/Account&amp;$filter=AccountId%20eq%201f4e630c-6396-34ce-6579-539f472b92fd" TargetMode="External"/><Relationship Id="rId271" Type="http://schemas.openxmlformats.org/officeDocument/2006/relationships/hyperlink" Target="https://incode.tylerhost.net/kellertx/apps/form/?path=General%20Ledger/Account&amp;$filter=AccountId%20eq%2033a83ad2-4e6e-e4f6-9b62-71ce1014ed1b" TargetMode="External"/><Relationship Id="rId24" Type="http://schemas.openxmlformats.org/officeDocument/2006/relationships/hyperlink" Target="https://incode.tylerhost.net/kellertx/apps/form/?path=General%20Ledger/Account&amp;$filter=AccountId%20eq%204c25f472-d4ac-0aba-d034-541bfad7b729" TargetMode="External"/><Relationship Id="rId66" Type="http://schemas.openxmlformats.org/officeDocument/2006/relationships/hyperlink" Target="https://incode.tylerhost.net/kellertx/apps/form/?path=General%20Ledger/Account&amp;$filter=AccountId%20eq%201bc61789-b3fb-abe9-215c-547742188ff9" TargetMode="External"/><Relationship Id="rId131" Type="http://schemas.openxmlformats.org/officeDocument/2006/relationships/hyperlink" Target="https://incode.tylerhost.net/kellertx/apps/form/?path=General%20Ledger/Account&amp;$filter=AccountId%20eq%2014bf0c36-db8f-e18c-b455-9dfa74e6b611" TargetMode="External"/><Relationship Id="rId327" Type="http://schemas.openxmlformats.org/officeDocument/2006/relationships/hyperlink" Target="https://incode.tylerhost.net/kellertx/apps/form/?path=General%20Ledger/Account&amp;$filter=AccountId%20eq%2089110bb8-1678-3242-4505-88d43d6ee4e2" TargetMode="External"/><Relationship Id="rId173" Type="http://schemas.openxmlformats.org/officeDocument/2006/relationships/hyperlink" Target="https://incode.tylerhost.net/kellertx/apps/form/?path=General%20Ledger/Account&amp;$filter=AccountId%20eq%2098fa50d7-a567-3f32-4ae6-4a590d4c70b3" TargetMode="External"/><Relationship Id="rId229" Type="http://schemas.openxmlformats.org/officeDocument/2006/relationships/hyperlink" Target="https://incode.tylerhost.net/kellertx/apps/form/?path=General%20Ledger/Account&amp;$filter=AccountId%20eq%20fe03589e-94e8-b8eb-9d8d-1b0264e46878" TargetMode="External"/><Relationship Id="rId240" Type="http://schemas.openxmlformats.org/officeDocument/2006/relationships/hyperlink" Target="https://incode.tylerhost.net/kellertx/apps/form/?path=General%20Ledger/Account&amp;$filter=AccountId%20eq%20b4037cb3-7917-8e1c-a9a4-46972d2a46eb" TargetMode="External"/><Relationship Id="rId35" Type="http://schemas.openxmlformats.org/officeDocument/2006/relationships/hyperlink" Target="https://incode.tylerhost.net/kellertx/apps/form/?path=General%20Ledger/Account&amp;$filter=AccountId%20eq%20010c62d7-d83e-7196-c959-e7ea0559b958" TargetMode="External"/><Relationship Id="rId77" Type="http://schemas.openxmlformats.org/officeDocument/2006/relationships/hyperlink" Target="https://incode.tylerhost.net/kellertx/apps/form/?path=General%20Ledger/Account&amp;$filter=AccountId%20eq%2025989cd5-82bb-6028-ce53-80fb90ea16e4" TargetMode="External"/><Relationship Id="rId100" Type="http://schemas.openxmlformats.org/officeDocument/2006/relationships/hyperlink" Target="https://incode.tylerhost.net/kellertx/apps/form/?path=General%20Ledger/Account&amp;$filter=AccountId%20eq%205108bf4d-8505-275f-c171-176085d8631f" TargetMode="External"/><Relationship Id="rId282" Type="http://schemas.openxmlformats.org/officeDocument/2006/relationships/hyperlink" Target="https://incode.tylerhost.net/kellertx/apps/form/?path=General%20Ledger/Account&amp;$filter=AccountId%20eq%20c836212e-1b43-7c00-6112-34ed918c8463" TargetMode="External"/><Relationship Id="rId338" Type="http://schemas.openxmlformats.org/officeDocument/2006/relationships/hyperlink" Target="https://incode.tylerhost.net/kellertx/apps/form/?path=General%20Ledger/Account&amp;$filter=AccountId%20eq%20121720d0-39eb-cf52-82bd-77bad1254af2" TargetMode="External"/><Relationship Id="rId8" Type="http://schemas.openxmlformats.org/officeDocument/2006/relationships/hyperlink" Target="https://incode.tylerhost.net/kellertx/apps/form/?path=General%20Ledger/Account&amp;$filter=AccountId%20eq%2078180710-d967-caeb-a907-5b2407dc04be" TargetMode="External"/><Relationship Id="rId142" Type="http://schemas.openxmlformats.org/officeDocument/2006/relationships/hyperlink" Target="https://incode.tylerhost.net/kellertx/apps/form/?path=General%20Ledger/Account&amp;$filter=AccountId%20eq%207888f494-fae4-9f84-d252-d0120361ec01" TargetMode="External"/><Relationship Id="rId184" Type="http://schemas.openxmlformats.org/officeDocument/2006/relationships/hyperlink" Target="https://incode.tylerhost.net/kellertx/apps/form/?path=General%20Ledger/Account&amp;$filter=AccountId%20eq%207d0f56ba-bb6a-a1b8-c184-c994e2adf887" TargetMode="External"/><Relationship Id="rId251" Type="http://schemas.openxmlformats.org/officeDocument/2006/relationships/hyperlink" Target="https://incode.tylerhost.net/kellertx/apps/form/?path=General%20Ledger/Account&amp;$filter=AccountId%20eq%2074c8102c-53d4-5b30-6fb3-b36c373c7915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9"/>
  <sheetViews>
    <sheetView topLeftCell="C1" workbookViewId="0">
      <selection activeCell="H13" sqref="H13:L13"/>
    </sheetView>
  </sheetViews>
  <sheetFormatPr defaultColWidth="7.08984375" defaultRowHeight="14.4"/>
  <cols>
    <col min="1" max="1" width="5.1796875" style="324" customWidth="1"/>
    <col min="2" max="3" width="36.36328125" style="324" bestFit="1" customWidth="1"/>
    <col min="4" max="4" width="21.90625" style="324" bestFit="1" customWidth="1"/>
    <col min="5" max="5" width="20.453125" style="324" bestFit="1" customWidth="1"/>
    <col min="6" max="6" width="20.453125" style="324" customWidth="1"/>
    <col min="7" max="7" width="12.1796875" style="324" customWidth="1"/>
    <col min="8" max="8" width="10.81640625" style="324" customWidth="1"/>
    <col min="9" max="10" width="10.6328125" style="324" customWidth="1"/>
    <col min="11" max="11" width="10.90625" style="324" customWidth="1"/>
    <col min="12" max="12" width="12.1796875" style="324" customWidth="1"/>
    <col min="13" max="13" width="7.08984375" style="324"/>
    <col min="14" max="14" width="8.54296875" style="324" bestFit="1" customWidth="1"/>
    <col min="15" max="15" width="20.453125" style="324" bestFit="1" customWidth="1"/>
    <col min="16" max="16384" width="7.08984375" style="324"/>
  </cols>
  <sheetData>
    <row r="1" spans="1:12" ht="15.6">
      <c r="A1" s="321" t="s">
        <v>447</v>
      </c>
      <c r="B1" s="322"/>
      <c r="C1" s="322"/>
      <c r="D1" s="322"/>
      <c r="E1" s="322"/>
      <c r="F1" s="322"/>
      <c r="G1" s="323"/>
      <c r="H1" s="323"/>
      <c r="I1" s="323"/>
      <c r="J1" s="323"/>
      <c r="K1" s="323"/>
      <c r="L1" s="323"/>
    </row>
    <row r="2" spans="1:12" ht="15" thickBot="1">
      <c r="A2" s="322"/>
      <c r="B2" s="322"/>
      <c r="C2" s="322"/>
      <c r="D2" s="322"/>
      <c r="E2" s="322"/>
      <c r="F2" s="322"/>
      <c r="G2" s="323"/>
      <c r="H2" s="323"/>
      <c r="I2" s="323"/>
      <c r="J2" s="323"/>
      <c r="K2" s="323"/>
      <c r="L2" s="323"/>
    </row>
    <row r="3" spans="1:12" ht="15" thickBot="1">
      <c r="A3" s="322"/>
      <c r="B3" s="322"/>
      <c r="C3" s="322"/>
      <c r="D3" s="322"/>
      <c r="E3" s="322"/>
      <c r="F3" s="322"/>
      <c r="G3" s="323"/>
      <c r="H3" s="323"/>
      <c r="I3" s="602" t="s">
        <v>448</v>
      </c>
      <c r="J3" s="603"/>
      <c r="K3" s="604" t="s">
        <v>449</v>
      </c>
      <c r="L3" s="603"/>
    </row>
    <row r="4" spans="1:12" ht="29.4" thickBot="1">
      <c r="A4" s="325" t="s">
        <v>475</v>
      </c>
      <c r="B4" s="326" t="s">
        <v>450</v>
      </c>
      <c r="C4" s="326" t="s">
        <v>451</v>
      </c>
      <c r="D4" s="326" t="s">
        <v>452</v>
      </c>
      <c r="E4" s="326" t="s">
        <v>453</v>
      </c>
      <c r="F4" s="326"/>
      <c r="G4" s="327" t="s">
        <v>454</v>
      </c>
      <c r="H4" s="327" t="s">
        <v>455</v>
      </c>
      <c r="I4" s="328" t="s">
        <v>456</v>
      </c>
      <c r="J4" s="329" t="s">
        <v>457</v>
      </c>
      <c r="K4" s="327" t="s">
        <v>456</v>
      </c>
      <c r="L4" s="329" t="s">
        <v>457</v>
      </c>
    </row>
    <row r="5" spans="1:12">
      <c r="A5" s="324">
        <v>9242</v>
      </c>
      <c r="B5" s="324" t="s">
        <v>458</v>
      </c>
      <c r="C5" s="330" t="s">
        <v>126</v>
      </c>
      <c r="D5" s="330" t="s">
        <v>126</v>
      </c>
      <c r="E5" s="330" t="s">
        <v>376</v>
      </c>
      <c r="F5" s="330"/>
      <c r="G5" s="331">
        <v>17.53</v>
      </c>
      <c r="H5" s="332"/>
      <c r="I5" s="332">
        <v>0.47</v>
      </c>
      <c r="J5" s="332">
        <f>+I5*2080</f>
        <v>977.59999999999991</v>
      </c>
      <c r="K5" s="332">
        <v>0.97</v>
      </c>
      <c r="L5" s="332">
        <f>+K5*2080</f>
        <v>2017.6</v>
      </c>
    </row>
    <row r="6" spans="1:12">
      <c r="A6" s="324">
        <v>9256</v>
      </c>
      <c r="B6" s="324" t="s">
        <v>458</v>
      </c>
      <c r="C6" s="330" t="s">
        <v>126</v>
      </c>
      <c r="D6" s="330" t="s">
        <v>126</v>
      </c>
      <c r="E6" s="330" t="s">
        <v>377</v>
      </c>
      <c r="F6" s="330"/>
      <c r="G6" s="331">
        <v>17.53</v>
      </c>
      <c r="H6" s="332"/>
      <c r="I6" s="332">
        <v>0.47</v>
      </c>
      <c r="J6" s="332">
        <f t="shared" ref="J6:J10" si="0">+I6*2080</f>
        <v>977.59999999999991</v>
      </c>
      <c r="K6" s="332">
        <v>0.97</v>
      </c>
      <c r="L6" s="332">
        <f t="shared" ref="L6:L12" si="1">+K6*2080</f>
        <v>2017.6</v>
      </c>
    </row>
    <row r="7" spans="1:12">
      <c r="A7" s="324">
        <v>9041</v>
      </c>
      <c r="B7" s="324" t="s">
        <v>458</v>
      </c>
      <c r="C7" s="330" t="s">
        <v>126</v>
      </c>
      <c r="D7" s="330" t="s">
        <v>126</v>
      </c>
      <c r="E7" s="330" t="s">
        <v>378</v>
      </c>
      <c r="F7" s="330"/>
      <c r="G7" s="331">
        <v>17.84</v>
      </c>
      <c r="H7" s="332"/>
      <c r="I7" s="332">
        <v>0.16</v>
      </c>
      <c r="J7" s="332">
        <f t="shared" si="0"/>
        <v>332.8</v>
      </c>
      <c r="K7" s="332">
        <v>0.66</v>
      </c>
      <c r="L7" s="332">
        <f t="shared" si="1"/>
        <v>1372.8</v>
      </c>
    </row>
    <row r="8" spans="1:12">
      <c r="A8" s="324">
        <v>9052</v>
      </c>
      <c r="B8" s="324" t="s">
        <v>458</v>
      </c>
      <c r="C8" s="330" t="s">
        <v>126</v>
      </c>
      <c r="D8" s="330" t="s">
        <v>126</v>
      </c>
      <c r="E8" s="330" t="s">
        <v>226</v>
      </c>
      <c r="F8" s="330"/>
      <c r="G8" s="331">
        <v>17.84</v>
      </c>
      <c r="H8" s="332"/>
      <c r="I8" s="332">
        <v>0.16</v>
      </c>
      <c r="J8" s="332">
        <f t="shared" si="0"/>
        <v>332.8</v>
      </c>
      <c r="K8" s="332">
        <v>0.66</v>
      </c>
      <c r="L8" s="332">
        <f t="shared" si="1"/>
        <v>1372.8</v>
      </c>
    </row>
    <row r="9" spans="1:12">
      <c r="A9" s="324">
        <v>9105</v>
      </c>
      <c r="B9" s="324" t="s">
        <v>459</v>
      </c>
      <c r="C9" s="330" t="s">
        <v>121</v>
      </c>
      <c r="D9" s="330" t="s">
        <v>121</v>
      </c>
      <c r="E9" s="330" t="s">
        <v>354</v>
      </c>
      <c r="F9" s="330"/>
      <c r="G9" s="331">
        <v>19.690000000000001</v>
      </c>
      <c r="H9" s="332"/>
      <c r="I9" s="332">
        <v>0.31</v>
      </c>
      <c r="J9" s="332">
        <f t="shared" si="0"/>
        <v>644.79999999999995</v>
      </c>
      <c r="K9" s="332">
        <v>0.31</v>
      </c>
      <c r="L9" s="332">
        <f t="shared" si="1"/>
        <v>644.79999999999995</v>
      </c>
    </row>
    <row r="10" spans="1:12">
      <c r="A10" s="324">
        <v>9249</v>
      </c>
      <c r="B10" s="324" t="s">
        <v>459</v>
      </c>
      <c r="C10" s="330" t="s">
        <v>121</v>
      </c>
      <c r="D10" s="330" t="s">
        <v>121</v>
      </c>
      <c r="E10" s="330" t="s">
        <v>374</v>
      </c>
      <c r="F10" s="330"/>
      <c r="G10" s="331">
        <v>19.690000000000001</v>
      </c>
      <c r="H10" s="332"/>
      <c r="I10" s="332">
        <v>0.31</v>
      </c>
      <c r="J10" s="332">
        <f t="shared" si="0"/>
        <v>644.79999999999995</v>
      </c>
      <c r="K10" s="332">
        <v>0.31</v>
      </c>
      <c r="L10" s="332">
        <f t="shared" si="1"/>
        <v>644.79999999999995</v>
      </c>
    </row>
    <row r="11" spans="1:12">
      <c r="A11" s="324">
        <v>1724</v>
      </c>
      <c r="B11" s="324" t="s">
        <v>459</v>
      </c>
      <c r="C11" s="330" t="s">
        <v>460</v>
      </c>
      <c r="D11" s="330" t="s">
        <v>460</v>
      </c>
      <c r="E11" s="330" t="s">
        <v>87</v>
      </c>
      <c r="F11" s="330"/>
      <c r="G11" s="331">
        <v>23.98</v>
      </c>
      <c r="H11" s="332"/>
      <c r="I11" s="332"/>
      <c r="J11" s="332"/>
      <c r="K11" s="332">
        <v>0.02</v>
      </c>
      <c r="L11" s="332">
        <f t="shared" si="1"/>
        <v>41.6</v>
      </c>
    </row>
    <row r="12" spans="1:12">
      <c r="A12" s="324">
        <v>9022</v>
      </c>
      <c r="B12" s="324" t="s">
        <v>459</v>
      </c>
      <c r="C12" s="330" t="s">
        <v>123</v>
      </c>
      <c r="D12" s="330" t="s">
        <v>123</v>
      </c>
      <c r="E12" s="330" t="s">
        <v>220</v>
      </c>
      <c r="F12" s="330"/>
      <c r="G12" s="331">
        <v>23.04</v>
      </c>
      <c r="H12" s="332"/>
      <c r="I12" s="332"/>
      <c r="J12" s="332"/>
      <c r="K12" s="332">
        <v>0.96</v>
      </c>
      <c r="L12" s="332">
        <f t="shared" si="1"/>
        <v>1996.8</v>
      </c>
    </row>
    <row r="13" spans="1:12" s="333" customFormat="1">
      <c r="H13" s="334" t="s">
        <v>461</v>
      </c>
      <c r="J13" s="335">
        <f>SUM(J5:J12)</f>
        <v>3910.4000000000005</v>
      </c>
      <c r="L13" s="335">
        <f>SUM(L5:L12)</f>
        <v>10108.800000000001</v>
      </c>
    </row>
    <row r="17" spans="1:9">
      <c r="A17" s="336"/>
      <c r="B17" s="336" t="s">
        <v>448</v>
      </c>
      <c r="C17" s="336" t="s">
        <v>449</v>
      </c>
    </row>
    <row r="18" spans="1:9">
      <c r="A18" s="336" t="s">
        <v>462</v>
      </c>
      <c r="B18" s="337"/>
      <c r="C18" s="338"/>
    </row>
    <row r="19" spans="1:9" ht="15" customHeight="1">
      <c r="A19" s="339">
        <v>1</v>
      </c>
      <c r="B19" s="338" t="s">
        <v>463</v>
      </c>
      <c r="C19" s="338" t="s">
        <v>463</v>
      </c>
    </row>
    <row r="20" spans="1:9" ht="46.5" customHeight="1">
      <c r="A20" s="339">
        <f>+A19+1</f>
        <v>2</v>
      </c>
      <c r="B20" s="338" t="s">
        <v>464</v>
      </c>
      <c r="C20" s="338" t="s">
        <v>464</v>
      </c>
    </row>
    <row r="21" spans="1:9" ht="28.8">
      <c r="A21" s="339">
        <f t="shared" ref="A21:A27" si="2">+A20+1</f>
        <v>3</v>
      </c>
      <c r="B21" s="338" t="s">
        <v>465</v>
      </c>
      <c r="C21" s="338" t="s">
        <v>465</v>
      </c>
    </row>
    <row r="22" spans="1:9">
      <c r="A22" s="339">
        <f t="shared" si="2"/>
        <v>4</v>
      </c>
      <c r="B22" s="340" t="s">
        <v>466</v>
      </c>
      <c r="C22" s="340" t="s">
        <v>467</v>
      </c>
    </row>
    <row r="23" spans="1:9">
      <c r="A23" s="339">
        <f t="shared" si="2"/>
        <v>5</v>
      </c>
      <c r="B23" s="338" t="s">
        <v>468</v>
      </c>
      <c r="C23" s="338" t="s">
        <v>468</v>
      </c>
      <c r="D23" s="322"/>
      <c r="G23" s="341"/>
      <c r="H23" s="341"/>
      <c r="I23" s="341"/>
    </row>
    <row r="24" spans="1:9" ht="28.8">
      <c r="A24" s="339">
        <f t="shared" si="2"/>
        <v>6</v>
      </c>
      <c r="B24" s="338" t="s">
        <v>469</v>
      </c>
      <c r="C24" s="338" t="s">
        <v>469</v>
      </c>
      <c r="D24" s="322"/>
      <c r="E24" s="342"/>
      <c r="F24" s="342"/>
      <c r="G24" s="341"/>
      <c r="H24" s="341"/>
      <c r="I24" s="341"/>
    </row>
    <row r="25" spans="1:9">
      <c r="A25" s="339">
        <f t="shared" si="2"/>
        <v>7</v>
      </c>
      <c r="B25" s="338" t="s">
        <v>470</v>
      </c>
      <c r="C25" s="338" t="s">
        <v>470</v>
      </c>
      <c r="D25" s="322"/>
      <c r="E25" s="342"/>
      <c r="F25" s="342"/>
      <c r="G25" s="341"/>
      <c r="H25" s="341"/>
      <c r="I25" s="341"/>
    </row>
    <row r="26" spans="1:9">
      <c r="A26" s="339">
        <f t="shared" si="2"/>
        <v>8</v>
      </c>
      <c r="B26" s="338" t="s">
        <v>471</v>
      </c>
      <c r="C26" s="338" t="s">
        <v>471</v>
      </c>
    </row>
    <row r="27" spans="1:9" ht="30" customHeight="1">
      <c r="A27" s="339">
        <f t="shared" si="2"/>
        <v>9</v>
      </c>
      <c r="B27" s="343" t="s">
        <v>472</v>
      </c>
      <c r="C27" s="343" t="s">
        <v>472</v>
      </c>
    </row>
    <row r="28" spans="1:9">
      <c r="A28" s="324">
        <v>10</v>
      </c>
      <c r="B28" s="343" t="s">
        <v>473</v>
      </c>
      <c r="C28" s="343" t="s">
        <v>473</v>
      </c>
    </row>
    <row r="29" spans="1:9">
      <c r="A29" s="324">
        <v>11</v>
      </c>
      <c r="B29" s="342" t="s">
        <v>474</v>
      </c>
      <c r="C29" s="342" t="s">
        <v>474</v>
      </c>
    </row>
  </sheetData>
  <mergeCells count="2">
    <mergeCell ref="I3:J3"/>
    <mergeCell ref="K3:L3"/>
  </mergeCells>
  <pageMargins left="0.2" right="0.2" top="0.25" bottom="0.25" header="0.3" footer="0.3"/>
  <pageSetup paperSize="5" scale="6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3"/>
  <sheetViews>
    <sheetView topLeftCell="A48" zoomScaleNormal="100" workbookViewId="0">
      <selection activeCell="G62" sqref="G62"/>
    </sheetView>
  </sheetViews>
  <sheetFormatPr defaultRowHeight="15.6"/>
  <cols>
    <col min="1" max="1" width="18.81640625" style="233" customWidth="1"/>
    <col min="2" max="2" width="22.453125" style="233" customWidth="1"/>
    <col min="3" max="4" width="14.36328125" style="233" customWidth="1"/>
    <col min="5" max="5" width="13.36328125" style="233" customWidth="1"/>
    <col min="6" max="6" width="16.54296875" style="233" customWidth="1"/>
    <col min="7" max="7" width="17.90625" style="233" customWidth="1"/>
    <col min="8" max="8" width="15.453125" style="233" customWidth="1"/>
    <col min="9" max="9" width="16" style="233" customWidth="1"/>
    <col min="10" max="10" width="17" style="233" customWidth="1"/>
    <col min="11" max="11" width="15.81640625" style="233" customWidth="1"/>
    <col min="12" max="12" width="13.54296875" style="233" customWidth="1"/>
    <col min="13" max="13" width="14.90625" style="233" customWidth="1"/>
    <col min="14" max="14" width="15.36328125" style="233" customWidth="1"/>
    <col min="16" max="16" width="18.1796875" customWidth="1"/>
    <col min="20" max="20" width="11" customWidth="1"/>
  </cols>
  <sheetData>
    <row r="1" spans="1:20" ht="16.2" thickBot="1"/>
    <row r="2" spans="1:20">
      <c r="A2" s="617" t="s">
        <v>406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9"/>
    </row>
    <row r="3" spans="1:20" ht="16.2" thickBot="1">
      <c r="A3" s="620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2"/>
    </row>
    <row r="5" spans="1:20">
      <c r="A5" s="278"/>
      <c r="B5" s="278" t="s">
        <v>410</v>
      </c>
      <c r="C5" s="278" t="s">
        <v>392</v>
      </c>
      <c r="D5" s="278"/>
      <c r="E5" s="278" t="s">
        <v>393</v>
      </c>
      <c r="F5" s="278" t="s">
        <v>394</v>
      </c>
      <c r="G5" s="278" t="s">
        <v>395</v>
      </c>
      <c r="H5" s="278" t="s">
        <v>398</v>
      </c>
      <c r="I5" s="278" t="s">
        <v>396</v>
      </c>
      <c r="J5" s="278" t="s">
        <v>397</v>
      </c>
      <c r="K5" s="278" t="s">
        <v>404</v>
      </c>
      <c r="L5" s="278" t="s">
        <v>402</v>
      </c>
      <c r="M5" s="278" t="s">
        <v>403</v>
      </c>
      <c r="N5" s="278" t="s">
        <v>405</v>
      </c>
      <c r="T5" s="392"/>
    </row>
    <row r="6" spans="1:20">
      <c r="T6" s="392"/>
    </row>
    <row r="7" spans="1:20">
      <c r="A7" s="623" t="s">
        <v>391</v>
      </c>
      <c r="B7" s="623"/>
      <c r="C7" s="623"/>
      <c r="D7" s="623"/>
      <c r="E7" s="623"/>
      <c r="F7" s="623"/>
      <c r="G7" s="623"/>
      <c r="H7" s="623"/>
      <c r="I7" s="623"/>
      <c r="J7" s="623"/>
      <c r="K7" s="623"/>
      <c r="L7" s="623"/>
      <c r="M7" s="623"/>
      <c r="N7" s="623"/>
      <c r="T7" s="392"/>
    </row>
    <row r="8" spans="1:20">
      <c r="T8" s="392"/>
    </row>
    <row r="9" spans="1:20">
      <c r="A9" s="370" t="s">
        <v>754</v>
      </c>
      <c r="B9" t="s">
        <v>411</v>
      </c>
      <c r="C9" s="233">
        <v>854.28</v>
      </c>
      <c r="E9" s="233">
        <f>ROUNDUP(C9*12,0)</f>
        <v>10252</v>
      </c>
      <c r="F9" s="233">
        <v>828.65</v>
      </c>
      <c r="G9" s="233">
        <f>ROUNDUP(F9*12,0)</f>
        <v>9944</v>
      </c>
      <c r="H9" s="234">
        <f>F9/C9</f>
        <v>0.96999812707777311</v>
      </c>
      <c r="I9" s="233">
        <f>C9-F9</f>
        <v>25.629999999999995</v>
      </c>
      <c r="J9" s="233">
        <f>ROUNDUP(I9*12,0)</f>
        <v>308</v>
      </c>
      <c r="K9" s="234">
        <f>I9/C9</f>
        <v>3.0001872922226901E-2</v>
      </c>
      <c r="L9" s="228">
        <f>C9-(F9+I9)</f>
        <v>0</v>
      </c>
      <c r="M9" s="228">
        <f>E9-(G9+J9)</f>
        <v>0</v>
      </c>
      <c r="N9" s="274">
        <f>1-(H9+K9)</f>
        <v>0</v>
      </c>
      <c r="P9" s="370" t="s">
        <v>757</v>
      </c>
      <c r="Q9" t="s">
        <v>428</v>
      </c>
      <c r="R9" t="e">
        <f>COUNTIF('Prop Budget Calc'!#REF!,Q9)</f>
        <v>#REF!</v>
      </c>
      <c r="S9" s="273" t="e">
        <f>R9/$R$13</f>
        <v>#REF!</v>
      </c>
      <c r="T9" s="392" t="e">
        <f>AVERAGE(J9,J18,J27,J36)*R9</f>
        <v>#REF!</v>
      </c>
    </row>
    <row r="10" spans="1:20">
      <c r="A10" s="370" t="s">
        <v>756</v>
      </c>
      <c r="B10" t="s">
        <v>418</v>
      </c>
      <c r="C10" s="233">
        <v>1782.36</v>
      </c>
      <c r="E10" s="233">
        <f t="shared" ref="E10:E12" si="0">ROUNDUP(C10*12,0)</f>
        <v>21389</v>
      </c>
      <c r="F10" s="233">
        <v>1523.92</v>
      </c>
      <c r="G10" s="233">
        <f t="shared" ref="G10:G12" si="1">ROUNDUP(F10*12,0)</f>
        <v>18288</v>
      </c>
      <c r="H10" s="234">
        <f>F10/C10</f>
        <v>0.85500123431854402</v>
      </c>
      <c r="I10" s="233">
        <f>C10-F10</f>
        <v>258.43999999999983</v>
      </c>
      <c r="J10" s="233">
        <f t="shared" ref="J10:J12" si="2">ROUNDUP(I10*12,0)</f>
        <v>3102</v>
      </c>
      <c r="K10" s="234">
        <f>I10/C10</f>
        <v>0.14499876568145595</v>
      </c>
      <c r="L10" s="228">
        <f>C10-(F10+I10)</f>
        <v>0</v>
      </c>
      <c r="M10" s="228">
        <f>E10-(G10+J10)</f>
        <v>-1</v>
      </c>
      <c r="N10" s="274">
        <f t="shared" ref="N10:N12" si="3">1-(H10+K10)</f>
        <v>0</v>
      </c>
      <c r="P10" s="370" t="s">
        <v>756</v>
      </c>
      <c r="Q10" t="s">
        <v>362</v>
      </c>
      <c r="R10" t="e">
        <f>COUNTIF('Prop Budget Calc'!#REF!,Q10)</f>
        <v>#REF!</v>
      </c>
      <c r="S10" s="273" t="e">
        <f t="shared" ref="S10:S12" si="4">R10/$R$13</f>
        <v>#REF!</v>
      </c>
      <c r="T10" s="392" t="e">
        <f t="shared" ref="T10:T12" si="5">AVERAGE(J10,J19,J28,J37)*R10</f>
        <v>#REF!</v>
      </c>
    </row>
    <row r="11" spans="1:20">
      <c r="A11" s="370" t="s">
        <v>755</v>
      </c>
      <c r="B11" t="s">
        <v>412</v>
      </c>
      <c r="C11" s="233">
        <v>1620.59</v>
      </c>
      <c r="E11" s="233">
        <f t="shared" si="0"/>
        <v>19448</v>
      </c>
      <c r="F11" s="233">
        <v>1442.33</v>
      </c>
      <c r="G11" s="233">
        <f t="shared" si="1"/>
        <v>17308</v>
      </c>
      <c r="H11" s="234">
        <f>F11/C11</f>
        <v>0.89000302359017391</v>
      </c>
      <c r="I11" s="233">
        <f>C11-F11</f>
        <v>178.26</v>
      </c>
      <c r="J11" s="233">
        <f t="shared" si="2"/>
        <v>2140</v>
      </c>
      <c r="K11" s="234">
        <f>I11/C11</f>
        <v>0.10999697640982604</v>
      </c>
      <c r="L11" s="228">
        <f>C11-(F11+I11)</f>
        <v>0</v>
      </c>
      <c r="M11" s="228">
        <f>E11-(G11+J11)</f>
        <v>0</v>
      </c>
      <c r="N11" s="274">
        <f t="shared" si="3"/>
        <v>0</v>
      </c>
      <c r="P11" s="370" t="s">
        <v>755</v>
      </c>
      <c r="Q11" t="s">
        <v>427</v>
      </c>
      <c r="R11" t="e">
        <f>COUNTIF('Prop Budget Calc'!#REF!,Q11)</f>
        <v>#REF!</v>
      </c>
      <c r="S11" s="273" t="e">
        <f t="shared" si="4"/>
        <v>#REF!</v>
      </c>
      <c r="T11" s="392" t="e">
        <f t="shared" si="5"/>
        <v>#REF!</v>
      </c>
    </row>
    <row r="12" spans="1:20">
      <c r="A12" s="370" t="s">
        <v>390</v>
      </c>
      <c r="B12" t="s">
        <v>426</v>
      </c>
      <c r="C12" s="233">
        <v>2131.46</v>
      </c>
      <c r="E12" s="233">
        <f t="shared" si="0"/>
        <v>25578</v>
      </c>
      <c r="F12" s="233">
        <v>1809.61</v>
      </c>
      <c r="G12" s="233">
        <f t="shared" si="1"/>
        <v>21716</v>
      </c>
      <c r="H12" s="234">
        <f>F12/C12</f>
        <v>0.84900021581451202</v>
      </c>
      <c r="I12" s="233">
        <f>C12-F12</f>
        <v>321.85000000000014</v>
      </c>
      <c r="J12" s="233">
        <f t="shared" si="2"/>
        <v>3863</v>
      </c>
      <c r="K12" s="234">
        <f>I12/C12</f>
        <v>0.15099978418548796</v>
      </c>
      <c r="L12" s="228">
        <f>C12-(F12+I12)</f>
        <v>0</v>
      </c>
      <c r="M12" s="228">
        <f>E12-(G12+J12)</f>
        <v>-1</v>
      </c>
      <c r="N12" s="274">
        <f t="shared" si="3"/>
        <v>0</v>
      </c>
      <c r="P12" s="370" t="s">
        <v>390</v>
      </c>
      <c r="Q12" t="s">
        <v>429</v>
      </c>
      <c r="R12" t="e">
        <f>COUNTIF('Prop Budget Calc'!#REF!,Q12)</f>
        <v>#REF!</v>
      </c>
      <c r="S12" s="273" t="e">
        <f t="shared" si="4"/>
        <v>#REF!</v>
      </c>
      <c r="T12" s="392" t="e">
        <f t="shared" si="5"/>
        <v>#REF!</v>
      </c>
    </row>
    <row r="13" spans="1:20">
      <c r="F13" s="275"/>
      <c r="R13" t="e">
        <f>SUM(R9:R12)</f>
        <v>#REF!</v>
      </c>
      <c r="S13" s="273" t="e">
        <f>R13/$R$13</f>
        <v>#REF!</v>
      </c>
      <c r="T13" s="392" t="e">
        <f>SUM(T9:T12)</f>
        <v>#REF!</v>
      </c>
    </row>
    <row r="14" spans="1:20">
      <c r="C14" s="276"/>
      <c r="D14" s="276"/>
      <c r="E14" s="276"/>
      <c r="F14" s="275"/>
      <c r="I14" s="233">
        <v>25.63</v>
      </c>
      <c r="J14" s="235">
        <f>I14/I9-1</f>
        <v>0</v>
      </c>
      <c r="T14" s="392"/>
    </row>
    <row r="15" spans="1:20">
      <c r="C15" s="276"/>
      <c r="D15" s="276"/>
      <c r="E15" s="276"/>
      <c r="F15" s="275"/>
      <c r="T15" s="392"/>
    </row>
    <row r="16" spans="1:20">
      <c r="A16" s="623" t="s">
        <v>399</v>
      </c>
      <c r="B16" s="623"/>
      <c r="C16" s="623"/>
      <c r="D16" s="623"/>
      <c r="E16" s="623"/>
      <c r="F16" s="623"/>
      <c r="G16" s="623"/>
      <c r="H16" s="623"/>
      <c r="I16" s="623"/>
      <c r="J16" s="623"/>
      <c r="K16" s="623"/>
      <c r="L16" s="623"/>
      <c r="M16" s="623"/>
      <c r="N16" s="623"/>
      <c r="T16" s="392"/>
    </row>
    <row r="17" spans="1:20">
      <c r="T17" s="392"/>
    </row>
    <row r="18" spans="1:20">
      <c r="A18" s="233" t="str">
        <f>A9</f>
        <v>EmployeeOnly</v>
      </c>
      <c r="B18" t="s">
        <v>421</v>
      </c>
      <c r="C18" s="233">
        <f>C9</f>
        <v>854.28</v>
      </c>
      <c r="E18" s="233">
        <f>ROUNDUP(C18*12,0)</f>
        <v>10252</v>
      </c>
      <c r="F18" s="233">
        <v>825.23</v>
      </c>
      <c r="G18" s="233">
        <f>ROUNDUP(F18*12,0)</f>
        <v>9903</v>
      </c>
      <c r="H18" s="234">
        <f>F18/C18</f>
        <v>0.96599475581776473</v>
      </c>
      <c r="I18" s="233">
        <f>C18-F18</f>
        <v>29.049999999999955</v>
      </c>
      <c r="J18" s="233">
        <f>ROUNDUP(I18*12,0)</f>
        <v>349</v>
      </c>
      <c r="K18" s="234">
        <f>I18/C18</f>
        <v>3.4005244182235279E-2</v>
      </c>
      <c r="L18" s="228">
        <f>C18-(F18+I18)</f>
        <v>0</v>
      </c>
      <c r="M18" s="228">
        <f>E18-(G18+J18)</f>
        <v>0</v>
      </c>
      <c r="N18" s="274">
        <f t="shared" ref="N18:N21" si="6">1-(H18+K18)</f>
        <v>0</v>
      </c>
      <c r="T18" s="392"/>
    </row>
    <row r="19" spans="1:20">
      <c r="A19" s="233" t="str">
        <f t="shared" ref="A19:A21" si="7">A10</f>
        <v>Employee&amp;Spouse</v>
      </c>
      <c r="B19" t="s">
        <v>420</v>
      </c>
      <c r="C19" s="233">
        <f t="shared" ref="C19:C21" si="8">C10</f>
        <v>1782.36</v>
      </c>
      <c r="E19" s="233">
        <f t="shared" ref="E19:E21" si="9">ROUNDUP(C19*12,0)</f>
        <v>21389</v>
      </c>
      <c r="F19" s="233">
        <v>1466.88</v>
      </c>
      <c r="G19" s="233">
        <f t="shared" ref="G19:G21" si="10">ROUNDUP(F19*12,0)</f>
        <v>17603</v>
      </c>
      <c r="H19" s="234">
        <f>F19/C19</f>
        <v>0.82299872079714542</v>
      </c>
      <c r="I19" s="233">
        <f>C19-F19</f>
        <v>315.47999999999979</v>
      </c>
      <c r="J19" s="233">
        <f t="shared" ref="J19:J21" si="11">ROUNDUP(I19*12,0)</f>
        <v>3786</v>
      </c>
      <c r="K19" s="234">
        <f>I19/C19</f>
        <v>0.17700127920285452</v>
      </c>
      <c r="L19" s="228">
        <f>C19-(F19+I19)</f>
        <v>0</v>
      </c>
      <c r="M19" s="228">
        <f>E19-(G19+J19)</f>
        <v>0</v>
      </c>
      <c r="N19" s="274">
        <f t="shared" si="6"/>
        <v>0</v>
      </c>
      <c r="T19" s="392"/>
    </row>
    <row r="20" spans="1:20">
      <c r="A20" s="233" t="str">
        <f t="shared" si="7"/>
        <v>Employee&amp;Children</v>
      </c>
      <c r="B20" t="s">
        <v>413</v>
      </c>
      <c r="C20" s="233">
        <f t="shared" si="8"/>
        <v>1620.59</v>
      </c>
      <c r="E20" s="233">
        <f t="shared" si="9"/>
        <v>19448</v>
      </c>
      <c r="F20" s="233">
        <v>1393.71</v>
      </c>
      <c r="G20" s="233">
        <f t="shared" si="10"/>
        <v>16725</v>
      </c>
      <c r="H20" s="234">
        <f>F20/C20</f>
        <v>0.86000160435396988</v>
      </c>
      <c r="I20" s="233">
        <f>C20-F20</f>
        <v>226.87999999999988</v>
      </c>
      <c r="J20" s="233">
        <f t="shared" si="11"/>
        <v>2723</v>
      </c>
      <c r="K20" s="234">
        <f>I20/C20</f>
        <v>0.13999839564603009</v>
      </c>
      <c r="L20" s="228">
        <f>C20-(F20+I20)</f>
        <v>0</v>
      </c>
      <c r="M20" s="228">
        <f>E20-(G20+J20)</f>
        <v>0</v>
      </c>
      <c r="N20" s="274">
        <f t="shared" si="6"/>
        <v>0</v>
      </c>
      <c r="T20" s="392"/>
    </row>
    <row r="21" spans="1:20">
      <c r="A21" s="233" t="str">
        <f t="shared" si="7"/>
        <v>Family</v>
      </c>
      <c r="B21" t="s">
        <v>417</v>
      </c>
      <c r="C21" s="233">
        <f t="shared" si="8"/>
        <v>2131.46</v>
      </c>
      <c r="E21" s="233">
        <f t="shared" si="9"/>
        <v>25578</v>
      </c>
      <c r="F21" s="233">
        <v>1747.8</v>
      </c>
      <c r="G21" s="233">
        <f t="shared" si="10"/>
        <v>20974</v>
      </c>
      <c r="H21" s="234">
        <f>F21/C21</f>
        <v>0.820001313653552</v>
      </c>
      <c r="I21" s="233">
        <f>C21-F21</f>
        <v>383.66000000000008</v>
      </c>
      <c r="J21" s="233">
        <f t="shared" si="11"/>
        <v>4604</v>
      </c>
      <c r="K21" s="234">
        <f>I21/C21</f>
        <v>0.179998686346448</v>
      </c>
      <c r="L21" s="228">
        <f>C21-(F21+I21)</f>
        <v>0</v>
      </c>
      <c r="M21" s="228">
        <f>E21-(G21+J21)</f>
        <v>0</v>
      </c>
      <c r="N21" s="274">
        <f t="shared" si="6"/>
        <v>0</v>
      </c>
    </row>
    <row r="22" spans="1:20">
      <c r="F22" s="275"/>
    </row>
    <row r="25" spans="1:20">
      <c r="A25" s="623" t="s">
        <v>400</v>
      </c>
      <c r="B25" s="623"/>
      <c r="C25" s="623"/>
      <c r="D25" s="623"/>
      <c r="E25" s="623"/>
      <c r="F25" s="623"/>
      <c r="G25" s="623"/>
      <c r="H25" s="623"/>
      <c r="I25" s="623"/>
      <c r="J25" s="623"/>
      <c r="K25" s="623"/>
      <c r="L25" s="623"/>
      <c r="M25" s="623"/>
      <c r="N25" s="623"/>
    </row>
    <row r="27" spans="1:20">
      <c r="A27" s="233" t="str">
        <f t="shared" ref="A27:A30" si="12">A18</f>
        <v>EmployeeOnly</v>
      </c>
      <c r="B27" t="s">
        <v>419</v>
      </c>
      <c r="C27" s="233">
        <f>C18</f>
        <v>854.28</v>
      </c>
      <c r="E27" s="233">
        <f>ROUNDUP(C27*12,0)</f>
        <v>10252</v>
      </c>
      <c r="F27" s="233">
        <v>819.25</v>
      </c>
      <c r="G27" s="233">
        <f>ROUNDUP(F27*12,0)</f>
        <v>9831</v>
      </c>
      <c r="H27" s="234">
        <f>F27/C27</f>
        <v>0.95899470899470907</v>
      </c>
      <c r="I27" s="233">
        <f>C27-F27</f>
        <v>35.029999999999973</v>
      </c>
      <c r="J27" s="233">
        <f>ROUNDUP(I27*12,0)</f>
        <v>421</v>
      </c>
      <c r="K27" s="234">
        <f>I27/C27</f>
        <v>4.1005291005290975E-2</v>
      </c>
      <c r="L27" s="228">
        <f>C27-(F27+I27)</f>
        <v>0</v>
      </c>
      <c r="M27" s="228">
        <f>E27-(G27+J27)</f>
        <v>0</v>
      </c>
      <c r="N27" s="274">
        <f t="shared" ref="N27:N30" si="13">1-(H27+K27)</f>
        <v>0</v>
      </c>
    </row>
    <row r="28" spans="1:20">
      <c r="A28" s="233" t="str">
        <f t="shared" si="12"/>
        <v>Employee&amp;Spouse</v>
      </c>
      <c r="B28" t="s">
        <v>422</v>
      </c>
      <c r="C28" s="233">
        <f t="shared" ref="C28:C30" si="14">C19</f>
        <v>1782.36</v>
      </c>
      <c r="E28" s="233">
        <f t="shared" ref="E28:E30" si="15">ROUNDUP(C28*12,0)</f>
        <v>21389</v>
      </c>
      <c r="F28" s="233">
        <v>1383.11</v>
      </c>
      <c r="G28" s="233">
        <f t="shared" ref="G28:G30" si="16">ROUNDUP(F28*12,0)</f>
        <v>16598</v>
      </c>
      <c r="H28" s="234">
        <f>F28/C28</f>
        <v>0.77599923696671824</v>
      </c>
      <c r="I28" s="233">
        <f>C28-F28</f>
        <v>399.25</v>
      </c>
      <c r="J28" s="233">
        <f t="shared" ref="J28:J30" si="17">ROUNDUP(I28*12,0)</f>
        <v>4791</v>
      </c>
      <c r="K28" s="234">
        <f>I28/C28</f>
        <v>0.22400076303328173</v>
      </c>
      <c r="L28" s="228">
        <f>C28-(F28+I28)</f>
        <v>0</v>
      </c>
      <c r="M28" s="228">
        <f>E28-(G28+J28)</f>
        <v>0</v>
      </c>
      <c r="N28" s="274">
        <f t="shared" si="13"/>
        <v>0</v>
      </c>
    </row>
    <row r="29" spans="1:20">
      <c r="A29" s="233" t="str">
        <f t="shared" si="12"/>
        <v>Employee&amp;Children</v>
      </c>
      <c r="B29" t="s">
        <v>425</v>
      </c>
      <c r="C29" s="233">
        <f t="shared" si="14"/>
        <v>1620.59</v>
      </c>
      <c r="E29" s="233">
        <f t="shared" si="15"/>
        <v>19448</v>
      </c>
      <c r="F29" s="233">
        <v>1320.78</v>
      </c>
      <c r="G29" s="233">
        <f t="shared" si="16"/>
        <v>15850</v>
      </c>
      <c r="H29" s="234">
        <f>F29/C29</f>
        <v>0.81499947549966367</v>
      </c>
      <c r="I29" s="233">
        <f>C29-F29</f>
        <v>299.80999999999995</v>
      </c>
      <c r="J29" s="233">
        <f t="shared" si="17"/>
        <v>3598</v>
      </c>
      <c r="K29" s="234">
        <f>I29/C29</f>
        <v>0.18500052450033627</v>
      </c>
      <c r="L29" s="228">
        <f>C29-(F29+I29)</f>
        <v>0</v>
      </c>
      <c r="M29" s="228">
        <f>E29-(G29+J29)</f>
        <v>0</v>
      </c>
      <c r="N29" s="274">
        <f t="shared" si="13"/>
        <v>0</v>
      </c>
    </row>
    <row r="30" spans="1:20">
      <c r="A30" s="233" t="str">
        <f t="shared" si="12"/>
        <v>Family</v>
      </c>
      <c r="B30" t="s">
        <v>414</v>
      </c>
      <c r="C30" s="233">
        <f t="shared" si="14"/>
        <v>2131.46</v>
      </c>
      <c r="E30" s="233">
        <f t="shared" si="15"/>
        <v>25578</v>
      </c>
      <c r="F30" s="233">
        <v>1656.14</v>
      </c>
      <c r="G30" s="233">
        <f t="shared" si="16"/>
        <v>19874</v>
      </c>
      <c r="H30" s="234">
        <f>F30/C30</f>
        <v>0.77699792630403575</v>
      </c>
      <c r="I30" s="233">
        <f>C30-F30</f>
        <v>475.31999999999994</v>
      </c>
      <c r="J30" s="233">
        <f t="shared" si="17"/>
        <v>5704</v>
      </c>
      <c r="K30" s="234">
        <f>I30/C30</f>
        <v>0.22300207369596423</v>
      </c>
      <c r="L30" s="228">
        <f>C30-(F30+I30)</f>
        <v>0</v>
      </c>
      <c r="M30" s="228">
        <f>E30-(G30+J30)</f>
        <v>0</v>
      </c>
      <c r="N30" s="274">
        <f t="shared" si="13"/>
        <v>0</v>
      </c>
    </row>
    <row r="34" spans="1:20">
      <c r="A34" s="623" t="s">
        <v>401</v>
      </c>
      <c r="B34" s="623"/>
      <c r="C34" s="623"/>
      <c r="D34" s="623"/>
      <c r="E34" s="623"/>
      <c r="F34" s="623"/>
      <c r="G34" s="623"/>
      <c r="H34" s="623"/>
      <c r="I34" s="623"/>
      <c r="J34" s="623"/>
      <c r="K34" s="623"/>
      <c r="L34" s="623"/>
      <c r="M34" s="623"/>
      <c r="N34" s="623"/>
    </row>
    <row r="36" spans="1:20">
      <c r="A36" s="233" t="str">
        <f t="shared" ref="A36:A39" si="18">A27</f>
        <v>EmployeeOnly</v>
      </c>
      <c r="B36" t="s">
        <v>415</v>
      </c>
      <c r="C36" s="233">
        <f>C27</f>
        <v>854.28</v>
      </c>
      <c r="E36" s="233">
        <f>ROUNDUP(C36*12,0)</f>
        <v>10252</v>
      </c>
      <c r="F36" s="233">
        <v>809</v>
      </c>
      <c r="G36" s="233">
        <f>ROUNDUP(F36*12,0)</f>
        <v>9708</v>
      </c>
      <c r="H36" s="234">
        <f>F36/C36</f>
        <v>0.94699630097860188</v>
      </c>
      <c r="I36" s="233">
        <f>C36-F36</f>
        <v>45.279999999999973</v>
      </c>
      <c r="J36" s="233">
        <f>ROUNDUP(I36*12,0)</f>
        <v>544</v>
      </c>
      <c r="K36" s="234">
        <f>I36/C36</f>
        <v>5.3003699021398107E-2</v>
      </c>
      <c r="L36" s="228">
        <f>C36-(F36+I36)</f>
        <v>0</v>
      </c>
      <c r="M36" s="228">
        <f>E36-(G36+J36)</f>
        <v>0</v>
      </c>
      <c r="N36" s="274">
        <f t="shared" ref="N36:N39" si="19">1-(H36+K36)</f>
        <v>0</v>
      </c>
    </row>
    <row r="37" spans="1:20">
      <c r="A37" s="233" t="str">
        <f t="shared" si="18"/>
        <v>Employee&amp;Spouse</v>
      </c>
      <c r="B37" t="s">
        <v>424</v>
      </c>
      <c r="C37" s="233">
        <f t="shared" ref="C37:C39" si="20">C28</f>
        <v>1782.36</v>
      </c>
      <c r="E37" s="233">
        <f t="shared" ref="E37:E39" si="21">ROUNDUP(C37*12,0)</f>
        <v>21389</v>
      </c>
      <c r="F37" s="233">
        <v>1272.6099999999999</v>
      </c>
      <c r="G37" s="233">
        <f t="shared" ref="G37:G39" si="22">ROUNDUP(F37*12,0)</f>
        <v>15272</v>
      </c>
      <c r="H37" s="234">
        <f>F37/C37</f>
        <v>0.71400278282726271</v>
      </c>
      <c r="I37" s="233">
        <f>C37-F37</f>
        <v>509.75</v>
      </c>
      <c r="J37" s="233">
        <f t="shared" ref="J37:J39" si="23">ROUNDUP(I37*12,0)</f>
        <v>6117</v>
      </c>
      <c r="K37" s="234">
        <f>I37/C37</f>
        <v>0.28599721717273729</v>
      </c>
      <c r="L37" s="228">
        <f>C37-(F37+I37)</f>
        <v>0</v>
      </c>
      <c r="M37" s="228">
        <f>E37-(G37+J37)</f>
        <v>0</v>
      </c>
      <c r="N37" s="274">
        <f t="shared" si="19"/>
        <v>0</v>
      </c>
    </row>
    <row r="38" spans="1:20">
      <c r="A38" s="233" t="str">
        <f t="shared" si="18"/>
        <v>Employee&amp;Children</v>
      </c>
      <c r="B38" t="s">
        <v>423</v>
      </c>
      <c r="C38" s="233">
        <f t="shared" si="20"/>
        <v>1620.59</v>
      </c>
      <c r="E38" s="233">
        <f t="shared" si="21"/>
        <v>19448</v>
      </c>
      <c r="F38" s="233">
        <v>1217.06</v>
      </c>
      <c r="G38" s="233">
        <f t="shared" si="22"/>
        <v>14605</v>
      </c>
      <c r="H38" s="234">
        <f>F38/C38</f>
        <v>0.75099809328701272</v>
      </c>
      <c r="I38" s="233">
        <f>C38-F38</f>
        <v>403.53</v>
      </c>
      <c r="J38" s="233">
        <f t="shared" si="23"/>
        <v>4843</v>
      </c>
      <c r="K38" s="234">
        <f>I38/C38</f>
        <v>0.24900190671298725</v>
      </c>
      <c r="L38" s="228">
        <f>C38-(F38+I38)</f>
        <v>0</v>
      </c>
      <c r="M38" s="228">
        <f>E38-(G38+J38)</f>
        <v>0</v>
      </c>
      <c r="N38" s="274">
        <f t="shared" si="19"/>
        <v>0</v>
      </c>
    </row>
    <row r="39" spans="1:20">
      <c r="A39" s="233" t="str">
        <f t="shared" si="18"/>
        <v>Family</v>
      </c>
      <c r="B39" t="s">
        <v>416</v>
      </c>
      <c r="C39" s="233">
        <f t="shared" si="20"/>
        <v>2131.46</v>
      </c>
      <c r="E39" s="233">
        <f t="shared" si="21"/>
        <v>25578</v>
      </c>
      <c r="F39" s="233">
        <v>1528.26</v>
      </c>
      <c r="G39" s="233">
        <f t="shared" si="22"/>
        <v>18340</v>
      </c>
      <c r="H39" s="234">
        <f>F39/C39</f>
        <v>0.71700149193510554</v>
      </c>
      <c r="I39" s="233">
        <f>C39-F39</f>
        <v>603.20000000000005</v>
      </c>
      <c r="J39" s="233">
        <f t="shared" si="23"/>
        <v>7239</v>
      </c>
      <c r="K39" s="234">
        <f>I39/C39</f>
        <v>0.28299850806489452</v>
      </c>
      <c r="L39" s="228">
        <f>C39-(F39+I39)</f>
        <v>0</v>
      </c>
      <c r="M39" s="228">
        <f>E39-(G39+J39)</f>
        <v>-1</v>
      </c>
      <c r="N39" s="274">
        <f t="shared" si="19"/>
        <v>0</v>
      </c>
    </row>
    <row r="41" spans="1:20">
      <c r="I41" s="233">
        <f>I36/2</f>
        <v>22.639999999999986</v>
      </c>
    </row>
    <row r="42" spans="1:20">
      <c r="I42" s="233">
        <f>I41-10</f>
        <v>12.639999999999986</v>
      </c>
    </row>
    <row r="43" spans="1:20" ht="16.2" thickBot="1"/>
    <row r="44" spans="1:20">
      <c r="A44" s="617" t="s">
        <v>407</v>
      </c>
      <c r="B44" s="618"/>
      <c r="C44" s="618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9"/>
    </row>
    <row r="45" spans="1:20" ht="16.2" thickBot="1">
      <c r="A45" s="620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2"/>
    </row>
    <row r="47" spans="1:20">
      <c r="A47" s="278"/>
      <c r="B47" s="278"/>
      <c r="C47" s="278" t="s">
        <v>392</v>
      </c>
      <c r="D47" s="278" t="s">
        <v>408</v>
      </c>
      <c r="E47" s="278" t="s">
        <v>393</v>
      </c>
      <c r="F47" s="278" t="s">
        <v>394</v>
      </c>
      <c r="G47" s="278" t="s">
        <v>395</v>
      </c>
      <c r="H47" s="278" t="s">
        <v>398</v>
      </c>
      <c r="I47" s="278" t="s">
        <v>396</v>
      </c>
      <c r="J47" s="278" t="s">
        <v>397</v>
      </c>
      <c r="K47" s="278" t="s">
        <v>404</v>
      </c>
      <c r="L47" s="278" t="s">
        <v>402</v>
      </c>
      <c r="M47" s="278" t="s">
        <v>403</v>
      </c>
      <c r="N47" s="278" t="s">
        <v>405</v>
      </c>
    </row>
    <row r="48" spans="1:20">
      <c r="C48" s="275">
        <f>Scenarios!E8</f>
        <v>0</v>
      </c>
      <c r="D48" s="275"/>
      <c r="F48" s="275">
        <f>Scenarios!E9</f>
        <v>0.02</v>
      </c>
      <c r="T48" s="273">
        <v>6.25E-2</v>
      </c>
    </row>
    <row r="49" spans="1:21">
      <c r="A49" s="623" t="s">
        <v>391</v>
      </c>
      <c r="B49" s="623"/>
      <c r="C49" s="623"/>
      <c r="D49" s="623"/>
      <c r="E49" s="623"/>
      <c r="F49" s="623"/>
      <c r="G49" s="623"/>
      <c r="H49" s="623"/>
      <c r="I49" s="623"/>
      <c r="J49" s="623"/>
      <c r="K49" s="623"/>
      <c r="L49" s="623"/>
      <c r="M49" s="623"/>
      <c r="N49" s="623"/>
    </row>
    <row r="50" spans="1:21">
      <c r="T50" s="273">
        <v>0.06</v>
      </c>
      <c r="U50" s="386">
        <f>'Prop Budget Summary'!P27</f>
        <v>-0.81616291840339406</v>
      </c>
    </row>
    <row r="51" spans="1:21">
      <c r="A51" s="233" t="str">
        <f>A36</f>
        <v>EmployeeOnly</v>
      </c>
      <c r="B51" s="233" t="str">
        <f>B9</f>
        <v>B1EO</v>
      </c>
      <c r="C51" s="233">
        <f>ROUNDUP(C9*(1+$C$48),2)</f>
        <v>854.28</v>
      </c>
      <c r="D51" s="233">
        <f>C51-C9</f>
        <v>0</v>
      </c>
      <c r="E51" s="233">
        <f>ROUNDUP(C51*12,0)</f>
        <v>10252</v>
      </c>
      <c r="F51" s="415">
        <f>E51*H51/12</f>
        <v>777.44333333333327</v>
      </c>
      <c r="G51" s="233">
        <f>ROUNDUP(F51*12,0)</f>
        <v>9330</v>
      </c>
      <c r="H51" s="234">
        <f t="shared" ref="H51" si="24">ROUND(T51,3)</f>
        <v>0.91</v>
      </c>
      <c r="I51" s="316">
        <v>25.652604157751625</v>
      </c>
      <c r="J51" s="233">
        <f>ROUNDUP(I51*12,0)</f>
        <v>308</v>
      </c>
      <c r="K51" s="234">
        <f>I51/C51</f>
        <v>3.0028332815647828E-2</v>
      </c>
      <c r="L51" s="228">
        <f>C51-(F51+I51)</f>
        <v>51.184062508915076</v>
      </c>
      <c r="M51" s="228">
        <f>E51-(G51+J51)</f>
        <v>614</v>
      </c>
      <c r="N51" s="274">
        <f>1-(H51+K51)</f>
        <v>5.9971667184352095E-2</v>
      </c>
      <c r="O51">
        <f>D51-((F51-F9)+I51-I9)</f>
        <v>51.184062508915076</v>
      </c>
      <c r="P51" s="273">
        <f>F51/F9-1</f>
        <v>-6.1795289527142638E-2</v>
      </c>
      <c r="Q51" s="273">
        <f>J51/J9-1</f>
        <v>0</v>
      </c>
      <c r="S51" s="382">
        <v>0.96991111491484394</v>
      </c>
      <c r="T51" s="382">
        <f>S51-$T$50</f>
        <v>0.909911114914844</v>
      </c>
    </row>
    <row r="52" spans="1:21">
      <c r="A52" s="233" t="str">
        <f t="shared" ref="A52:A54" si="25">A37</f>
        <v>Employee&amp;Spouse</v>
      </c>
      <c r="B52" s="233" t="str">
        <f t="shared" ref="B52:B54" si="26">B10</f>
        <v>B1ES</v>
      </c>
      <c r="C52" s="233">
        <f t="shared" ref="C52:C54" si="27">ROUNDUP(C10*(1+$C$48),2)</f>
        <v>1782.36</v>
      </c>
      <c r="D52" s="233">
        <f t="shared" ref="D52:D54" si="28">C52-C10</f>
        <v>0</v>
      </c>
      <c r="E52" s="233">
        <f t="shared" ref="E52:E54" si="29">ROUNDUP(C52*12,0)</f>
        <v>21389</v>
      </c>
      <c r="F52" s="415">
        <f t="shared" ref="F52:F54" si="30">E52*H52/12</f>
        <v>1417.02125</v>
      </c>
      <c r="G52" s="233">
        <f t="shared" ref="G52:G54" si="31">ROUNDUP(F52*12,0)</f>
        <v>17005</v>
      </c>
      <c r="H52" s="234">
        <f>ROUND(T52,3)</f>
        <v>0.79500000000000004</v>
      </c>
      <c r="I52" s="316">
        <v>259.09701942422726</v>
      </c>
      <c r="J52" s="233">
        <f t="shared" ref="J52:J54" si="32">ROUNDUP(I52*12,0)</f>
        <v>3110</v>
      </c>
      <c r="K52" s="234">
        <f>I52/C52</f>
        <v>0.14536738898102924</v>
      </c>
      <c r="L52" s="228">
        <f>C52-(F52+I52)</f>
        <v>106.24173057577264</v>
      </c>
      <c r="M52" s="228">
        <f>E52-(G52+J52)</f>
        <v>1274</v>
      </c>
      <c r="N52" s="274">
        <f t="shared" ref="N52:N54" si="33">1-(H52+K52)</f>
        <v>5.963261101897066E-2</v>
      </c>
      <c r="O52">
        <f t="shared" ref="O52:O54" si="34">D52-((F52-F10)+I52-I10)</f>
        <v>106.24173057577264</v>
      </c>
      <c r="P52" s="273">
        <f t="shared" ref="P52:P54" si="35">F52/F10-1</f>
        <v>-7.0147219014121465E-2</v>
      </c>
      <c r="Q52" s="273">
        <f t="shared" ref="Q52:Q54" si="36">J52/J10-1</f>
        <v>2.5789813023855412E-3</v>
      </c>
      <c r="S52" s="382">
        <v>0.85460544050256082</v>
      </c>
      <c r="T52" s="382">
        <f t="shared" ref="T52:T54" si="37">S52-$T$50</f>
        <v>0.79460544050256088</v>
      </c>
    </row>
    <row r="53" spans="1:21">
      <c r="A53" s="233" t="str">
        <f t="shared" si="25"/>
        <v>Employee&amp;Children</v>
      </c>
      <c r="B53" s="233" t="str">
        <f t="shared" si="26"/>
        <v>B1EC</v>
      </c>
      <c r="C53" s="233">
        <f t="shared" si="27"/>
        <v>1620.59</v>
      </c>
      <c r="D53" s="233">
        <f t="shared" si="28"/>
        <v>0</v>
      </c>
      <c r="E53" s="233">
        <f t="shared" si="29"/>
        <v>19448</v>
      </c>
      <c r="F53" s="415">
        <f t="shared" si="30"/>
        <v>1345.1533333333332</v>
      </c>
      <c r="G53" s="233">
        <f t="shared" si="31"/>
        <v>16142</v>
      </c>
      <c r="H53" s="234">
        <f t="shared" ref="H53:H54" si="38">ROUND(T53,3)</f>
        <v>0.83</v>
      </c>
      <c r="I53" s="316">
        <v>177.85730214382215</v>
      </c>
      <c r="J53" s="233">
        <f t="shared" si="32"/>
        <v>2135</v>
      </c>
      <c r="K53" s="234">
        <f>I53/C53</f>
        <v>0.10974848798513021</v>
      </c>
      <c r="L53" s="228">
        <f>C53-(F53+I53)</f>
        <v>97.579364522844571</v>
      </c>
      <c r="M53" s="228">
        <f>E53-(G53+J53)</f>
        <v>1171</v>
      </c>
      <c r="N53" s="274">
        <f t="shared" si="33"/>
        <v>6.025151201486989E-2</v>
      </c>
      <c r="O53">
        <f t="shared" si="34"/>
        <v>97.579364522844571</v>
      </c>
      <c r="P53" s="273">
        <f t="shared" si="35"/>
        <v>-6.7374780158955816E-2</v>
      </c>
      <c r="Q53" s="273">
        <f t="shared" si="36"/>
        <v>-2.3364485981308691E-3</v>
      </c>
      <c r="S53" s="382">
        <v>0.89020939810130262</v>
      </c>
      <c r="T53" s="382">
        <f t="shared" si="37"/>
        <v>0.83020939810130256</v>
      </c>
    </row>
    <row r="54" spans="1:21">
      <c r="A54" s="233" t="str">
        <f t="shared" si="25"/>
        <v>Family</v>
      </c>
      <c r="B54" s="233" t="str">
        <f t="shared" si="26"/>
        <v>B1EF</v>
      </c>
      <c r="C54" s="233">
        <f t="shared" si="27"/>
        <v>2131.46</v>
      </c>
      <c r="D54" s="233">
        <f t="shared" si="28"/>
        <v>0</v>
      </c>
      <c r="E54" s="233">
        <f t="shared" si="29"/>
        <v>25578</v>
      </c>
      <c r="F54" s="415">
        <f t="shared" si="30"/>
        <v>1681.7535</v>
      </c>
      <c r="G54" s="233">
        <f t="shared" si="31"/>
        <v>20182</v>
      </c>
      <c r="H54" s="234">
        <f t="shared" si="38"/>
        <v>0.78900000000000003</v>
      </c>
      <c r="I54" s="316">
        <v>320.86005635321203</v>
      </c>
      <c r="J54" s="233">
        <f t="shared" si="32"/>
        <v>3851</v>
      </c>
      <c r="K54" s="234">
        <f>I54/C54</f>
        <v>0.15053534026123502</v>
      </c>
      <c r="L54" s="228">
        <f>C54-(F54+I54)</f>
        <v>128.84644364678798</v>
      </c>
      <c r="M54" s="228">
        <f>E54-(G54+J54)</f>
        <v>1545</v>
      </c>
      <c r="N54" s="274">
        <f t="shared" si="33"/>
        <v>6.0464659738764914E-2</v>
      </c>
      <c r="O54">
        <f t="shared" si="34"/>
        <v>128.84644364678798</v>
      </c>
      <c r="P54" s="273">
        <f t="shared" si="35"/>
        <v>-7.0654174103812362E-2</v>
      </c>
      <c r="Q54" s="273">
        <f t="shared" si="36"/>
        <v>-3.1063939943049013E-3</v>
      </c>
      <c r="S54" s="382">
        <v>0.84944871857695892</v>
      </c>
      <c r="T54" s="382">
        <f t="shared" si="37"/>
        <v>0.78944871857695897</v>
      </c>
    </row>
    <row r="55" spans="1:21">
      <c r="F55" s="275"/>
    </row>
    <row r="56" spans="1:21">
      <c r="C56" s="276"/>
      <c r="D56" s="276"/>
      <c r="E56" s="276"/>
      <c r="F56" s="275"/>
    </row>
    <row r="57" spans="1:21">
      <c r="C57" s="276"/>
      <c r="D57" s="276"/>
      <c r="E57" s="276"/>
      <c r="F57" s="275"/>
    </row>
    <row r="58" spans="1:21">
      <c r="A58" s="623" t="s">
        <v>399</v>
      </c>
      <c r="B58" s="623"/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</row>
    <row r="60" spans="1:21">
      <c r="A60" s="233" t="str">
        <f t="shared" ref="A60:A63" si="39">A51</f>
        <v>EmployeeOnly</v>
      </c>
      <c r="B60" s="233" t="str">
        <f t="shared" ref="B60:B63" si="40">B18</f>
        <v>B2EO</v>
      </c>
      <c r="C60" s="233">
        <f>C51</f>
        <v>854.28</v>
      </c>
      <c r="D60" s="233">
        <f>C60-C18</f>
        <v>0</v>
      </c>
      <c r="E60" s="233">
        <f>ROUNDUP(C60*12,0)</f>
        <v>10252</v>
      </c>
      <c r="F60" s="415">
        <f>E60*H60/12</f>
        <v>774.02599999999995</v>
      </c>
      <c r="G60" s="233">
        <f>ROUNDUP(F60*12,0)</f>
        <v>9289</v>
      </c>
      <c r="H60" s="234">
        <f t="shared" ref="H60:H63" si="41">ROUND(T60,3)</f>
        <v>0.90600000000000003</v>
      </c>
      <c r="I60" s="233">
        <v>29.141341712413237</v>
      </c>
      <c r="J60" s="233">
        <f>ROUNDUP(I60*12,0)</f>
        <v>350</v>
      </c>
      <c r="K60" s="234">
        <f>I60/C60</f>
        <v>3.4112166634374254E-2</v>
      </c>
      <c r="L60" s="228">
        <f>C60-(F60+I60)</f>
        <v>51.112658287586783</v>
      </c>
      <c r="M60" s="228">
        <f>E60-(G60+J60)</f>
        <v>613</v>
      </c>
      <c r="N60" s="274">
        <f t="shared" ref="N60:N63" si="42">1-(H60+K60)</f>
        <v>5.9887833365625753E-2</v>
      </c>
      <c r="O60">
        <f t="shared" ref="O60:O63" si="43">D60-((F60-F18)+I60-I18)</f>
        <v>51.112658287586783</v>
      </c>
      <c r="P60" s="273">
        <f t="shared" ref="P60:P63" si="44">F60/F18-1</f>
        <v>-6.2048156271584998E-2</v>
      </c>
      <c r="Q60" s="273">
        <f t="shared" ref="Q60:Q63" si="45">J60/J18-1</f>
        <v>2.8653295128939771E-3</v>
      </c>
      <c r="S60" s="382">
        <v>0.96582753603697236</v>
      </c>
      <c r="T60" s="382">
        <f>S60-$T$50</f>
        <v>0.9058275360369723</v>
      </c>
    </row>
    <row r="61" spans="1:21">
      <c r="A61" s="233" t="str">
        <f t="shared" si="39"/>
        <v>Employee&amp;Spouse</v>
      </c>
      <c r="B61" s="233" t="str">
        <f t="shared" si="40"/>
        <v>B2ES</v>
      </c>
      <c r="C61" s="233">
        <f t="shared" ref="C61:C63" si="46">C52</f>
        <v>1782.36</v>
      </c>
      <c r="D61" s="233">
        <f t="shared" ref="D61:D63" si="47">C61-C19</f>
        <v>0</v>
      </c>
      <c r="E61" s="233">
        <f t="shared" ref="E61:E63" si="48">ROUNDUP(C61*12,0)</f>
        <v>21389</v>
      </c>
      <c r="F61" s="415">
        <f t="shared" ref="F61:F63" si="49">E61*H61/12</f>
        <v>1359.9839166666668</v>
      </c>
      <c r="G61" s="233">
        <f t="shared" ref="G61:G63" si="50">ROUNDUP(F61*12,0)</f>
        <v>16320</v>
      </c>
      <c r="H61" s="234">
        <f t="shared" si="41"/>
        <v>0.76300000000000001</v>
      </c>
      <c r="I61" s="233">
        <v>315.86620582961223</v>
      </c>
      <c r="J61" s="233">
        <f t="shared" ref="J61:J63" si="51">ROUNDUP(I61*12,0)</f>
        <v>3791</v>
      </c>
      <c r="K61" s="234">
        <f>I61/C61</f>
        <v>0.17721796148343333</v>
      </c>
      <c r="L61" s="228">
        <f>C61-(F61+I61)</f>
        <v>106.50987750372087</v>
      </c>
      <c r="M61" s="228">
        <f>E61-(G61+J61)</f>
        <v>1278</v>
      </c>
      <c r="N61" s="274">
        <f t="shared" si="42"/>
        <v>5.9782038516566605E-2</v>
      </c>
      <c r="O61">
        <f t="shared" si="43"/>
        <v>106.50987750372087</v>
      </c>
      <c r="P61" s="273">
        <f t="shared" si="44"/>
        <v>-7.2873093459133176E-2</v>
      </c>
      <c r="Q61" s="273">
        <f t="shared" si="45"/>
        <v>1.320655044902308E-3</v>
      </c>
      <c r="S61" s="382">
        <v>0.82275588059491578</v>
      </c>
      <c r="T61" s="382">
        <f t="shared" ref="T61:T63" si="52">S61-$T$50</f>
        <v>0.76275588059491573</v>
      </c>
    </row>
    <row r="62" spans="1:21">
      <c r="A62" s="233" t="str">
        <f t="shared" si="39"/>
        <v>Employee&amp;Children</v>
      </c>
      <c r="B62" s="233" t="str">
        <f t="shared" si="40"/>
        <v>B2EC</v>
      </c>
      <c r="C62" s="233">
        <f t="shared" si="46"/>
        <v>1620.59</v>
      </c>
      <c r="D62" s="233">
        <f t="shared" si="47"/>
        <v>0</v>
      </c>
      <c r="E62" s="233">
        <f t="shared" si="48"/>
        <v>19448</v>
      </c>
      <c r="F62" s="415">
        <f t="shared" si="49"/>
        <v>1296.5333333333335</v>
      </c>
      <c r="G62" s="233">
        <f t="shared" si="50"/>
        <v>15559</v>
      </c>
      <c r="H62" s="234">
        <f t="shared" si="41"/>
        <v>0.8</v>
      </c>
      <c r="I62" s="233">
        <v>227.45110806763796</v>
      </c>
      <c r="J62" s="233">
        <f t="shared" si="51"/>
        <v>2730</v>
      </c>
      <c r="K62" s="234">
        <f>I62/C62</f>
        <v>0.14035080314431039</v>
      </c>
      <c r="L62" s="228">
        <f>C62-(F62+I62)</f>
        <v>96.605558599028427</v>
      </c>
      <c r="M62" s="228">
        <f>E62-(G62+J62)</f>
        <v>1159</v>
      </c>
      <c r="N62" s="274">
        <f t="shared" si="42"/>
        <v>5.964919685568959E-2</v>
      </c>
      <c r="O62">
        <f t="shared" si="43"/>
        <v>96.605558599028427</v>
      </c>
      <c r="P62" s="273">
        <f t="shared" si="44"/>
        <v>-6.9725169989930835E-2</v>
      </c>
      <c r="Q62" s="273">
        <f t="shared" si="45"/>
        <v>2.5706940874035134E-3</v>
      </c>
      <c r="S62" s="382">
        <v>0.85960853060409004</v>
      </c>
      <c r="T62" s="382">
        <f t="shared" si="52"/>
        <v>0.7996085306040901</v>
      </c>
    </row>
    <row r="63" spans="1:21">
      <c r="A63" s="233" t="str">
        <f t="shared" si="39"/>
        <v>Family</v>
      </c>
      <c r="B63" s="233" t="str">
        <f t="shared" si="40"/>
        <v>B2EF</v>
      </c>
      <c r="C63" s="233">
        <f t="shared" si="46"/>
        <v>2131.46</v>
      </c>
      <c r="D63" s="233">
        <f t="shared" si="47"/>
        <v>0</v>
      </c>
      <c r="E63" s="233">
        <f t="shared" si="48"/>
        <v>25578</v>
      </c>
      <c r="F63" s="415">
        <f t="shared" si="49"/>
        <v>1619.9399999999998</v>
      </c>
      <c r="G63" s="233">
        <f t="shared" si="50"/>
        <v>19440</v>
      </c>
      <c r="H63" s="234">
        <f t="shared" si="41"/>
        <v>0.76</v>
      </c>
      <c r="I63" s="233">
        <v>383.01792620179367</v>
      </c>
      <c r="J63" s="233">
        <f t="shared" si="51"/>
        <v>4597</v>
      </c>
      <c r="K63" s="234">
        <f>I63/C63</f>
        <v>0.17969744973013504</v>
      </c>
      <c r="L63" s="228">
        <f>C63-(F63+I63)</f>
        <v>128.50207379820654</v>
      </c>
      <c r="M63" s="228">
        <f>E63-(G63+J63)</f>
        <v>1541</v>
      </c>
      <c r="N63" s="274">
        <f t="shared" si="42"/>
        <v>6.0302550269864974E-2</v>
      </c>
      <c r="O63">
        <f t="shared" si="43"/>
        <v>128.50207379820654</v>
      </c>
      <c r="P63" s="273">
        <f t="shared" si="44"/>
        <v>-7.315482320631661E-2</v>
      </c>
      <c r="Q63" s="273">
        <f t="shared" si="45"/>
        <v>-1.5204170286706731E-3</v>
      </c>
      <c r="S63" s="382">
        <v>0.82028715636791294</v>
      </c>
      <c r="T63" s="382">
        <f t="shared" si="52"/>
        <v>0.760287156367913</v>
      </c>
    </row>
    <row r="64" spans="1:21">
      <c r="F64" s="275"/>
    </row>
    <row r="67" spans="1:20">
      <c r="A67" s="623" t="s">
        <v>400</v>
      </c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  <c r="N67" s="623"/>
    </row>
    <row r="69" spans="1:20">
      <c r="A69" s="233" t="str">
        <f t="shared" ref="A69:A72" si="53">A60</f>
        <v>EmployeeOnly</v>
      </c>
      <c r="B69" s="233" t="str">
        <f t="shared" ref="B69:B72" si="54">B27</f>
        <v>B3EO</v>
      </c>
      <c r="C69" s="233">
        <f>C60</f>
        <v>854.28</v>
      </c>
      <c r="D69" s="233">
        <f>C69-C27</f>
        <v>0</v>
      </c>
      <c r="E69" s="233">
        <f>ROUNDUP(C69*12,0)</f>
        <v>10252</v>
      </c>
      <c r="F69" s="415">
        <f>E69*H69/12</f>
        <v>768.04566666666676</v>
      </c>
      <c r="G69" s="233">
        <f>ROUNDUP(F69*12,0)</f>
        <v>9217</v>
      </c>
      <c r="H69" s="234">
        <f t="shared" ref="H69:H72" si="55">ROUND(T69,3)</f>
        <v>0.89900000000000002</v>
      </c>
      <c r="I69" s="233">
        <v>35.001167365602441</v>
      </c>
      <c r="J69" s="233">
        <f>ROUNDUP(I69*12,0)</f>
        <v>421</v>
      </c>
      <c r="K69" s="234">
        <f>I69/C69</f>
        <v>4.0971540204151384E-2</v>
      </c>
      <c r="L69" s="228">
        <f>C69-(F69+I69)</f>
        <v>51.23316596773077</v>
      </c>
      <c r="M69" s="228">
        <f>E69-(G69+J69)</f>
        <v>614</v>
      </c>
      <c r="N69" s="274">
        <f t="shared" ref="N69:N72" si="56">1-(H69+K69)</f>
        <v>6.0028459795848588E-2</v>
      </c>
      <c r="O69">
        <f t="shared" ref="O69:O72" si="57">D69-((F69-F27)+I69-I27)</f>
        <v>51.23316596773077</v>
      </c>
      <c r="P69" s="273">
        <f t="shared" ref="P69:Q72" si="58">F69/F27-1</f>
        <v>-6.2501474926253575E-2</v>
      </c>
      <c r="Q69" s="273">
        <f t="shared" si="58"/>
        <v>-6.2455497914759461E-2</v>
      </c>
      <c r="S69" s="382">
        <v>0.95896859067623585</v>
      </c>
      <c r="T69" s="382">
        <f>S69-$T$50</f>
        <v>0.89896859067623591</v>
      </c>
    </row>
    <row r="70" spans="1:20">
      <c r="A70" s="233" t="str">
        <f t="shared" si="53"/>
        <v>Employee&amp;Spouse</v>
      </c>
      <c r="B70" s="233" t="str">
        <f t="shared" si="54"/>
        <v>B3ES</v>
      </c>
      <c r="C70" s="233">
        <f t="shared" ref="C70:C72" si="59">C61</f>
        <v>1782.36</v>
      </c>
      <c r="D70" s="233">
        <f t="shared" ref="D70:D72" si="60">C70-C28</f>
        <v>0</v>
      </c>
      <c r="E70" s="233">
        <f t="shared" ref="E70:E72" si="61">ROUNDUP(C70*12,0)</f>
        <v>21389</v>
      </c>
      <c r="F70" s="415">
        <f t="shared" ref="F70:F72" si="62">E70*H70/12</f>
        <v>1276.2103333333332</v>
      </c>
      <c r="G70" s="233">
        <f t="shared" ref="G70:G72" si="63">ROUNDUP(F70*12,0)</f>
        <v>15315</v>
      </c>
      <c r="H70" s="234">
        <f t="shared" si="55"/>
        <v>0.71599999999999997</v>
      </c>
      <c r="I70" s="233">
        <v>399.09286218252987</v>
      </c>
      <c r="J70" s="233">
        <f t="shared" ref="J70:J72" si="64">ROUNDUP(I70*12,0)</f>
        <v>4790</v>
      </c>
      <c r="K70" s="234">
        <f>I70/C70</f>
        <v>0.22391260025052734</v>
      </c>
      <c r="L70" s="228">
        <f>C70-(F70+I70)</f>
        <v>107.05680448413682</v>
      </c>
      <c r="M70" s="228">
        <f>E70-(G70+J70)</f>
        <v>1284</v>
      </c>
      <c r="N70" s="274">
        <f t="shared" si="56"/>
        <v>6.0087399749472636E-2</v>
      </c>
      <c r="O70">
        <f t="shared" si="57"/>
        <v>107.05680448413682</v>
      </c>
      <c r="P70" s="273">
        <f t="shared" si="58"/>
        <v>-7.7289345508792962E-2</v>
      </c>
      <c r="Q70" s="273">
        <f t="shared" si="58"/>
        <v>-7.7298469695143979E-2</v>
      </c>
      <c r="S70" s="382">
        <v>0.77606272634576834</v>
      </c>
      <c r="T70" s="382">
        <f t="shared" ref="T70:T72" si="65">S70-$T$50</f>
        <v>0.7160627263457684</v>
      </c>
    </row>
    <row r="71" spans="1:20">
      <c r="A71" s="233" t="str">
        <f t="shared" si="53"/>
        <v>Employee&amp;Children</v>
      </c>
      <c r="B71" s="233" t="str">
        <f t="shared" si="54"/>
        <v>B3EC</v>
      </c>
      <c r="C71" s="233">
        <f t="shared" si="59"/>
        <v>1620.59</v>
      </c>
      <c r="D71" s="233">
        <f t="shared" si="60"/>
        <v>0</v>
      </c>
      <c r="E71" s="233">
        <f t="shared" si="61"/>
        <v>19448</v>
      </c>
      <c r="F71" s="415">
        <f t="shared" si="62"/>
        <v>1223.6033333333332</v>
      </c>
      <c r="G71" s="233">
        <f t="shared" si="63"/>
        <v>14684</v>
      </c>
      <c r="H71" s="234">
        <f t="shared" si="55"/>
        <v>0.755</v>
      </c>
      <c r="I71" s="233">
        <v>300.17058507724323</v>
      </c>
      <c r="J71" s="233">
        <f t="shared" si="64"/>
        <v>3603</v>
      </c>
      <c r="K71" s="234">
        <f>I71/C71</f>
        <v>0.18522302684654554</v>
      </c>
      <c r="L71" s="228">
        <f>C71-(F71+I71)</f>
        <v>96.816081589423447</v>
      </c>
      <c r="M71" s="228">
        <f>E71-(G71+J71)</f>
        <v>1161</v>
      </c>
      <c r="N71" s="274">
        <f t="shared" si="56"/>
        <v>5.9776973153454427E-2</v>
      </c>
      <c r="O71">
        <f t="shared" si="57"/>
        <v>96.816081589423447</v>
      </c>
      <c r="P71" s="273">
        <f t="shared" si="58"/>
        <v>-7.3575210607873198E-2</v>
      </c>
      <c r="Q71" s="273">
        <f t="shared" si="58"/>
        <v>-7.3564668769716124E-2</v>
      </c>
      <c r="S71" s="382">
        <v>0.81473842961091536</v>
      </c>
      <c r="T71" s="382">
        <f t="shared" si="65"/>
        <v>0.75473842961091542</v>
      </c>
    </row>
    <row r="72" spans="1:20">
      <c r="A72" s="233" t="str">
        <f t="shared" si="53"/>
        <v>Family</v>
      </c>
      <c r="B72" s="233" t="str">
        <f t="shared" si="54"/>
        <v>B3EF</v>
      </c>
      <c r="C72" s="233">
        <f t="shared" si="59"/>
        <v>2131.46</v>
      </c>
      <c r="D72" s="233">
        <f t="shared" si="60"/>
        <v>0</v>
      </c>
      <c r="E72" s="233">
        <f t="shared" si="61"/>
        <v>25578</v>
      </c>
      <c r="F72" s="415">
        <f t="shared" si="62"/>
        <v>1528.2855</v>
      </c>
      <c r="G72" s="233">
        <f t="shared" si="63"/>
        <v>18340</v>
      </c>
      <c r="H72" s="234">
        <f t="shared" si="55"/>
        <v>0.71699999999999997</v>
      </c>
      <c r="I72" s="233">
        <v>474.22318910177887</v>
      </c>
      <c r="J72" s="233">
        <f t="shared" si="64"/>
        <v>5691</v>
      </c>
      <c r="K72" s="234">
        <f>I72/C72</f>
        <v>0.22248749172012558</v>
      </c>
      <c r="L72" s="228">
        <f>C72-(F72+I72)</f>
        <v>128.95131089822121</v>
      </c>
      <c r="M72" s="228">
        <f>E72-(G72+J72)</f>
        <v>1547</v>
      </c>
      <c r="N72" s="274">
        <f t="shared" si="56"/>
        <v>6.0512508279874422E-2</v>
      </c>
      <c r="O72">
        <f t="shared" si="57"/>
        <v>128.95131089822121</v>
      </c>
      <c r="P72" s="273">
        <f t="shared" si="58"/>
        <v>-7.7200297076334246E-2</v>
      </c>
      <c r="Q72" s="273">
        <f t="shared" si="58"/>
        <v>-7.7186273523196181E-2</v>
      </c>
      <c r="S72" s="382">
        <v>0.77749791738129082</v>
      </c>
      <c r="T72" s="382">
        <f t="shared" si="65"/>
        <v>0.71749791738129076</v>
      </c>
    </row>
    <row r="74" spans="1:20">
      <c r="I74" s="233">
        <f>139.91+670.39</f>
        <v>810.3</v>
      </c>
      <c r="J74" s="383">
        <f>I74*2</f>
        <v>1620.6</v>
      </c>
    </row>
    <row r="76" spans="1:20">
      <c r="A76" s="623" t="s">
        <v>401</v>
      </c>
      <c r="B76" s="623"/>
      <c r="C76" s="623"/>
      <c r="D76" s="623"/>
      <c r="E76" s="623"/>
      <c r="F76" s="623"/>
      <c r="G76" s="623"/>
      <c r="H76" s="623"/>
      <c r="I76" s="623"/>
      <c r="J76" s="623"/>
      <c r="K76" s="623"/>
      <c r="L76" s="623"/>
      <c r="M76" s="623"/>
      <c r="N76" s="623"/>
    </row>
    <row r="78" spans="1:20">
      <c r="A78" s="233" t="str">
        <f t="shared" ref="A78:A81" si="66">A69</f>
        <v>EmployeeOnly</v>
      </c>
      <c r="B78" s="233" t="str">
        <f t="shared" ref="B78:B81" si="67">B36</f>
        <v>B4EO</v>
      </c>
      <c r="C78" s="233">
        <f>C69</f>
        <v>854.28</v>
      </c>
      <c r="D78" s="233">
        <f>C78-C36</f>
        <v>0</v>
      </c>
      <c r="E78" s="233">
        <f>ROUNDUP(C78*12,0)</f>
        <v>10252</v>
      </c>
      <c r="F78" s="415">
        <f>E78*H78/12</f>
        <v>757.79366666666658</v>
      </c>
      <c r="G78" s="233">
        <f>ROUNDUP(F78*12,0)</f>
        <v>9094</v>
      </c>
      <c r="H78" s="234">
        <f t="shared" ref="H78:H81" si="68">ROUND(T78,3)</f>
        <v>0.88700000000000001</v>
      </c>
      <c r="I78" s="233">
        <v>45.540497283727063</v>
      </c>
      <c r="J78" s="233">
        <f>ROUNDUP(I78*12,0)</f>
        <v>547</v>
      </c>
      <c r="K78" s="234">
        <f>I78/C78</f>
        <v>5.3308630991861061E-2</v>
      </c>
      <c r="L78" s="228">
        <f>C78-(F78+I78)</f>
        <v>50.945836049606328</v>
      </c>
      <c r="M78" s="228">
        <f>E78-(G78+J78)</f>
        <v>611</v>
      </c>
      <c r="N78" s="274">
        <f t="shared" ref="N78:N81" si="69">1-(H78+K78)</f>
        <v>5.9691369008138873E-2</v>
      </c>
      <c r="O78">
        <f t="shared" ref="O78:O81" si="70">D78-((F78-F36)+I78-I36)</f>
        <v>50.945836049606328</v>
      </c>
      <c r="P78" s="273">
        <f t="shared" ref="P78:Q81" si="71">F78/F36-1</f>
        <v>-6.3295838483724887E-2</v>
      </c>
      <c r="Q78" s="273">
        <f t="shared" si="71"/>
        <v>-6.3246806757313534E-2</v>
      </c>
      <c r="S78" s="382">
        <v>0.94663227005416251</v>
      </c>
      <c r="T78" s="382">
        <f>S78-$T$50</f>
        <v>0.88663227005416245</v>
      </c>
    </row>
    <row r="79" spans="1:20">
      <c r="A79" s="233" t="str">
        <f t="shared" si="66"/>
        <v>Employee&amp;Spouse</v>
      </c>
      <c r="B79" s="233" t="s">
        <v>424</v>
      </c>
      <c r="C79" s="233">
        <f t="shared" ref="C79:C81" si="72">C70</f>
        <v>1782.36</v>
      </c>
      <c r="D79" s="233">
        <f t="shared" ref="D79:D81" si="73">C79-C37</f>
        <v>0</v>
      </c>
      <c r="E79" s="233">
        <f t="shared" ref="E79:E81" si="74">ROUNDUP(C79*12,0)</f>
        <v>21389</v>
      </c>
      <c r="F79" s="415">
        <f t="shared" ref="F79:F81" si="75">E79*H79/12</f>
        <v>1165.7005000000001</v>
      </c>
      <c r="G79" s="233">
        <f t="shared" ref="G79:G81" si="76">ROUNDUP(F79*12,0)</f>
        <v>13989</v>
      </c>
      <c r="H79" s="234">
        <f t="shared" si="68"/>
        <v>0.65400000000000003</v>
      </c>
      <c r="I79" s="233">
        <v>508.82921404545095</v>
      </c>
      <c r="J79" s="233">
        <f t="shared" ref="J79:J81" si="77">ROUNDUP(I79*12,0)</f>
        <v>6106</v>
      </c>
      <c r="K79" s="234">
        <f>I79/C79</f>
        <v>0.2854806066369594</v>
      </c>
      <c r="L79" s="228">
        <f>C79-(F79+I79)</f>
        <v>107.8302859545488</v>
      </c>
      <c r="M79" s="228">
        <f>E79-(G79+J79)</f>
        <v>1294</v>
      </c>
      <c r="N79" s="274">
        <f t="shared" si="69"/>
        <v>6.0519393363040574E-2</v>
      </c>
      <c r="O79">
        <f t="shared" si="70"/>
        <v>107.8302859545488</v>
      </c>
      <c r="P79" s="273">
        <f t="shared" si="71"/>
        <v>-8.4008062171442743E-2</v>
      </c>
      <c r="Q79" s="273">
        <f t="shared" si="71"/>
        <v>-8.4009952854897874E-2</v>
      </c>
      <c r="S79" s="382">
        <v>0.7144966773320206</v>
      </c>
      <c r="T79" s="382">
        <f t="shared" ref="T79:T81" si="78">S79-$T$50</f>
        <v>0.65449667733202066</v>
      </c>
    </row>
    <row r="80" spans="1:20">
      <c r="A80" s="233" t="str">
        <f t="shared" si="66"/>
        <v>Employee&amp;Children</v>
      </c>
      <c r="B80" s="233" t="str">
        <f t="shared" si="67"/>
        <v>B4EC</v>
      </c>
      <c r="C80" s="233">
        <f t="shared" si="72"/>
        <v>1620.59</v>
      </c>
      <c r="D80" s="233">
        <f t="shared" si="73"/>
        <v>0</v>
      </c>
      <c r="E80" s="233">
        <f t="shared" si="74"/>
        <v>19448</v>
      </c>
      <c r="F80" s="415">
        <f t="shared" si="75"/>
        <v>1119.8806666666667</v>
      </c>
      <c r="G80" s="233">
        <f t="shared" si="76"/>
        <v>13439</v>
      </c>
      <c r="H80" s="234">
        <f t="shared" si="68"/>
        <v>0.69099999999999995</v>
      </c>
      <c r="I80" s="233">
        <v>402.69021547788589</v>
      </c>
      <c r="J80" s="233">
        <f t="shared" si="77"/>
        <v>4833</v>
      </c>
      <c r="K80" s="234">
        <f>I80/C80</f>
        <v>0.24848370993149774</v>
      </c>
      <c r="L80" s="228">
        <f>C80-(F80+I80)</f>
        <v>98.019117855447348</v>
      </c>
      <c r="M80" s="228">
        <f>E80-(G80+J80)</f>
        <v>1176</v>
      </c>
      <c r="N80" s="274">
        <f t="shared" si="69"/>
        <v>6.0516290068502343E-2</v>
      </c>
      <c r="O80">
        <f t="shared" si="70"/>
        <v>98.019117855447348</v>
      </c>
      <c r="P80" s="273">
        <f t="shared" si="71"/>
        <v>-7.9847610909349775E-2</v>
      </c>
      <c r="Q80" s="273">
        <f t="shared" si="71"/>
        <v>-7.9835672714823724E-2</v>
      </c>
      <c r="S80" s="382">
        <v>0.75148073911278113</v>
      </c>
      <c r="T80" s="382">
        <f t="shared" si="78"/>
        <v>0.69148073911278107</v>
      </c>
    </row>
    <row r="81" spans="1:20">
      <c r="A81" s="233" t="str">
        <f t="shared" si="66"/>
        <v>Family</v>
      </c>
      <c r="B81" s="233" t="str">
        <f t="shared" si="67"/>
        <v>B4EF</v>
      </c>
      <c r="C81" s="233">
        <f t="shared" si="72"/>
        <v>2131.46</v>
      </c>
      <c r="D81" s="233">
        <f t="shared" si="73"/>
        <v>0</v>
      </c>
      <c r="E81" s="233">
        <f t="shared" si="74"/>
        <v>25578</v>
      </c>
      <c r="F81" s="415">
        <f t="shared" si="75"/>
        <v>1400.3954999999999</v>
      </c>
      <c r="G81" s="233">
        <f t="shared" si="76"/>
        <v>16805</v>
      </c>
      <c r="H81" s="234">
        <f t="shared" si="68"/>
        <v>0.65700000000000003</v>
      </c>
      <c r="I81" s="233">
        <v>602.69601705297191</v>
      </c>
      <c r="J81" s="233">
        <f t="shared" si="77"/>
        <v>7233</v>
      </c>
      <c r="K81" s="234">
        <f>I81/C81</f>
        <v>0.28276205842613605</v>
      </c>
      <c r="L81" s="228">
        <f>C81-(F81+I81)</f>
        <v>128.36848294702827</v>
      </c>
      <c r="M81" s="228">
        <f>E81-(G81+J81)</f>
        <v>1540</v>
      </c>
      <c r="N81" s="274">
        <f t="shared" si="69"/>
        <v>6.0237941573863862E-2</v>
      </c>
      <c r="O81">
        <f t="shared" si="70"/>
        <v>128.36848294702827</v>
      </c>
      <c r="P81" s="273">
        <f t="shared" si="71"/>
        <v>-8.3666719013780422E-2</v>
      </c>
      <c r="Q81" s="273">
        <f t="shared" si="71"/>
        <v>-8.3696837513631439E-2</v>
      </c>
      <c r="S81" s="382">
        <v>0.71722448179546239</v>
      </c>
      <c r="T81" s="382">
        <f t="shared" si="78"/>
        <v>0.65722448179546245</v>
      </c>
    </row>
    <row r="83" spans="1:20">
      <c r="I83" s="233">
        <f>I78/2</f>
        <v>22.770248641863532</v>
      </c>
    </row>
    <row r="84" spans="1:20">
      <c r="I84" s="233">
        <f>I83-10</f>
        <v>12.770248641863532</v>
      </c>
    </row>
    <row r="86" spans="1:20">
      <c r="J86" s="233">
        <f>181.83*2</f>
        <v>363.66</v>
      </c>
      <c r="K86" s="233">
        <f>883.9*2</f>
        <v>1767.8</v>
      </c>
    </row>
    <row r="87" spans="1:20">
      <c r="C87" s="277"/>
      <c r="D87" s="277"/>
      <c r="E87" s="277"/>
      <c r="F87" s="277"/>
    </row>
    <row r="94" spans="1:20">
      <c r="A94" s="275"/>
      <c r="B94" s="275"/>
    </row>
    <row r="95" spans="1:20">
      <c r="A95" s="275"/>
      <c r="B95" s="275"/>
    </row>
    <row r="96" spans="1:20">
      <c r="A96" s="275"/>
      <c r="B96" s="275"/>
    </row>
    <row r="97" spans="1:4">
      <c r="A97" s="275"/>
      <c r="B97" s="275"/>
    </row>
    <row r="98" spans="1:4">
      <c r="A98" s="275"/>
      <c r="B98" s="275"/>
    </row>
    <row r="102" spans="1:4">
      <c r="A102" s="275"/>
      <c r="B102" s="275"/>
    </row>
    <row r="110" spans="1:4">
      <c r="C110" s="277"/>
      <c r="D110" s="277"/>
    </row>
    <row r="118" spans="3:4">
      <c r="C118" s="277"/>
      <c r="D118" s="277"/>
    </row>
    <row r="122" spans="3:4">
      <c r="C122" s="277"/>
      <c r="D122" s="277"/>
    </row>
    <row r="133" spans="3:6">
      <c r="F133" s="275"/>
    </row>
    <row r="134" spans="3:6">
      <c r="E134" s="276"/>
      <c r="F134" s="275"/>
    </row>
    <row r="135" spans="3:6">
      <c r="C135" s="276"/>
      <c r="D135" s="276"/>
      <c r="E135" s="276"/>
      <c r="F135" s="275"/>
    </row>
    <row r="136" spans="3:6">
      <c r="C136" s="276"/>
      <c r="D136" s="276"/>
      <c r="E136" s="276"/>
      <c r="F136" s="275"/>
    </row>
    <row r="137" spans="3:6">
      <c r="C137" s="276"/>
      <c r="D137" s="276"/>
      <c r="E137" s="277"/>
      <c r="F137" s="275"/>
    </row>
    <row r="138" spans="3:6">
      <c r="C138" s="277"/>
      <c r="D138" s="277"/>
    </row>
    <row r="145" spans="3:8">
      <c r="C145" s="277"/>
      <c r="D145" s="277"/>
    </row>
    <row r="155" spans="3:8">
      <c r="F155" s="275"/>
    </row>
    <row r="156" spans="3:8">
      <c r="E156" s="276"/>
      <c r="F156" s="275"/>
    </row>
    <row r="157" spans="3:8">
      <c r="C157" s="276"/>
      <c r="D157" s="276"/>
      <c r="E157" s="276"/>
      <c r="F157" s="275"/>
    </row>
    <row r="158" spans="3:8">
      <c r="C158" s="276"/>
      <c r="D158" s="276"/>
      <c r="E158" s="276"/>
      <c r="F158" s="275"/>
    </row>
    <row r="159" spans="3:8">
      <c r="C159" s="276"/>
      <c r="D159" s="276"/>
      <c r="E159" s="277"/>
      <c r="F159" s="275"/>
    </row>
    <row r="160" spans="3:8">
      <c r="C160" s="277"/>
      <c r="D160" s="277"/>
      <c r="G160" s="277"/>
      <c r="H160" s="277"/>
    </row>
    <row r="168" spans="3:6">
      <c r="F168" s="275"/>
    </row>
    <row r="169" spans="3:6">
      <c r="E169" s="276"/>
      <c r="F169" s="275"/>
    </row>
    <row r="170" spans="3:6">
      <c r="C170" s="276"/>
      <c r="D170" s="276"/>
      <c r="E170" s="276"/>
      <c r="F170" s="275"/>
    </row>
    <row r="171" spans="3:6">
      <c r="C171" s="276"/>
      <c r="D171" s="276"/>
      <c r="E171" s="276"/>
      <c r="F171" s="275"/>
    </row>
    <row r="172" spans="3:6">
      <c r="C172" s="276"/>
      <c r="D172" s="276"/>
      <c r="E172" s="277"/>
      <c r="F172" s="275"/>
    </row>
    <row r="173" spans="3:6">
      <c r="C173" s="277"/>
      <c r="D173" s="277"/>
    </row>
    <row r="194" spans="3:6">
      <c r="E194" s="277"/>
      <c r="F194" s="277"/>
    </row>
    <row r="198" spans="3:6">
      <c r="C198" s="276"/>
      <c r="D198" s="276"/>
    </row>
    <row r="199" spans="3:6">
      <c r="C199" s="276"/>
      <c r="D199" s="276"/>
    </row>
    <row r="200" spans="3:6">
      <c r="C200" s="276"/>
      <c r="D200" s="276"/>
    </row>
    <row r="201" spans="3:6">
      <c r="C201" s="277"/>
      <c r="D201" s="277"/>
    </row>
    <row r="204" spans="3:6">
      <c r="C204" s="277"/>
      <c r="D204" s="277"/>
    </row>
    <row r="224" spans="3:4">
      <c r="C224" s="277"/>
      <c r="D224" s="277"/>
    </row>
    <row r="231" spans="3:4">
      <c r="C231" s="277"/>
      <c r="D231" s="277"/>
    </row>
    <row r="234" spans="3:4">
      <c r="C234" s="277"/>
      <c r="D234" s="277"/>
    </row>
    <row r="248" spans="3:6">
      <c r="F248" s="275"/>
    </row>
    <row r="249" spans="3:6">
      <c r="E249" s="276"/>
      <c r="F249" s="275"/>
    </row>
    <row r="250" spans="3:6">
      <c r="C250" s="276"/>
      <c r="D250" s="276"/>
      <c r="E250" s="276"/>
      <c r="F250" s="275"/>
    </row>
    <row r="251" spans="3:6">
      <c r="C251" s="276"/>
      <c r="D251" s="276"/>
      <c r="E251" s="276"/>
      <c r="F251" s="275"/>
    </row>
    <row r="252" spans="3:6">
      <c r="C252" s="276"/>
      <c r="D252" s="276"/>
      <c r="E252" s="277"/>
      <c r="F252" s="275"/>
    </row>
    <row r="253" spans="3:6">
      <c r="C253" s="277"/>
      <c r="D253" s="277"/>
    </row>
    <row r="264" spans="3:6">
      <c r="F264" s="275"/>
    </row>
    <row r="265" spans="3:6">
      <c r="E265" s="276"/>
      <c r="F265" s="275"/>
    </row>
    <row r="266" spans="3:6">
      <c r="C266" s="276"/>
      <c r="D266" s="276"/>
      <c r="E266" s="276"/>
      <c r="F266" s="275"/>
    </row>
    <row r="267" spans="3:6">
      <c r="C267" s="276"/>
      <c r="D267" s="276"/>
      <c r="E267" s="276"/>
      <c r="F267" s="275"/>
    </row>
    <row r="268" spans="3:6">
      <c r="C268" s="276"/>
      <c r="D268" s="276"/>
      <c r="E268" s="277"/>
      <c r="F268" s="275"/>
    </row>
    <row r="269" spans="3:6">
      <c r="C269" s="277"/>
      <c r="D269" s="277"/>
    </row>
    <row r="280" spans="3:6">
      <c r="F280" s="275"/>
    </row>
    <row r="281" spans="3:6">
      <c r="E281" s="276"/>
      <c r="F281" s="275"/>
    </row>
    <row r="282" spans="3:6">
      <c r="C282" s="276"/>
      <c r="D282" s="276"/>
      <c r="E282" s="276"/>
      <c r="F282" s="275"/>
    </row>
    <row r="283" spans="3:6">
      <c r="C283" s="276"/>
      <c r="D283" s="276"/>
      <c r="E283" s="276"/>
      <c r="F283" s="275"/>
    </row>
    <row r="284" spans="3:6">
      <c r="C284" s="276"/>
      <c r="D284" s="276"/>
      <c r="E284" s="277"/>
      <c r="F284" s="275"/>
    </row>
    <row r="285" spans="3:6">
      <c r="C285" s="277"/>
      <c r="D285" s="277"/>
    </row>
    <row r="308" spans="1:6">
      <c r="C308" s="277"/>
      <c r="D308" s="277"/>
    </row>
    <row r="309" spans="1:6">
      <c r="A309" s="275"/>
      <c r="B309" s="275"/>
    </row>
    <row r="316" spans="1:6">
      <c r="F316" s="275"/>
    </row>
    <row r="317" spans="1:6">
      <c r="E317" s="276"/>
      <c r="F317" s="275"/>
    </row>
    <row r="318" spans="1:6">
      <c r="C318" s="276"/>
      <c r="D318" s="276"/>
      <c r="E318" s="276"/>
      <c r="F318" s="275"/>
    </row>
    <row r="319" spans="1:6">
      <c r="C319" s="276"/>
      <c r="D319" s="276"/>
      <c r="E319" s="276"/>
      <c r="F319" s="275"/>
    </row>
    <row r="320" spans="1:6">
      <c r="C320" s="276"/>
      <c r="D320" s="276"/>
      <c r="E320" s="277"/>
      <c r="F320" s="275"/>
    </row>
    <row r="321" spans="3:6">
      <c r="C321" s="277"/>
      <c r="D321" s="277"/>
    </row>
    <row r="326" spans="3:6">
      <c r="E326" s="277"/>
      <c r="F326" s="275"/>
    </row>
    <row r="327" spans="3:6">
      <c r="C327" s="277"/>
      <c r="D327" s="277"/>
    </row>
    <row r="335" spans="3:6">
      <c r="C335" s="277"/>
      <c r="D335" s="277"/>
    </row>
    <row r="343" spans="3:4">
      <c r="C343" s="277"/>
      <c r="D343" s="277"/>
    </row>
    <row r="351" spans="3:4">
      <c r="C351" s="277"/>
      <c r="D351" s="277"/>
    </row>
    <row r="359" spans="3:4">
      <c r="C359" s="277"/>
      <c r="D359" s="277"/>
    </row>
    <row r="363" spans="3:4">
      <c r="C363" s="277"/>
      <c r="D363" s="277"/>
    </row>
  </sheetData>
  <mergeCells count="10">
    <mergeCell ref="A44:N45"/>
    <mergeCell ref="A49:N49"/>
    <mergeCell ref="A58:N58"/>
    <mergeCell ref="A67:N67"/>
    <mergeCell ref="A76:N76"/>
    <mergeCell ref="A2:N3"/>
    <mergeCell ref="A7:N7"/>
    <mergeCell ref="A16:N16"/>
    <mergeCell ref="A25:N25"/>
    <mergeCell ref="A34:N3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rgb="FF66FFFF"/>
  </sheetPr>
  <dimension ref="A1:M1543"/>
  <sheetViews>
    <sheetView view="pageBreakPreview" zoomScale="80" zoomScaleNormal="90" zoomScaleSheetLayoutView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6" sqref="I16"/>
    </sheetView>
  </sheetViews>
  <sheetFormatPr defaultColWidth="8.90625" defaultRowHeight="15.6"/>
  <cols>
    <col min="1" max="1" width="20.1796875" style="104" customWidth="1"/>
    <col min="2" max="2" width="13.81640625" style="105" customWidth="1"/>
    <col min="3" max="3" width="12.54296875" style="105" customWidth="1"/>
    <col min="4" max="4" width="16.1796875" style="105" customWidth="1"/>
    <col min="5" max="5" width="11.54296875" style="105" customWidth="1"/>
    <col min="6" max="6" width="12.08984375" style="105" customWidth="1"/>
    <col min="7" max="7" width="10.81640625" style="105" customWidth="1"/>
    <col min="8" max="8" width="11.08984375" style="105" customWidth="1"/>
    <col min="9" max="9" width="15.90625" style="105" customWidth="1"/>
    <col min="10" max="10" width="16.08984375" style="104" customWidth="1"/>
    <col min="11" max="11" width="23.36328125" style="102" bestFit="1" customWidth="1"/>
    <col min="12" max="12" width="28.6328125" style="57" bestFit="1" customWidth="1"/>
    <col min="13" max="13" width="23.36328125" style="57" bestFit="1" customWidth="1"/>
    <col min="14" max="14" width="28.6328125" style="57" bestFit="1" customWidth="1"/>
    <col min="15" max="15" width="23.36328125" style="57" bestFit="1" customWidth="1"/>
    <col min="16" max="16" width="28.6328125" style="57" bestFit="1" customWidth="1"/>
    <col min="17" max="17" width="23.36328125" style="57" bestFit="1" customWidth="1"/>
    <col min="18" max="18" width="28.6328125" style="57" bestFit="1" customWidth="1"/>
    <col min="19" max="19" width="23.36328125" style="57" bestFit="1" customWidth="1"/>
    <col min="20" max="20" width="28.6328125" style="57" bestFit="1" customWidth="1"/>
    <col min="21" max="21" width="23.36328125" style="57" bestFit="1" customWidth="1"/>
    <col min="22" max="22" width="28.6328125" style="57" bestFit="1" customWidth="1"/>
    <col min="23" max="23" width="23.36328125" style="57" bestFit="1" customWidth="1"/>
    <col min="24" max="24" width="28.6328125" style="57" bestFit="1" customWidth="1"/>
    <col min="25" max="25" width="23.36328125" style="57" bestFit="1" customWidth="1"/>
    <col min="26" max="26" width="28.6328125" style="57" bestFit="1" customWidth="1"/>
    <col min="27" max="27" width="23.36328125" style="57" bestFit="1" customWidth="1"/>
    <col min="28" max="28" width="28.6328125" style="57" bestFit="1" customWidth="1"/>
    <col min="29" max="29" width="23.36328125" style="57" bestFit="1" customWidth="1"/>
    <col min="30" max="30" width="28.6328125" style="57" bestFit="1" customWidth="1"/>
    <col min="31" max="31" width="23.36328125" style="57" bestFit="1" customWidth="1"/>
    <col min="32" max="32" width="28.6328125" style="57" bestFit="1" customWidth="1"/>
    <col min="33" max="33" width="23.36328125" style="57" bestFit="1" customWidth="1"/>
    <col min="34" max="34" width="28.6328125" style="57" bestFit="1" customWidth="1"/>
    <col min="35" max="35" width="23.36328125" style="57" bestFit="1" customWidth="1"/>
    <col min="36" max="36" width="28.6328125" style="57" bestFit="1" customWidth="1"/>
    <col min="37" max="37" width="23.36328125" style="57" bestFit="1" customWidth="1"/>
    <col min="38" max="38" width="28.6328125" style="57" bestFit="1" customWidth="1"/>
    <col min="39" max="39" width="23.36328125" style="57" bestFit="1" customWidth="1"/>
    <col min="40" max="40" width="28.6328125" style="57" bestFit="1" customWidth="1"/>
    <col min="41" max="41" width="23.36328125" style="57" bestFit="1" customWidth="1"/>
    <col min="42" max="42" width="28.6328125" style="57" bestFit="1" customWidth="1"/>
    <col min="43" max="43" width="23.36328125" style="57" bestFit="1" customWidth="1"/>
    <col min="44" max="44" width="28.6328125" style="57" bestFit="1" customWidth="1"/>
    <col min="45" max="45" width="23.36328125" style="57" bestFit="1" customWidth="1"/>
    <col min="46" max="46" width="28.6328125" style="57" bestFit="1" customWidth="1"/>
    <col min="47" max="47" width="23.36328125" style="57" bestFit="1" customWidth="1"/>
    <col min="48" max="48" width="28.6328125" style="57" bestFit="1" customWidth="1"/>
    <col min="49" max="49" width="23.36328125" style="57" bestFit="1" customWidth="1"/>
    <col min="50" max="50" width="28.6328125" style="57" bestFit="1" customWidth="1"/>
    <col min="51" max="51" width="23.36328125" style="57" bestFit="1" customWidth="1"/>
    <col min="52" max="52" width="28.6328125" style="57" bestFit="1" customWidth="1"/>
    <col min="53" max="53" width="23.36328125" style="57" bestFit="1" customWidth="1"/>
    <col min="54" max="54" width="28.6328125" style="57" bestFit="1" customWidth="1"/>
    <col min="55" max="55" width="23.36328125" style="57" bestFit="1" customWidth="1"/>
    <col min="56" max="56" width="28.6328125" style="57" bestFit="1" customWidth="1"/>
    <col min="57" max="57" width="23.36328125" style="57" bestFit="1" customWidth="1"/>
    <col min="58" max="58" width="28.6328125" style="57" bestFit="1" customWidth="1"/>
    <col min="59" max="59" width="23.36328125" style="57" bestFit="1" customWidth="1"/>
    <col min="60" max="60" width="28.6328125" style="57" bestFit="1" customWidth="1"/>
    <col min="61" max="61" width="23.36328125" style="57" bestFit="1" customWidth="1"/>
    <col min="62" max="62" width="28.6328125" style="57" bestFit="1" customWidth="1"/>
    <col min="63" max="63" width="23.36328125" style="57" bestFit="1" customWidth="1"/>
    <col min="64" max="64" width="28.6328125" style="57" bestFit="1" customWidth="1"/>
    <col min="65" max="65" width="23.36328125" style="57" bestFit="1" customWidth="1"/>
    <col min="66" max="66" width="28.6328125" style="57" bestFit="1" customWidth="1"/>
    <col min="67" max="67" width="23.36328125" style="57" bestFit="1" customWidth="1"/>
    <col min="68" max="68" width="28.6328125" style="57" bestFit="1" customWidth="1"/>
    <col min="69" max="69" width="23.36328125" style="57" bestFit="1" customWidth="1"/>
    <col min="70" max="70" width="28.6328125" style="57" bestFit="1" customWidth="1"/>
    <col min="71" max="71" width="23.36328125" style="57" bestFit="1" customWidth="1"/>
    <col min="72" max="72" width="28.6328125" style="57" bestFit="1" customWidth="1"/>
    <col min="73" max="73" width="23.36328125" style="57" bestFit="1" customWidth="1"/>
    <col min="74" max="74" width="28.6328125" style="57" bestFit="1" customWidth="1"/>
    <col min="75" max="75" width="23.36328125" style="57" bestFit="1" customWidth="1"/>
    <col min="76" max="76" width="28.6328125" style="57" bestFit="1" customWidth="1"/>
    <col min="77" max="77" width="23.36328125" style="57" bestFit="1" customWidth="1"/>
    <col min="78" max="78" width="28.6328125" style="57" bestFit="1" customWidth="1"/>
    <col min="79" max="79" width="23.36328125" style="57" bestFit="1" customWidth="1"/>
    <col min="80" max="80" width="33.90625" style="57" bestFit="1" customWidth="1"/>
    <col min="81" max="81" width="28.453125" style="57" bestFit="1" customWidth="1"/>
    <col min="82" max="16384" width="8.90625" style="57"/>
  </cols>
  <sheetData>
    <row r="1" spans="1:12" ht="15.75" customHeight="1">
      <c r="A1" s="628" t="s">
        <v>442</v>
      </c>
      <c r="B1" s="629"/>
      <c r="C1" s="629"/>
      <c r="D1" s="629"/>
      <c r="E1" s="629"/>
      <c r="F1" s="629"/>
      <c r="G1" s="629"/>
      <c r="H1" s="630"/>
    </row>
    <row r="2" spans="1:12" ht="15.75" customHeight="1" thickBot="1">
      <c r="A2" s="631"/>
      <c r="B2" s="632"/>
      <c r="C2" s="632"/>
      <c r="D2" s="632"/>
      <c r="E2" s="632"/>
      <c r="F2" s="632"/>
      <c r="G2" s="632"/>
      <c r="H2" s="633"/>
    </row>
    <row r="3" spans="1:12" ht="15.75" customHeight="1">
      <c r="B3" s="106"/>
      <c r="C3" s="106"/>
      <c r="D3" s="106"/>
      <c r="E3" s="106"/>
      <c r="F3" s="106"/>
      <c r="G3" s="106"/>
      <c r="H3" s="106"/>
      <c r="I3" s="106"/>
      <c r="J3" s="106"/>
    </row>
    <row r="4" spans="1:12" ht="15.75" customHeight="1">
      <c r="B4" s="106"/>
      <c r="C4" s="106"/>
      <c r="D4" s="106"/>
      <c r="E4" s="106"/>
      <c r="F4" s="106"/>
      <c r="G4" s="106"/>
      <c r="H4" s="106"/>
      <c r="I4" s="106"/>
      <c r="J4" s="106"/>
    </row>
    <row r="5" spans="1:12" ht="15.75" customHeight="1">
      <c r="A5" s="627" t="s">
        <v>157</v>
      </c>
      <c r="B5" s="627"/>
      <c r="C5" s="627"/>
      <c r="D5" s="627"/>
      <c r="E5" s="627"/>
      <c r="F5" s="627"/>
      <c r="G5" s="627"/>
      <c r="H5" s="627"/>
      <c r="I5" s="106"/>
      <c r="J5" s="106"/>
    </row>
    <row r="6" spans="1:12" ht="15.75" customHeight="1">
      <c r="A6" s="297"/>
      <c r="B6" s="297"/>
      <c r="C6" s="297"/>
      <c r="D6" s="297"/>
      <c r="E6" s="297"/>
      <c r="F6" s="297"/>
      <c r="G6" s="297"/>
      <c r="H6" s="297"/>
      <c r="I6" s="106"/>
      <c r="J6" s="106"/>
    </row>
    <row r="7" spans="1:12" ht="15.75" customHeight="1">
      <c r="A7" s="637" t="s">
        <v>155</v>
      </c>
      <c r="B7" s="638"/>
      <c r="C7" s="639"/>
      <c r="D7" s="637" t="s">
        <v>40</v>
      </c>
      <c r="E7" s="638"/>
      <c r="F7" s="639"/>
      <c r="G7" s="637" t="s">
        <v>444</v>
      </c>
      <c r="H7" s="639"/>
      <c r="I7" s="106"/>
      <c r="J7" s="106">
        <v>0.1615</v>
      </c>
    </row>
    <row r="8" spans="1:12" ht="15.75" customHeight="1">
      <c r="A8" s="298" t="s">
        <v>82</v>
      </c>
      <c r="B8" s="299">
        <v>0.02</v>
      </c>
      <c r="C8" s="300"/>
      <c r="D8" s="298" t="s">
        <v>443</v>
      </c>
      <c r="E8" s="304">
        <v>0</v>
      </c>
      <c r="F8" s="301"/>
      <c r="G8" s="298" t="s">
        <v>14</v>
      </c>
      <c r="H8" s="106">
        <f>(0.1667)/12*3+(0.1703)/12*9</f>
        <v>0.1694</v>
      </c>
      <c r="I8" s="106">
        <f>(0.1615)/12*3+(0.1667)/12*9</f>
        <v>0.16539999999999999</v>
      </c>
      <c r="J8" s="106">
        <v>0.16500000000000001</v>
      </c>
      <c r="K8" s="102">
        <v>15.96</v>
      </c>
      <c r="L8" s="57">
        <f>K8*(1+0.0163)</f>
        <v>16.220148000000002</v>
      </c>
    </row>
    <row r="9" spans="1:12" ht="15.75" customHeight="1">
      <c r="A9" s="298" t="s">
        <v>158</v>
      </c>
      <c r="B9" s="310">
        <v>0</v>
      </c>
      <c r="C9" s="300"/>
      <c r="D9" s="298" t="s">
        <v>409</v>
      </c>
      <c r="E9" s="310">
        <v>0.02</v>
      </c>
      <c r="F9" s="301"/>
      <c r="G9" s="307" t="s">
        <v>477</v>
      </c>
      <c r="H9" s="300" t="s">
        <v>107</v>
      </c>
      <c r="I9" s="106"/>
      <c r="J9" s="517">
        <f>J8/J7</f>
        <v>1.021671826625387</v>
      </c>
      <c r="K9" s="102">
        <v>1.63</v>
      </c>
      <c r="L9" s="57">
        <f>L8-K8</f>
        <v>0.26014800000000093</v>
      </c>
    </row>
    <row r="10" spans="1:12" ht="15.75" customHeight="1">
      <c r="A10" s="298" t="s">
        <v>446</v>
      </c>
      <c r="B10" s="311">
        <v>0</v>
      </c>
      <c r="C10" s="300"/>
      <c r="D10" s="298"/>
      <c r="E10" s="310"/>
      <c r="F10" s="301"/>
      <c r="G10" s="307" t="s">
        <v>478</v>
      </c>
      <c r="H10" s="300">
        <v>1</v>
      </c>
      <c r="I10" s="106"/>
      <c r="J10" s="106"/>
    </row>
    <row r="11" spans="1:12" ht="15.75" customHeight="1">
      <c r="A11" s="298" t="s">
        <v>979</v>
      </c>
      <c r="B11" s="299">
        <v>0.02</v>
      </c>
      <c r="C11" s="300"/>
      <c r="D11" s="298" t="s">
        <v>160</v>
      </c>
      <c r="E11" s="299">
        <v>0.06</v>
      </c>
      <c r="F11" s="301"/>
      <c r="G11" s="307"/>
      <c r="H11" s="300"/>
      <c r="I11" s="106"/>
      <c r="J11" s="106"/>
    </row>
    <row r="12" spans="1:12" s="101" customFormat="1" ht="15.75" customHeight="1">
      <c r="A12" s="298" t="s">
        <v>159</v>
      </c>
      <c r="B12" s="299">
        <v>0.02</v>
      </c>
      <c r="C12" s="302"/>
      <c r="D12" s="298" t="s">
        <v>430</v>
      </c>
      <c r="E12" s="105">
        <f>10*24</f>
        <v>240</v>
      </c>
      <c r="F12" s="302"/>
      <c r="G12" s="298"/>
      <c r="H12" s="308"/>
      <c r="I12" s="104"/>
      <c r="J12" s="104" t="s">
        <v>368</v>
      </c>
      <c r="K12" s="104" t="s">
        <v>367</v>
      </c>
      <c r="L12" s="248" t="s">
        <v>369</v>
      </c>
    </row>
    <row r="13" spans="1:12" s="101" customFormat="1" ht="15.75" customHeight="1">
      <c r="A13" s="298" t="s">
        <v>445</v>
      </c>
      <c r="B13" s="312"/>
      <c r="C13" s="302"/>
      <c r="D13" s="298"/>
      <c r="E13" s="105"/>
      <c r="F13" s="302"/>
      <c r="G13" s="298"/>
      <c r="H13" s="308"/>
      <c r="I13" s="104"/>
      <c r="J13" s="104"/>
      <c r="K13" s="104"/>
      <c r="L13" s="248"/>
    </row>
    <row r="14" spans="1:12" s="101" customFormat="1" ht="15.75" customHeight="1">
      <c r="A14" s="313" t="s">
        <v>24</v>
      </c>
      <c r="B14" s="314">
        <v>5</v>
      </c>
      <c r="C14" s="303"/>
      <c r="D14" s="305" t="s">
        <v>431</v>
      </c>
      <c r="E14" s="306">
        <f>-10*24</f>
        <v>-240</v>
      </c>
      <c r="F14" s="303"/>
      <c r="G14" s="305"/>
      <c r="H14" s="309"/>
      <c r="I14" s="104"/>
      <c r="J14" s="104"/>
      <c r="K14" s="104"/>
    </row>
    <row r="15" spans="1:12" s="101" customFormat="1" ht="15.75" customHeight="1">
      <c r="A15" s="405"/>
      <c r="B15" s="406"/>
      <c r="D15" s="104"/>
      <c r="E15" s="104"/>
      <c r="G15" s="104"/>
      <c r="H15" s="104"/>
      <c r="I15" s="104"/>
      <c r="J15" s="104"/>
      <c r="K15" s="104"/>
    </row>
    <row r="16" spans="1:12" s="101" customFormat="1" ht="15.75" customHeight="1">
      <c r="A16" s="405"/>
      <c r="B16" s="406"/>
      <c r="C16" s="101">
        <v>1175</v>
      </c>
      <c r="D16" s="104"/>
      <c r="E16" s="104"/>
      <c r="G16" s="104"/>
      <c r="H16" s="104"/>
      <c r="I16" s="104">
        <f>C16/0.02</f>
        <v>58750</v>
      </c>
      <c r="J16" s="104"/>
      <c r="K16" s="104"/>
    </row>
    <row r="17" spans="1:12" s="101" customFormat="1" ht="15.75" customHeight="1">
      <c r="A17" s="405"/>
      <c r="B17" s="407" t="s">
        <v>1083</v>
      </c>
      <c r="C17" s="101" t="s">
        <v>1084</v>
      </c>
      <c r="D17" s="408" t="s">
        <v>1085</v>
      </c>
      <c r="E17" s="408" t="s">
        <v>445</v>
      </c>
      <c r="F17" s="101" t="s">
        <v>1086</v>
      </c>
      <c r="G17" s="104"/>
      <c r="H17" s="104"/>
      <c r="I17" s="104"/>
      <c r="J17" s="104"/>
      <c r="K17" s="104"/>
    </row>
    <row r="18" spans="1:12" s="101" customFormat="1" ht="15.75" customHeight="1">
      <c r="A18" s="104" t="s">
        <v>1041</v>
      </c>
      <c r="B18" s="409">
        <f>$B$11</f>
        <v>0.02</v>
      </c>
      <c r="C18" s="101">
        <f>$C$16</f>
        <v>1175</v>
      </c>
      <c r="D18" s="101">
        <f>$D$16</f>
        <v>0</v>
      </c>
      <c r="E18" s="410">
        <f>$B$13</f>
        <v>0</v>
      </c>
      <c r="F18" s="409">
        <f>$B$12</f>
        <v>0.02</v>
      </c>
      <c r="G18" s="104"/>
      <c r="H18" s="104"/>
      <c r="I18" s="104"/>
      <c r="J18" s="104"/>
      <c r="K18" s="104" t="s">
        <v>1041</v>
      </c>
    </row>
    <row r="19" spans="1:12" s="101" customFormat="1" ht="15.75" customHeight="1">
      <c r="A19" s="104" t="s">
        <v>1042</v>
      </c>
      <c r="B19" s="409">
        <f t="shared" ref="B19:B73" si="0">$B$11</f>
        <v>0.02</v>
      </c>
      <c r="C19" s="101">
        <f t="shared" ref="C19:C73" si="1">$C$16</f>
        <v>1175</v>
      </c>
      <c r="D19" s="101">
        <f t="shared" ref="D19:D73" si="2">$D$16</f>
        <v>0</v>
      </c>
      <c r="E19" s="410">
        <f t="shared" ref="E19:E73" si="3">$B$13</f>
        <v>0</v>
      </c>
      <c r="F19" s="409">
        <f t="shared" ref="F19:F73" si="4">$B$12</f>
        <v>0.02</v>
      </c>
      <c r="G19" s="104"/>
      <c r="H19" s="104"/>
      <c r="I19" s="104"/>
      <c r="J19" s="104"/>
      <c r="K19" s="104" t="s">
        <v>1042</v>
      </c>
    </row>
    <row r="20" spans="1:12" s="101" customFormat="1" ht="15.75" customHeight="1">
      <c r="A20" s="104" t="s">
        <v>1043</v>
      </c>
      <c r="B20" s="409">
        <f t="shared" si="0"/>
        <v>0.02</v>
      </c>
      <c r="C20" s="101">
        <f t="shared" si="1"/>
        <v>1175</v>
      </c>
      <c r="D20" s="101">
        <f t="shared" si="2"/>
        <v>0</v>
      </c>
      <c r="E20" s="410">
        <f t="shared" si="3"/>
        <v>0</v>
      </c>
      <c r="F20" s="409">
        <f t="shared" si="4"/>
        <v>0.02</v>
      </c>
      <c r="G20" s="104"/>
      <c r="H20" s="104"/>
      <c r="I20" s="104"/>
      <c r="J20" s="104"/>
      <c r="K20" s="104" t="s">
        <v>1043</v>
      </c>
      <c r="L20" s="101">
        <f>1250/0.02</f>
        <v>62500</v>
      </c>
    </row>
    <row r="21" spans="1:12" s="101" customFormat="1" ht="15.75" customHeight="1">
      <c r="A21" s="104" t="s">
        <v>1044</v>
      </c>
      <c r="B21" s="409">
        <f t="shared" si="0"/>
        <v>0.02</v>
      </c>
      <c r="C21" s="101">
        <f t="shared" si="1"/>
        <v>1175</v>
      </c>
      <c r="D21" s="101">
        <f t="shared" si="2"/>
        <v>0</v>
      </c>
      <c r="E21" s="410">
        <f t="shared" si="3"/>
        <v>0</v>
      </c>
      <c r="F21" s="409">
        <f t="shared" si="4"/>
        <v>0.02</v>
      </c>
      <c r="G21" s="104"/>
      <c r="H21" s="104"/>
      <c r="I21" s="104"/>
      <c r="J21" s="104"/>
      <c r="K21" s="104" t="s">
        <v>1044</v>
      </c>
    </row>
    <row r="22" spans="1:12" s="101" customFormat="1" ht="15.75" customHeight="1">
      <c r="A22" s="104" t="s">
        <v>1045</v>
      </c>
      <c r="B22" s="409">
        <f t="shared" si="0"/>
        <v>0.02</v>
      </c>
      <c r="C22" s="101">
        <f t="shared" si="1"/>
        <v>1175</v>
      </c>
      <c r="D22" s="101">
        <f t="shared" si="2"/>
        <v>0</v>
      </c>
      <c r="E22" s="410">
        <f t="shared" si="3"/>
        <v>0</v>
      </c>
      <c r="F22" s="409">
        <f t="shared" si="4"/>
        <v>0.02</v>
      </c>
      <c r="G22" s="104"/>
      <c r="H22" s="104"/>
      <c r="I22" s="104"/>
      <c r="J22" s="104"/>
      <c r="K22" s="104" t="s">
        <v>1045</v>
      </c>
      <c r="L22" s="101">
        <f>60000*0.02</f>
        <v>1200</v>
      </c>
    </row>
    <row r="23" spans="1:12" s="101" customFormat="1" ht="15.75" customHeight="1">
      <c r="A23" s="104" t="s">
        <v>1045</v>
      </c>
      <c r="B23" s="409">
        <f t="shared" si="0"/>
        <v>0.02</v>
      </c>
      <c r="C23" s="101">
        <f t="shared" si="1"/>
        <v>1175</v>
      </c>
      <c r="D23" s="101">
        <f t="shared" si="2"/>
        <v>0</v>
      </c>
      <c r="E23" s="410">
        <f t="shared" si="3"/>
        <v>0</v>
      </c>
      <c r="F23" s="409">
        <f t="shared" si="4"/>
        <v>0.02</v>
      </c>
      <c r="G23" s="104"/>
      <c r="H23" s="104"/>
      <c r="I23" s="104"/>
      <c r="J23" s="104"/>
      <c r="K23" s="104" t="s">
        <v>1045</v>
      </c>
    </row>
    <row r="24" spans="1:12" s="101" customFormat="1" ht="15.75" customHeight="1">
      <c r="A24" s="104" t="s">
        <v>1046</v>
      </c>
      <c r="B24" s="409">
        <f t="shared" si="0"/>
        <v>0.02</v>
      </c>
      <c r="C24" s="101">
        <f t="shared" si="1"/>
        <v>1175</v>
      </c>
      <c r="D24" s="101">
        <f t="shared" si="2"/>
        <v>0</v>
      </c>
      <c r="E24" s="410">
        <f t="shared" si="3"/>
        <v>0</v>
      </c>
      <c r="F24" s="409">
        <f t="shared" si="4"/>
        <v>0.02</v>
      </c>
      <c r="G24" s="104"/>
      <c r="H24" s="104"/>
      <c r="I24" s="104"/>
      <c r="J24" s="104"/>
      <c r="K24" s="104" t="s">
        <v>1046</v>
      </c>
    </row>
    <row r="25" spans="1:12" s="101" customFormat="1" ht="15.75" customHeight="1">
      <c r="A25" s="104" t="s">
        <v>1046</v>
      </c>
      <c r="B25" s="409">
        <f t="shared" si="0"/>
        <v>0.02</v>
      </c>
      <c r="C25" s="101">
        <f t="shared" si="1"/>
        <v>1175</v>
      </c>
      <c r="D25" s="101">
        <f t="shared" si="2"/>
        <v>0</v>
      </c>
      <c r="E25" s="410">
        <f t="shared" si="3"/>
        <v>0</v>
      </c>
      <c r="F25" s="409">
        <f t="shared" si="4"/>
        <v>0.02</v>
      </c>
      <c r="G25" s="104"/>
      <c r="H25" s="104"/>
      <c r="I25" s="104"/>
      <c r="J25" s="104"/>
      <c r="K25" s="104" t="s">
        <v>1046</v>
      </c>
    </row>
    <row r="26" spans="1:12" s="101" customFormat="1" ht="15.75" customHeight="1">
      <c r="A26" s="104" t="s">
        <v>1047</v>
      </c>
      <c r="B26" s="409">
        <f t="shared" si="0"/>
        <v>0.02</v>
      </c>
      <c r="C26" s="101">
        <f t="shared" si="1"/>
        <v>1175</v>
      </c>
      <c r="D26" s="101">
        <f t="shared" si="2"/>
        <v>0</v>
      </c>
      <c r="E26" s="410">
        <f t="shared" si="3"/>
        <v>0</v>
      </c>
      <c r="F26" s="409">
        <f t="shared" si="4"/>
        <v>0.02</v>
      </c>
      <c r="G26" s="104"/>
      <c r="H26" s="104"/>
      <c r="I26" s="104"/>
      <c r="J26" s="104"/>
      <c r="K26" s="104" t="s">
        <v>1047</v>
      </c>
    </row>
    <row r="27" spans="1:12" s="101" customFormat="1" ht="15.75" customHeight="1">
      <c r="A27" s="250" t="s">
        <v>1048</v>
      </c>
      <c r="B27" s="409">
        <f t="shared" si="0"/>
        <v>0.02</v>
      </c>
      <c r="C27" s="101">
        <f t="shared" si="1"/>
        <v>1175</v>
      </c>
      <c r="D27" s="101">
        <f t="shared" si="2"/>
        <v>0</v>
      </c>
      <c r="E27" s="410">
        <f t="shared" si="3"/>
        <v>0</v>
      </c>
      <c r="F27" s="409">
        <f t="shared" si="4"/>
        <v>0.02</v>
      </c>
      <c r="G27" s="104"/>
      <c r="H27" s="104"/>
      <c r="I27" s="104"/>
      <c r="J27" s="104"/>
      <c r="K27" s="250" t="s">
        <v>1048</v>
      </c>
    </row>
    <row r="28" spans="1:12" s="101" customFormat="1" ht="15.75" customHeight="1">
      <c r="A28" s="250" t="s">
        <v>1049</v>
      </c>
      <c r="B28" s="409">
        <f t="shared" si="0"/>
        <v>0.02</v>
      </c>
      <c r="C28" s="101">
        <f t="shared" si="1"/>
        <v>1175</v>
      </c>
      <c r="D28" s="101">
        <f t="shared" si="2"/>
        <v>0</v>
      </c>
      <c r="E28" s="410">
        <f t="shared" si="3"/>
        <v>0</v>
      </c>
      <c r="F28" s="409">
        <f t="shared" si="4"/>
        <v>0.02</v>
      </c>
      <c r="G28" s="104"/>
      <c r="H28" s="104"/>
      <c r="I28" s="104"/>
      <c r="J28" s="104"/>
      <c r="K28" s="250" t="s">
        <v>1049</v>
      </c>
    </row>
    <row r="29" spans="1:12" s="101" customFormat="1" ht="15.75" customHeight="1">
      <c r="A29" s="315" t="s">
        <v>1050</v>
      </c>
      <c r="B29" s="409">
        <f t="shared" si="0"/>
        <v>0.02</v>
      </c>
      <c r="C29" s="101">
        <f t="shared" si="1"/>
        <v>1175</v>
      </c>
      <c r="D29" s="101">
        <f t="shared" si="2"/>
        <v>0</v>
      </c>
      <c r="E29" s="410">
        <f t="shared" si="3"/>
        <v>0</v>
      </c>
      <c r="F29" s="409">
        <f t="shared" si="4"/>
        <v>0.02</v>
      </c>
      <c r="G29" s="104"/>
      <c r="H29" s="104"/>
      <c r="I29" s="104"/>
      <c r="J29" s="104"/>
      <c r="K29" s="315" t="s">
        <v>1050</v>
      </c>
    </row>
    <row r="30" spans="1:12" s="101" customFormat="1" ht="15.75" customHeight="1">
      <c r="A30" s="103" t="s">
        <v>1051</v>
      </c>
      <c r="B30" s="409">
        <f t="shared" si="0"/>
        <v>0.02</v>
      </c>
      <c r="C30" s="101">
        <f t="shared" si="1"/>
        <v>1175</v>
      </c>
      <c r="D30" s="101">
        <f t="shared" si="2"/>
        <v>0</v>
      </c>
      <c r="E30" s="410">
        <f t="shared" si="3"/>
        <v>0</v>
      </c>
      <c r="F30" s="409">
        <f t="shared" si="4"/>
        <v>0.02</v>
      </c>
      <c r="G30" s="104"/>
      <c r="H30" s="104"/>
      <c r="I30" s="104"/>
      <c r="J30" s="104"/>
      <c r="K30" s="103" t="s">
        <v>1051</v>
      </c>
    </row>
    <row r="31" spans="1:12" s="101" customFormat="1" ht="15.75" customHeight="1">
      <c r="A31" s="421" t="s">
        <v>1114</v>
      </c>
      <c r="B31" s="409">
        <f t="shared" si="0"/>
        <v>0.02</v>
      </c>
      <c r="C31" s="101">
        <f t="shared" si="1"/>
        <v>1175</v>
      </c>
      <c r="D31" s="101">
        <f t="shared" si="2"/>
        <v>0</v>
      </c>
      <c r="E31" s="410">
        <f t="shared" si="3"/>
        <v>0</v>
      </c>
      <c r="F31" s="409">
        <f t="shared" si="4"/>
        <v>0.02</v>
      </c>
      <c r="G31" s="104"/>
      <c r="H31" s="104"/>
      <c r="I31" s="104"/>
      <c r="J31" s="104"/>
      <c r="K31" s="103" t="s">
        <v>1051</v>
      </c>
    </row>
    <row r="32" spans="1:12" s="101" customFormat="1" ht="15.75" customHeight="1">
      <c r="A32" s="102" t="s">
        <v>1053</v>
      </c>
      <c r="B32" s="409">
        <f t="shared" si="0"/>
        <v>0.02</v>
      </c>
      <c r="C32" s="101">
        <f t="shared" si="1"/>
        <v>1175</v>
      </c>
      <c r="D32" s="101">
        <f t="shared" si="2"/>
        <v>0</v>
      </c>
      <c r="E32" s="410">
        <f t="shared" si="3"/>
        <v>0</v>
      </c>
      <c r="F32" s="409">
        <f t="shared" si="4"/>
        <v>0.02</v>
      </c>
      <c r="G32" s="104"/>
      <c r="H32" s="104"/>
      <c r="I32" s="104"/>
      <c r="J32" s="104"/>
      <c r="K32" s="102" t="s">
        <v>1053</v>
      </c>
    </row>
    <row r="33" spans="1:12" s="101" customFormat="1" ht="15.75" customHeight="1">
      <c r="A33" s="102" t="s">
        <v>1054</v>
      </c>
      <c r="B33" s="409">
        <f t="shared" si="0"/>
        <v>0.02</v>
      </c>
      <c r="C33" s="101">
        <f t="shared" si="1"/>
        <v>1175</v>
      </c>
      <c r="D33" s="101">
        <f t="shared" si="2"/>
        <v>0</v>
      </c>
      <c r="E33" s="410">
        <f t="shared" si="3"/>
        <v>0</v>
      </c>
      <c r="F33" s="409">
        <f t="shared" si="4"/>
        <v>0.02</v>
      </c>
      <c r="G33" s="104"/>
      <c r="H33" s="104"/>
      <c r="I33" s="104"/>
      <c r="J33" s="104"/>
      <c r="K33" s="102" t="s">
        <v>1054</v>
      </c>
    </row>
    <row r="34" spans="1:12" s="101" customFormat="1" ht="15.75" customHeight="1">
      <c r="A34" s="102" t="s">
        <v>1052</v>
      </c>
      <c r="B34" s="409">
        <f t="shared" si="0"/>
        <v>0.02</v>
      </c>
      <c r="C34" s="101">
        <v>1000</v>
      </c>
      <c r="D34" s="101">
        <f t="shared" si="2"/>
        <v>0</v>
      </c>
      <c r="E34" s="410">
        <f t="shared" si="3"/>
        <v>0</v>
      </c>
      <c r="F34" s="409">
        <f t="shared" si="4"/>
        <v>0.02</v>
      </c>
      <c r="G34" s="104"/>
      <c r="H34" s="104"/>
      <c r="I34" s="104"/>
      <c r="J34" s="104"/>
      <c r="K34" s="102" t="s">
        <v>1052</v>
      </c>
    </row>
    <row r="35" spans="1:12" s="101" customFormat="1" ht="15.75" customHeight="1">
      <c r="A35" s="102" t="s">
        <v>1055</v>
      </c>
      <c r="B35" s="409">
        <f t="shared" si="0"/>
        <v>0.02</v>
      </c>
      <c r="C35" s="101">
        <f t="shared" si="1"/>
        <v>1175</v>
      </c>
      <c r="D35" s="101">
        <f t="shared" si="2"/>
        <v>0</v>
      </c>
      <c r="E35" s="410">
        <f t="shared" si="3"/>
        <v>0</v>
      </c>
      <c r="F35" s="409">
        <f t="shared" si="4"/>
        <v>0.02</v>
      </c>
      <c r="G35" s="104"/>
      <c r="H35" s="104"/>
      <c r="I35" s="104"/>
      <c r="J35" s="104"/>
      <c r="K35" s="102" t="s">
        <v>1055</v>
      </c>
    </row>
    <row r="36" spans="1:12" s="101" customFormat="1" ht="15.75" customHeight="1">
      <c r="A36" s="102" t="s">
        <v>1056</v>
      </c>
      <c r="B36" s="409">
        <f t="shared" si="0"/>
        <v>0.02</v>
      </c>
      <c r="C36" s="101">
        <f t="shared" si="1"/>
        <v>1175</v>
      </c>
      <c r="D36" s="101">
        <f t="shared" si="2"/>
        <v>0</v>
      </c>
      <c r="E36" s="410">
        <f t="shared" si="3"/>
        <v>0</v>
      </c>
      <c r="F36" s="409">
        <f t="shared" si="4"/>
        <v>0.02</v>
      </c>
      <c r="G36" s="104"/>
      <c r="H36" s="104"/>
      <c r="I36" s="104"/>
      <c r="J36" s="104"/>
      <c r="K36" s="102" t="s">
        <v>1056</v>
      </c>
    </row>
    <row r="37" spans="1:12" s="101" customFormat="1" ht="15.75" customHeight="1">
      <c r="A37" s="102" t="s">
        <v>1056</v>
      </c>
      <c r="B37" s="409">
        <f t="shared" si="0"/>
        <v>0.02</v>
      </c>
      <c r="C37" s="101">
        <f t="shared" si="1"/>
        <v>1175</v>
      </c>
      <c r="D37" s="101">
        <f t="shared" si="2"/>
        <v>0</v>
      </c>
      <c r="E37" s="410">
        <f t="shared" si="3"/>
        <v>0</v>
      </c>
      <c r="F37" s="409">
        <f t="shared" si="4"/>
        <v>0.02</v>
      </c>
      <c r="G37" s="104"/>
      <c r="H37" s="104"/>
      <c r="I37" s="104"/>
      <c r="J37" s="104"/>
      <c r="K37" s="102" t="s">
        <v>1056</v>
      </c>
    </row>
    <row r="38" spans="1:12" s="101" customFormat="1" ht="15.75" customHeight="1">
      <c r="A38" s="102" t="s">
        <v>1057</v>
      </c>
      <c r="B38" s="409">
        <f t="shared" si="0"/>
        <v>0.02</v>
      </c>
      <c r="C38" s="101">
        <f t="shared" si="1"/>
        <v>1175</v>
      </c>
      <c r="D38" s="101">
        <f t="shared" si="2"/>
        <v>0</v>
      </c>
      <c r="E38" s="410">
        <f t="shared" si="3"/>
        <v>0</v>
      </c>
      <c r="F38" s="409">
        <f t="shared" si="4"/>
        <v>0.02</v>
      </c>
      <c r="G38" s="104"/>
      <c r="H38" s="104"/>
      <c r="I38" s="104"/>
      <c r="J38" s="104"/>
      <c r="K38" s="102" t="s">
        <v>1057</v>
      </c>
    </row>
    <row r="39" spans="1:12" s="101" customFormat="1" ht="15.75" customHeight="1">
      <c r="A39" s="102" t="s">
        <v>1058</v>
      </c>
      <c r="B39" s="409">
        <f t="shared" si="0"/>
        <v>0.02</v>
      </c>
      <c r="C39" s="101">
        <f t="shared" si="1"/>
        <v>1175</v>
      </c>
      <c r="D39" s="101">
        <f t="shared" si="2"/>
        <v>0</v>
      </c>
      <c r="E39" s="410">
        <f t="shared" si="3"/>
        <v>0</v>
      </c>
      <c r="F39" s="409">
        <f t="shared" si="4"/>
        <v>0.02</v>
      </c>
      <c r="G39" s="104"/>
      <c r="H39" s="104"/>
      <c r="I39" s="104"/>
      <c r="J39" s="104"/>
      <c r="K39" s="102" t="s">
        <v>1058</v>
      </c>
    </row>
    <row r="40" spans="1:12" s="101" customFormat="1" ht="15.75" customHeight="1">
      <c r="A40" s="102" t="s">
        <v>1059</v>
      </c>
      <c r="B40" s="409">
        <f t="shared" si="0"/>
        <v>0.02</v>
      </c>
      <c r="C40" s="101">
        <f t="shared" si="1"/>
        <v>1175</v>
      </c>
      <c r="D40" s="101">
        <f t="shared" si="2"/>
        <v>0</v>
      </c>
      <c r="E40" s="410">
        <f t="shared" si="3"/>
        <v>0</v>
      </c>
      <c r="F40" s="409">
        <f t="shared" si="4"/>
        <v>0.02</v>
      </c>
      <c r="G40" s="104"/>
      <c r="H40" s="104"/>
      <c r="I40" s="104"/>
      <c r="J40" s="104"/>
      <c r="K40" s="102" t="s">
        <v>1059</v>
      </c>
    </row>
    <row r="41" spans="1:12" s="101" customFormat="1" ht="15.75" customHeight="1">
      <c r="A41" s="102" t="s">
        <v>1059</v>
      </c>
      <c r="B41" s="409">
        <f t="shared" si="0"/>
        <v>0.02</v>
      </c>
      <c r="C41" s="101">
        <f t="shared" si="1"/>
        <v>1175</v>
      </c>
      <c r="D41" s="101">
        <f t="shared" si="2"/>
        <v>0</v>
      </c>
      <c r="E41" s="410">
        <f t="shared" si="3"/>
        <v>0</v>
      </c>
      <c r="F41" s="409">
        <f t="shared" si="4"/>
        <v>0.02</v>
      </c>
      <c r="G41" s="104"/>
      <c r="H41" s="104"/>
      <c r="I41" s="104"/>
      <c r="J41" s="104"/>
      <c r="K41" s="102" t="s">
        <v>1059</v>
      </c>
    </row>
    <row r="42" spans="1:12" s="101" customFormat="1" ht="15.75" customHeight="1">
      <c r="A42" s="102" t="s">
        <v>1060</v>
      </c>
      <c r="B42" s="409">
        <f t="shared" si="0"/>
        <v>0.02</v>
      </c>
      <c r="C42" s="101">
        <f t="shared" si="1"/>
        <v>1175</v>
      </c>
      <c r="D42" s="101">
        <f t="shared" si="2"/>
        <v>0</v>
      </c>
      <c r="E42" s="410">
        <f t="shared" si="3"/>
        <v>0</v>
      </c>
      <c r="F42" s="409">
        <f t="shared" si="4"/>
        <v>0.02</v>
      </c>
      <c r="G42" s="104"/>
      <c r="H42" s="104"/>
      <c r="I42" s="104"/>
      <c r="J42" s="104"/>
      <c r="K42" s="102" t="s">
        <v>1060</v>
      </c>
    </row>
    <row r="43" spans="1:12" s="101" customFormat="1" ht="15.75" customHeight="1">
      <c r="A43" s="102" t="s">
        <v>1061</v>
      </c>
      <c r="B43" s="409">
        <f t="shared" si="0"/>
        <v>0.02</v>
      </c>
      <c r="C43" s="101">
        <f t="shared" si="1"/>
        <v>1175</v>
      </c>
      <c r="D43" s="101">
        <f t="shared" si="2"/>
        <v>0</v>
      </c>
      <c r="E43" s="410">
        <f t="shared" si="3"/>
        <v>0</v>
      </c>
      <c r="F43" s="409">
        <f t="shared" si="4"/>
        <v>0.02</v>
      </c>
      <c r="G43" s="104"/>
      <c r="H43" s="104"/>
      <c r="I43" s="104"/>
      <c r="J43" s="104"/>
      <c r="K43" s="102" t="s">
        <v>1061</v>
      </c>
    </row>
    <row r="44" spans="1:12" s="101" customFormat="1" ht="15.75" customHeight="1">
      <c r="A44" s="102" t="s">
        <v>1062</v>
      </c>
      <c r="B44" s="409">
        <f t="shared" si="0"/>
        <v>0.02</v>
      </c>
      <c r="C44" s="101">
        <f t="shared" si="1"/>
        <v>1175</v>
      </c>
      <c r="D44" s="101">
        <f t="shared" si="2"/>
        <v>0</v>
      </c>
      <c r="E44" s="410">
        <f t="shared" si="3"/>
        <v>0</v>
      </c>
      <c r="F44" s="409">
        <f t="shared" si="4"/>
        <v>0.02</v>
      </c>
      <c r="G44" s="104"/>
      <c r="H44" s="104"/>
      <c r="I44" s="104"/>
      <c r="J44" s="104"/>
      <c r="K44" s="102" t="s">
        <v>1062</v>
      </c>
    </row>
    <row r="45" spans="1:12" s="101" customFormat="1" ht="15.75" customHeight="1">
      <c r="A45" s="102" t="s">
        <v>1063</v>
      </c>
      <c r="B45" s="409">
        <f t="shared" si="0"/>
        <v>0.02</v>
      </c>
      <c r="C45" s="101">
        <f t="shared" si="1"/>
        <v>1175</v>
      </c>
      <c r="D45" s="101">
        <f t="shared" si="2"/>
        <v>0</v>
      </c>
      <c r="E45" s="410">
        <f t="shared" si="3"/>
        <v>0</v>
      </c>
      <c r="F45" s="409">
        <f t="shared" si="4"/>
        <v>0.02</v>
      </c>
      <c r="G45" s="104"/>
      <c r="H45" s="104"/>
      <c r="I45" s="104"/>
      <c r="J45" s="104"/>
      <c r="K45" s="102" t="s">
        <v>1063</v>
      </c>
    </row>
    <row r="46" spans="1:12" s="101" customFormat="1" ht="15.75" customHeight="1">
      <c r="A46" s="102" t="s">
        <v>1064</v>
      </c>
      <c r="B46" s="409">
        <f t="shared" si="0"/>
        <v>0.02</v>
      </c>
      <c r="C46" s="101">
        <f t="shared" si="1"/>
        <v>1175</v>
      </c>
      <c r="D46" s="101">
        <f t="shared" si="2"/>
        <v>0</v>
      </c>
      <c r="E46" s="410">
        <f t="shared" si="3"/>
        <v>0</v>
      </c>
      <c r="F46" s="409">
        <f t="shared" si="4"/>
        <v>0.02</v>
      </c>
      <c r="G46" s="104"/>
      <c r="H46" s="104"/>
      <c r="I46" s="104"/>
      <c r="J46" s="104" t="s">
        <v>14</v>
      </c>
      <c r="K46" s="102" t="s">
        <v>1064</v>
      </c>
      <c r="L46" s="249" t="e">
        <f>#REF!</f>
        <v>#REF!</v>
      </c>
    </row>
    <row r="47" spans="1:12" s="101" customFormat="1" ht="15.75" customHeight="1">
      <c r="A47" s="102" t="s">
        <v>1065</v>
      </c>
      <c r="B47" s="409">
        <f t="shared" si="0"/>
        <v>0.02</v>
      </c>
      <c r="C47" s="101">
        <f t="shared" si="1"/>
        <v>1175</v>
      </c>
      <c r="D47" s="101">
        <f t="shared" si="2"/>
        <v>0</v>
      </c>
      <c r="E47" s="410">
        <f t="shared" si="3"/>
        <v>0</v>
      </c>
      <c r="F47" s="409">
        <f t="shared" si="4"/>
        <v>0.02</v>
      </c>
      <c r="G47" s="104"/>
      <c r="H47" s="104"/>
      <c r="I47" s="104"/>
      <c r="J47" s="104" t="s">
        <v>40</v>
      </c>
      <c r="K47" s="102" t="s">
        <v>1065</v>
      </c>
      <c r="L47" s="249" t="e">
        <f>#REF!-SUM($L$46:L46)</f>
        <v>#REF!</v>
      </c>
    </row>
    <row r="48" spans="1:12" s="101" customFormat="1" ht="15.75" customHeight="1">
      <c r="A48" s="102" t="s">
        <v>1066</v>
      </c>
      <c r="B48" s="409">
        <f t="shared" si="0"/>
        <v>0.02</v>
      </c>
      <c r="C48" s="101">
        <f t="shared" si="1"/>
        <v>1175</v>
      </c>
      <c r="D48" s="101">
        <f t="shared" si="2"/>
        <v>0</v>
      </c>
      <c r="E48" s="410">
        <f t="shared" si="3"/>
        <v>0</v>
      </c>
      <c r="F48" s="409">
        <f t="shared" si="4"/>
        <v>0.02</v>
      </c>
      <c r="G48" s="104"/>
      <c r="H48" s="104"/>
      <c r="I48" s="104"/>
      <c r="J48" s="105" t="s">
        <v>82</v>
      </c>
      <c r="K48" s="102" t="s">
        <v>1066</v>
      </c>
      <c r="L48" s="249" t="e">
        <f>#REF!-SUM($L$46:L47)</f>
        <v>#REF!</v>
      </c>
    </row>
    <row r="49" spans="1:12" ht="15.75" customHeight="1">
      <c r="A49" s="102" t="s">
        <v>1067</v>
      </c>
      <c r="B49" s="409">
        <f t="shared" si="0"/>
        <v>0.02</v>
      </c>
      <c r="C49" s="101">
        <f t="shared" si="1"/>
        <v>1175</v>
      </c>
      <c r="D49" s="101">
        <f t="shared" si="2"/>
        <v>0</v>
      </c>
      <c r="E49" s="410">
        <f t="shared" si="3"/>
        <v>0</v>
      </c>
      <c r="F49" s="409">
        <f t="shared" si="4"/>
        <v>0.02</v>
      </c>
      <c r="G49" s="104"/>
      <c r="H49" s="104"/>
      <c r="J49" s="104" t="s">
        <v>365</v>
      </c>
      <c r="K49" s="102" t="s">
        <v>1067</v>
      </c>
      <c r="L49" s="249" t="e">
        <f>#REF!-SUM($L$46:L48)</f>
        <v>#REF!</v>
      </c>
    </row>
    <row r="50" spans="1:12" ht="15.75" customHeight="1">
      <c r="A50" s="102" t="s">
        <v>1051</v>
      </c>
      <c r="B50" s="409">
        <f t="shared" si="0"/>
        <v>0.02</v>
      </c>
      <c r="C50" s="101">
        <f t="shared" si="1"/>
        <v>1175</v>
      </c>
      <c r="D50" s="101">
        <f t="shared" si="2"/>
        <v>0</v>
      </c>
      <c r="E50" s="410">
        <f t="shared" si="3"/>
        <v>0</v>
      </c>
      <c r="F50" s="409">
        <f t="shared" si="4"/>
        <v>0.02</v>
      </c>
      <c r="G50" s="104"/>
      <c r="H50" s="104"/>
      <c r="I50" s="104"/>
      <c r="J50" s="105" t="s">
        <v>366</v>
      </c>
      <c r="K50" s="102" t="s">
        <v>1051</v>
      </c>
      <c r="L50" s="249" t="e">
        <f>K27-SUM($L$46:L49)</f>
        <v>#REF!</v>
      </c>
    </row>
    <row r="51" spans="1:12" ht="15.75" customHeight="1">
      <c r="A51" s="102" t="s">
        <v>1068</v>
      </c>
      <c r="B51" s="409">
        <f t="shared" si="0"/>
        <v>0.02</v>
      </c>
      <c r="C51" s="101">
        <f t="shared" si="1"/>
        <v>1175</v>
      </c>
      <c r="D51" s="101">
        <f t="shared" si="2"/>
        <v>0</v>
      </c>
      <c r="E51" s="410">
        <f t="shared" si="3"/>
        <v>0</v>
      </c>
      <c r="F51" s="409">
        <f t="shared" si="4"/>
        <v>0.02</v>
      </c>
      <c r="G51" s="104"/>
      <c r="H51" s="104"/>
      <c r="I51" s="104"/>
      <c r="J51" s="105"/>
      <c r="K51" s="102" t="s">
        <v>1068</v>
      </c>
      <c r="L51" s="249"/>
    </row>
    <row r="52" spans="1:12" ht="15.75" customHeight="1">
      <c r="A52" s="102" t="s">
        <v>1069</v>
      </c>
      <c r="B52" s="409">
        <f t="shared" si="0"/>
        <v>0.02</v>
      </c>
      <c r="C52" s="101">
        <f t="shared" si="1"/>
        <v>1175</v>
      </c>
      <c r="D52" s="101">
        <f t="shared" si="2"/>
        <v>0</v>
      </c>
      <c r="E52" s="410">
        <f t="shared" si="3"/>
        <v>0</v>
      </c>
      <c r="F52" s="409">
        <f t="shared" si="4"/>
        <v>0.02</v>
      </c>
      <c r="G52" s="104"/>
      <c r="H52" s="104"/>
      <c r="I52" s="104"/>
      <c r="J52" s="105"/>
      <c r="K52" s="102" t="s">
        <v>1069</v>
      </c>
      <c r="L52" s="249"/>
    </row>
    <row r="53" spans="1:12" ht="15.75" customHeight="1">
      <c r="A53" s="102" t="s">
        <v>1070</v>
      </c>
      <c r="B53" s="409">
        <f t="shared" si="0"/>
        <v>0.02</v>
      </c>
      <c r="C53" s="101">
        <f t="shared" si="1"/>
        <v>1175</v>
      </c>
      <c r="D53" s="101">
        <f t="shared" si="2"/>
        <v>0</v>
      </c>
      <c r="E53" s="410">
        <f t="shared" si="3"/>
        <v>0</v>
      </c>
      <c r="F53" s="409">
        <f t="shared" si="4"/>
        <v>0.02</v>
      </c>
      <c r="G53" s="104"/>
      <c r="H53" s="104"/>
      <c r="I53" s="104"/>
      <c r="J53" s="105"/>
      <c r="K53" s="102" t="s">
        <v>1070</v>
      </c>
      <c r="L53" s="249"/>
    </row>
    <row r="54" spans="1:12" ht="56.25" customHeight="1">
      <c r="A54" s="102" t="s">
        <v>1071</v>
      </c>
      <c r="B54" s="409">
        <f t="shared" si="0"/>
        <v>0.02</v>
      </c>
      <c r="C54" s="101">
        <f t="shared" si="1"/>
        <v>1175</v>
      </c>
      <c r="D54" s="101">
        <f t="shared" si="2"/>
        <v>0</v>
      </c>
      <c r="E54" s="410">
        <f t="shared" si="3"/>
        <v>0</v>
      </c>
      <c r="F54" s="409">
        <f t="shared" si="4"/>
        <v>0.02</v>
      </c>
      <c r="G54" s="104"/>
      <c r="H54" s="104"/>
      <c r="I54" s="104"/>
      <c r="J54" s="105"/>
      <c r="K54" s="102" t="s">
        <v>1071</v>
      </c>
      <c r="L54" s="249"/>
    </row>
    <row r="55" spans="1:12" ht="15.75" customHeight="1">
      <c r="A55" s="102" t="s">
        <v>170</v>
      </c>
      <c r="B55" s="409">
        <f t="shared" si="0"/>
        <v>0.02</v>
      </c>
      <c r="C55" s="101">
        <f t="shared" si="1"/>
        <v>1175</v>
      </c>
      <c r="D55" s="101">
        <f t="shared" si="2"/>
        <v>0</v>
      </c>
      <c r="E55" s="410">
        <f t="shared" si="3"/>
        <v>0</v>
      </c>
      <c r="F55" s="409">
        <f t="shared" si="4"/>
        <v>0.02</v>
      </c>
      <c r="G55" s="104"/>
      <c r="H55" s="104"/>
      <c r="I55" s="104"/>
      <c r="J55" s="105"/>
      <c r="K55" s="102" t="s">
        <v>170</v>
      </c>
      <c r="L55" s="249"/>
    </row>
    <row r="56" spans="1:12" ht="15.75" customHeight="1">
      <c r="A56" s="102" t="s">
        <v>1070</v>
      </c>
      <c r="B56" s="409">
        <f t="shared" si="0"/>
        <v>0.02</v>
      </c>
      <c r="C56" s="101">
        <f t="shared" si="1"/>
        <v>1175</v>
      </c>
      <c r="D56" s="101">
        <f t="shared" si="2"/>
        <v>0</v>
      </c>
      <c r="E56" s="410">
        <f t="shared" si="3"/>
        <v>0</v>
      </c>
      <c r="F56" s="409">
        <f t="shared" si="4"/>
        <v>0.02</v>
      </c>
      <c r="G56" s="104"/>
      <c r="H56" s="104"/>
      <c r="J56" s="105"/>
      <c r="K56" s="102" t="s">
        <v>1070</v>
      </c>
      <c r="L56" s="249"/>
    </row>
    <row r="57" spans="1:12" s="83" customFormat="1" ht="15.75" customHeight="1">
      <c r="A57" s="102" t="s">
        <v>1072</v>
      </c>
      <c r="B57" s="409">
        <f t="shared" si="0"/>
        <v>0.02</v>
      </c>
      <c r="C57" s="101">
        <f t="shared" si="1"/>
        <v>1175</v>
      </c>
      <c r="D57" s="101">
        <f t="shared" si="2"/>
        <v>0</v>
      </c>
      <c r="E57" s="410">
        <f t="shared" si="3"/>
        <v>0</v>
      </c>
      <c r="F57" s="409">
        <f t="shared" si="4"/>
        <v>0.02</v>
      </c>
      <c r="G57" s="104"/>
      <c r="H57" s="104"/>
      <c r="I57" s="105"/>
      <c r="J57" s="105"/>
      <c r="K57" s="102" t="s">
        <v>1072</v>
      </c>
      <c r="L57" s="251"/>
    </row>
    <row r="58" spans="1:12" s="83" customFormat="1" ht="15.75" customHeight="1">
      <c r="A58" s="411" t="s">
        <v>1097</v>
      </c>
      <c r="B58" s="409">
        <f t="shared" si="0"/>
        <v>0.02</v>
      </c>
      <c r="C58" s="101">
        <f t="shared" si="1"/>
        <v>1175</v>
      </c>
      <c r="D58" s="101">
        <f t="shared" si="2"/>
        <v>0</v>
      </c>
      <c r="E58" s="410">
        <f t="shared" si="3"/>
        <v>0</v>
      </c>
      <c r="F58" s="409">
        <f t="shared" si="4"/>
        <v>0.02</v>
      </c>
      <c r="G58" s="104"/>
      <c r="H58" s="104"/>
      <c r="I58" s="105"/>
      <c r="J58" s="105"/>
      <c r="K58" s="102" t="s">
        <v>1073</v>
      </c>
    </row>
    <row r="59" spans="1:12" s="83" customFormat="1" ht="15.75" customHeight="1">
      <c r="A59" s="102" t="s">
        <v>1073</v>
      </c>
      <c r="B59" s="409">
        <f t="shared" si="0"/>
        <v>0.02</v>
      </c>
      <c r="C59" s="101">
        <f t="shared" si="1"/>
        <v>1175</v>
      </c>
      <c r="D59" s="101">
        <f t="shared" si="2"/>
        <v>0</v>
      </c>
      <c r="E59" s="410">
        <f t="shared" si="3"/>
        <v>0</v>
      </c>
      <c r="F59" s="409">
        <f t="shared" si="4"/>
        <v>0.02</v>
      </c>
      <c r="G59" s="104"/>
      <c r="H59" s="104"/>
      <c r="I59" s="105"/>
      <c r="J59" s="105"/>
      <c r="K59" s="102" t="s">
        <v>1073</v>
      </c>
    </row>
    <row r="60" spans="1:12" s="83" customFormat="1" ht="15.75" customHeight="1">
      <c r="A60" s="102" t="s">
        <v>1074</v>
      </c>
      <c r="B60" s="409">
        <f t="shared" si="0"/>
        <v>0.02</v>
      </c>
      <c r="C60" s="101">
        <f t="shared" si="1"/>
        <v>1175</v>
      </c>
      <c r="D60" s="101">
        <f t="shared" si="2"/>
        <v>0</v>
      </c>
      <c r="E60" s="410">
        <f t="shared" si="3"/>
        <v>0</v>
      </c>
      <c r="F60" s="409">
        <f t="shared" si="4"/>
        <v>0.02</v>
      </c>
      <c r="G60" s="104"/>
      <c r="H60" s="104"/>
      <c r="I60" s="105"/>
      <c r="J60" s="105"/>
      <c r="K60" s="102" t="s">
        <v>1074</v>
      </c>
    </row>
    <row r="61" spans="1:12" s="83" customFormat="1" ht="15.75" customHeight="1">
      <c r="A61" s="102" t="s">
        <v>170</v>
      </c>
      <c r="B61" s="409">
        <f t="shared" si="0"/>
        <v>0.02</v>
      </c>
      <c r="C61" s="101">
        <f t="shared" si="1"/>
        <v>1175</v>
      </c>
      <c r="D61" s="101">
        <f t="shared" si="2"/>
        <v>0</v>
      </c>
      <c r="E61" s="410">
        <f t="shared" si="3"/>
        <v>0</v>
      </c>
      <c r="F61" s="409">
        <f t="shared" si="4"/>
        <v>0.02</v>
      </c>
      <c r="G61" s="104"/>
      <c r="H61" s="104"/>
      <c r="I61" s="105"/>
      <c r="J61" s="105"/>
      <c r="K61" s="102" t="s">
        <v>170</v>
      </c>
    </row>
    <row r="62" spans="1:12" s="83" customFormat="1" ht="15.75" customHeight="1">
      <c r="A62" s="102" t="s">
        <v>1072</v>
      </c>
      <c r="B62" s="409">
        <f t="shared" si="0"/>
        <v>0.02</v>
      </c>
      <c r="C62" s="101">
        <f t="shared" si="1"/>
        <v>1175</v>
      </c>
      <c r="D62" s="101">
        <f t="shared" si="2"/>
        <v>0</v>
      </c>
      <c r="E62" s="410">
        <f t="shared" si="3"/>
        <v>0</v>
      </c>
      <c r="F62" s="409">
        <f t="shared" si="4"/>
        <v>0.02</v>
      </c>
      <c r="G62" s="104"/>
      <c r="H62" s="104"/>
      <c r="I62" s="105"/>
      <c r="J62" s="105"/>
      <c r="K62" s="102" t="s">
        <v>1072</v>
      </c>
    </row>
    <row r="63" spans="1:12" s="83" customFormat="1" ht="15.75" customHeight="1">
      <c r="A63" s="102" t="s">
        <v>1072</v>
      </c>
      <c r="B63" s="409">
        <f t="shared" si="0"/>
        <v>0.02</v>
      </c>
      <c r="C63" s="101">
        <f t="shared" si="1"/>
        <v>1175</v>
      </c>
      <c r="D63" s="101">
        <f t="shared" si="2"/>
        <v>0</v>
      </c>
      <c r="E63" s="410">
        <f t="shared" si="3"/>
        <v>0</v>
      </c>
      <c r="F63" s="409">
        <f t="shared" si="4"/>
        <v>0.02</v>
      </c>
      <c r="G63" s="104"/>
      <c r="H63" s="104"/>
      <c r="I63" s="105"/>
      <c r="J63" s="105"/>
      <c r="K63" s="102" t="s">
        <v>1072</v>
      </c>
    </row>
    <row r="64" spans="1:12" s="83" customFormat="1" ht="15.75" customHeight="1">
      <c r="A64" s="102" t="s">
        <v>170</v>
      </c>
      <c r="B64" s="409">
        <f t="shared" si="0"/>
        <v>0.02</v>
      </c>
      <c r="C64" s="101">
        <f t="shared" si="1"/>
        <v>1175</v>
      </c>
      <c r="D64" s="101">
        <f t="shared" si="2"/>
        <v>0</v>
      </c>
      <c r="E64" s="410">
        <f t="shared" si="3"/>
        <v>0</v>
      </c>
      <c r="F64" s="409">
        <f t="shared" si="4"/>
        <v>0.02</v>
      </c>
      <c r="G64" s="104"/>
      <c r="H64" s="104"/>
      <c r="I64" s="105"/>
      <c r="J64" s="105" t="s">
        <v>162</v>
      </c>
      <c r="K64" s="102"/>
    </row>
    <row r="65" spans="1:12" ht="15.75" customHeight="1">
      <c r="A65" s="102" t="s">
        <v>1075</v>
      </c>
      <c r="B65" s="409">
        <f t="shared" si="0"/>
        <v>0.02</v>
      </c>
      <c r="C65" s="101">
        <f t="shared" si="1"/>
        <v>1175</v>
      </c>
      <c r="D65" s="101">
        <f t="shared" si="2"/>
        <v>0</v>
      </c>
      <c r="E65" s="410">
        <f t="shared" si="3"/>
        <v>0</v>
      </c>
      <c r="F65" s="409">
        <f t="shared" si="4"/>
        <v>0.02</v>
      </c>
      <c r="G65" s="104"/>
      <c r="H65" s="104"/>
      <c r="I65" s="57"/>
      <c r="J65" s="57"/>
      <c r="K65" s="102" t="s">
        <v>1075</v>
      </c>
      <c r="L65" s="387">
        <f t="shared" ref="L65:L71" si="5">J88/$C$93</f>
        <v>9.0318312830767677E-4</v>
      </c>
    </row>
    <row r="66" spans="1:12" ht="15.75" customHeight="1">
      <c r="A66" s="102" t="s">
        <v>1077</v>
      </c>
      <c r="B66" s="409">
        <f t="shared" si="0"/>
        <v>0.02</v>
      </c>
      <c r="C66" s="101">
        <f t="shared" si="1"/>
        <v>1175</v>
      </c>
      <c r="D66" s="101">
        <f t="shared" si="2"/>
        <v>0</v>
      </c>
      <c r="E66" s="410">
        <f t="shared" si="3"/>
        <v>0</v>
      </c>
      <c r="F66" s="409">
        <f t="shared" si="4"/>
        <v>0.02</v>
      </c>
      <c r="G66" s="104"/>
      <c r="H66" s="104"/>
      <c r="I66" s="57"/>
      <c r="J66" s="57"/>
      <c r="K66" s="102" t="s">
        <v>1077</v>
      </c>
      <c r="L66" s="387">
        <f t="shared" si="5"/>
        <v>1.1623785530234663E-2</v>
      </c>
    </row>
    <row r="67" spans="1:12" ht="15.75" customHeight="1">
      <c r="A67" s="102" t="s">
        <v>170</v>
      </c>
      <c r="B67" s="409">
        <f t="shared" si="0"/>
        <v>0.02</v>
      </c>
      <c r="C67" s="101">
        <f t="shared" si="1"/>
        <v>1175</v>
      </c>
      <c r="D67" s="101">
        <f t="shared" si="2"/>
        <v>0</v>
      </c>
      <c r="E67" s="410">
        <f t="shared" si="3"/>
        <v>0</v>
      </c>
      <c r="F67" s="409">
        <f t="shared" si="4"/>
        <v>0.02</v>
      </c>
      <c r="G67" s="104"/>
      <c r="H67" s="104"/>
      <c r="I67" s="57"/>
      <c r="J67" s="57"/>
      <c r="K67" s="102" t="s">
        <v>170</v>
      </c>
      <c r="L67" s="387">
        <f t="shared" si="5"/>
        <v>1.6261270160978405E-2</v>
      </c>
    </row>
    <row r="68" spans="1:12" ht="15.75" customHeight="1">
      <c r="A68" s="102" t="s">
        <v>1078</v>
      </c>
      <c r="B68" s="409">
        <f t="shared" si="0"/>
        <v>0.02</v>
      </c>
      <c r="C68" s="101">
        <f t="shared" si="1"/>
        <v>1175</v>
      </c>
      <c r="D68" s="101">
        <f t="shared" si="2"/>
        <v>0</v>
      </c>
      <c r="E68" s="410">
        <f t="shared" si="3"/>
        <v>0</v>
      </c>
      <c r="F68" s="409">
        <f t="shared" si="4"/>
        <v>0.02</v>
      </c>
      <c r="G68" s="104"/>
      <c r="H68" s="104"/>
      <c r="I68" s="57"/>
      <c r="J68" s="57"/>
      <c r="K68" s="102" t="s">
        <v>1078</v>
      </c>
      <c r="L68" s="387">
        <f t="shared" si="5"/>
        <v>3.0702439200169418E-3</v>
      </c>
    </row>
    <row r="69" spans="1:12" ht="15.75" customHeight="1">
      <c r="A69" s="102" t="s">
        <v>1079</v>
      </c>
      <c r="B69" s="409">
        <f t="shared" si="0"/>
        <v>0.02</v>
      </c>
      <c r="C69" s="101">
        <f t="shared" si="1"/>
        <v>1175</v>
      </c>
      <c r="D69" s="101">
        <f t="shared" si="2"/>
        <v>0</v>
      </c>
      <c r="E69" s="410">
        <f t="shared" si="3"/>
        <v>0</v>
      </c>
      <c r="F69" s="409">
        <f t="shared" si="4"/>
        <v>0.02</v>
      </c>
      <c r="G69" s="104"/>
      <c r="H69" s="104"/>
      <c r="I69" s="57"/>
      <c r="J69" s="57"/>
      <c r="K69" s="102" t="s">
        <v>1079</v>
      </c>
      <c r="L69" s="387">
        <f t="shared" si="5"/>
        <v>1.4956766618289848E-2</v>
      </c>
    </row>
    <row r="70" spans="1:12" ht="15.75" customHeight="1">
      <c r="A70" s="102" t="s">
        <v>1081</v>
      </c>
      <c r="B70" s="409">
        <f t="shared" si="0"/>
        <v>0.02</v>
      </c>
      <c r="C70" s="101">
        <f t="shared" si="1"/>
        <v>1175</v>
      </c>
      <c r="D70" s="101">
        <f t="shared" si="2"/>
        <v>0</v>
      </c>
      <c r="E70" s="410">
        <f t="shared" si="3"/>
        <v>0</v>
      </c>
      <c r="F70" s="409">
        <f t="shared" si="4"/>
        <v>0.02</v>
      </c>
      <c r="G70" s="104"/>
      <c r="H70" s="104"/>
      <c r="I70" s="57"/>
      <c r="J70" s="57"/>
      <c r="K70" s="102" t="s">
        <v>1081</v>
      </c>
      <c r="L70" s="387">
        <f t="shared" si="5"/>
        <v>0</v>
      </c>
    </row>
    <row r="71" spans="1:12" ht="15.75" customHeight="1">
      <c r="A71" s="102" t="s">
        <v>1080</v>
      </c>
      <c r="B71" s="409">
        <f t="shared" si="0"/>
        <v>0.02</v>
      </c>
      <c r="C71" s="101">
        <f t="shared" si="1"/>
        <v>1175</v>
      </c>
      <c r="D71" s="101">
        <f t="shared" si="2"/>
        <v>0</v>
      </c>
      <c r="E71" s="410">
        <f t="shared" si="3"/>
        <v>0</v>
      </c>
      <c r="F71" s="409">
        <f t="shared" si="4"/>
        <v>0.02</v>
      </c>
      <c r="G71" s="104"/>
      <c r="H71" s="104"/>
      <c r="I71" s="57"/>
      <c r="J71" s="57"/>
      <c r="K71" s="102" t="s">
        <v>1080</v>
      </c>
      <c r="L71" s="387">
        <f t="shared" si="5"/>
        <v>4.6815249357827535E-2</v>
      </c>
    </row>
    <row r="72" spans="1:12" ht="15.75" customHeight="1">
      <c r="A72" s="102" t="s">
        <v>1076</v>
      </c>
      <c r="B72" s="409">
        <f t="shared" si="0"/>
        <v>0.02</v>
      </c>
      <c r="C72" s="101">
        <f t="shared" si="1"/>
        <v>1175</v>
      </c>
      <c r="D72" s="101">
        <f t="shared" si="2"/>
        <v>0</v>
      </c>
      <c r="E72" s="410">
        <f t="shared" si="3"/>
        <v>0</v>
      </c>
      <c r="F72" s="409">
        <f t="shared" si="4"/>
        <v>0.02</v>
      </c>
      <c r="G72" s="104"/>
      <c r="H72" s="104"/>
      <c r="I72" s="57"/>
      <c r="J72" s="57"/>
      <c r="K72" s="102" t="s">
        <v>1076</v>
      </c>
      <c r="L72" s="365"/>
    </row>
    <row r="73" spans="1:12" ht="15.75" customHeight="1">
      <c r="A73" s="102" t="s">
        <v>1082</v>
      </c>
      <c r="B73" s="409">
        <f t="shared" si="0"/>
        <v>0.02</v>
      </c>
      <c r="C73" s="101">
        <f t="shared" si="1"/>
        <v>1175</v>
      </c>
      <c r="D73" s="101">
        <f t="shared" si="2"/>
        <v>0</v>
      </c>
      <c r="E73" s="410">
        <f t="shared" si="3"/>
        <v>0</v>
      </c>
      <c r="F73" s="409">
        <f t="shared" si="4"/>
        <v>0.02</v>
      </c>
      <c r="G73" s="104"/>
      <c r="H73" s="104"/>
      <c r="I73" s="57"/>
      <c r="J73" s="57"/>
      <c r="K73" s="102" t="s">
        <v>1082</v>
      </c>
    </row>
    <row r="74" spans="1:12" ht="15.75" customHeight="1">
      <c r="A74" s="405"/>
      <c r="B74" s="406"/>
      <c r="C74" s="101"/>
      <c r="D74" s="104"/>
      <c r="E74" s="104"/>
      <c r="F74" s="101"/>
      <c r="G74" s="104"/>
      <c r="H74" s="104"/>
      <c r="I74" s="109"/>
    </row>
    <row r="75" spans="1:12" ht="15.75" customHeight="1">
      <c r="A75" s="405"/>
      <c r="B75" s="406"/>
      <c r="C75" s="101"/>
      <c r="D75" s="104"/>
      <c r="E75" s="104"/>
      <c r="F75" s="101"/>
      <c r="G75" s="104"/>
      <c r="H75" s="104"/>
      <c r="I75" s="104"/>
    </row>
    <row r="76" spans="1:12" ht="15.75" customHeight="1">
      <c r="A76" s="101"/>
      <c r="B76" s="101"/>
      <c r="C76" s="101"/>
      <c r="D76" s="101"/>
      <c r="E76" s="101"/>
      <c r="F76" s="101"/>
      <c r="G76" s="104"/>
      <c r="H76" s="104"/>
      <c r="J76" s="105"/>
    </row>
    <row r="77" spans="1:12" ht="15.75" customHeight="1">
      <c r="A77" s="640" t="s">
        <v>432</v>
      </c>
      <c r="B77" s="641"/>
      <c r="C77" s="642"/>
      <c r="D77" s="101"/>
      <c r="E77" s="101"/>
      <c r="F77" s="101"/>
      <c r="G77" s="104"/>
      <c r="H77" s="104"/>
      <c r="J77" s="105"/>
    </row>
    <row r="78" spans="1:12" ht="15.75" customHeight="1">
      <c r="A78" s="298" t="s">
        <v>433</v>
      </c>
      <c r="B78" s="104" t="s">
        <v>428</v>
      </c>
      <c r="C78" s="308">
        <v>500</v>
      </c>
      <c r="D78" s="101"/>
      <c r="E78" s="101"/>
      <c r="F78" s="101"/>
      <c r="G78" s="104"/>
      <c r="H78" s="104"/>
      <c r="J78" s="105"/>
    </row>
    <row r="79" spans="1:12" ht="15.75" customHeight="1">
      <c r="A79" s="298" t="s">
        <v>388</v>
      </c>
      <c r="B79" s="104" t="s">
        <v>362</v>
      </c>
      <c r="C79" s="308">
        <v>1000</v>
      </c>
      <c r="D79" s="57"/>
      <c r="E79" s="57"/>
      <c r="F79" s="57"/>
      <c r="J79" s="105"/>
    </row>
    <row r="80" spans="1:12" ht="15.75" customHeight="1">
      <c r="A80" s="298" t="s">
        <v>389</v>
      </c>
      <c r="B80" s="104" t="s">
        <v>427</v>
      </c>
      <c r="C80" s="308">
        <f>C79</f>
        <v>1000</v>
      </c>
      <c r="D80" s="57"/>
      <c r="E80" s="57"/>
      <c r="F80" s="57"/>
      <c r="G80" s="104"/>
      <c r="H80" s="104"/>
      <c r="J80" s="105"/>
    </row>
    <row r="81" spans="1:13" ht="15.75" customHeight="1">
      <c r="A81" s="305" t="s">
        <v>390</v>
      </c>
      <c r="B81" s="306" t="s">
        <v>429</v>
      </c>
      <c r="C81" s="309">
        <f>C80</f>
        <v>1000</v>
      </c>
      <c r="D81" s="57"/>
      <c r="E81" s="57"/>
      <c r="F81" s="57"/>
      <c r="G81" s="104"/>
      <c r="H81" s="104"/>
      <c r="I81" s="104"/>
    </row>
    <row r="82" spans="1:13" ht="15.75" customHeight="1">
      <c r="B82" s="104"/>
      <c r="C82" s="104"/>
      <c r="D82" s="104"/>
      <c r="E82" s="104"/>
      <c r="F82" s="104"/>
      <c r="G82" s="104"/>
      <c r="H82" s="104"/>
      <c r="I82" s="104"/>
      <c r="J82" s="105" t="s">
        <v>162</v>
      </c>
    </row>
    <row r="83" spans="1:13" ht="15.75" customHeight="1" thickBot="1">
      <c r="A83" s="643" t="s">
        <v>434</v>
      </c>
      <c r="B83" s="643"/>
      <c r="C83" s="104"/>
      <c r="D83" s="104"/>
      <c r="E83" s="104"/>
      <c r="F83" s="104"/>
      <c r="G83" s="104"/>
      <c r="H83" s="104"/>
      <c r="I83" s="109"/>
    </row>
    <row r="84" spans="1:13" ht="15.75" customHeight="1">
      <c r="A84" s="279" t="s">
        <v>310</v>
      </c>
      <c r="B84" s="279"/>
      <c r="C84" s="281" t="s">
        <v>435</v>
      </c>
      <c r="D84" s="282" t="s">
        <v>436</v>
      </c>
      <c r="E84" s="283" t="s">
        <v>437</v>
      </c>
      <c r="F84" s="281" t="s">
        <v>438</v>
      </c>
      <c r="G84" s="282" t="s">
        <v>439</v>
      </c>
      <c r="H84" s="283" t="s">
        <v>439</v>
      </c>
      <c r="I84" s="104"/>
    </row>
    <row r="85" spans="1:13" ht="15.75" customHeight="1">
      <c r="B85" s="104"/>
      <c r="C85" s="284"/>
      <c r="D85" s="104"/>
      <c r="E85" s="285"/>
      <c r="F85" s="634" t="s">
        <v>441</v>
      </c>
      <c r="G85" s="635"/>
      <c r="H85" s="636"/>
      <c r="J85" s="105"/>
    </row>
    <row r="86" spans="1:13" ht="15.75" customHeight="1" thickBot="1">
      <c r="A86" s="107"/>
      <c r="C86" s="286"/>
      <c r="E86" s="287"/>
      <c r="F86" s="286"/>
      <c r="H86" s="287"/>
      <c r="J86" s="105"/>
    </row>
    <row r="87" spans="1:13" ht="15.75" customHeight="1" thickBot="1">
      <c r="A87" s="624" t="s">
        <v>154</v>
      </c>
      <c r="B87" s="625"/>
      <c r="C87" s="625"/>
      <c r="D87" s="625"/>
      <c r="E87" s="625"/>
      <c r="F87" s="625"/>
      <c r="G87" s="625"/>
      <c r="H87" s="626"/>
      <c r="J87" s="105"/>
      <c r="K87" s="57"/>
    </row>
    <row r="88" spans="1:13" ht="15.75" customHeight="1">
      <c r="A88" s="108" t="s">
        <v>155</v>
      </c>
      <c r="B88" s="105">
        <f>SUM('Prop Budget Summary'!$C$26:$K$26)</f>
        <v>3727516.4066666667</v>
      </c>
      <c r="C88" s="286">
        <f>'Prop Budget Summary'!AE26</f>
        <v>18283354</v>
      </c>
      <c r="D88" s="105">
        <f>B88-$C88</f>
        <v>-14555837.593333334</v>
      </c>
      <c r="E88" s="288">
        <f>B88/$C88-1</f>
        <v>-0.79612513072455593</v>
      </c>
      <c r="F88" s="286">
        <v>19866175.219999999</v>
      </c>
      <c r="G88" s="105">
        <f>B88-$F88</f>
        <v>-16138658.813333333</v>
      </c>
      <c r="H88" s="288">
        <f>B88/$F88-1</f>
        <v>-0.81236869375268372</v>
      </c>
      <c r="I88" s="105" t="s">
        <v>310</v>
      </c>
      <c r="J88" s="105">
        <v>23410</v>
      </c>
      <c r="K88" s="387">
        <f t="shared" ref="K88:K90" si="6">J88/$F$93</f>
        <v>8.3121021516095153E-4</v>
      </c>
      <c r="L88" s="387">
        <f>J88/$C$93</f>
        <v>9.0318312830767677E-4</v>
      </c>
    </row>
    <row r="89" spans="1:13" ht="15.75" customHeight="1">
      <c r="A89" s="108" t="s">
        <v>40</v>
      </c>
      <c r="B89" s="105">
        <f>'Prop Budget Summary'!$O$26</f>
        <v>572310.7229619422</v>
      </c>
      <c r="C89" s="286">
        <f>'Prop Budget Summary'!AG26</f>
        <v>3027973</v>
      </c>
      <c r="D89" s="105">
        <f t="shared" ref="D89:D93" si="7">B89-$C89</f>
        <v>-2455662.2770380578</v>
      </c>
      <c r="E89" s="288">
        <f t="shared" ref="E89:E93" si="8">B89/$C89-1</f>
        <v>-0.81099213138230031</v>
      </c>
      <c r="F89" s="286">
        <v>3267023.506571562</v>
      </c>
      <c r="G89" s="105">
        <f t="shared" ref="G89:G92" si="9">B89-$F89</f>
        <v>-2694712.7836096198</v>
      </c>
      <c r="H89" s="288">
        <f t="shared" ref="H89:H92" si="10">B89/$F89-1</f>
        <v>-0.82482197577986538</v>
      </c>
      <c r="I89" s="105" t="s">
        <v>491</v>
      </c>
      <c r="J89" s="105">
        <f>324692-J88</f>
        <v>301282</v>
      </c>
      <c r="K89" s="387">
        <f t="shared" si="6"/>
        <v>1.0697508587959068E-2</v>
      </c>
      <c r="L89" s="387">
        <f t="shared" ref="L89:L91" si="11">J89/$C$93</f>
        <v>1.1623785530234663E-2</v>
      </c>
    </row>
    <row r="90" spans="1:13" ht="15.75" customHeight="1">
      <c r="A90" s="108" t="s">
        <v>156</v>
      </c>
      <c r="B90" s="105">
        <f>'Prop Budget Summary'!$P$26</f>
        <v>40905.956700223993</v>
      </c>
      <c r="C90" s="286">
        <f>'Prop Budget Summary'!AH26</f>
        <v>222512</v>
      </c>
      <c r="D90" s="105">
        <f t="shared" si="7"/>
        <v>-181606.04329977601</v>
      </c>
      <c r="E90" s="288">
        <f t="shared" si="8"/>
        <v>-0.81616291840339406</v>
      </c>
      <c r="F90" s="286">
        <v>233069.07359663202</v>
      </c>
      <c r="G90" s="105">
        <f t="shared" si="9"/>
        <v>-192163.11689640803</v>
      </c>
      <c r="H90" s="288">
        <f t="shared" si="10"/>
        <v>-0.82448998458277178</v>
      </c>
      <c r="I90" s="105" t="s">
        <v>365</v>
      </c>
      <c r="J90" s="105">
        <f>746175-J88-J89</f>
        <v>421483</v>
      </c>
      <c r="K90" s="387">
        <f t="shared" si="6"/>
        <v>1.4965441055817314E-2</v>
      </c>
      <c r="L90" s="387">
        <f t="shared" si="11"/>
        <v>1.6261270160978405E-2</v>
      </c>
    </row>
    <row r="91" spans="1:13" ht="15.75" customHeight="1">
      <c r="A91" s="108" t="s">
        <v>14</v>
      </c>
      <c r="B91" s="105">
        <f>'Prop Budget Summary'!$Q$26</f>
        <v>625700.65208933328</v>
      </c>
      <c r="C91" s="286">
        <f>'Prop Budget Summary'!AI26</f>
        <v>3031443</v>
      </c>
      <c r="D91" s="105">
        <f t="shared" si="7"/>
        <v>-2405742.3479106668</v>
      </c>
      <c r="E91" s="288">
        <f t="shared" si="8"/>
        <v>-0.79359643176885286</v>
      </c>
      <c r="F91" s="286">
        <v>3339626.1732680001</v>
      </c>
      <c r="G91" s="105">
        <f t="shared" si="9"/>
        <v>-2713925.521178667</v>
      </c>
      <c r="H91" s="288">
        <f t="shared" si="10"/>
        <v>-0.81264350570200128</v>
      </c>
      <c r="I91" s="105" t="s">
        <v>2476</v>
      </c>
      <c r="J91" s="105">
        <f>825754-SUM(J88:J90)</f>
        <v>79579</v>
      </c>
      <c r="K91" s="387">
        <f>J91/$F$93</f>
        <v>2.8255821320928389E-3</v>
      </c>
      <c r="L91" s="387">
        <f t="shared" si="11"/>
        <v>3.0702439200169418E-3</v>
      </c>
    </row>
    <row r="92" spans="1:13" ht="15.75" customHeight="1">
      <c r="A92" s="108" t="s">
        <v>161</v>
      </c>
      <c r="B92" s="105">
        <f>'Prop Budget Summary'!$N$26</f>
        <v>237100</v>
      </c>
      <c r="C92" s="286">
        <f>'Prop Budget Summary'!AF26</f>
        <v>1354157</v>
      </c>
      <c r="D92" s="105">
        <f t="shared" si="7"/>
        <v>-1117057</v>
      </c>
      <c r="E92" s="288">
        <f t="shared" si="8"/>
        <v>-0.82490951935410739</v>
      </c>
      <c r="F92" s="286">
        <v>1457860</v>
      </c>
      <c r="G92" s="105">
        <f t="shared" si="9"/>
        <v>-1220760</v>
      </c>
      <c r="H92" s="288">
        <f t="shared" si="10"/>
        <v>-0.83736435597382464</v>
      </c>
      <c r="I92" s="105" t="s">
        <v>979</v>
      </c>
      <c r="J92" s="105">
        <f>1213425-SUM(J88:J91)</f>
        <v>387671</v>
      </c>
      <c r="K92" s="387">
        <f>J92/$F$93</f>
        <v>1.3764890872347767E-2</v>
      </c>
    </row>
    <row r="93" spans="1:13" ht="15.75" customHeight="1">
      <c r="A93" s="110" t="s">
        <v>86</v>
      </c>
      <c r="B93" s="111">
        <f>SUM(B88:B92)</f>
        <v>5203533.7384181665</v>
      </c>
      <c r="C93" s="289">
        <f>SUM(C88:C92)</f>
        <v>25919439</v>
      </c>
      <c r="D93" s="111">
        <f t="shared" si="7"/>
        <v>-20715905.261581834</v>
      </c>
      <c r="E93" s="290">
        <f t="shared" si="8"/>
        <v>-0.79924203844002306</v>
      </c>
      <c r="F93" s="289">
        <f>SUM(F88:F92)</f>
        <v>28163753.973436192</v>
      </c>
      <c r="G93" s="111">
        <f t="shared" ref="G93" si="12">B93-$F93</f>
        <v>-22960220.235018026</v>
      </c>
      <c r="H93" s="290">
        <f t="shared" ref="H93" si="13">B93/$F93-1</f>
        <v>-0.81524005133242916</v>
      </c>
      <c r="I93" s="105" t="s">
        <v>14</v>
      </c>
      <c r="J93" s="105"/>
      <c r="K93" s="57"/>
      <c r="L93" s="423"/>
      <c r="M93" s="365"/>
    </row>
    <row r="94" spans="1:13" ht="15.75" customHeight="1">
      <c r="A94" s="108"/>
      <c r="C94" s="286"/>
      <c r="E94" s="287"/>
      <c r="F94" s="286"/>
      <c r="H94" s="287"/>
      <c r="I94" s="105" t="s">
        <v>40</v>
      </c>
      <c r="J94" s="105">
        <f>SUM(J88:J93)</f>
        <v>1213425</v>
      </c>
      <c r="K94" s="564">
        <f>K89+K90+K91</f>
        <v>2.8488531775869224E-2</v>
      </c>
      <c r="L94" s="367"/>
    </row>
    <row r="95" spans="1:13" ht="15.75" customHeight="1" thickBot="1">
      <c r="A95" s="108"/>
      <c r="C95" s="286"/>
      <c r="E95" s="287"/>
      <c r="F95" s="286"/>
      <c r="H95" s="287"/>
      <c r="I95" s="104"/>
      <c r="J95" s="105"/>
      <c r="K95" s="565">
        <f>K94/H93</f>
        <v>-3.4944960971075377E-2</v>
      </c>
    </row>
    <row r="96" spans="1:13" ht="18.600000000000001" thickBot="1">
      <c r="A96" s="624" t="s">
        <v>305</v>
      </c>
      <c r="B96" s="625"/>
      <c r="C96" s="625"/>
      <c r="D96" s="625"/>
      <c r="E96" s="625"/>
      <c r="F96" s="625"/>
      <c r="G96" s="625"/>
      <c r="H96" s="626"/>
      <c r="I96" s="104"/>
    </row>
    <row r="97" spans="1:10">
      <c r="A97" s="108" t="s">
        <v>155</v>
      </c>
      <c r="B97" s="105" t="e">
        <f>SUM('Prop Budget Summary'!#REF!)</f>
        <v>#REF!</v>
      </c>
      <c r="C97" s="286" t="e">
        <f>'Prop Budget Summary'!#REF!</f>
        <v>#REF!</v>
      </c>
      <c r="D97" s="105" t="e">
        <f t="shared" ref="D97:D102" si="14">B97-$C97</f>
        <v>#REF!</v>
      </c>
      <c r="E97" s="288" t="e">
        <f t="shared" ref="E97:E102" si="15">B97/$C97-1</f>
        <v>#REF!</v>
      </c>
      <c r="F97" s="286">
        <v>85917.166666666672</v>
      </c>
      <c r="G97" s="105" t="e">
        <f t="shared" ref="G97:G102" si="16">B97-$F97</f>
        <v>#REF!</v>
      </c>
      <c r="H97" s="288" t="e">
        <f t="shared" ref="H97:H102" si="17">B97/$F97-1</f>
        <v>#REF!</v>
      </c>
      <c r="I97" s="104"/>
    </row>
    <row r="98" spans="1:10">
      <c r="A98" s="108" t="s">
        <v>40</v>
      </c>
      <c r="B98" s="105" t="e">
        <f>'Prop Budget Summary'!#REF!</f>
        <v>#REF!</v>
      </c>
      <c r="C98" s="286" t="e">
        <f>'Prop Budget Summary'!#REF!</f>
        <v>#REF!</v>
      </c>
      <c r="D98" s="105" t="e">
        <f t="shared" si="14"/>
        <v>#REF!</v>
      </c>
      <c r="E98" s="288" t="e">
        <f t="shared" si="15"/>
        <v>#REF!</v>
      </c>
      <c r="F98" s="286">
        <v>17864.767683999999</v>
      </c>
      <c r="G98" s="105" t="e">
        <f t="shared" si="16"/>
        <v>#REF!</v>
      </c>
      <c r="H98" s="288" t="e">
        <f t="shared" si="17"/>
        <v>#REF!</v>
      </c>
      <c r="I98" s="104"/>
    </row>
    <row r="99" spans="1:10">
      <c r="A99" s="108" t="s">
        <v>156</v>
      </c>
      <c r="B99" s="105" t="e">
        <f>'Prop Budget Summary'!#REF!</f>
        <v>#REF!</v>
      </c>
      <c r="C99" s="286" t="e">
        <f>'Prop Budget Summary'!#REF!</f>
        <v>#REF!</v>
      </c>
      <c r="D99" s="105" t="e">
        <f t="shared" si="14"/>
        <v>#REF!</v>
      </c>
      <c r="E99" s="288" t="e">
        <f t="shared" si="15"/>
        <v>#REF!</v>
      </c>
      <c r="F99" s="286">
        <v>118.35948880000004</v>
      </c>
      <c r="G99" s="105" t="e">
        <f t="shared" si="16"/>
        <v>#REF!</v>
      </c>
      <c r="H99" s="288" t="e">
        <f t="shared" si="17"/>
        <v>#REF!</v>
      </c>
      <c r="I99" s="104"/>
    </row>
    <row r="100" spans="1:10">
      <c r="A100" s="108" t="s">
        <v>14</v>
      </c>
      <c r="B100" s="105" t="e">
        <f>'Prop Budget Summary'!#REF!</f>
        <v>#REF!</v>
      </c>
      <c r="C100" s="286" t="e">
        <f>'Prop Budget Summary'!#REF!</f>
        <v>#REF!</v>
      </c>
      <c r="D100" s="105" t="e">
        <f t="shared" si="14"/>
        <v>#REF!</v>
      </c>
      <c r="E100" s="288" t="e">
        <f t="shared" si="15"/>
        <v>#REF!</v>
      </c>
      <c r="F100" s="286">
        <v>14554.368033333334</v>
      </c>
      <c r="G100" s="105" t="e">
        <f t="shared" si="16"/>
        <v>#REF!</v>
      </c>
      <c r="H100" s="288" t="e">
        <f t="shared" si="17"/>
        <v>#REF!</v>
      </c>
      <c r="I100" s="104"/>
      <c r="J100" s="105" t="s">
        <v>162</v>
      </c>
    </row>
    <row r="101" spans="1:10">
      <c r="A101" s="108" t="s">
        <v>161</v>
      </c>
      <c r="B101" s="105" t="e">
        <f>'Prop Budget Summary'!#REF!</f>
        <v>#REF!</v>
      </c>
      <c r="C101" s="286" t="e">
        <f>'Prop Budget Summary'!#REF!</f>
        <v>#REF!</v>
      </c>
      <c r="D101" s="105" t="e">
        <f t="shared" si="14"/>
        <v>#REF!</v>
      </c>
      <c r="E101" s="288" t="e">
        <f t="shared" si="15"/>
        <v>#REF!</v>
      </c>
      <c r="F101" s="286">
        <v>6580</v>
      </c>
      <c r="G101" s="105" t="e">
        <f t="shared" si="16"/>
        <v>#REF!</v>
      </c>
      <c r="H101" s="288" t="e">
        <f t="shared" si="17"/>
        <v>#REF!</v>
      </c>
      <c r="I101" s="104"/>
    </row>
    <row r="102" spans="1:10">
      <c r="A102" s="110" t="s">
        <v>86</v>
      </c>
      <c r="B102" s="111" t="e">
        <f>SUM(B97:B101)</f>
        <v>#REF!</v>
      </c>
      <c r="C102" s="289" t="e">
        <f>SUM(C97:C101)</f>
        <v>#REF!</v>
      </c>
      <c r="D102" s="111" t="e">
        <f t="shared" si="14"/>
        <v>#REF!</v>
      </c>
      <c r="E102" s="290" t="e">
        <f t="shared" si="15"/>
        <v>#REF!</v>
      </c>
      <c r="F102" s="289">
        <f>SUM(F97:F101)</f>
        <v>125034.6618728</v>
      </c>
      <c r="G102" s="111" t="e">
        <f t="shared" si="16"/>
        <v>#REF!</v>
      </c>
      <c r="H102" s="290" t="e">
        <f t="shared" si="17"/>
        <v>#REF!</v>
      </c>
      <c r="I102" s="104"/>
    </row>
    <row r="103" spans="1:10">
      <c r="B103" s="104"/>
      <c r="C103" s="284"/>
      <c r="D103" s="104"/>
      <c r="E103" s="285"/>
      <c r="F103" s="284"/>
      <c r="G103" s="104"/>
      <c r="H103" s="285"/>
      <c r="I103" s="104"/>
    </row>
    <row r="104" spans="1:10" ht="16.2" thickBot="1">
      <c r="A104" s="108"/>
      <c r="C104" s="286"/>
      <c r="E104" s="287"/>
      <c r="F104" s="286"/>
      <c r="H104" s="287"/>
      <c r="I104" s="104"/>
    </row>
    <row r="105" spans="1:10" ht="18.600000000000001" thickBot="1">
      <c r="A105" s="624" t="s">
        <v>163</v>
      </c>
      <c r="B105" s="625"/>
      <c r="C105" s="625"/>
      <c r="D105" s="625"/>
      <c r="E105" s="625"/>
      <c r="F105" s="625"/>
      <c r="G105" s="625"/>
      <c r="H105" s="626"/>
      <c r="I105" s="104"/>
    </row>
    <row r="106" spans="1:10">
      <c r="A106" s="108" t="s">
        <v>155</v>
      </c>
      <c r="B106" s="105">
        <f>SUM('Prop Budget Summary'!$C$37:$K$37)</f>
        <v>291715.83333333337</v>
      </c>
      <c r="C106" s="286">
        <f>'Prop Budget Summary'!AE37</f>
        <v>685012</v>
      </c>
      <c r="D106" s="105">
        <f t="shared" ref="D106:D111" si="18">B106-$C106</f>
        <v>-393296.16666666663</v>
      </c>
      <c r="E106" s="288">
        <f t="shared" ref="E106:E111" si="19">B106/$C106-1</f>
        <v>-0.57414492982118071</v>
      </c>
      <c r="F106" s="286">
        <v>675023</v>
      </c>
      <c r="G106" s="105">
        <f t="shared" ref="G106:G111" si="20">B106-$F106</f>
        <v>-383307.16666666663</v>
      </c>
      <c r="H106" s="288">
        <f t="shared" ref="H106:H111" si="21">B106/$F106-1</f>
        <v>-0.56784312040725515</v>
      </c>
      <c r="I106" s="104"/>
    </row>
    <row r="107" spans="1:10">
      <c r="A107" s="108" t="s">
        <v>40</v>
      </c>
      <c r="B107" s="105">
        <f>'Prop Budget Summary'!$O$37</f>
        <v>43908.018636000001</v>
      </c>
      <c r="C107" s="286">
        <f>'Prop Budget Summary'!AG37</f>
        <v>95069</v>
      </c>
      <c r="D107" s="105">
        <f t="shared" si="18"/>
        <v>-51160.981363999999</v>
      </c>
      <c r="E107" s="288">
        <f t="shared" si="19"/>
        <v>-0.53814578215822184</v>
      </c>
      <c r="F107" s="286">
        <v>87862.620279999988</v>
      </c>
      <c r="G107" s="105">
        <f t="shared" si="20"/>
        <v>-43954.601643999988</v>
      </c>
      <c r="H107" s="288">
        <f t="shared" si="21"/>
        <v>-0.50026509002264863</v>
      </c>
      <c r="I107" s="104"/>
    </row>
    <row r="108" spans="1:10">
      <c r="A108" s="108" t="s">
        <v>156</v>
      </c>
      <c r="B108" s="105">
        <f>'Prop Budget Summary'!$P$37</f>
        <v>406.1451800000001</v>
      </c>
      <c r="C108" s="286">
        <f>'Prop Budget Summary'!AH37</f>
        <v>989</v>
      </c>
      <c r="D108" s="105">
        <f t="shared" si="18"/>
        <v>-582.8548199999999</v>
      </c>
      <c r="E108" s="288">
        <f t="shared" si="19"/>
        <v>-0.58933753286147617</v>
      </c>
      <c r="F108" s="286">
        <v>939.56177280000031</v>
      </c>
      <c r="G108" s="105">
        <f t="shared" si="20"/>
        <v>-533.41659280000022</v>
      </c>
      <c r="H108" s="288">
        <f t="shared" si="21"/>
        <v>-0.56772913526521884</v>
      </c>
      <c r="I108" s="104"/>
    </row>
    <row r="109" spans="1:10">
      <c r="A109" s="108" t="s">
        <v>14</v>
      </c>
      <c r="B109" s="105">
        <f>'Prop Budget Summary'!$Q$37</f>
        <v>49942.64916666667</v>
      </c>
      <c r="C109" s="286">
        <f>'Prop Budget Summary'!AI37</f>
        <v>114459</v>
      </c>
      <c r="D109" s="105">
        <f t="shared" si="18"/>
        <v>-64516.35083333333</v>
      </c>
      <c r="E109" s="288">
        <f t="shared" si="19"/>
        <v>-0.56366341513846296</v>
      </c>
      <c r="F109" s="286">
        <v>115535.5432</v>
      </c>
      <c r="G109" s="105">
        <f t="shared" si="20"/>
        <v>-65592.89403333333</v>
      </c>
      <c r="H109" s="288">
        <f t="shared" si="21"/>
        <v>-0.56772913526521873</v>
      </c>
      <c r="I109" s="104"/>
      <c r="J109" s="105" t="s">
        <v>162</v>
      </c>
    </row>
    <row r="110" spans="1:10">
      <c r="A110" s="108" t="s">
        <v>161</v>
      </c>
      <c r="B110" s="105">
        <f>'Prop Budget Summary'!$N$37</f>
        <v>22580</v>
      </c>
      <c r="C110" s="286">
        <f>'Prop Budget Summary'!AF37</f>
        <v>52760</v>
      </c>
      <c r="D110" s="105">
        <f t="shared" si="18"/>
        <v>-30180</v>
      </c>
      <c r="E110" s="288">
        <f t="shared" si="19"/>
        <v>-0.57202426080363911</v>
      </c>
      <c r="F110" s="286">
        <v>51980</v>
      </c>
      <c r="G110" s="105">
        <f t="shared" si="20"/>
        <v>-29400</v>
      </c>
      <c r="H110" s="288">
        <f t="shared" si="21"/>
        <v>-0.56560215467487496</v>
      </c>
      <c r="I110" s="104"/>
    </row>
    <row r="111" spans="1:10">
      <c r="A111" s="110" t="s">
        <v>86</v>
      </c>
      <c r="B111" s="111">
        <f>SUM(B106:B110)</f>
        <v>408552.64631600003</v>
      </c>
      <c r="C111" s="289">
        <f>SUM(C106:C110)</f>
        <v>948289</v>
      </c>
      <c r="D111" s="111">
        <f t="shared" si="18"/>
        <v>-539736.35368399997</v>
      </c>
      <c r="E111" s="290">
        <f t="shared" si="19"/>
        <v>-0.5691686328577048</v>
      </c>
      <c r="F111" s="289">
        <f>SUM(F106:F110)</f>
        <v>931340.72525280004</v>
      </c>
      <c r="G111" s="111">
        <f t="shared" si="20"/>
        <v>-522788.07893680001</v>
      </c>
      <c r="H111" s="290">
        <f t="shared" si="21"/>
        <v>-0.56132848565695026</v>
      </c>
      <c r="I111" s="104"/>
    </row>
    <row r="112" spans="1:10">
      <c r="B112" s="104"/>
      <c r="C112" s="284"/>
      <c r="D112" s="104"/>
      <c r="E112" s="285"/>
      <c r="F112" s="284"/>
      <c r="G112" s="104"/>
      <c r="H112" s="285"/>
      <c r="I112" s="104"/>
    </row>
    <row r="113" spans="1:9" ht="16.2" thickBot="1">
      <c r="A113" s="108"/>
      <c r="C113" s="286"/>
      <c r="E113" s="287"/>
      <c r="F113" s="286"/>
      <c r="H113" s="287"/>
      <c r="I113" s="104"/>
    </row>
    <row r="114" spans="1:9" ht="18.600000000000001" thickBot="1">
      <c r="A114" s="624" t="s">
        <v>164</v>
      </c>
      <c r="B114" s="625"/>
      <c r="C114" s="625"/>
      <c r="D114" s="625"/>
      <c r="E114" s="625"/>
      <c r="F114" s="625"/>
      <c r="G114" s="625"/>
      <c r="H114" s="626"/>
      <c r="I114" s="104"/>
    </row>
    <row r="115" spans="1:9">
      <c r="A115" s="108" t="s">
        <v>155</v>
      </c>
      <c r="B115" s="105">
        <f>SUM('Prop Budget Summary'!$C$42:$K$42)</f>
        <v>459852.5</v>
      </c>
      <c r="C115" s="286">
        <f>'Prop Budget Summary'!AE42</f>
        <v>305908</v>
      </c>
      <c r="D115" s="105">
        <f t="shared" ref="D115:D120" si="22">B115-$C115</f>
        <v>153944.5</v>
      </c>
      <c r="E115" s="288">
        <f t="shared" ref="E115:E120" si="23">B115/$C115-1</f>
        <v>0.5032379015913282</v>
      </c>
      <c r="F115" s="286">
        <v>1323468.5</v>
      </c>
      <c r="G115" s="105">
        <f t="shared" ref="G115:G120" si="24">B115-$F115</f>
        <v>-863616</v>
      </c>
      <c r="H115" s="288">
        <f t="shared" ref="H115:H120" si="25">B115/$F115-1</f>
        <v>-0.65253989800286138</v>
      </c>
      <c r="I115" s="104"/>
    </row>
    <row r="116" spans="1:9">
      <c r="A116" s="108" t="s">
        <v>40</v>
      </c>
      <c r="B116" s="105">
        <f>'Prop Budget Summary'!$O$42</f>
        <v>19591.552588000002</v>
      </c>
      <c r="C116" s="286">
        <f>'Prop Budget Summary'!AG42</f>
        <v>32854</v>
      </c>
      <c r="D116" s="105">
        <f t="shared" si="22"/>
        <v>-13262.447411999998</v>
      </c>
      <c r="E116" s="288">
        <f t="shared" si="23"/>
        <v>-0.40367831655201791</v>
      </c>
      <c r="F116" s="286">
        <v>96987.673005230754</v>
      </c>
      <c r="G116" s="105">
        <f t="shared" si="24"/>
        <v>-77396.120417230748</v>
      </c>
      <c r="H116" s="288">
        <f t="shared" si="25"/>
        <v>-0.79799956034677333</v>
      </c>
      <c r="I116" s="104"/>
    </row>
    <row r="117" spans="1:9">
      <c r="A117" s="108" t="s">
        <v>156</v>
      </c>
      <c r="B117" s="105">
        <f>'Prop Budget Summary'!$P$42</f>
        <v>5278.2097200000007</v>
      </c>
      <c r="C117" s="286">
        <f>'Prop Budget Summary'!AH42</f>
        <v>11866</v>
      </c>
      <c r="D117" s="105">
        <f t="shared" si="22"/>
        <v>-6587.7902799999993</v>
      </c>
      <c r="E117" s="288">
        <f t="shared" si="23"/>
        <v>-0.55518205629529738</v>
      </c>
      <c r="F117" s="286">
        <v>12949.372427264001</v>
      </c>
      <c r="G117" s="105">
        <f t="shared" si="24"/>
        <v>-7671.1627072640003</v>
      </c>
      <c r="H117" s="288">
        <f t="shared" si="25"/>
        <v>-0.59239648487620156</v>
      </c>
      <c r="I117" s="104"/>
    </row>
    <row r="118" spans="1:9">
      <c r="A118" s="108" t="s">
        <v>14</v>
      </c>
      <c r="B118" s="105">
        <f>'Prop Budget Summary'!$Q$42</f>
        <v>21475.9391</v>
      </c>
      <c r="C118" s="286">
        <f>'Prop Budget Summary'!AI42</f>
        <v>51195</v>
      </c>
      <c r="D118" s="105">
        <f t="shared" si="22"/>
        <v>-29719.0609</v>
      </c>
      <c r="E118" s="288">
        <f t="shared" si="23"/>
        <v>-0.58050709834944825</v>
      </c>
      <c r="F118" s="286">
        <v>105007.41789999999</v>
      </c>
      <c r="G118" s="105">
        <f t="shared" si="24"/>
        <v>-83531.478799999983</v>
      </c>
      <c r="H118" s="288">
        <f t="shared" si="25"/>
        <v>-0.79548169520317291</v>
      </c>
      <c r="I118" s="104"/>
    </row>
    <row r="119" spans="1:9">
      <c r="A119" s="108" t="s">
        <v>161</v>
      </c>
      <c r="B119" s="105">
        <f>'Prop Budget Summary'!$N$42</f>
        <v>29050</v>
      </c>
      <c r="C119" s="286">
        <f>'Prop Budget Summary'!AF42</f>
        <v>76930</v>
      </c>
      <c r="D119" s="105">
        <f t="shared" si="22"/>
        <v>-47880</v>
      </c>
      <c r="E119" s="288">
        <f t="shared" si="23"/>
        <v>-0.62238398544131024</v>
      </c>
      <c r="F119" s="286">
        <v>91190</v>
      </c>
      <c r="G119" s="105">
        <f t="shared" si="24"/>
        <v>-62140</v>
      </c>
      <c r="H119" s="288">
        <f t="shared" si="25"/>
        <v>-0.68143436780348721</v>
      </c>
      <c r="I119" s="104"/>
    </row>
    <row r="120" spans="1:9">
      <c r="A120" s="110" t="s">
        <v>86</v>
      </c>
      <c r="B120" s="111">
        <f>SUM(B115:B119)</f>
        <v>535248.20140799996</v>
      </c>
      <c r="C120" s="289">
        <f>SUM(C115:C119)</f>
        <v>478753</v>
      </c>
      <c r="D120" s="111">
        <f t="shared" si="22"/>
        <v>56495.201407999964</v>
      </c>
      <c r="E120" s="290">
        <f t="shared" si="23"/>
        <v>0.11800490317136392</v>
      </c>
      <c r="F120" s="289">
        <f>SUM(F115:F119)</f>
        <v>1629602.9633324947</v>
      </c>
      <c r="G120" s="111">
        <f t="shared" si="24"/>
        <v>-1094354.7619244948</v>
      </c>
      <c r="H120" s="290">
        <f t="shared" si="25"/>
        <v>-0.67154686543191378</v>
      </c>
      <c r="I120" s="104"/>
    </row>
    <row r="121" spans="1:9">
      <c r="A121" s="104" t="s">
        <v>440</v>
      </c>
      <c r="B121" s="104"/>
      <c r="C121" s="284"/>
      <c r="D121" s="104"/>
      <c r="E121" s="285"/>
      <c r="F121" s="284"/>
      <c r="G121" s="104"/>
      <c r="H121" s="285"/>
      <c r="I121" s="104"/>
    </row>
    <row r="122" spans="1:9" ht="16.2" thickBot="1">
      <c r="B122" s="104"/>
      <c r="C122" s="284"/>
      <c r="D122" s="104"/>
      <c r="E122" s="285"/>
      <c r="F122" s="284"/>
      <c r="G122" s="104"/>
      <c r="H122" s="285"/>
      <c r="I122" s="104"/>
    </row>
    <row r="123" spans="1:9" ht="18.600000000000001" thickBot="1">
      <c r="A123" s="624" t="s">
        <v>165</v>
      </c>
      <c r="B123" s="625"/>
      <c r="C123" s="625"/>
      <c r="D123" s="625"/>
      <c r="E123" s="625"/>
      <c r="F123" s="625"/>
      <c r="G123" s="625"/>
      <c r="H123" s="626"/>
      <c r="I123" s="104"/>
    </row>
    <row r="124" spans="1:9">
      <c r="A124" s="108" t="s">
        <v>155</v>
      </c>
      <c r="B124" s="105">
        <f>SUM('Prop Budget Summary'!$C$51:$K$51)</f>
        <v>1222278.6666666667</v>
      </c>
      <c r="C124" s="286">
        <f>'Prop Budget Summary'!AE51</f>
        <v>2347002</v>
      </c>
      <c r="D124" s="105">
        <f t="shared" ref="D124:D128" si="26">B124-$C124</f>
        <v>-1124723.3333333333</v>
      </c>
      <c r="E124" s="288">
        <f t="shared" ref="E124:E128" si="27">B124/$C124-1</f>
        <v>-0.47921703233884472</v>
      </c>
      <c r="F124" s="286">
        <v>2285841.6666666665</v>
      </c>
      <c r="G124" s="105">
        <f t="shared" ref="G124:G129" si="28">B124-$F124</f>
        <v>-1063562.9999999998</v>
      </c>
      <c r="H124" s="288">
        <f t="shared" ref="H124:H129" si="29">B124/$F124-1</f>
        <v>-0.46528288267268436</v>
      </c>
      <c r="I124" s="104"/>
    </row>
    <row r="125" spans="1:9">
      <c r="A125" s="108" t="s">
        <v>40</v>
      </c>
      <c r="B125" s="105">
        <f>'Prop Budget Summary'!$O$51</f>
        <v>344080.16861148551</v>
      </c>
      <c r="C125" s="286">
        <f>'Prop Budget Summary'!AG51</f>
        <v>632116</v>
      </c>
      <c r="D125" s="105">
        <f t="shared" si="26"/>
        <v>-288035.83138851449</v>
      </c>
      <c r="E125" s="288">
        <f t="shared" si="27"/>
        <v>-0.45566926226913174</v>
      </c>
      <c r="F125" s="286">
        <v>672914.39205578831</v>
      </c>
      <c r="G125" s="105">
        <f t="shared" si="28"/>
        <v>-328834.2234443028</v>
      </c>
      <c r="H125" s="288">
        <f t="shared" si="29"/>
        <v>-0.48867170523682402</v>
      </c>
      <c r="I125" s="104"/>
    </row>
    <row r="126" spans="1:9">
      <c r="A126" s="108" t="s">
        <v>156</v>
      </c>
      <c r="B126" s="105">
        <f>'Prop Budget Summary'!$P$51</f>
        <v>15211.193776463999</v>
      </c>
      <c r="C126" s="286">
        <f>'Prop Budget Summary'!AH51</f>
        <v>28200</v>
      </c>
      <c r="D126" s="105">
        <f t="shared" si="26"/>
        <v>-12988.806223536001</v>
      </c>
      <c r="E126" s="288">
        <f t="shared" si="27"/>
        <v>-0.46059596537361702</v>
      </c>
      <c r="F126" s="286">
        <v>25272.813698160004</v>
      </c>
      <c r="G126" s="105">
        <f t="shared" si="28"/>
        <v>-10061.619921696005</v>
      </c>
      <c r="H126" s="288">
        <f t="shared" si="29"/>
        <v>-0.39812029012141792</v>
      </c>
      <c r="I126" s="104"/>
    </row>
    <row r="127" spans="1:9">
      <c r="A127" s="108" t="s">
        <v>14</v>
      </c>
      <c r="B127" s="105">
        <f>'Prop Budget Summary'!$Q$51</f>
        <v>207963.6841333333</v>
      </c>
      <c r="C127" s="286">
        <f>'Prop Budget Summary'!AI51</f>
        <v>389184</v>
      </c>
      <c r="D127" s="105">
        <f t="shared" si="26"/>
        <v>-181220.3158666667</v>
      </c>
      <c r="E127" s="288">
        <f t="shared" si="27"/>
        <v>-0.46564174238063927</v>
      </c>
      <c r="F127" s="286">
        <v>385802.85333333327</v>
      </c>
      <c r="G127" s="105">
        <f t="shared" si="28"/>
        <v>-177839.16919999997</v>
      </c>
      <c r="H127" s="288">
        <f t="shared" si="29"/>
        <v>-0.46095866752532055</v>
      </c>
      <c r="I127" s="104"/>
    </row>
    <row r="128" spans="1:9">
      <c r="A128" s="108" t="s">
        <v>161</v>
      </c>
      <c r="B128" s="105">
        <f>'Prop Budget Summary'!$N$51</f>
        <v>94070</v>
      </c>
      <c r="C128" s="286">
        <f>'Prop Budget Summary'!AF51</f>
        <v>181520</v>
      </c>
      <c r="D128" s="105">
        <f t="shared" si="26"/>
        <v>-87450</v>
      </c>
      <c r="E128" s="288">
        <f t="shared" si="27"/>
        <v>-0.48176509475539886</v>
      </c>
      <c r="F128" s="286">
        <v>175730</v>
      </c>
      <c r="G128" s="105">
        <f t="shared" si="28"/>
        <v>-81660</v>
      </c>
      <c r="H128" s="288">
        <f t="shared" si="29"/>
        <v>-0.46469014966141242</v>
      </c>
      <c r="I128" s="104"/>
    </row>
    <row r="129" spans="1:13">
      <c r="A129" s="110" t="s">
        <v>86</v>
      </c>
      <c r="B129" s="111">
        <f>SUM(B124:B128)</f>
        <v>1883603.7131879497</v>
      </c>
      <c r="C129" s="289">
        <f>SUM(C124:C128)</f>
        <v>3578022</v>
      </c>
      <c r="D129" s="111">
        <f>B129-$C129</f>
        <v>-1694418.2868120503</v>
      </c>
      <c r="E129" s="290">
        <f>B129/$C129-1</f>
        <v>-0.47356284752079514</v>
      </c>
      <c r="F129" s="289">
        <f>SUM(F124:F128)</f>
        <v>3545561.7257539481</v>
      </c>
      <c r="G129" s="111">
        <f t="shared" si="28"/>
        <v>-1661958.0125659984</v>
      </c>
      <c r="H129" s="290">
        <f t="shared" si="29"/>
        <v>-0.46874321789238915</v>
      </c>
      <c r="I129" s="104"/>
    </row>
    <row r="130" spans="1:13">
      <c r="C130" s="284"/>
      <c r="D130" s="104"/>
      <c r="E130" s="285"/>
      <c r="F130" s="284"/>
      <c r="G130" s="280"/>
      <c r="H130" s="294"/>
      <c r="I130" s="104"/>
    </row>
    <row r="131" spans="1:13" ht="16.2" thickBot="1">
      <c r="B131" s="104"/>
      <c r="C131" s="284"/>
      <c r="D131" s="104"/>
      <c r="E131" s="285"/>
      <c r="F131" s="284"/>
      <c r="G131" s="104"/>
      <c r="H131" s="285"/>
      <c r="I131" s="104"/>
    </row>
    <row r="132" spans="1:13" ht="18.600000000000001" thickBot="1">
      <c r="A132" s="624" t="s">
        <v>166</v>
      </c>
      <c r="B132" s="625"/>
      <c r="C132" s="625"/>
      <c r="D132" s="625"/>
      <c r="E132" s="625"/>
      <c r="F132" s="625"/>
      <c r="G132" s="625"/>
      <c r="H132" s="626"/>
      <c r="I132" s="104"/>
    </row>
    <row r="133" spans="1:13">
      <c r="A133" s="108" t="s">
        <v>155</v>
      </c>
      <c r="B133" s="105">
        <f>SUM('Prop Budget Summary'!$C$54:$K$54)</f>
        <v>205985.5</v>
      </c>
      <c r="C133" s="286">
        <f>'Prop Budget Summary'!AE54</f>
        <v>466093</v>
      </c>
      <c r="D133" s="105">
        <f t="shared" ref="D133:D138" si="30">B133-$C133</f>
        <v>-260107.5</v>
      </c>
      <c r="E133" s="288">
        <f t="shared" ref="E133:E138" si="31">B133/$C133-1</f>
        <v>-0.558059228523063</v>
      </c>
      <c r="F133" s="286">
        <v>453264.66666666669</v>
      </c>
      <c r="G133" s="105">
        <f t="shared" ref="G133:G138" si="32">B133-$F133</f>
        <v>-247279.16666666669</v>
      </c>
      <c r="H133" s="288">
        <f t="shared" ref="H133:H138" si="33">B133/$F133-1</f>
        <v>-0.54555138498919686</v>
      </c>
      <c r="I133" s="104"/>
    </row>
    <row r="134" spans="1:13">
      <c r="A134" s="108" t="s">
        <v>40</v>
      </c>
      <c r="B134" s="105">
        <f>'Prop Budget Summary'!$O$54</f>
        <v>40587.727451999999</v>
      </c>
      <c r="C134" s="286">
        <f>'Prop Budget Summary'!AG54</f>
        <v>105314</v>
      </c>
      <c r="D134" s="105">
        <f t="shared" si="30"/>
        <v>-64726.272548000001</v>
      </c>
      <c r="E134" s="288">
        <f t="shared" si="31"/>
        <v>-0.61460273608447125</v>
      </c>
      <c r="F134" s="286">
        <v>111202.800848</v>
      </c>
      <c r="G134" s="105">
        <f t="shared" si="32"/>
        <v>-70615.073395999992</v>
      </c>
      <c r="H134" s="288">
        <f t="shared" si="33"/>
        <v>-0.63501164410887245</v>
      </c>
      <c r="I134" s="104"/>
    </row>
    <row r="135" spans="1:13">
      <c r="A135" s="108" t="s">
        <v>156</v>
      </c>
      <c r="B135" s="105">
        <f>'Prop Budget Summary'!$P$54</f>
        <v>3441.9656544000009</v>
      </c>
      <c r="C135" s="286">
        <f>'Prop Budget Summary'!AH54</f>
        <v>9989</v>
      </c>
      <c r="D135" s="105">
        <f t="shared" si="30"/>
        <v>-6547.0343455999991</v>
      </c>
      <c r="E135" s="288">
        <f t="shared" si="31"/>
        <v>-0.65542440140154157</v>
      </c>
      <c r="F135" s="286">
        <v>8925.1782368000004</v>
      </c>
      <c r="G135" s="105">
        <f t="shared" si="32"/>
        <v>-5483.2125823999995</v>
      </c>
      <c r="H135" s="288">
        <f t="shared" si="33"/>
        <v>-0.61435328650264909</v>
      </c>
      <c r="I135" s="104"/>
      <c r="J135" s="104">
        <v>420889</v>
      </c>
      <c r="L135" s="57">
        <f>SUM(J135:K135)</f>
        <v>420889</v>
      </c>
      <c r="M135" s="367">
        <f>L135-D164</f>
        <v>21136794.261581834</v>
      </c>
    </row>
    <row r="136" spans="1:13">
      <c r="A136" s="108" t="s">
        <v>14</v>
      </c>
      <c r="B136" s="105">
        <f>'Prop Budget Summary'!$Q$54</f>
        <v>35099.7647</v>
      </c>
      <c r="C136" s="286">
        <f>'Prop Budget Summary'!AI54</f>
        <v>77293</v>
      </c>
      <c r="D136" s="105">
        <f t="shared" si="30"/>
        <v>-42193.2353</v>
      </c>
      <c r="E136" s="288">
        <f t="shared" si="31"/>
        <v>-0.54588688885151315</v>
      </c>
      <c r="F136" s="286">
        <v>77164.184533333333</v>
      </c>
      <c r="G136" s="105">
        <f t="shared" si="32"/>
        <v>-42064.419833333333</v>
      </c>
      <c r="H136" s="288">
        <f t="shared" si="33"/>
        <v>-0.54512880668313646</v>
      </c>
      <c r="I136" s="104"/>
    </row>
    <row r="137" spans="1:13">
      <c r="A137" s="108" t="s">
        <v>161</v>
      </c>
      <c r="B137" s="105">
        <f>'Prop Budget Summary'!$N$54</f>
        <v>15870</v>
      </c>
      <c r="C137" s="286">
        <f>'Prop Budget Summary'!AF54</f>
        <v>35790</v>
      </c>
      <c r="D137" s="105">
        <f t="shared" si="30"/>
        <v>-19920</v>
      </c>
      <c r="E137" s="288">
        <f t="shared" si="31"/>
        <v>-0.55658005029337798</v>
      </c>
      <c r="F137" s="286">
        <v>34880</v>
      </c>
      <c r="G137" s="105">
        <f t="shared" si="32"/>
        <v>-19010</v>
      </c>
      <c r="H137" s="288">
        <f t="shared" si="33"/>
        <v>-0.54501146788990829</v>
      </c>
      <c r="I137" s="104"/>
    </row>
    <row r="138" spans="1:13">
      <c r="A138" s="110" t="s">
        <v>86</v>
      </c>
      <c r="B138" s="111">
        <f>SUM(B133:B137)</f>
        <v>300984.95780640002</v>
      </c>
      <c r="C138" s="289">
        <f>SUM(C133:C137)</f>
        <v>694479</v>
      </c>
      <c r="D138" s="111">
        <f t="shared" si="30"/>
        <v>-393494.04219359998</v>
      </c>
      <c r="E138" s="290">
        <f t="shared" si="31"/>
        <v>-0.56660322658222917</v>
      </c>
      <c r="F138" s="289">
        <f>SUM(F133:F137)</f>
        <v>685436.83028480003</v>
      </c>
      <c r="G138" s="111">
        <f t="shared" si="32"/>
        <v>-384451.87247840001</v>
      </c>
      <c r="H138" s="290">
        <f t="shared" si="33"/>
        <v>-0.56088592776472146</v>
      </c>
      <c r="I138" s="104"/>
    </row>
    <row r="139" spans="1:13">
      <c r="B139" s="104"/>
      <c r="C139" s="284"/>
      <c r="D139" s="104"/>
      <c r="E139" s="285"/>
      <c r="F139" s="284"/>
      <c r="G139" s="104"/>
      <c r="H139" s="285"/>
      <c r="I139" s="104"/>
    </row>
    <row r="140" spans="1:13" ht="16.2" thickBot="1">
      <c r="B140" s="104"/>
      <c r="C140" s="284"/>
      <c r="D140" s="104"/>
      <c r="E140" s="285"/>
      <c r="F140" s="284"/>
      <c r="G140" s="104"/>
      <c r="H140" s="285"/>
      <c r="I140" s="104"/>
    </row>
    <row r="141" spans="1:13" ht="18.600000000000001" thickBot="1">
      <c r="A141" s="624" t="s">
        <v>169</v>
      </c>
      <c r="B141" s="625"/>
      <c r="C141" s="625"/>
      <c r="D141" s="625"/>
      <c r="E141" s="625"/>
      <c r="F141" s="625"/>
      <c r="G141" s="625"/>
      <c r="H141" s="626"/>
      <c r="I141" s="104"/>
    </row>
    <row r="142" spans="1:13">
      <c r="A142" s="108" t="s">
        <v>155</v>
      </c>
      <c r="B142" s="105" t="e">
        <f t="shared" ref="B142:C146" si="34">B88+B106+B115+B124+B133+B97</f>
        <v>#REF!</v>
      </c>
      <c r="C142" s="286" t="e">
        <f t="shared" si="34"/>
        <v>#REF!</v>
      </c>
      <c r="D142" s="105" t="e">
        <f t="shared" ref="D142:D147" si="35">B142-$C142</f>
        <v>#REF!</v>
      </c>
      <c r="E142" s="288" t="e">
        <f t="shared" ref="E142:E147" si="36">B142/$C142-1</f>
        <v>#REF!</v>
      </c>
      <c r="F142" s="286">
        <f>F88+F106+F115+F124+F133+F97</f>
        <v>24689690.220000003</v>
      </c>
      <c r="G142" s="105" t="e">
        <f t="shared" ref="G142:G147" si="37">B142-$F142</f>
        <v>#REF!</v>
      </c>
      <c r="H142" s="288" t="e">
        <f t="shared" ref="H142:H147" si="38">B142/$F142-1</f>
        <v>#REF!</v>
      </c>
      <c r="I142" s="104"/>
    </row>
    <row r="143" spans="1:13">
      <c r="A143" s="108" t="s">
        <v>40</v>
      </c>
      <c r="B143" s="105" t="e">
        <f t="shared" si="34"/>
        <v>#REF!</v>
      </c>
      <c r="C143" s="286" t="e">
        <f t="shared" si="34"/>
        <v>#REF!</v>
      </c>
      <c r="D143" s="105" t="e">
        <f t="shared" si="35"/>
        <v>#REF!</v>
      </c>
      <c r="E143" s="288" t="e">
        <f t="shared" si="36"/>
        <v>#REF!</v>
      </c>
      <c r="F143" s="286">
        <f>F89+F107+F116+F125+F134+F98</f>
        <v>4253855.7604445806</v>
      </c>
      <c r="G143" s="105" t="e">
        <f t="shared" si="37"/>
        <v>#REF!</v>
      </c>
      <c r="H143" s="288" t="e">
        <f t="shared" si="38"/>
        <v>#REF!</v>
      </c>
      <c r="I143" s="104"/>
    </row>
    <row r="144" spans="1:13">
      <c r="A144" s="108" t="s">
        <v>156</v>
      </c>
      <c r="B144" s="105" t="e">
        <f t="shared" si="34"/>
        <v>#REF!</v>
      </c>
      <c r="C144" s="286" t="e">
        <f t="shared" si="34"/>
        <v>#REF!</v>
      </c>
      <c r="D144" s="105" t="e">
        <f t="shared" si="35"/>
        <v>#REF!</v>
      </c>
      <c r="E144" s="288" t="e">
        <f t="shared" si="36"/>
        <v>#REF!</v>
      </c>
      <c r="F144" s="286">
        <f>F90+F108+F117+F126+F135+F99</f>
        <v>281274.35922045604</v>
      </c>
      <c r="G144" s="105" t="e">
        <f t="shared" si="37"/>
        <v>#REF!</v>
      </c>
      <c r="H144" s="288" t="e">
        <f t="shared" si="38"/>
        <v>#REF!</v>
      </c>
      <c r="I144" s="104"/>
    </row>
    <row r="145" spans="1:12">
      <c r="A145" s="108" t="s">
        <v>14</v>
      </c>
      <c r="B145" s="105" t="e">
        <f t="shared" si="34"/>
        <v>#REF!</v>
      </c>
      <c r="C145" s="286" t="e">
        <f t="shared" si="34"/>
        <v>#REF!</v>
      </c>
      <c r="D145" s="105" t="e">
        <f t="shared" si="35"/>
        <v>#REF!</v>
      </c>
      <c r="E145" s="288" t="e">
        <f t="shared" si="36"/>
        <v>#REF!</v>
      </c>
      <c r="F145" s="286">
        <f>F91+F109+F118+F127+F136+F100</f>
        <v>4037690.5402679997</v>
      </c>
      <c r="G145" s="105" t="e">
        <f t="shared" si="37"/>
        <v>#REF!</v>
      </c>
      <c r="H145" s="288" t="e">
        <f t="shared" si="38"/>
        <v>#REF!</v>
      </c>
      <c r="I145" s="104"/>
    </row>
    <row r="146" spans="1:12">
      <c r="A146" s="108" t="s">
        <v>161</v>
      </c>
      <c r="B146" s="105" t="e">
        <f t="shared" si="34"/>
        <v>#REF!</v>
      </c>
      <c r="C146" s="286" t="e">
        <f t="shared" si="34"/>
        <v>#REF!</v>
      </c>
      <c r="D146" s="105" t="e">
        <f t="shared" si="35"/>
        <v>#REF!</v>
      </c>
      <c r="E146" s="288" t="e">
        <f t="shared" si="36"/>
        <v>#REF!</v>
      </c>
      <c r="F146" s="286">
        <f>F92+F110+F119+F128+F137+F101</f>
        <v>1818220</v>
      </c>
      <c r="G146" s="105" t="e">
        <f t="shared" si="37"/>
        <v>#REF!</v>
      </c>
      <c r="H146" s="288" t="e">
        <f t="shared" si="38"/>
        <v>#REF!</v>
      </c>
      <c r="I146" s="104"/>
    </row>
    <row r="147" spans="1:12">
      <c r="A147" s="110" t="s">
        <v>86</v>
      </c>
      <c r="B147" s="111" t="e">
        <f>SUM(B142:B146)</f>
        <v>#REF!</v>
      </c>
      <c r="C147" s="289" t="e">
        <f>SUM(C142:C146)</f>
        <v>#REF!</v>
      </c>
      <c r="D147" s="111" t="e">
        <f t="shared" si="35"/>
        <v>#REF!</v>
      </c>
      <c r="E147" s="290" t="e">
        <f t="shared" si="36"/>
        <v>#REF!</v>
      </c>
      <c r="F147" s="289">
        <f>SUM(F142:F146)</f>
        <v>35080730.879933044</v>
      </c>
      <c r="G147" s="111" t="e">
        <f t="shared" si="37"/>
        <v>#REF!</v>
      </c>
      <c r="H147" s="290" t="e">
        <f t="shared" si="38"/>
        <v>#REF!</v>
      </c>
      <c r="I147" s="104"/>
    </row>
    <row r="148" spans="1:12" ht="16.2" thickBot="1">
      <c r="C148" s="291"/>
      <c r="D148" s="292"/>
      <c r="E148" s="293"/>
      <c r="F148" s="291"/>
      <c r="G148" s="295"/>
      <c r="H148" s="296"/>
      <c r="I148" s="104"/>
    </row>
    <row r="149" spans="1:12">
      <c r="B149" s="104"/>
      <c r="C149" s="104"/>
      <c r="D149" s="104"/>
      <c r="E149" s="104"/>
      <c r="F149" s="104"/>
      <c r="G149" s="104"/>
      <c r="H149" s="104"/>
      <c r="I149" s="104"/>
    </row>
    <row r="150" spans="1:12">
      <c r="C150" s="104"/>
      <c r="D150" s="104"/>
      <c r="E150" s="104"/>
      <c r="F150" s="104"/>
      <c r="H150" s="104"/>
      <c r="I150" s="104"/>
    </row>
    <row r="151" spans="1:12">
      <c r="B151" s="104"/>
      <c r="C151" s="104"/>
      <c r="D151" s="104"/>
      <c r="E151" s="104"/>
      <c r="F151" s="104"/>
      <c r="G151" s="104"/>
      <c r="H151" s="104"/>
      <c r="I151" s="104"/>
    </row>
    <row r="152" spans="1:12">
      <c r="B152" s="104"/>
      <c r="D152" s="104"/>
      <c r="E152" s="104"/>
      <c r="F152" s="104"/>
      <c r="G152" s="104"/>
      <c r="H152" s="104"/>
      <c r="I152" s="410">
        <v>26949762</v>
      </c>
      <c r="J152" s="410">
        <v>28100033</v>
      </c>
      <c r="K152" s="524">
        <f>J152-I152</f>
        <v>1150271</v>
      </c>
      <c r="L152" s="525">
        <f>J152/I152-1</f>
        <v>4.2682046691173037E-2</v>
      </c>
    </row>
    <row r="153" spans="1:12">
      <c r="B153" s="104"/>
      <c r="C153" s="104"/>
      <c r="D153" s="104"/>
      <c r="E153" s="104"/>
      <c r="F153" s="104"/>
      <c r="G153" s="109" t="e">
        <f>G147/500</f>
        <v>#REF!</v>
      </c>
      <c r="H153" s="104"/>
      <c r="I153" s="410">
        <v>3646370</v>
      </c>
      <c r="J153" s="410">
        <v>3636431</v>
      </c>
      <c r="K153" s="524">
        <f t="shared" ref="K153:K157" si="39">J153-I153</f>
        <v>-9939</v>
      </c>
      <c r="L153" s="525">
        <f t="shared" ref="L153:L158" si="40">J153/I153-1</f>
        <v>-2.7257244876410791E-3</v>
      </c>
    </row>
    <row r="154" spans="1:12">
      <c r="B154" s="104"/>
      <c r="C154" s="104"/>
      <c r="D154" s="104"/>
      <c r="E154" s="104"/>
      <c r="F154" s="104"/>
      <c r="G154" s="104"/>
      <c r="H154" s="104"/>
      <c r="I154" s="410">
        <v>706570</v>
      </c>
      <c r="J154" s="410">
        <v>681739</v>
      </c>
      <c r="K154" s="524">
        <f t="shared" si="39"/>
        <v>-24831</v>
      </c>
      <c r="L154" s="525">
        <f t="shared" si="40"/>
        <v>-3.5143014846370502E-2</v>
      </c>
    </row>
    <row r="155" spans="1:12">
      <c r="B155" s="104"/>
      <c r="C155" s="104"/>
      <c r="D155" s="104"/>
      <c r="E155" s="104"/>
      <c r="F155" s="104"/>
      <c r="G155" s="104"/>
      <c r="H155" s="104"/>
      <c r="I155" s="410">
        <v>911968</v>
      </c>
      <c r="J155" s="410">
        <v>947798</v>
      </c>
      <c r="K155" s="524">
        <f t="shared" si="39"/>
        <v>35830</v>
      </c>
      <c r="L155" s="525">
        <f t="shared" si="40"/>
        <v>3.9288659251201841E-2</v>
      </c>
    </row>
    <row r="156" spans="1:12">
      <c r="B156" s="104"/>
      <c r="C156" s="104"/>
      <c r="D156" s="104"/>
      <c r="E156" s="104"/>
      <c r="F156" s="104"/>
      <c r="G156" s="104"/>
      <c r="H156" s="104"/>
      <c r="I156" s="410">
        <v>1644966</v>
      </c>
      <c r="J156" s="410">
        <v>1664450</v>
      </c>
      <c r="K156" s="524">
        <f t="shared" si="39"/>
        <v>19484</v>
      </c>
      <c r="L156" s="525">
        <f t="shared" si="40"/>
        <v>1.1844621712546077E-2</v>
      </c>
    </row>
    <row r="157" spans="1:12">
      <c r="B157" s="104"/>
      <c r="C157" s="104"/>
      <c r="D157" s="104"/>
      <c r="E157" s="104"/>
      <c r="F157" s="104"/>
      <c r="G157" s="104"/>
      <c r="H157" s="104"/>
      <c r="I157" s="410">
        <v>112488</v>
      </c>
      <c r="J157" s="410">
        <v>117625</v>
      </c>
      <c r="K157" s="524">
        <f t="shared" si="39"/>
        <v>5137</v>
      </c>
      <c r="L157" s="525">
        <f t="shared" si="40"/>
        <v>4.5667093378849222E-2</v>
      </c>
    </row>
    <row r="158" spans="1:12">
      <c r="B158" s="104"/>
      <c r="C158" s="104"/>
      <c r="D158" s="104"/>
      <c r="E158" s="104"/>
      <c r="F158" s="104"/>
      <c r="G158" s="104"/>
      <c r="H158" s="104"/>
      <c r="I158" s="410">
        <f>SUM(I152:I157)</f>
        <v>33972124</v>
      </c>
      <c r="J158" s="410">
        <f>SUM(J152:J157)</f>
        <v>35148076</v>
      </c>
      <c r="K158" s="410">
        <f>SUM(K152:K157)</f>
        <v>1175952</v>
      </c>
      <c r="L158" s="525">
        <f t="shared" si="40"/>
        <v>3.4615203924252658E-2</v>
      </c>
    </row>
    <row r="159" spans="1:12">
      <c r="B159" s="104"/>
      <c r="C159" s="104"/>
      <c r="D159" s="104"/>
      <c r="E159" s="104"/>
      <c r="F159" s="104"/>
      <c r="G159" s="104"/>
      <c r="H159" s="104"/>
      <c r="I159" s="104"/>
    </row>
    <row r="160" spans="1:12">
      <c r="B160" s="104"/>
      <c r="C160" s="104"/>
      <c r="D160" s="104"/>
      <c r="E160" s="104"/>
      <c r="F160" s="104"/>
      <c r="G160" s="104"/>
      <c r="H160" s="104"/>
      <c r="I160" s="104"/>
    </row>
    <row r="161" spans="1:9">
      <c r="B161" s="104"/>
      <c r="C161" s="104"/>
      <c r="D161" s="104"/>
      <c r="E161" s="104"/>
      <c r="F161" s="104"/>
      <c r="G161" s="104"/>
      <c r="H161" s="104"/>
      <c r="I161" s="104"/>
    </row>
    <row r="162" spans="1:9">
      <c r="B162" s="104"/>
      <c r="C162" s="104"/>
      <c r="D162" s="104"/>
      <c r="E162" s="104"/>
      <c r="F162" s="104"/>
      <c r="G162" s="104"/>
      <c r="H162" s="104"/>
      <c r="I162" s="104"/>
    </row>
    <row r="163" spans="1:9">
      <c r="A163" s="104" t="s">
        <v>481</v>
      </c>
      <c r="B163" s="104" t="s">
        <v>482</v>
      </c>
      <c r="C163" s="104" t="s">
        <v>983</v>
      </c>
      <c r="D163" s="104" t="s">
        <v>483</v>
      </c>
      <c r="E163" s="104" t="s">
        <v>484</v>
      </c>
      <c r="F163" s="104"/>
      <c r="G163" s="104"/>
      <c r="H163" s="104"/>
      <c r="I163" s="104"/>
    </row>
    <row r="164" spans="1:9">
      <c r="A164" s="104" t="s">
        <v>154</v>
      </c>
      <c r="B164" s="105">
        <f>C93</f>
        <v>25919439</v>
      </c>
      <c r="C164" s="105">
        <f>B93</f>
        <v>5203533.7384181665</v>
      </c>
      <c r="D164" s="105">
        <f>C164-B164</f>
        <v>-20715905.261581834</v>
      </c>
      <c r="E164" s="106">
        <f>C164/B164-1</f>
        <v>-0.79924203844002306</v>
      </c>
      <c r="F164" s="104"/>
      <c r="G164" s="104"/>
      <c r="H164" s="104"/>
      <c r="I164" s="104"/>
    </row>
    <row r="165" spans="1:9">
      <c r="A165" s="104" t="s">
        <v>485</v>
      </c>
      <c r="B165" s="105">
        <f>C129</f>
        <v>3578022</v>
      </c>
      <c r="C165" s="105">
        <f>B129</f>
        <v>1883603.7131879497</v>
      </c>
      <c r="D165" s="105">
        <f t="shared" ref="D165:D172" si="41">C165-B165</f>
        <v>-1694418.2868120503</v>
      </c>
      <c r="E165" s="106">
        <f t="shared" ref="E165:E172" si="42">C165/B165-1</f>
        <v>-0.47356284752079514</v>
      </c>
      <c r="F165" s="104"/>
      <c r="G165" s="104"/>
      <c r="H165" s="104"/>
      <c r="I165" s="104"/>
    </row>
    <row r="166" spans="1:9">
      <c r="A166" s="104" t="s">
        <v>166</v>
      </c>
      <c r="B166" s="105">
        <f>C138</f>
        <v>694479</v>
      </c>
      <c r="C166" s="105">
        <f>B138</f>
        <v>300984.95780640002</v>
      </c>
      <c r="D166" s="105">
        <f t="shared" si="41"/>
        <v>-393494.04219359998</v>
      </c>
      <c r="E166" s="106">
        <f t="shared" si="42"/>
        <v>-0.56660322658222917</v>
      </c>
      <c r="F166" s="104"/>
      <c r="G166" s="104"/>
      <c r="H166" s="104"/>
      <c r="I166" s="104"/>
    </row>
    <row r="167" spans="1:9">
      <c r="A167" s="104" t="s">
        <v>486</v>
      </c>
      <c r="B167" s="105">
        <f>C111</f>
        <v>948289</v>
      </c>
      <c r="C167" s="105">
        <f>B111</f>
        <v>408552.64631600003</v>
      </c>
      <c r="D167" s="105">
        <f t="shared" si="41"/>
        <v>-539736.35368399997</v>
      </c>
      <c r="E167" s="106">
        <f t="shared" si="42"/>
        <v>-0.5691686328577048</v>
      </c>
      <c r="F167" s="104"/>
      <c r="G167" s="104"/>
      <c r="H167" s="104"/>
      <c r="I167" s="104"/>
    </row>
    <row r="168" spans="1:9">
      <c r="A168" s="104" t="s">
        <v>487</v>
      </c>
      <c r="B168" s="105">
        <f>C120</f>
        <v>478753</v>
      </c>
      <c r="C168" s="105">
        <f>B120</f>
        <v>535248.20140799996</v>
      </c>
      <c r="D168" s="105">
        <f t="shared" si="41"/>
        <v>56495.201407999964</v>
      </c>
      <c r="E168" s="106">
        <f t="shared" si="42"/>
        <v>0.11800490317136392</v>
      </c>
      <c r="F168" s="104"/>
      <c r="G168" s="104"/>
      <c r="H168" s="104"/>
      <c r="I168" s="104"/>
    </row>
    <row r="169" spans="1:9">
      <c r="A169" s="104" t="s">
        <v>488</v>
      </c>
      <c r="B169" s="105" t="e">
        <f>C102</f>
        <v>#REF!</v>
      </c>
      <c r="C169" s="105" t="e">
        <f>B102</f>
        <v>#REF!</v>
      </c>
      <c r="D169" s="105" t="e">
        <f t="shared" si="41"/>
        <v>#REF!</v>
      </c>
      <c r="E169" s="106" t="e">
        <f t="shared" si="42"/>
        <v>#REF!</v>
      </c>
      <c r="F169" s="104"/>
      <c r="G169" s="104"/>
      <c r="H169" s="104"/>
      <c r="I169" s="104"/>
    </row>
    <row r="170" spans="1:9">
      <c r="A170" s="104" t="s">
        <v>489</v>
      </c>
      <c r="B170" s="105" t="e">
        <f>#REF!</f>
        <v>#REF!</v>
      </c>
      <c r="C170" s="105" t="e">
        <f>#REF!</f>
        <v>#REF!</v>
      </c>
      <c r="D170" s="105" t="e">
        <f t="shared" si="41"/>
        <v>#REF!</v>
      </c>
      <c r="E170" s="106" t="e">
        <f t="shared" si="42"/>
        <v>#REF!</v>
      </c>
      <c r="F170" s="104"/>
      <c r="G170" s="104"/>
      <c r="H170" s="104"/>
      <c r="I170" s="104"/>
    </row>
    <row r="171" spans="1:9">
      <c r="A171" s="104" t="s">
        <v>490</v>
      </c>
      <c r="B171" s="366">
        <v>1400</v>
      </c>
      <c r="C171" s="366">
        <v>1400</v>
      </c>
      <c r="D171" s="105">
        <f t="shared" si="41"/>
        <v>0</v>
      </c>
      <c r="E171" s="106">
        <f t="shared" si="42"/>
        <v>0</v>
      </c>
      <c r="F171" s="104"/>
      <c r="G171" s="104"/>
      <c r="H171" s="104"/>
      <c r="I171" s="104"/>
    </row>
    <row r="172" spans="1:9">
      <c r="A172" s="104" t="s">
        <v>86</v>
      </c>
      <c r="B172" s="105" t="e">
        <f>SUM(B164:B171)</f>
        <v>#REF!</v>
      </c>
      <c r="C172" s="105" t="e">
        <f>SUM(C164:C171)</f>
        <v>#REF!</v>
      </c>
      <c r="D172" s="105" t="e">
        <f t="shared" si="41"/>
        <v>#REF!</v>
      </c>
      <c r="E172" s="106" t="e">
        <f t="shared" si="42"/>
        <v>#REF!</v>
      </c>
      <c r="F172" s="104"/>
      <c r="G172" s="104"/>
      <c r="H172" s="104"/>
      <c r="I172" s="104"/>
    </row>
    <row r="173" spans="1:9">
      <c r="B173" s="105" t="e">
        <f>B172-C147</f>
        <v>#REF!</v>
      </c>
      <c r="C173" s="105" t="e">
        <f>C172-B147</f>
        <v>#REF!</v>
      </c>
      <c r="D173" s="105" t="e">
        <f>D172-D147</f>
        <v>#REF!</v>
      </c>
      <c r="E173" s="104"/>
      <c r="F173" s="104"/>
      <c r="G173" s="104"/>
      <c r="H173" s="104"/>
      <c r="I173" s="104"/>
    </row>
    <row r="174" spans="1:9">
      <c r="B174" s="104"/>
      <c r="C174" s="104"/>
      <c r="D174" s="104"/>
      <c r="E174" s="104"/>
      <c r="F174" s="104"/>
      <c r="G174" s="104"/>
      <c r="H174" s="104"/>
      <c r="I174" s="104"/>
    </row>
    <row r="175" spans="1:9">
      <c r="B175" s="104"/>
      <c r="C175" s="104"/>
      <c r="D175" s="104"/>
      <c r="E175" s="104"/>
      <c r="F175" s="104"/>
      <c r="G175" s="104"/>
      <c r="H175" s="104"/>
      <c r="I175" s="104"/>
    </row>
    <row r="176" spans="1:9">
      <c r="B176" s="104"/>
      <c r="C176" s="104"/>
      <c r="D176" s="104"/>
      <c r="E176" s="104"/>
      <c r="F176" s="104"/>
      <c r="G176" s="104"/>
      <c r="H176" s="104"/>
      <c r="I176" s="104"/>
    </row>
    <row r="177" spans="2:9">
      <c r="B177" s="104"/>
      <c r="C177" s="104"/>
      <c r="D177" s="104"/>
      <c r="E177" s="104"/>
      <c r="F177" s="104"/>
      <c r="G177" s="104"/>
      <c r="H177" s="104"/>
      <c r="I177" s="104"/>
    </row>
    <row r="178" spans="2:9">
      <c r="B178" s="104"/>
      <c r="C178" s="104"/>
      <c r="D178" s="104"/>
      <c r="E178" s="104"/>
      <c r="F178" s="104"/>
      <c r="G178" s="104"/>
      <c r="H178" s="104"/>
      <c r="I178" s="104"/>
    </row>
    <row r="179" spans="2:9">
      <c r="B179" s="104"/>
      <c r="C179" s="104"/>
      <c r="D179" s="104"/>
      <c r="E179" s="104"/>
      <c r="F179" s="104"/>
      <c r="G179" s="104"/>
      <c r="H179" s="104"/>
      <c r="I179" s="104"/>
    </row>
    <row r="180" spans="2:9">
      <c r="B180" s="104"/>
      <c r="C180" s="104"/>
      <c r="D180" s="104"/>
      <c r="E180" s="104"/>
      <c r="F180" s="104"/>
      <c r="G180" s="104"/>
      <c r="H180" s="104"/>
      <c r="I180" s="104"/>
    </row>
    <row r="181" spans="2:9">
      <c r="B181" s="104"/>
      <c r="C181" s="104"/>
      <c r="D181" s="104"/>
      <c r="E181" s="104"/>
      <c r="F181" s="104"/>
      <c r="G181" s="104"/>
      <c r="H181" s="104"/>
      <c r="I181" s="104"/>
    </row>
    <row r="182" spans="2:9">
      <c r="B182" s="104"/>
      <c r="C182" s="104"/>
      <c r="D182" s="104"/>
      <c r="E182" s="104"/>
      <c r="F182" s="104"/>
      <c r="G182" s="104"/>
      <c r="H182" s="104"/>
      <c r="I182" s="104"/>
    </row>
    <row r="183" spans="2:9">
      <c r="B183" s="104"/>
      <c r="C183" s="104"/>
      <c r="D183" s="104"/>
      <c r="E183" s="104"/>
      <c r="F183" s="104"/>
      <c r="G183" s="104"/>
      <c r="H183" s="104"/>
      <c r="I183" s="104"/>
    </row>
    <row r="184" spans="2:9">
      <c r="B184" s="104"/>
      <c r="C184" s="104"/>
      <c r="D184" s="104"/>
      <c r="E184" s="104"/>
      <c r="F184" s="104"/>
      <c r="G184" s="104"/>
      <c r="H184" s="104"/>
      <c r="I184" s="104"/>
    </row>
    <row r="185" spans="2:9">
      <c r="B185" s="104"/>
      <c r="C185" s="104"/>
      <c r="D185" s="104"/>
      <c r="E185" s="104"/>
      <c r="F185" s="104"/>
      <c r="G185" s="104"/>
      <c r="H185" s="104"/>
      <c r="I185" s="104"/>
    </row>
    <row r="186" spans="2:9">
      <c r="B186" s="104"/>
      <c r="C186" s="104"/>
      <c r="D186" s="104"/>
      <c r="E186" s="104"/>
      <c r="F186" s="104"/>
      <c r="G186" s="104"/>
      <c r="H186" s="104"/>
      <c r="I186" s="104"/>
    </row>
    <row r="187" spans="2:9">
      <c r="B187" s="104"/>
      <c r="C187" s="104"/>
      <c r="D187" s="104"/>
      <c r="E187" s="104"/>
      <c r="F187" s="104"/>
      <c r="G187" s="104"/>
      <c r="H187" s="104"/>
      <c r="I187" s="104"/>
    </row>
    <row r="188" spans="2:9">
      <c r="B188" s="104"/>
      <c r="C188" s="104"/>
      <c r="D188" s="104"/>
      <c r="E188" s="104"/>
      <c r="F188" s="104"/>
      <c r="G188" s="104"/>
      <c r="H188" s="104"/>
      <c r="I188" s="104"/>
    </row>
    <row r="189" spans="2:9">
      <c r="B189" s="104"/>
      <c r="C189" s="104"/>
      <c r="D189" s="104"/>
      <c r="E189" s="104"/>
      <c r="F189" s="104"/>
      <c r="G189" s="104"/>
      <c r="H189" s="104"/>
      <c r="I189" s="104"/>
    </row>
    <row r="190" spans="2:9">
      <c r="B190" s="104"/>
      <c r="C190" s="104"/>
      <c r="D190" s="104"/>
      <c r="E190" s="104"/>
      <c r="F190" s="104"/>
      <c r="G190" s="104"/>
      <c r="H190" s="104"/>
      <c r="I190" s="104"/>
    </row>
    <row r="191" spans="2:9">
      <c r="B191" s="104"/>
      <c r="C191" s="104"/>
      <c r="D191" s="104"/>
      <c r="E191" s="104"/>
      <c r="F191" s="104"/>
      <c r="G191" s="104"/>
      <c r="H191" s="104"/>
      <c r="I191" s="104"/>
    </row>
    <row r="192" spans="2:9">
      <c r="B192" s="104"/>
      <c r="C192" s="104"/>
      <c r="D192" s="104"/>
      <c r="E192" s="104"/>
      <c r="F192" s="104"/>
      <c r="G192" s="104"/>
      <c r="H192" s="104"/>
      <c r="I192" s="104"/>
    </row>
    <row r="193" spans="2:9">
      <c r="B193" s="104"/>
      <c r="C193" s="104"/>
      <c r="D193" s="104"/>
      <c r="E193" s="104"/>
      <c r="F193" s="104"/>
      <c r="G193" s="104"/>
      <c r="H193" s="104"/>
      <c r="I193" s="104"/>
    </row>
    <row r="194" spans="2:9">
      <c r="B194" s="104"/>
      <c r="C194" s="104"/>
      <c r="D194" s="104"/>
      <c r="E194" s="104"/>
      <c r="F194" s="104"/>
      <c r="G194" s="104"/>
      <c r="H194" s="104"/>
      <c r="I194" s="104"/>
    </row>
    <row r="195" spans="2:9">
      <c r="B195" s="104"/>
      <c r="C195" s="104"/>
      <c r="D195" s="104"/>
      <c r="E195" s="104"/>
      <c r="F195" s="104"/>
      <c r="G195" s="104"/>
      <c r="H195" s="104"/>
      <c r="I195" s="104"/>
    </row>
    <row r="196" spans="2:9">
      <c r="B196" s="104"/>
      <c r="C196" s="104"/>
      <c r="D196" s="104"/>
      <c r="E196" s="104"/>
      <c r="F196" s="104"/>
      <c r="G196" s="104"/>
      <c r="H196" s="104"/>
      <c r="I196" s="104"/>
    </row>
    <row r="197" spans="2:9">
      <c r="B197" s="104"/>
      <c r="C197" s="104"/>
      <c r="D197" s="104"/>
      <c r="E197" s="104"/>
      <c r="F197" s="104"/>
      <c r="G197" s="104"/>
      <c r="H197" s="104"/>
      <c r="I197" s="104"/>
    </row>
    <row r="198" spans="2:9">
      <c r="B198" s="104"/>
      <c r="C198" s="104"/>
      <c r="D198" s="104"/>
      <c r="E198" s="104"/>
      <c r="F198" s="104"/>
      <c r="G198" s="104"/>
      <c r="H198" s="104"/>
      <c r="I198" s="104"/>
    </row>
    <row r="199" spans="2:9">
      <c r="B199" s="104"/>
      <c r="C199" s="104"/>
      <c r="D199" s="104"/>
      <c r="E199" s="104"/>
      <c r="F199" s="104"/>
      <c r="G199" s="104"/>
      <c r="H199" s="104"/>
      <c r="I199" s="104"/>
    </row>
    <row r="200" spans="2:9">
      <c r="B200" s="104"/>
      <c r="C200" s="104"/>
      <c r="D200" s="104"/>
      <c r="E200" s="104"/>
      <c r="F200" s="104"/>
      <c r="G200" s="104"/>
      <c r="H200" s="104"/>
      <c r="I200" s="104"/>
    </row>
    <row r="201" spans="2:9">
      <c r="B201" s="104"/>
      <c r="C201" s="104"/>
      <c r="D201" s="104"/>
      <c r="E201" s="104"/>
      <c r="F201" s="104"/>
      <c r="G201" s="104"/>
      <c r="H201" s="104"/>
      <c r="I201" s="104"/>
    </row>
    <row r="202" spans="2:9">
      <c r="B202" s="104"/>
      <c r="C202" s="104"/>
      <c r="D202" s="104"/>
      <c r="E202" s="104"/>
      <c r="F202" s="104"/>
      <c r="G202" s="104"/>
      <c r="H202" s="104"/>
      <c r="I202" s="104"/>
    </row>
    <row r="203" spans="2:9">
      <c r="B203" s="104"/>
      <c r="C203" s="104"/>
      <c r="D203" s="104"/>
      <c r="E203" s="104"/>
      <c r="F203" s="104"/>
      <c r="G203" s="104"/>
      <c r="H203" s="104"/>
      <c r="I203" s="104"/>
    </row>
    <row r="204" spans="2:9">
      <c r="B204" s="104"/>
      <c r="C204" s="104"/>
      <c r="D204" s="104"/>
      <c r="E204" s="104"/>
      <c r="F204" s="104"/>
      <c r="G204" s="104"/>
      <c r="H204" s="104"/>
      <c r="I204" s="104"/>
    </row>
    <row r="205" spans="2:9">
      <c r="B205" s="104"/>
      <c r="C205" s="104"/>
      <c r="D205" s="104"/>
      <c r="E205" s="104"/>
      <c r="F205" s="104"/>
      <c r="G205" s="104"/>
      <c r="H205" s="104"/>
      <c r="I205" s="104"/>
    </row>
    <row r="206" spans="2:9">
      <c r="B206" s="104"/>
      <c r="C206" s="104"/>
      <c r="D206" s="104"/>
      <c r="E206" s="104"/>
      <c r="F206" s="104"/>
      <c r="G206" s="104"/>
      <c r="H206" s="104"/>
      <c r="I206" s="104"/>
    </row>
    <row r="207" spans="2:9">
      <c r="B207" s="104"/>
      <c r="C207" s="104"/>
      <c r="D207" s="104"/>
      <c r="E207" s="104"/>
      <c r="F207" s="104"/>
      <c r="G207" s="104"/>
      <c r="H207" s="104"/>
      <c r="I207" s="104"/>
    </row>
    <row r="208" spans="2:9">
      <c r="B208" s="104"/>
      <c r="C208" s="104"/>
      <c r="D208" s="104"/>
      <c r="E208" s="104"/>
      <c r="F208" s="104"/>
      <c r="G208" s="104"/>
      <c r="H208" s="104"/>
      <c r="I208" s="104"/>
    </row>
    <row r="209" spans="2:9">
      <c r="B209" s="104"/>
      <c r="C209" s="104"/>
      <c r="D209" s="104"/>
      <c r="E209" s="104"/>
      <c r="F209" s="104"/>
      <c r="G209" s="104"/>
      <c r="H209" s="104"/>
      <c r="I209" s="104"/>
    </row>
    <row r="210" spans="2:9">
      <c r="B210" s="104"/>
      <c r="C210" s="104"/>
      <c r="D210" s="104"/>
      <c r="E210" s="104"/>
      <c r="F210" s="104"/>
      <c r="G210" s="104"/>
      <c r="H210" s="104"/>
      <c r="I210" s="104"/>
    </row>
    <row r="211" spans="2:9">
      <c r="B211" s="104"/>
      <c r="C211" s="104"/>
      <c r="D211" s="104"/>
      <c r="E211" s="104"/>
      <c r="F211" s="104"/>
      <c r="G211" s="104"/>
      <c r="H211" s="104"/>
      <c r="I211" s="104"/>
    </row>
    <row r="212" spans="2:9">
      <c r="B212" s="104"/>
      <c r="C212" s="104"/>
      <c r="D212" s="104"/>
      <c r="E212" s="104"/>
      <c r="F212" s="104"/>
      <c r="G212" s="104"/>
      <c r="H212" s="104"/>
      <c r="I212" s="104"/>
    </row>
    <row r="213" spans="2:9">
      <c r="B213" s="104"/>
      <c r="C213" s="104"/>
      <c r="D213" s="104"/>
      <c r="E213" s="104"/>
      <c r="F213" s="104"/>
      <c r="G213" s="104"/>
      <c r="H213" s="104"/>
      <c r="I213" s="104"/>
    </row>
    <row r="214" spans="2:9">
      <c r="B214" s="104"/>
      <c r="C214" s="104"/>
      <c r="D214" s="104"/>
      <c r="E214" s="104"/>
      <c r="F214" s="104"/>
      <c r="G214" s="104"/>
      <c r="H214" s="104"/>
      <c r="I214" s="104"/>
    </row>
    <row r="215" spans="2:9">
      <c r="B215" s="104"/>
      <c r="C215" s="104"/>
      <c r="D215" s="104"/>
      <c r="E215" s="104"/>
      <c r="F215" s="104"/>
      <c r="G215" s="104"/>
      <c r="H215" s="104"/>
      <c r="I215" s="104"/>
    </row>
    <row r="216" spans="2:9">
      <c r="B216" s="104"/>
      <c r="C216" s="104"/>
      <c r="D216" s="104"/>
      <c r="E216" s="104"/>
      <c r="F216" s="104"/>
      <c r="G216" s="104"/>
      <c r="H216" s="104"/>
      <c r="I216" s="104"/>
    </row>
    <row r="217" spans="2:9">
      <c r="B217" s="104"/>
      <c r="C217" s="104"/>
      <c r="D217" s="104"/>
      <c r="E217" s="104"/>
      <c r="F217" s="104"/>
      <c r="G217" s="104"/>
      <c r="H217" s="104"/>
      <c r="I217" s="104"/>
    </row>
    <row r="218" spans="2:9">
      <c r="B218" s="104"/>
      <c r="C218" s="104"/>
      <c r="D218" s="104"/>
      <c r="E218" s="104"/>
      <c r="F218" s="104"/>
      <c r="G218" s="104"/>
      <c r="H218" s="104"/>
      <c r="I218" s="104"/>
    </row>
    <row r="219" spans="2:9">
      <c r="B219" s="104"/>
      <c r="C219" s="104"/>
      <c r="D219" s="104"/>
      <c r="E219" s="104"/>
      <c r="F219" s="104"/>
      <c r="G219" s="104"/>
      <c r="H219" s="104"/>
      <c r="I219" s="104"/>
    </row>
    <row r="220" spans="2:9">
      <c r="B220" s="104"/>
      <c r="C220" s="104"/>
      <c r="D220" s="104"/>
      <c r="E220" s="104"/>
      <c r="F220" s="104"/>
      <c r="G220" s="104"/>
      <c r="H220" s="104"/>
      <c r="I220" s="104"/>
    </row>
    <row r="221" spans="2:9">
      <c r="B221" s="104"/>
      <c r="C221" s="104"/>
      <c r="D221" s="104"/>
      <c r="E221" s="104"/>
      <c r="F221" s="104"/>
      <c r="G221" s="104"/>
      <c r="H221" s="104"/>
      <c r="I221" s="104"/>
    </row>
    <row r="222" spans="2:9">
      <c r="B222" s="104"/>
      <c r="C222" s="104"/>
      <c r="D222" s="104"/>
      <c r="E222" s="104"/>
      <c r="F222" s="104"/>
      <c r="G222" s="104"/>
      <c r="H222" s="104"/>
      <c r="I222" s="104"/>
    </row>
    <row r="223" spans="2:9">
      <c r="B223" s="104"/>
      <c r="C223" s="104"/>
      <c r="D223" s="104"/>
      <c r="E223" s="104"/>
      <c r="F223" s="104"/>
      <c r="G223" s="104"/>
      <c r="H223" s="104"/>
      <c r="I223" s="104"/>
    </row>
    <row r="224" spans="2:9">
      <c r="B224" s="104"/>
      <c r="C224" s="104"/>
      <c r="D224" s="104"/>
      <c r="E224" s="104"/>
      <c r="F224" s="104"/>
      <c r="G224" s="104"/>
      <c r="H224" s="104"/>
      <c r="I224" s="104"/>
    </row>
    <row r="225" spans="2:9">
      <c r="B225" s="104"/>
      <c r="C225" s="104"/>
      <c r="D225" s="104"/>
      <c r="E225" s="104"/>
      <c r="F225" s="104"/>
      <c r="G225" s="104"/>
      <c r="H225" s="104"/>
      <c r="I225" s="104"/>
    </row>
    <row r="226" spans="2:9">
      <c r="B226" s="104"/>
      <c r="C226" s="104"/>
      <c r="D226" s="104"/>
      <c r="E226" s="104"/>
      <c r="F226" s="104"/>
      <c r="G226" s="104"/>
      <c r="H226" s="104"/>
      <c r="I226" s="104"/>
    </row>
    <row r="227" spans="2:9">
      <c r="B227" s="104"/>
      <c r="C227" s="104"/>
      <c r="D227" s="104"/>
      <c r="E227" s="104"/>
      <c r="F227" s="104"/>
      <c r="G227" s="104"/>
      <c r="H227" s="104"/>
      <c r="I227" s="104"/>
    </row>
    <row r="228" spans="2:9">
      <c r="B228" s="104"/>
      <c r="C228" s="104"/>
      <c r="D228" s="104"/>
      <c r="E228" s="104"/>
      <c r="F228" s="104"/>
      <c r="G228" s="104"/>
      <c r="H228" s="104"/>
      <c r="I228" s="104"/>
    </row>
    <row r="229" spans="2:9">
      <c r="B229" s="104"/>
      <c r="C229" s="104"/>
      <c r="D229" s="104"/>
      <c r="E229" s="104"/>
      <c r="F229" s="104"/>
      <c r="G229" s="104"/>
      <c r="H229" s="104"/>
      <c r="I229" s="104"/>
    </row>
    <row r="230" spans="2:9">
      <c r="B230" s="104"/>
      <c r="C230" s="104"/>
      <c r="D230" s="104"/>
      <c r="E230" s="104"/>
      <c r="F230" s="104"/>
      <c r="G230" s="104"/>
      <c r="H230" s="104"/>
      <c r="I230" s="104"/>
    </row>
    <row r="231" spans="2:9">
      <c r="B231" s="104"/>
      <c r="C231" s="104"/>
      <c r="D231" s="104"/>
      <c r="E231" s="104"/>
      <c r="F231" s="104"/>
      <c r="G231" s="104"/>
      <c r="H231" s="104"/>
      <c r="I231" s="104"/>
    </row>
    <row r="232" spans="2:9">
      <c r="B232" s="104"/>
      <c r="C232" s="104"/>
      <c r="D232" s="104"/>
      <c r="E232" s="104"/>
      <c r="F232" s="104"/>
      <c r="G232" s="104"/>
      <c r="H232" s="104"/>
      <c r="I232" s="104"/>
    </row>
    <row r="233" spans="2:9">
      <c r="B233" s="104"/>
      <c r="C233" s="104"/>
      <c r="D233" s="104"/>
      <c r="E233" s="104"/>
      <c r="F233" s="104"/>
      <c r="G233" s="104"/>
      <c r="H233" s="104"/>
      <c r="I233" s="104"/>
    </row>
    <row r="234" spans="2:9">
      <c r="B234" s="104"/>
      <c r="C234" s="104"/>
      <c r="D234" s="104"/>
      <c r="E234" s="104"/>
      <c r="F234" s="104"/>
      <c r="G234" s="104"/>
      <c r="H234" s="104"/>
      <c r="I234" s="104"/>
    </row>
    <row r="235" spans="2:9">
      <c r="B235" s="104"/>
      <c r="C235" s="104"/>
      <c r="D235" s="104"/>
      <c r="E235" s="104"/>
      <c r="F235" s="104"/>
      <c r="G235" s="104"/>
      <c r="H235" s="104"/>
      <c r="I235" s="104"/>
    </row>
    <row r="236" spans="2:9">
      <c r="B236" s="104"/>
      <c r="C236" s="104"/>
      <c r="D236" s="104"/>
      <c r="E236" s="104"/>
      <c r="F236" s="104"/>
      <c r="G236" s="104"/>
      <c r="H236" s="104"/>
      <c r="I236" s="104"/>
    </row>
    <row r="237" spans="2:9">
      <c r="B237" s="104"/>
      <c r="C237" s="104"/>
      <c r="D237" s="104"/>
      <c r="E237" s="104"/>
      <c r="F237" s="104"/>
      <c r="G237" s="104"/>
      <c r="H237" s="104"/>
      <c r="I237" s="104"/>
    </row>
    <row r="238" spans="2:9">
      <c r="B238" s="104"/>
      <c r="C238" s="104"/>
      <c r="D238" s="104"/>
      <c r="E238" s="104"/>
      <c r="F238" s="104"/>
      <c r="G238" s="104"/>
      <c r="H238" s="104"/>
      <c r="I238" s="104"/>
    </row>
    <row r="239" spans="2:9">
      <c r="B239" s="104"/>
      <c r="C239" s="104"/>
      <c r="D239" s="104"/>
      <c r="E239" s="104"/>
      <c r="F239" s="104"/>
      <c r="G239" s="104"/>
      <c r="H239" s="104"/>
      <c r="I239" s="104"/>
    </row>
    <row r="240" spans="2:9">
      <c r="B240" s="104"/>
      <c r="C240" s="104"/>
      <c r="D240" s="104"/>
      <c r="E240" s="104"/>
      <c r="F240" s="104"/>
      <c r="G240" s="104"/>
      <c r="H240" s="104"/>
      <c r="I240" s="104"/>
    </row>
    <row r="241" spans="2:9">
      <c r="B241" s="104"/>
      <c r="C241" s="104"/>
      <c r="D241" s="104"/>
      <c r="E241" s="104"/>
      <c r="F241" s="104"/>
      <c r="G241" s="104"/>
      <c r="H241" s="104"/>
      <c r="I241" s="104"/>
    </row>
    <row r="242" spans="2:9">
      <c r="B242" s="104"/>
      <c r="C242" s="104"/>
      <c r="D242" s="104"/>
      <c r="E242" s="104"/>
      <c r="F242" s="104"/>
      <c r="G242" s="104"/>
      <c r="H242" s="104"/>
      <c r="I242" s="104"/>
    </row>
    <row r="243" spans="2:9">
      <c r="B243" s="104"/>
      <c r="C243" s="104"/>
      <c r="D243" s="104"/>
      <c r="E243" s="104"/>
      <c r="F243" s="104"/>
      <c r="G243" s="104"/>
      <c r="H243" s="104"/>
      <c r="I243" s="104"/>
    </row>
    <row r="244" spans="2:9">
      <c r="B244" s="104"/>
      <c r="C244" s="104"/>
      <c r="D244" s="104"/>
      <c r="E244" s="104"/>
      <c r="F244" s="104"/>
      <c r="G244" s="104"/>
      <c r="H244" s="104"/>
      <c r="I244" s="104"/>
    </row>
    <row r="245" spans="2:9">
      <c r="B245" s="104"/>
      <c r="C245" s="104"/>
      <c r="D245" s="104"/>
      <c r="E245" s="104"/>
      <c r="F245" s="104"/>
      <c r="G245" s="104"/>
      <c r="H245" s="104"/>
      <c r="I245" s="104"/>
    </row>
    <row r="246" spans="2:9">
      <c r="B246" s="104"/>
      <c r="C246" s="104"/>
      <c r="D246" s="104"/>
      <c r="E246" s="104"/>
      <c r="F246" s="104"/>
      <c r="G246" s="104"/>
      <c r="H246" s="104"/>
      <c r="I246" s="104"/>
    </row>
    <row r="247" spans="2:9">
      <c r="B247" s="104"/>
      <c r="C247" s="104"/>
      <c r="D247" s="104"/>
      <c r="E247" s="104"/>
      <c r="F247" s="104"/>
      <c r="G247" s="104"/>
      <c r="H247" s="104"/>
      <c r="I247" s="104"/>
    </row>
    <row r="248" spans="2:9">
      <c r="B248" s="104"/>
      <c r="C248" s="104"/>
      <c r="D248" s="104"/>
      <c r="E248" s="104"/>
      <c r="F248" s="104"/>
      <c r="G248" s="104"/>
      <c r="H248" s="104"/>
      <c r="I248" s="104"/>
    </row>
    <row r="249" spans="2:9">
      <c r="B249" s="104"/>
      <c r="C249" s="104"/>
      <c r="D249" s="104"/>
      <c r="E249" s="104"/>
      <c r="F249" s="104"/>
      <c r="G249" s="104"/>
      <c r="H249" s="104"/>
      <c r="I249" s="104"/>
    </row>
    <row r="250" spans="2:9">
      <c r="B250" s="104"/>
      <c r="C250" s="104"/>
      <c r="D250" s="104"/>
      <c r="E250" s="104"/>
      <c r="F250" s="104"/>
      <c r="G250" s="104"/>
      <c r="H250" s="104"/>
      <c r="I250" s="104"/>
    </row>
    <row r="251" spans="2:9">
      <c r="B251" s="104"/>
      <c r="C251" s="104"/>
      <c r="D251" s="104"/>
      <c r="E251" s="104"/>
      <c r="F251" s="104"/>
      <c r="G251" s="104"/>
      <c r="H251" s="104"/>
      <c r="I251" s="104"/>
    </row>
    <row r="252" spans="2:9">
      <c r="B252" s="104"/>
      <c r="C252" s="104"/>
      <c r="D252" s="104"/>
      <c r="E252" s="104"/>
      <c r="F252" s="104"/>
      <c r="G252" s="104"/>
      <c r="H252" s="104"/>
      <c r="I252" s="104"/>
    </row>
    <row r="253" spans="2:9">
      <c r="B253" s="104"/>
      <c r="C253" s="104"/>
      <c r="D253" s="104"/>
      <c r="E253" s="104"/>
      <c r="F253" s="104"/>
      <c r="G253" s="104"/>
      <c r="H253" s="104"/>
      <c r="I253" s="104"/>
    </row>
    <row r="254" spans="2:9">
      <c r="B254" s="104"/>
      <c r="C254" s="104"/>
      <c r="D254" s="104"/>
      <c r="E254" s="104"/>
      <c r="F254" s="104"/>
      <c r="G254" s="104"/>
      <c r="H254" s="104"/>
      <c r="I254" s="104"/>
    </row>
    <row r="255" spans="2:9">
      <c r="B255" s="104"/>
      <c r="C255" s="104"/>
      <c r="D255" s="104"/>
      <c r="E255" s="104"/>
      <c r="F255" s="104"/>
      <c r="G255" s="104"/>
      <c r="H255" s="104"/>
      <c r="I255" s="104"/>
    </row>
    <row r="256" spans="2:9">
      <c r="B256" s="104"/>
      <c r="C256" s="104"/>
      <c r="D256" s="104"/>
      <c r="E256" s="104"/>
      <c r="F256" s="104"/>
      <c r="G256" s="104"/>
      <c r="H256" s="104"/>
      <c r="I256" s="104"/>
    </row>
    <row r="257" spans="2:9">
      <c r="B257" s="104"/>
      <c r="C257" s="104"/>
      <c r="D257" s="104"/>
      <c r="E257" s="104"/>
      <c r="F257" s="104"/>
      <c r="G257" s="104"/>
      <c r="H257" s="104"/>
      <c r="I257" s="104"/>
    </row>
    <row r="258" spans="2:9">
      <c r="B258" s="104"/>
      <c r="C258" s="104"/>
      <c r="D258" s="104"/>
      <c r="E258" s="104"/>
      <c r="F258" s="104"/>
      <c r="G258" s="104"/>
      <c r="H258" s="104"/>
      <c r="I258" s="104"/>
    </row>
    <row r="259" spans="2:9">
      <c r="B259" s="104"/>
      <c r="C259" s="104"/>
      <c r="D259" s="104"/>
      <c r="E259" s="104"/>
      <c r="F259" s="104"/>
      <c r="G259" s="104"/>
      <c r="H259" s="104"/>
      <c r="I259" s="104"/>
    </row>
    <row r="260" spans="2:9">
      <c r="B260" s="104"/>
      <c r="C260" s="104"/>
      <c r="D260" s="104"/>
      <c r="E260" s="104"/>
      <c r="F260" s="104"/>
      <c r="G260" s="104"/>
      <c r="H260" s="104"/>
      <c r="I260" s="104"/>
    </row>
    <row r="261" spans="2:9">
      <c r="B261" s="104"/>
      <c r="C261" s="104"/>
      <c r="D261" s="104"/>
      <c r="E261" s="104"/>
      <c r="F261" s="104"/>
      <c r="G261" s="104"/>
      <c r="H261" s="104"/>
      <c r="I261" s="104"/>
    </row>
    <row r="262" spans="2:9">
      <c r="B262" s="104"/>
      <c r="C262" s="104"/>
      <c r="D262" s="104"/>
      <c r="E262" s="104"/>
      <c r="F262" s="104"/>
      <c r="G262" s="104"/>
      <c r="H262" s="104"/>
      <c r="I262" s="104"/>
    </row>
    <row r="263" spans="2:9">
      <c r="B263" s="104"/>
      <c r="C263" s="104"/>
      <c r="D263" s="104"/>
      <c r="E263" s="104"/>
      <c r="F263" s="104"/>
      <c r="G263" s="104"/>
      <c r="H263" s="104"/>
      <c r="I263" s="104"/>
    </row>
    <row r="264" spans="2:9">
      <c r="B264" s="104"/>
      <c r="C264" s="104"/>
      <c r="D264" s="104"/>
      <c r="E264" s="104"/>
      <c r="F264" s="104"/>
      <c r="G264" s="104"/>
      <c r="H264" s="104"/>
      <c r="I264" s="104"/>
    </row>
    <row r="265" spans="2:9">
      <c r="B265" s="104"/>
      <c r="C265" s="104"/>
      <c r="D265" s="104"/>
      <c r="E265" s="104"/>
      <c r="F265" s="104"/>
      <c r="G265" s="104"/>
      <c r="H265" s="104"/>
      <c r="I265" s="104"/>
    </row>
    <row r="266" spans="2:9">
      <c r="B266" s="104"/>
      <c r="C266" s="104"/>
      <c r="D266" s="104"/>
      <c r="E266" s="104"/>
      <c r="F266" s="104"/>
      <c r="G266" s="104"/>
      <c r="H266" s="104"/>
      <c r="I266" s="104"/>
    </row>
    <row r="267" spans="2:9">
      <c r="B267" s="104"/>
      <c r="C267" s="104"/>
      <c r="D267" s="104"/>
      <c r="E267" s="104"/>
      <c r="F267" s="104"/>
      <c r="G267" s="104"/>
      <c r="H267" s="104"/>
      <c r="I267" s="104"/>
    </row>
    <row r="268" spans="2:9">
      <c r="B268" s="104"/>
      <c r="C268" s="104"/>
      <c r="D268" s="104"/>
      <c r="E268" s="104"/>
      <c r="F268" s="104"/>
      <c r="G268" s="104"/>
      <c r="H268" s="104"/>
      <c r="I268" s="104"/>
    </row>
    <row r="269" spans="2:9">
      <c r="B269" s="104"/>
      <c r="C269" s="104"/>
      <c r="D269" s="104"/>
      <c r="E269" s="104"/>
      <c r="F269" s="104"/>
      <c r="G269" s="104"/>
      <c r="H269" s="104"/>
      <c r="I269" s="104"/>
    </row>
    <row r="270" spans="2:9">
      <c r="B270" s="104"/>
      <c r="C270" s="104"/>
      <c r="D270" s="104"/>
      <c r="E270" s="104"/>
      <c r="F270" s="104"/>
      <c r="G270" s="104"/>
      <c r="H270" s="104"/>
      <c r="I270" s="104"/>
    </row>
    <row r="271" spans="2:9">
      <c r="B271" s="104"/>
      <c r="C271" s="104"/>
      <c r="D271" s="104"/>
      <c r="E271" s="104"/>
      <c r="F271" s="104"/>
      <c r="G271" s="104"/>
      <c r="H271" s="104"/>
      <c r="I271" s="104"/>
    </row>
    <row r="272" spans="2:9">
      <c r="B272" s="104"/>
      <c r="C272" s="104"/>
      <c r="D272" s="104"/>
      <c r="E272" s="104"/>
      <c r="F272" s="104"/>
      <c r="G272" s="104"/>
      <c r="H272" s="104"/>
      <c r="I272" s="104"/>
    </row>
    <row r="273" spans="2:9">
      <c r="B273" s="104"/>
      <c r="C273" s="104"/>
      <c r="D273" s="104"/>
      <c r="E273" s="104"/>
      <c r="F273" s="104"/>
      <c r="G273" s="104"/>
      <c r="H273" s="104"/>
      <c r="I273" s="104"/>
    </row>
    <row r="274" spans="2:9">
      <c r="B274" s="104"/>
      <c r="C274" s="104"/>
      <c r="D274" s="104"/>
      <c r="E274" s="104"/>
      <c r="F274" s="104"/>
      <c r="G274" s="104"/>
      <c r="H274" s="104"/>
      <c r="I274" s="104"/>
    </row>
    <row r="275" spans="2:9">
      <c r="B275" s="104"/>
      <c r="C275" s="104"/>
      <c r="D275" s="104"/>
      <c r="E275" s="104"/>
      <c r="F275" s="104"/>
      <c r="G275" s="104"/>
      <c r="H275" s="104"/>
      <c r="I275" s="104"/>
    </row>
    <row r="276" spans="2:9">
      <c r="B276" s="104"/>
      <c r="C276" s="104"/>
      <c r="D276" s="104"/>
      <c r="E276" s="104"/>
      <c r="F276" s="104"/>
      <c r="G276" s="104"/>
      <c r="H276" s="104"/>
      <c r="I276" s="104"/>
    </row>
    <row r="277" spans="2:9">
      <c r="B277" s="104"/>
      <c r="C277" s="104"/>
      <c r="D277" s="104"/>
      <c r="E277" s="104"/>
      <c r="F277" s="104"/>
      <c r="G277" s="104"/>
      <c r="H277" s="104"/>
      <c r="I277" s="104"/>
    </row>
    <row r="278" spans="2:9">
      <c r="B278" s="104"/>
      <c r="C278" s="104"/>
      <c r="D278" s="104"/>
      <c r="E278" s="104"/>
      <c r="F278" s="104"/>
      <c r="G278" s="104"/>
      <c r="H278" s="104"/>
      <c r="I278" s="104"/>
    </row>
    <row r="279" spans="2:9">
      <c r="B279" s="104"/>
      <c r="C279" s="104"/>
      <c r="D279" s="104"/>
      <c r="E279" s="104"/>
      <c r="F279" s="104"/>
      <c r="G279" s="104"/>
      <c r="H279" s="104"/>
      <c r="I279" s="104"/>
    </row>
    <row r="280" spans="2:9">
      <c r="B280" s="104"/>
      <c r="C280" s="104"/>
      <c r="D280" s="104"/>
      <c r="E280" s="104"/>
      <c r="F280" s="104"/>
      <c r="G280" s="104"/>
      <c r="H280" s="104"/>
      <c r="I280" s="104"/>
    </row>
    <row r="281" spans="2:9">
      <c r="B281" s="104"/>
      <c r="C281" s="104"/>
      <c r="D281" s="104"/>
      <c r="E281" s="104"/>
      <c r="F281" s="104"/>
      <c r="G281" s="104"/>
      <c r="H281" s="104"/>
      <c r="I281" s="104"/>
    </row>
    <row r="282" spans="2:9">
      <c r="B282" s="104"/>
      <c r="C282" s="104"/>
      <c r="D282" s="104"/>
      <c r="E282" s="104"/>
      <c r="F282" s="104"/>
      <c r="G282" s="104"/>
      <c r="H282" s="104"/>
      <c r="I282" s="104"/>
    </row>
    <row r="283" spans="2:9">
      <c r="B283" s="104"/>
      <c r="C283" s="104"/>
      <c r="D283" s="104"/>
      <c r="E283" s="104"/>
      <c r="F283" s="104"/>
      <c r="G283" s="104"/>
      <c r="H283" s="104"/>
      <c r="I283" s="104"/>
    </row>
    <row r="284" spans="2:9">
      <c r="B284" s="104"/>
      <c r="C284" s="104"/>
      <c r="D284" s="104"/>
      <c r="E284" s="104"/>
      <c r="F284" s="104"/>
      <c r="G284" s="104"/>
      <c r="H284" s="104"/>
      <c r="I284" s="104"/>
    </row>
    <row r="285" spans="2:9">
      <c r="B285" s="104"/>
      <c r="C285" s="104"/>
      <c r="D285" s="104"/>
      <c r="E285" s="104"/>
      <c r="F285" s="104"/>
      <c r="G285" s="104"/>
      <c r="H285" s="104"/>
      <c r="I285" s="104"/>
    </row>
    <row r="286" spans="2:9">
      <c r="B286" s="104"/>
      <c r="C286" s="104"/>
      <c r="D286" s="104"/>
      <c r="E286" s="104"/>
      <c r="F286" s="104"/>
      <c r="G286" s="104"/>
      <c r="H286" s="104"/>
      <c r="I286" s="104"/>
    </row>
    <row r="287" spans="2:9">
      <c r="B287" s="104"/>
      <c r="C287" s="104"/>
      <c r="D287" s="104"/>
      <c r="E287" s="104"/>
      <c r="F287" s="104"/>
      <c r="G287" s="104"/>
      <c r="H287" s="104"/>
      <c r="I287" s="104"/>
    </row>
    <row r="288" spans="2:9">
      <c r="B288" s="104"/>
      <c r="C288" s="104"/>
      <c r="D288" s="104"/>
      <c r="E288" s="104"/>
      <c r="F288" s="104"/>
      <c r="G288" s="104"/>
      <c r="H288" s="104"/>
      <c r="I288" s="104"/>
    </row>
    <row r="289" spans="2:9">
      <c r="B289" s="104"/>
      <c r="C289" s="104"/>
      <c r="D289" s="104"/>
      <c r="E289" s="104"/>
      <c r="F289" s="104"/>
      <c r="G289" s="104"/>
      <c r="H289" s="104"/>
      <c r="I289" s="104"/>
    </row>
    <row r="290" spans="2:9">
      <c r="B290" s="104"/>
      <c r="C290" s="104"/>
      <c r="D290" s="104"/>
      <c r="E290" s="104"/>
      <c r="F290" s="104"/>
      <c r="G290" s="104"/>
      <c r="H290" s="104"/>
      <c r="I290" s="104"/>
    </row>
    <row r="291" spans="2:9">
      <c r="B291" s="104"/>
      <c r="C291" s="104"/>
      <c r="D291" s="104"/>
      <c r="E291" s="104"/>
      <c r="F291" s="104"/>
      <c r="G291" s="104"/>
      <c r="H291" s="104"/>
      <c r="I291" s="104"/>
    </row>
    <row r="292" spans="2:9">
      <c r="B292" s="104"/>
      <c r="C292" s="104"/>
      <c r="D292" s="104"/>
      <c r="E292" s="104"/>
      <c r="F292" s="104"/>
      <c r="G292" s="104"/>
      <c r="H292" s="104"/>
      <c r="I292" s="104"/>
    </row>
    <row r="293" spans="2:9">
      <c r="B293" s="104"/>
      <c r="C293" s="104"/>
      <c r="D293" s="104"/>
      <c r="E293" s="104"/>
      <c r="F293" s="104"/>
      <c r="G293" s="104"/>
      <c r="H293" s="104"/>
      <c r="I293" s="104"/>
    </row>
    <row r="294" spans="2:9">
      <c r="B294" s="104"/>
      <c r="C294" s="104"/>
      <c r="D294" s="104"/>
      <c r="E294" s="104"/>
      <c r="F294" s="104"/>
      <c r="G294" s="104"/>
      <c r="H294" s="104"/>
      <c r="I294" s="104"/>
    </row>
    <row r="295" spans="2:9">
      <c r="B295" s="104"/>
      <c r="C295" s="104"/>
      <c r="D295" s="104"/>
      <c r="E295" s="104"/>
      <c r="F295" s="104"/>
      <c r="G295" s="104"/>
      <c r="H295" s="104"/>
      <c r="I295" s="104"/>
    </row>
    <row r="296" spans="2:9">
      <c r="B296" s="104"/>
      <c r="C296" s="104"/>
      <c r="D296" s="104"/>
      <c r="E296" s="104"/>
      <c r="F296" s="104"/>
      <c r="G296" s="104"/>
      <c r="H296" s="104"/>
      <c r="I296" s="104"/>
    </row>
    <row r="297" spans="2:9">
      <c r="B297" s="104"/>
      <c r="C297" s="104"/>
      <c r="D297" s="104"/>
      <c r="E297" s="104"/>
      <c r="F297" s="104"/>
      <c r="G297" s="104"/>
      <c r="H297" s="104"/>
      <c r="I297" s="104"/>
    </row>
    <row r="298" spans="2:9">
      <c r="B298" s="104"/>
      <c r="C298" s="104"/>
      <c r="D298" s="104"/>
      <c r="E298" s="104"/>
      <c r="F298" s="104"/>
      <c r="G298" s="104"/>
      <c r="H298" s="104"/>
      <c r="I298" s="104"/>
    </row>
    <row r="299" spans="2:9">
      <c r="B299" s="104"/>
      <c r="C299" s="104"/>
      <c r="D299" s="104"/>
      <c r="E299" s="104"/>
      <c r="F299" s="104"/>
      <c r="G299" s="104"/>
      <c r="H299" s="104"/>
      <c r="I299" s="104"/>
    </row>
    <row r="300" spans="2:9">
      <c r="B300" s="104"/>
      <c r="C300" s="104"/>
      <c r="D300" s="104"/>
      <c r="E300" s="104"/>
      <c r="F300" s="104"/>
      <c r="G300" s="104"/>
      <c r="H300" s="104"/>
      <c r="I300" s="104"/>
    </row>
    <row r="301" spans="2:9">
      <c r="B301" s="104"/>
      <c r="C301" s="104"/>
      <c r="D301" s="104"/>
      <c r="E301" s="104"/>
      <c r="F301" s="104"/>
      <c r="G301" s="104"/>
      <c r="H301" s="104"/>
      <c r="I301" s="104"/>
    </row>
    <row r="302" spans="2:9">
      <c r="B302" s="104"/>
      <c r="C302" s="104"/>
      <c r="D302" s="104"/>
      <c r="E302" s="104"/>
      <c r="F302" s="104"/>
      <c r="G302" s="104"/>
      <c r="H302" s="104"/>
      <c r="I302" s="104"/>
    </row>
    <row r="303" spans="2:9">
      <c r="B303" s="104"/>
      <c r="C303" s="104"/>
      <c r="D303" s="104"/>
      <c r="E303" s="104"/>
      <c r="F303" s="104"/>
      <c r="G303" s="104"/>
      <c r="H303" s="104"/>
      <c r="I303" s="104"/>
    </row>
    <row r="304" spans="2:9">
      <c r="B304" s="104"/>
      <c r="C304" s="104"/>
      <c r="D304" s="104"/>
      <c r="E304" s="104"/>
      <c r="F304" s="104"/>
      <c r="G304" s="104"/>
      <c r="H304" s="104"/>
      <c r="I304" s="104"/>
    </row>
    <row r="305" spans="2:9">
      <c r="B305" s="104"/>
      <c r="C305" s="104"/>
      <c r="D305" s="104"/>
      <c r="E305" s="104"/>
      <c r="F305" s="104"/>
      <c r="G305" s="104"/>
      <c r="H305" s="104"/>
      <c r="I305" s="104"/>
    </row>
    <row r="306" spans="2:9">
      <c r="B306" s="104"/>
      <c r="C306" s="104"/>
      <c r="D306" s="104"/>
      <c r="E306" s="104"/>
      <c r="F306" s="104"/>
      <c r="G306" s="104"/>
      <c r="H306" s="104"/>
      <c r="I306" s="104"/>
    </row>
    <row r="307" spans="2:9">
      <c r="B307" s="104"/>
      <c r="C307" s="104"/>
      <c r="D307" s="104"/>
      <c r="E307" s="104"/>
      <c r="F307" s="104"/>
      <c r="G307" s="104"/>
      <c r="H307" s="104"/>
      <c r="I307" s="104"/>
    </row>
    <row r="308" spans="2:9">
      <c r="B308" s="104"/>
      <c r="C308" s="104"/>
      <c r="D308" s="104"/>
      <c r="E308" s="104"/>
      <c r="F308" s="104"/>
      <c r="G308" s="104"/>
      <c r="H308" s="104"/>
      <c r="I308" s="104"/>
    </row>
    <row r="309" spans="2:9">
      <c r="B309" s="104"/>
      <c r="C309" s="104"/>
      <c r="D309" s="104"/>
      <c r="E309" s="104"/>
      <c r="F309" s="104"/>
      <c r="G309" s="104"/>
      <c r="H309" s="104"/>
      <c r="I309" s="104"/>
    </row>
    <row r="310" spans="2:9">
      <c r="B310" s="104"/>
      <c r="C310" s="104"/>
      <c r="D310" s="104"/>
      <c r="E310" s="104"/>
      <c r="F310" s="104"/>
      <c r="G310" s="104"/>
      <c r="H310" s="104"/>
      <c r="I310" s="104"/>
    </row>
    <row r="311" spans="2:9">
      <c r="B311" s="104"/>
      <c r="C311" s="104"/>
      <c r="D311" s="104"/>
      <c r="E311" s="104"/>
      <c r="F311" s="104"/>
      <c r="G311" s="104"/>
      <c r="H311" s="104"/>
      <c r="I311" s="104"/>
    </row>
    <row r="312" spans="2:9">
      <c r="B312" s="104"/>
      <c r="C312" s="104"/>
      <c r="D312" s="104"/>
      <c r="E312" s="104"/>
      <c r="F312" s="104"/>
      <c r="G312" s="104"/>
      <c r="H312" s="104"/>
      <c r="I312" s="104"/>
    </row>
    <row r="313" spans="2:9">
      <c r="B313" s="104"/>
      <c r="C313" s="104"/>
      <c r="D313" s="104"/>
      <c r="E313" s="104"/>
      <c r="F313" s="104"/>
      <c r="G313" s="104"/>
      <c r="H313" s="104"/>
      <c r="I313" s="104"/>
    </row>
    <row r="314" spans="2:9">
      <c r="B314" s="104"/>
      <c r="C314" s="104"/>
      <c r="D314" s="104"/>
      <c r="E314" s="104"/>
      <c r="F314" s="104"/>
      <c r="G314" s="104"/>
      <c r="H314" s="104"/>
      <c r="I314" s="104"/>
    </row>
    <row r="315" spans="2:9">
      <c r="B315" s="104"/>
      <c r="C315" s="104"/>
      <c r="D315" s="104"/>
      <c r="E315" s="104"/>
      <c r="F315" s="104"/>
      <c r="G315" s="104"/>
      <c r="H315" s="104"/>
      <c r="I315" s="104"/>
    </row>
    <row r="316" spans="2:9">
      <c r="B316" s="104"/>
      <c r="C316" s="104"/>
      <c r="D316" s="104"/>
      <c r="E316" s="104"/>
      <c r="F316" s="104"/>
      <c r="G316" s="104"/>
      <c r="H316" s="104"/>
      <c r="I316" s="104"/>
    </row>
    <row r="317" spans="2:9">
      <c r="B317" s="104"/>
      <c r="C317" s="104"/>
      <c r="D317" s="104"/>
      <c r="E317" s="104"/>
      <c r="F317" s="104"/>
      <c r="G317" s="104"/>
      <c r="H317" s="104"/>
      <c r="I317" s="104"/>
    </row>
    <row r="318" spans="2:9">
      <c r="B318" s="104"/>
      <c r="C318" s="104"/>
      <c r="D318" s="104"/>
      <c r="E318" s="104"/>
      <c r="F318" s="104"/>
      <c r="G318" s="104"/>
      <c r="H318" s="104"/>
      <c r="I318" s="104"/>
    </row>
    <row r="319" spans="2:9">
      <c r="B319" s="104"/>
      <c r="C319" s="104"/>
      <c r="D319" s="104"/>
      <c r="E319" s="104"/>
      <c r="F319" s="104"/>
      <c r="G319" s="104"/>
      <c r="H319" s="104"/>
      <c r="I319" s="104"/>
    </row>
    <row r="320" spans="2:9">
      <c r="B320" s="104"/>
      <c r="C320" s="104"/>
      <c r="D320" s="104"/>
      <c r="E320" s="104"/>
      <c r="F320" s="104"/>
      <c r="G320" s="104"/>
      <c r="H320" s="104"/>
      <c r="I320" s="104"/>
    </row>
    <row r="321" spans="2:9">
      <c r="B321" s="104"/>
      <c r="C321" s="104"/>
      <c r="D321" s="104"/>
      <c r="E321" s="104"/>
      <c r="F321" s="104"/>
      <c r="G321" s="104"/>
      <c r="H321" s="104"/>
      <c r="I321" s="104"/>
    </row>
    <row r="322" spans="2:9">
      <c r="B322" s="104"/>
      <c r="C322" s="104"/>
      <c r="D322" s="104"/>
      <c r="E322" s="104"/>
      <c r="F322" s="104"/>
      <c r="G322" s="104"/>
      <c r="H322" s="104"/>
      <c r="I322" s="104"/>
    </row>
    <row r="323" spans="2:9">
      <c r="B323" s="104"/>
      <c r="C323" s="104"/>
      <c r="D323" s="104"/>
      <c r="E323" s="104"/>
      <c r="F323" s="104"/>
      <c r="G323" s="104"/>
      <c r="H323" s="104"/>
      <c r="I323" s="104"/>
    </row>
    <row r="324" spans="2:9">
      <c r="B324" s="104"/>
      <c r="C324" s="104"/>
      <c r="D324" s="104"/>
      <c r="E324" s="104"/>
      <c r="F324" s="104"/>
      <c r="G324" s="104"/>
      <c r="H324" s="104"/>
      <c r="I324" s="104"/>
    </row>
    <row r="325" spans="2:9">
      <c r="B325" s="104"/>
      <c r="C325" s="104"/>
      <c r="D325" s="104"/>
      <c r="E325" s="104"/>
      <c r="F325" s="104"/>
      <c r="G325" s="104"/>
      <c r="H325" s="104"/>
      <c r="I325" s="104"/>
    </row>
    <row r="326" spans="2:9">
      <c r="B326" s="104"/>
      <c r="C326" s="104"/>
      <c r="D326" s="104"/>
      <c r="E326" s="104"/>
      <c r="F326" s="104"/>
      <c r="G326" s="104"/>
      <c r="H326" s="104"/>
      <c r="I326" s="104"/>
    </row>
    <row r="327" spans="2:9">
      <c r="B327" s="104"/>
      <c r="C327" s="104"/>
      <c r="D327" s="104"/>
      <c r="E327" s="104"/>
      <c r="F327" s="104"/>
      <c r="G327" s="104"/>
      <c r="H327" s="104"/>
      <c r="I327" s="104"/>
    </row>
    <row r="328" spans="2:9">
      <c r="B328" s="104"/>
      <c r="C328" s="104"/>
      <c r="D328" s="104"/>
      <c r="E328" s="104"/>
      <c r="F328" s="104"/>
      <c r="G328" s="104"/>
      <c r="H328" s="104"/>
      <c r="I328" s="104"/>
    </row>
    <row r="329" spans="2:9">
      <c r="B329" s="104"/>
      <c r="C329" s="104"/>
      <c r="D329" s="104"/>
      <c r="E329" s="104"/>
      <c r="F329" s="104"/>
      <c r="G329" s="104"/>
      <c r="H329" s="104"/>
      <c r="I329" s="104"/>
    </row>
    <row r="330" spans="2:9">
      <c r="B330" s="104"/>
      <c r="C330" s="104"/>
      <c r="D330" s="104"/>
      <c r="E330" s="104"/>
      <c r="F330" s="104"/>
      <c r="G330" s="104"/>
      <c r="H330" s="104"/>
      <c r="I330" s="104"/>
    </row>
    <row r="331" spans="2:9">
      <c r="B331" s="104"/>
      <c r="C331" s="104"/>
      <c r="D331" s="104"/>
      <c r="E331" s="104"/>
      <c r="F331" s="104"/>
      <c r="G331" s="104"/>
      <c r="H331" s="104"/>
      <c r="I331" s="104"/>
    </row>
    <row r="332" spans="2:9">
      <c r="B332" s="104"/>
      <c r="C332" s="104"/>
      <c r="D332" s="104"/>
      <c r="E332" s="104"/>
      <c r="F332" s="104"/>
      <c r="G332" s="104"/>
      <c r="H332" s="104"/>
      <c r="I332" s="104"/>
    </row>
    <row r="333" spans="2:9">
      <c r="B333" s="104"/>
      <c r="C333" s="104"/>
      <c r="D333" s="104"/>
      <c r="E333" s="104"/>
      <c r="F333" s="104"/>
      <c r="G333" s="104"/>
      <c r="H333" s="104"/>
      <c r="I333" s="104"/>
    </row>
    <row r="334" spans="2:9">
      <c r="B334" s="104"/>
      <c r="C334" s="104"/>
      <c r="D334" s="104"/>
      <c r="E334" s="104"/>
      <c r="F334" s="104"/>
      <c r="G334" s="104"/>
      <c r="H334" s="104"/>
      <c r="I334" s="104"/>
    </row>
    <row r="335" spans="2:9">
      <c r="B335" s="104"/>
      <c r="C335" s="104"/>
      <c r="D335" s="104"/>
      <c r="E335" s="104"/>
      <c r="F335" s="104"/>
      <c r="G335" s="104"/>
      <c r="H335" s="104"/>
      <c r="I335" s="104"/>
    </row>
    <row r="336" spans="2:9">
      <c r="B336" s="104"/>
      <c r="C336" s="104"/>
      <c r="D336" s="104"/>
      <c r="E336" s="104"/>
      <c r="F336" s="104"/>
      <c r="G336" s="104"/>
      <c r="H336" s="104"/>
      <c r="I336" s="104"/>
    </row>
    <row r="337" spans="2:9">
      <c r="B337" s="104"/>
      <c r="C337" s="104"/>
      <c r="D337" s="104"/>
      <c r="E337" s="104"/>
      <c r="F337" s="104"/>
      <c r="G337" s="104"/>
      <c r="H337" s="104"/>
      <c r="I337" s="104"/>
    </row>
    <row r="338" spans="2:9">
      <c r="B338" s="104"/>
      <c r="C338" s="104"/>
      <c r="D338" s="104"/>
      <c r="E338" s="104"/>
      <c r="F338" s="104"/>
      <c r="G338" s="104"/>
      <c r="H338" s="104"/>
      <c r="I338" s="104"/>
    </row>
    <row r="339" spans="2:9">
      <c r="B339" s="104"/>
      <c r="C339" s="104"/>
      <c r="D339" s="104"/>
      <c r="E339" s="104"/>
      <c r="F339" s="104"/>
      <c r="G339" s="104"/>
      <c r="H339" s="104"/>
      <c r="I339" s="104"/>
    </row>
    <row r="340" spans="2:9">
      <c r="B340" s="104"/>
      <c r="C340" s="104"/>
      <c r="D340" s="104"/>
      <c r="E340" s="104"/>
      <c r="F340" s="104"/>
      <c r="G340" s="104"/>
      <c r="H340" s="104"/>
      <c r="I340" s="104"/>
    </row>
    <row r="341" spans="2:9">
      <c r="B341" s="104"/>
      <c r="C341" s="104"/>
      <c r="D341" s="104"/>
      <c r="E341" s="104"/>
      <c r="F341" s="104"/>
      <c r="G341" s="104"/>
      <c r="H341" s="104"/>
      <c r="I341" s="104"/>
    </row>
    <row r="342" spans="2:9">
      <c r="B342" s="104"/>
      <c r="C342" s="104"/>
      <c r="D342" s="104"/>
      <c r="E342" s="104"/>
      <c r="F342" s="104"/>
      <c r="G342" s="104"/>
      <c r="H342" s="104"/>
      <c r="I342" s="104"/>
    </row>
    <row r="343" spans="2:9">
      <c r="B343" s="104"/>
      <c r="C343" s="104"/>
      <c r="D343" s="104"/>
      <c r="E343" s="104"/>
      <c r="F343" s="104"/>
      <c r="G343" s="104"/>
      <c r="H343" s="104"/>
      <c r="I343" s="104"/>
    </row>
    <row r="344" spans="2:9">
      <c r="B344" s="104"/>
      <c r="C344" s="104"/>
      <c r="D344" s="104"/>
      <c r="E344" s="104"/>
      <c r="F344" s="104"/>
      <c r="G344" s="104"/>
      <c r="H344" s="104"/>
      <c r="I344" s="104"/>
    </row>
    <row r="345" spans="2:9">
      <c r="B345" s="104"/>
      <c r="C345" s="104"/>
      <c r="D345" s="104"/>
      <c r="E345" s="104"/>
      <c r="F345" s="104"/>
      <c r="G345" s="104"/>
      <c r="H345" s="104"/>
      <c r="I345" s="104"/>
    </row>
    <row r="346" spans="2:9">
      <c r="B346" s="104"/>
      <c r="C346" s="104"/>
      <c r="D346" s="104"/>
      <c r="E346" s="104"/>
      <c r="F346" s="104"/>
      <c r="G346" s="104"/>
      <c r="H346" s="104"/>
      <c r="I346" s="104"/>
    </row>
    <row r="347" spans="2:9">
      <c r="B347" s="104"/>
      <c r="C347" s="104"/>
      <c r="D347" s="104"/>
      <c r="E347" s="104"/>
      <c r="F347" s="104"/>
      <c r="G347" s="104"/>
      <c r="H347" s="104"/>
      <c r="I347" s="104"/>
    </row>
    <row r="348" spans="2:9">
      <c r="B348" s="104"/>
      <c r="C348" s="104"/>
      <c r="D348" s="104"/>
      <c r="E348" s="104"/>
      <c r="F348" s="104"/>
      <c r="G348" s="104"/>
      <c r="H348" s="104"/>
      <c r="I348" s="104"/>
    </row>
    <row r="349" spans="2:9">
      <c r="B349" s="104"/>
      <c r="C349" s="104"/>
      <c r="D349" s="104"/>
      <c r="E349" s="104"/>
      <c r="F349" s="104"/>
      <c r="G349" s="104"/>
      <c r="H349" s="104"/>
      <c r="I349" s="104"/>
    </row>
    <row r="350" spans="2:9">
      <c r="B350" s="104"/>
      <c r="C350" s="104"/>
      <c r="D350" s="104"/>
      <c r="E350" s="104"/>
      <c r="F350" s="104"/>
      <c r="G350" s="104"/>
      <c r="H350" s="104"/>
      <c r="I350" s="104"/>
    </row>
    <row r="351" spans="2:9">
      <c r="B351" s="104"/>
      <c r="C351" s="104"/>
      <c r="D351" s="104"/>
      <c r="E351" s="104"/>
      <c r="F351" s="104"/>
      <c r="G351" s="104"/>
      <c r="H351" s="104"/>
      <c r="I351" s="104"/>
    </row>
    <row r="352" spans="2:9">
      <c r="B352" s="104"/>
      <c r="C352" s="104"/>
      <c r="D352" s="104"/>
      <c r="E352" s="104"/>
      <c r="F352" s="104"/>
      <c r="G352" s="104"/>
      <c r="H352" s="104"/>
      <c r="I352" s="104"/>
    </row>
    <row r="353" spans="2:9">
      <c r="B353" s="104"/>
      <c r="C353" s="104"/>
      <c r="D353" s="104"/>
      <c r="E353" s="104"/>
      <c r="F353" s="104"/>
      <c r="G353" s="104"/>
      <c r="H353" s="104"/>
      <c r="I353" s="104"/>
    </row>
    <row r="354" spans="2:9">
      <c r="B354" s="104"/>
      <c r="C354" s="104"/>
      <c r="D354" s="104"/>
      <c r="E354" s="104"/>
      <c r="F354" s="104"/>
      <c r="G354" s="104"/>
      <c r="H354" s="104"/>
      <c r="I354" s="104"/>
    </row>
    <row r="355" spans="2:9">
      <c r="B355" s="104"/>
      <c r="C355" s="104"/>
      <c r="D355" s="104"/>
      <c r="E355" s="104"/>
      <c r="F355" s="104"/>
      <c r="G355" s="104"/>
      <c r="H355" s="104"/>
      <c r="I355" s="104"/>
    </row>
    <row r="356" spans="2:9">
      <c r="B356" s="104"/>
      <c r="C356" s="104"/>
      <c r="D356" s="104"/>
      <c r="E356" s="104"/>
      <c r="F356" s="104"/>
      <c r="G356" s="104"/>
      <c r="H356" s="104"/>
      <c r="I356" s="104"/>
    </row>
    <row r="357" spans="2:9">
      <c r="B357" s="104"/>
      <c r="C357" s="104"/>
      <c r="D357" s="104"/>
      <c r="E357" s="104"/>
      <c r="F357" s="104"/>
      <c r="G357" s="104"/>
      <c r="H357" s="104"/>
      <c r="I357" s="104"/>
    </row>
    <row r="358" spans="2:9">
      <c r="B358" s="104"/>
      <c r="C358" s="104"/>
      <c r="D358" s="104"/>
      <c r="E358" s="104"/>
      <c r="F358" s="104"/>
      <c r="G358" s="104"/>
      <c r="H358" s="104"/>
      <c r="I358" s="104"/>
    </row>
    <row r="359" spans="2:9">
      <c r="B359" s="104"/>
      <c r="C359" s="104"/>
      <c r="D359" s="104"/>
      <c r="E359" s="104"/>
      <c r="F359" s="104"/>
      <c r="G359" s="104"/>
      <c r="H359" s="104"/>
      <c r="I359" s="104"/>
    </row>
    <row r="360" spans="2:9">
      <c r="B360" s="104"/>
      <c r="C360" s="104"/>
      <c r="D360" s="104"/>
      <c r="E360" s="104"/>
      <c r="F360" s="104"/>
      <c r="G360" s="104"/>
      <c r="H360" s="104"/>
      <c r="I360" s="104"/>
    </row>
    <row r="361" spans="2:9">
      <c r="B361" s="104"/>
      <c r="C361" s="104"/>
      <c r="D361" s="104"/>
      <c r="E361" s="104"/>
      <c r="F361" s="104"/>
      <c r="G361" s="104"/>
      <c r="H361" s="104"/>
      <c r="I361" s="104"/>
    </row>
    <row r="362" spans="2:9">
      <c r="B362" s="104"/>
      <c r="C362" s="104"/>
      <c r="D362" s="104"/>
      <c r="E362" s="104"/>
      <c r="F362" s="104"/>
      <c r="G362" s="104"/>
      <c r="H362" s="104"/>
      <c r="I362" s="104"/>
    </row>
    <row r="363" spans="2:9">
      <c r="B363" s="104"/>
      <c r="C363" s="104"/>
      <c r="D363" s="104"/>
      <c r="E363" s="104"/>
      <c r="F363" s="104"/>
      <c r="G363" s="104"/>
      <c r="H363" s="104"/>
      <c r="I363" s="104"/>
    </row>
    <row r="364" spans="2:9">
      <c r="B364" s="104"/>
      <c r="C364" s="104"/>
      <c r="D364" s="104"/>
      <c r="E364" s="104"/>
      <c r="F364" s="104"/>
      <c r="G364" s="104"/>
      <c r="H364" s="104"/>
      <c r="I364" s="104"/>
    </row>
    <row r="365" spans="2:9">
      <c r="B365" s="104"/>
      <c r="C365" s="104"/>
      <c r="D365" s="104"/>
      <c r="E365" s="104"/>
      <c r="F365" s="104"/>
      <c r="G365" s="104"/>
      <c r="H365" s="104"/>
      <c r="I365" s="104"/>
    </row>
    <row r="366" spans="2:9">
      <c r="B366" s="104"/>
      <c r="C366" s="104"/>
      <c r="D366" s="104"/>
      <c r="E366" s="104"/>
      <c r="F366" s="104"/>
      <c r="G366" s="104"/>
      <c r="H366" s="104"/>
      <c r="I366" s="104"/>
    </row>
    <row r="367" spans="2:9">
      <c r="B367" s="104"/>
      <c r="C367" s="104"/>
      <c r="D367" s="104"/>
      <c r="E367" s="104"/>
      <c r="F367" s="104"/>
      <c r="G367" s="104"/>
      <c r="H367" s="104"/>
      <c r="I367" s="104"/>
    </row>
    <row r="368" spans="2:9">
      <c r="B368" s="104"/>
      <c r="C368" s="104"/>
      <c r="D368" s="104"/>
      <c r="E368" s="104"/>
      <c r="F368" s="104"/>
      <c r="G368" s="104"/>
      <c r="H368" s="104"/>
      <c r="I368" s="104"/>
    </row>
    <row r="369" spans="2:9">
      <c r="B369" s="104"/>
      <c r="C369" s="104"/>
      <c r="D369" s="104"/>
      <c r="E369" s="104"/>
      <c r="F369" s="104"/>
      <c r="G369" s="104"/>
      <c r="H369" s="104"/>
      <c r="I369" s="104"/>
    </row>
    <row r="370" spans="2:9">
      <c r="B370" s="104"/>
      <c r="C370" s="104"/>
      <c r="D370" s="104"/>
      <c r="E370" s="104"/>
      <c r="F370" s="104"/>
      <c r="G370" s="104"/>
      <c r="H370" s="104"/>
      <c r="I370" s="104"/>
    </row>
    <row r="371" spans="2:9">
      <c r="B371" s="104"/>
      <c r="C371" s="104"/>
      <c r="D371" s="104"/>
      <c r="E371" s="104"/>
      <c r="F371" s="104"/>
      <c r="G371" s="104"/>
      <c r="H371" s="104"/>
      <c r="I371" s="104"/>
    </row>
    <row r="372" spans="2:9">
      <c r="B372" s="104"/>
      <c r="C372" s="104"/>
      <c r="D372" s="104"/>
      <c r="E372" s="104"/>
      <c r="F372" s="104"/>
      <c r="G372" s="104"/>
      <c r="H372" s="104"/>
      <c r="I372" s="104"/>
    </row>
    <row r="373" spans="2:9">
      <c r="B373" s="104"/>
      <c r="C373" s="104"/>
      <c r="D373" s="104"/>
      <c r="E373" s="104"/>
      <c r="F373" s="104"/>
      <c r="G373" s="104"/>
      <c r="H373" s="104"/>
      <c r="I373" s="104"/>
    </row>
    <row r="374" spans="2:9">
      <c r="B374" s="104"/>
      <c r="C374" s="104"/>
      <c r="D374" s="104"/>
      <c r="E374" s="104"/>
      <c r="F374" s="104"/>
      <c r="G374" s="104"/>
      <c r="H374" s="104"/>
      <c r="I374" s="104"/>
    </row>
    <row r="375" spans="2:9">
      <c r="B375" s="104"/>
      <c r="C375" s="104"/>
      <c r="D375" s="104"/>
      <c r="E375" s="104"/>
      <c r="F375" s="104"/>
      <c r="G375" s="104"/>
      <c r="H375" s="104"/>
      <c r="I375" s="104"/>
    </row>
    <row r="376" spans="2:9">
      <c r="B376" s="104"/>
      <c r="C376" s="104"/>
      <c r="D376" s="104"/>
      <c r="E376" s="104"/>
      <c r="F376" s="104"/>
      <c r="G376" s="104"/>
      <c r="H376" s="104"/>
      <c r="I376" s="104"/>
    </row>
    <row r="377" spans="2:9">
      <c r="B377" s="104"/>
      <c r="C377" s="104"/>
      <c r="D377" s="104"/>
      <c r="E377" s="104"/>
      <c r="F377" s="104"/>
      <c r="G377" s="104"/>
      <c r="H377" s="104"/>
      <c r="I377" s="104"/>
    </row>
    <row r="378" spans="2:9">
      <c r="B378" s="104"/>
      <c r="C378" s="104"/>
      <c r="D378" s="104"/>
      <c r="E378" s="104"/>
      <c r="F378" s="104"/>
      <c r="G378" s="104"/>
      <c r="H378" s="104"/>
      <c r="I378" s="104"/>
    </row>
    <row r="379" spans="2:9">
      <c r="B379" s="104"/>
      <c r="C379" s="104"/>
      <c r="D379" s="104"/>
      <c r="E379" s="104"/>
      <c r="F379" s="104"/>
      <c r="G379" s="104"/>
      <c r="H379" s="104"/>
      <c r="I379" s="104"/>
    </row>
    <row r="380" spans="2:9">
      <c r="B380" s="104"/>
      <c r="C380" s="104"/>
      <c r="D380" s="104"/>
      <c r="E380" s="104"/>
      <c r="F380" s="104"/>
      <c r="G380" s="104"/>
      <c r="H380" s="104"/>
      <c r="I380" s="104"/>
    </row>
    <row r="381" spans="2:9">
      <c r="B381" s="104"/>
      <c r="C381" s="104"/>
      <c r="D381" s="104"/>
      <c r="E381" s="104"/>
      <c r="F381" s="104"/>
      <c r="G381" s="104"/>
      <c r="H381" s="104"/>
      <c r="I381" s="104"/>
    </row>
    <row r="382" spans="2:9">
      <c r="B382" s="104"/>
      <c r="C382" s="104"/>
      <c r="D382" s="104"/>
      <c r="E382" s="104"/>
      <c r="F382" s="104"/>
      <c r="G382" s="104"/>
      <c r="H382" s="104"/>
      <c r="I382" s="104"/>
    </row>
    <row r="383" spans="2:9">
      <c r="B383" s="104"/>
      <c r="C383" s="104"/>
      <c r="D383" s="104"/>
      <c r="E383" s="104"/>
      <c r="F383" s="104"/>
      <c r="G383" s="104"/>
      <c r="H383" s="104"/>
      <c r="I383" s="104"/>
    </row>
    <row r="384" spans="2:9">
      <c r="B384" s="104"/>
      <c r="C384" s="104"/>
      <c r="D384" s="104"/>
      <c r="E384" s="104"/>
      <c r="F384" s="104"/>
      <c r="G384" s="104"/>
      <c r="H384" s="104"/>
      <c r="I384" s="104"/>
    </row>
    <row r="385" spans="2:9">
      <c r="B385" s="104"/>
      <c r="C385" s="104"/>
      <c r="D385" s="104"/>
      <c r="E385" s="104"/>
      <c r="F385" s="104"/>
      <c r="G385" s="104"/>
      <c r="H385" s="104"/>
      <c r="I385" s="104"/>
    </row>
    <row r="386" spans="2:9">
      <c r="B386" s="104"/>
      <c r="C386" s="104"/>
      <c r="D386" s="104"/>
      <c r="E386" s="104"/>
      <c r="F386" s="104"/>
      <c r="G386" s="104"/>
      <c r="H386" s="104"/>
      <c r="I386" s="104"/>
    </row>
    <row r="387" spans="2:9">
      <c r="B387" s="104"/>
      <c r="C387" s="104"/>
      <c r="D387" s="104"/>
      <c r="E387" s="104"/>
      <c r="F387" s="104"/>
      <c r="G387" s="104"/>
      <c r="H387" s="104"/>
      <c r="I387" s="104"/>
    </row>
    <row r="388" spans="2:9">
      <c r="B388" s="104"/>
      <c r="C388" s="104"/>
      <c r="D388" s="104"/>
      <c r="E388" s="104"/>
      <c r="F388" s="104"/>
      <c r="G388" s="104"/>
      <c r="H388" s="104"/>
      <c r="I388" s="104"/>
    </row>
    <row r="389" spans="2:9">
      <c r="B389" s="104"/>
      <c r="C389" s="104"/>
      <c r="D389" s="104"/>
      <c r="E389" s="104"/>
      <c r="F389" s="104"/>
      <c r="G389" s="104"/>
      <c r="H389" s="104"/>
      <c r="I389" s="104"/>
    </row>
    <row r="390" spans="2:9">
      <c r="B390" s="104"/>
      <c r="C390" s="104"/>
      <c r="D390" s="104"/>
      <c r="E390" s="104"/>
      <c r="F390" s="104"/>
      <c r="G390" s="104"/>
      <c r="H390" s="104"/>
      <c r="I390" s="104"/>
    </row>
    <row r="391" spans="2:9">
      <c r="B391" s="104"/>
      <c r="C391" s="104"/>
      <c r="D391" s="104"/>
      <c r="E391" s="104"/>
      <c r="F391" s="104"/>
      <c r="G391" s="104"/>
      <c r="H391" s="104"/>
      <c r="I391" s="104"/>
    </row>
    <row r="392" spans="2:9">
      <c r="B392" s="104"/>
      <c r="C392" s="104"/>
      <c r="D392" s="104"/>
      <c r="E392" s="104"/>
      <c r="F392" s="104"/>
      <c r="G392" s="104"/>
      <c r="H392" s="104"/>
      <c r="I392" s="104"/>
    </row>
    <row r="393" spans="2:9">
      <c r="B393" s="104"/>
      <c r="C393" s="104"/>
      <c r="D393" s="104"/>
      <c r="E393" s="104"/>
      <c r="F393" s="104"/>
      <c r="G393" s="104"/>
      <c r="H393" s="104"/>
      <c r="I393" s="104"/>
    </row>
    <row r="394" spans="2:9">
      <c r="B394" s="104"/>
      <c r="C394" s="104"/>
      <c r="D394" s="104"/>
      <c r="E394" s="104"/>
      <c r="F394" s="104"/>
      <c r="G394" s="104"/>
      <c r="H394" s="104"/>
      <c r="I394" s="104"/>
    </row>
    <row r="395" spans="2:9">
      <c r="B395" s="104"/>
      <c r="C395" s="104"/>
      <c r="D395" s="104"/>
      <c r="E395" s="104"/>
      <c r="F395" s="104"/>
      <c r="G395" s="104"/>
      <c r="H395" s="104"/>
      <c r="I395" s="104"/>
    </row>
    <row r="396" spans="2:9">
      <c r="B396" s="104"/>
      <c r="C396" s="104"/>
      <c r="D396" s="104"/>
      <c r="E396" s="104"/>
      <c r="F396" s="104"/>
      <c r="G396" s="104"/>
      <c r="H396" s="104"/>
      <c r="I396" s="104"/>
    </row>
    <row r="397" spans="2:9">
      <c r="B397" s="104"/>
      <c r="C397" s="104"/>
      <c r="D397" s="104"/>
      <c r="E397" s="104"/>
      <c r="F397" s="104"/>
      <c r="G397" s="104"/>
      <c r="H397" s="104"/>
      <c r="I397" s="104"/>
    </row>
    <row r="398" spans="2:9">
      <c r="B398" s="104"/>
      <c r="C398" s="104"/>
      <c r="D398" s="104"/>
      <c r="E398" s="104"/>
      <c r="F398" s="104"/>
      <c r="G398" s="104"/>
      <c r="H398" s="104"/>
      <c r="I398" s="104"/>
    </row>
    <row r="399" spans="2:9">
      <c r="B399" s="104"/>
      <c r="C399" s="104"/>
      <c r="D399" s="104"/>
      <c r="E399" s="104"/>
      <c r="F399" s="104"/>
      <c r="G399" s="104"/>
      <c r="H399" s="104"/>
      <c r="I399" s="104"/>
    </row>
    <row r="400" spans="2:9">
      <c r="B400" s="104"/>
      <c r="C400" s="104"/>
      <c r="D400" s="104"/>
      <c r="E400" s="104"/>
      <c r="F400" s="104"/>
      <c r="G400" s="104"/>
      <c r="H400" s="104"/>
      <c r="I400" s="104"/>
    </row>
    <row r="401" spans="2:9">
      <c r="B401" s="104"/>
      <c r="C401" s="104"/>
      <c r="D401" s="104"/>
      <c r="E401" s="104"/>
      <c r="F401" s="104"/>
      <c r="G401" s="104"/>
      <c r="H401" s="104"/>
      <c r="I401" s="104"/>
    </row>
    <row r="402" spans="2:9">
      <c r="B402" s="104"/>
      <c r="C402" s="104"/>
      <c r="D402" s="104"/>
      <c r="E402" s="104"/>
      <c r="F402" s="104"/>
      <c r="G402" s="104"/>
      <c r="H402" s="104"/>
      <c r="I402" s="104"/>
    </row>
    <row r="403" spans="2:9">
      <c r="B403" s="104"/>
      <c r="C403" s="104"/>
      <c r="D403" s="104"/>
      <c r="E403" s="104"/>
      <c r="F403" s="104"/>
      <c r="G403" s="104"/>
      <c r="H403" s="104"/>
      <c r="I403" s="104"/>
    </row>
    <row r="404" spans="2:9">
      <c r="B404" s="104"/>
      <c r="C404" s="104"/>
      <c r="D404" s="104"/>
      <c r="E404" s="104"/>
      <c r="F404" s="104"/>
      <c r="G404" s="104"/>
      <c r="H404" s="104"/>
      <c r="I404" s="104"/>
    </row>
    <row r="405" spans="2:9">
      <c r="B405" s="104"/>
      <c r="C405" s="104"/>
      <c r="D405" s="104"/>
      <c r="E405" s="104"/>
      <c r="F405" s="104"/>
      <c r="G405" s="104"/>
      <c r="H405" s="104"/>
      <c r="I405" s="104"/>
    </row>
    <row r="406" spans="2:9">
      <c r="B406" s="104"/>
      <c r="C406" s="104"/>
      <c r="D406" s="104"/>
      <c r="E406" s="104"/>
      <c r="F406" s="104"/>
      <c r="G406" s="104"/>
      <c r="H406" s="104"/>
      <c r="I406" s="104"/>
    </row>
    <row r="407" spans="2:9">
      <c r="B407" s="104"/>
      <c r="C407" s="104"/>
      <c r="D407" s="104"/>
      <c r="E407" s="104"/>
      <c r="F407" s="104"/>
      <c r="G407" s="104"/>
      <c r="H407" s="104"/>
      <c r="I407" s="104"/>
    </row>
    <row r="408" spans="2:9">
      <c r="B408" s="104"/>
      <c r="C408" s="104"/>
      <c r="D408" s="104"/>
      <c r="E408" s="104"/>
      <c r="F408" s="104"/>
      <c r="G408" s="104"/>
      <c r="H408" s="104"/>
      <c r="I408" s="104"/>
    </row>
    <row r="409" spans="2:9">
      <c r="B409" s="104"/>
      <c r="C409" s="104"/>
      <c r="D409" s="104"/>
      <c r="E409" s="104"/>
      <c r="F409" s="104"/>
      <c r="G409" s="104"/>
      <c r="H409" s="104"/>
      <c r="I409" s="104"/>
    </row>
    <row r="410" spans="2:9">
      <c r="B410" s="104"/>
      <c r="C410" s="104"/>
      <c r="D410" s="104"/>
      <c r="E410" s="104"/>
      <c r="F410" s="104"/>
      <c r="G410" s="104"/>
      <c r="H410" s="104"/>
      <c r="I410" s="104"/>
    </row>
    <row r="411" spans="2:9">
      <c r="B411" s="104"/>
      <c r="C411" s="104"/>
      <c r="D411" s="104"/>
      <c r="E411" s="104"/>
      <c r="F411" s="104"/>
      <c r="G411" s="104"/>
      <c r="H411" s="104"/>
      <c r="I411" s="104"/>
    </row>
    <row r="412" spans="2:9">
      <c r="B412" s="104"/>
      <c r="C412" s="104"/>
      <c r="D412" s="104"/>
      <c r="E412" s="104"/>
      <c r="F412" s="104"/>
      <c r="G412" s="104"/>
      <c r="H412" s="104"/>
      <c r="I412" s="104"/>
    </row>
    <row r="413" spans="2:9">
      <c r="B413" s="104"/>
      <c r="C413" s="104"/>
      <c r="D413" s="104"/>
      <c r="E413" s="104"/>
      <c r="F413" s="104"/>
      <c r="G413" s="104"/>
      <c r="H413" s="104"/>
      <c r="I413" s="104"/>
    </row>
    <row r="414" spans="2:9">
      <c r="B414" s="104"/>
      <c r="C414" s="104"/>
      <c r="D414" s="104"/>
      <c r="E414" s="104"/>
      <c r="F414" s="104"/>
      <c r="G414" s="104"/>
      <c r="H414" s="104"/>
      <c r="I414" s="104"/>
    </row>
    <row r="415" spans="2:9">
      <c r="B415" s="104"/>
      <c r="C415" s="104"/>
      <c r="D415" s="104"/>
      <c r="E415" s="104"/>
      <c r="F415" s="104"/>
      <c r="G415" s="104"/>
      <c r="H415" s="104"/>
      <c r="I415" s="104"/>
    </row>
    <row r="416" spans="2:9">
      <c r="B416" s="104"/>
      <c r="C416" s="104"/>
      <c r="D416" s="104"/>
      <c r="E416" s="104"/>
      <c r="F416" s="104"/>
      <c r="G416" s="104"/>
      <c r="H416" s="104"/>
      <c r="I416" s="104"/>
    </row>
    <row r="417" spans="2:9">
      <c r="B417" s="104"/>
      <c r="C417" s="104"/>
      <c r="D417" s="104"/>
      <c r="E417" s="104"/>
      <c r="F417" s="104"/>
      <c r="G417" s="104"/>
      <c r="H417" s="104"/>
      <c r="I417" s="104"/>
    </row>
    <row r="418" spans="2:9">
      <c r="B418" s="104"/>
      <c r="C418" s="104"/>
      <c r="D418" s="104"/>
      <c r="E418" s="104"/>
      <c r="F418" s="104"/>
      <c r="G418" s="104"/>
      <c r="H418" s="104"/>
      <c r="I418" s="104"/>
    </row>
    <row r="419" spans="2:9">
      <c r="B419" s="104"/>
      <c r="C419" s="104"/>
      <c r="D419" s="104"/>
      <c r="E419" s="104"/>
      <c r="F419" s="104"/>
      <c r="G419" s="104"/>
      <c r="H419" s="104"/>
      <c r="I419" s="104"/>
    </row>
    <row r="420" spans="2:9">
      <c r="B420" s="104"/>
      <c r="C420" s="104"/>
      <c r="D420" s="104"/>
      <c r="E420" s="104"/>
      <c r="F420" s="104"/>
      <c r="G420" s="104"/>
      <c r="H420" s="104"/>
      <c r="I420" s="104"/>
    </row>
    <row r="421" spans="2:9">
      <c r="B421" s="104"/>
      <c r="C421" s="104"/>
      <c r="D421" s="104"/>
      <c r="E421" s="104"/>
      <c r="F421" s="104"/>
      <c r="G421" s="104"/>
      <c r="H421" s="104"/>
      <c r="I421" s="104"/>
    </row>
    <row r="422" spans="2:9">
      <c r="B422" s="104"/>
      <c r="C422" s="104"/>
      <c r="D422" s="104"/>
      <c r="E422" s="104"/>
      <c r="F422" s="104"/>
      <c r="G422" s="104"/>
      <c r="H422" s="104"/>
      <c r="I422" s="104"/>
    </row>
    <row r="423" spans="2:9">
      <c r="B423" s="104"/>
      <c r="C423" s="104"/>
      <c r="D423" s="104"/>
      <c r="E423" s="104"/>
      <c r="F423" s="104"/>
      <c r="G423" s="104"/>
      <c r="H423" s="104"/>
      <c r="I423" s="104"/>
    </row>
    <row r="424" spans="2:9">
      <c r="B424" s="104"/>
      <c r="C424" s="104"/>
      <c r="D424" s="104"/>
      <c r="E424" s="104"/>
      <c r="F424" s="104"/>
      <c r="G424" s="104"/>
      <c r="H424" s="104"/>
      <c r="I424" s="104"/>
    </row>
    <row r="425" spans="2:9">
      <c r="B425" s="104"/>
      <c r="C425" s="104"/>
      <c r="D425" s="104"/>
      <c r="E425" s="104"/>
      <c r="F425" s="104"/>
      <c r="G425" s="104"/>
      <c r="H425" s="104"/>
      <c r="I425" s="104"/>
    </row>
    <row r="426" spans="2:9">
      <c r="B426" s="104"/>
      <c r="C426" s="104"/>
      <c r="D426" s="104"/>
      <c r="E426" s="104"/>
      <c r="F426" s="104"/>
      <c r="G426" s="104"/>
      <c r="H426" s="104"/>
      <c r="I426" s="104"/>
    </row>
    <row r="427" spans="2:9">
      <c r="B427" s="104"/>
      <c r="C427" s="104"/>
      <c r="D427" s="104"/>
      <c r="E427" s="104"/>
      <c r="F427" s="104"/>
      <c r="G427" s="104"/>
      <c r="H427" s="104"/>
      <c r="I427" s="104"/>
    </row>
    <row r="428" spans="2:9">
      <c r="B428" s="104"/>
      <c r="C428" s="104"/>
      <c r="D428" s="104"/>
      <c r="E428" s="104"/>
      <c r="F428" s="104"/>
      <c r="G428" s="104"/>
      <c r="H428" s="104"/>
      <c r="I428" s="104"/>
    </row>
    <row r="429" spans="2:9">
      <c r="B429" s="104"/>
      <c r="C429" s="104"/>
      <c r="D429" s="104"/>
      <c r="E429" s="104"/>
      <c r="F429" s="104"/>
      <c r="G429" s="104"/>
      <c r="H429" s="104"/>
      <c r="I429" s="104"/>
    </row>
    <row r="430" spans="2:9">
      <c r="B430" s="104"/>
      <c r="C430" s="104"/>
      <c r="D430" s="104"/>
      <c r="E430" s="104"/>
      <c r="F430" s="104"/>
      <c r="G430" s="104"/>
      <c r="H430" s="104"/>
      <c r="I430" s="104"/>
    </row>
    <row r="431" spans="2:9">
      <c r="B431" s="104"/>
      <c r="C431" s="104"/>
      <c r="D431" s="104"/>
      <c r="E431" s="104"/>
      <c r="F431" s="104"/>
      <c r="G431" s="104"/>
      <c r="H431" s="104"/>
      <c r="I431" s="104"/>
    </row>
    <row r="432" spans="2:9">
      <c r="B432" s="104"/>
      <c r="C432" s="104"/>
      <c r="D432" s="104"/>
      <c r="E432" s="104"/>
      <c r="F432" s="104"/>
      <c r="G432" s="104"/>
      <c r="H432" s="104"/>
      <c r="I432" s="104"/>
    </row>
    <row r="433" spans="2:9">
      <c r="B433" s="104"/>
      <c r="C433" s="104"/>
      <c r="D433" s="104"/>
      <c r="E433" s="104"/>
      <c r="F433" s="104"/>
      <c r="G433" s="104"/>
      <c r="H433" s="104"/>
      <c r="I433" s="104"/>
    </row>
    <row r="434" spans="2:9">
      <c r="B434" s="104"/>
      <c r="C434" s="104"/>
      <c r="D434" s="104"/>
      <c r="E434" s="104"/>
      <c r="F434" s="104"/>
      <c r="G434" s="104"/>
      <c r="H434" s="104"/>
      <c r="I434" s="104"/>
    </row>
    <row r="435" spans="2:9">
      <c r="B435" s="104"/>
      <c r="C435" s="104"/>
      <c r="D435" s="104"/>
      <c r="E435" s="104"/>
      <c r="F435" s="104"/>
      <c r="G435" s="104"/>
      <c r="H435" s="104"/>
      <c r="I435" s="104"/>
    </row>
    <row r="436" spans="2:9">
      <c r="B436" s="104"/>
      <c r="C436" s="104"/>
      <c r="D436" s="104"/>
      <c r="E436" s="104"/>
      <c r="F436" s="104"/>
      <c r="G436" s="104"/>
      <c r="H436" s="104"/>
      <c r="I436" s="104"/>
    </row>
    <row r="437" spans="2:9">
      <c r="B437" s="104"/>
      <c r="C437" s="104"/>
      <c r="D437" s="104"/>
      <c r="E437" s="104"/>
      <c r="F437" s="104"/>
      <c r="G437" s="104"/>
      <c r="H437" s="104"/>
      <c r="I437" s="104"/>
    </row>
    <row r="438" spans="2:9">
      <c r="B438" s="104"/>
      <c r="C438" s="104"/>
      <c r="D438" s="104"/>
      <c r="E438" s="104"/>
      <c r="F438" s="104"/>
      <c r="G438" s="104"/>
      <c r="H438" s="104"/>
      <c r="I438" s="104"/>
    </row>
    <row r="439" spans="2:9">
      <c r="B439" s="104"/>
      <c r="C439" s="104"/>
      <c r="D439" s="104"/>
      <c r="E439" s="104"/>
      <c r="F439" s="104"/>
      <c r="G439" s="104"/>
      <c r="H439" s="104"/>
      <c r="I439" s="104"/>
    </row>
    <row r="440" spans="2:9">
      <c r="B440" s="104"/>
      <c r="C440" s="104"/>
      <c r="D440" s="104"/>
      <c r="E440" s="104"/>
      <c r="F440" s="104"/>
      <c r="G440" s="104"/>
      <c r="H440" s="104"/>
      <c r="I440" s="104"/>
    </row>
    <row r="441" spans="2:9">
      <c r="B441" s="104"/>
      <c r="C441" s="104"/>
      <c r="D441" s="104"/>
      <c r="E441" s="104"/>
      <c r="F441" s="104"/>
      <c r="G441" s="104"/>
      <c r="H441" s="104"/>
      <c r="I441" s="104"/>
    </row>
    <row r="442" spans="2:9">
      <c r="B442" s="104"/>
      <c r="C442" s="104"/>
      <c r="D442" s="104"/>
      <c r="E442" s="104"/>
      <c r="F442" s="104"/>
      <c r="G442" s="104"/>
      <c r="H442" s="104"/>
      <c r="I442" s="104"/>
    </row>
    <row r="443" spans="2:9">
      <c r="B443" s="104"/>
      <c r="C443" s="104"/>
      <c r="D443" s="104"/>
      <c r="E443" s="104"/>
      <c r="F443" s="104"/>
      <c r="G443" s="104"/>
      <c r="H443" s="104"/>
      <c r="I443" s="104"/>
    </row>
    <row r="444" spans="2:9">
      <c r="B444" s="104"/>
      <c r="C444" s="104"/>
      <c r="D444" s="104"/>
      <c r="E444" s="104"/>
      <c r="F444" s="104"/>
      <c r="G444" s="104"/>
      <c r="H444" s="104"/>
      <c r="I444" s="104"/>
    </row>
    <row r="445" spans="2:9">
      <c r="B445" s="104"/>
      <c r="C445" s="104"/>
      <c r="D445" s="104"/>
      <c r="E445" s="104"/>
      <c r="F445" s="104"/>
      <c r="G445" s="104"/>
      <c r="H445" s="104"/>
      <c r="I445" s="104"/>
    </row>
    <row r="446" spans="2:9">
      <c r="B446" s="104"/>
      <c r="C446" s="104"/>
      <c r="D446" s="104"/>
      <c r="E446" s="104"/>
      <c r="F446" s="104"/>
      <c r="G446" s="104"/>
      <c r="H446" s="104"/>
      <c r="I446" s="104"/>
    </row>
    <row r="447" spans="2:9">
      <c r="B447" s="104"/>
      <c r="C447" s="104"/>
      <c r="D447" s="104"/>
      <c r="E447" s="104"/>
      <c r="F447" s="104"/>
      <c r="G447" s="104"/>
      <c r="H447" s="104"/>
      <c r="I447" s="104"/>
    </row>
    <row r="448" spans="2:9">
      <c r="B448" s="104"/>
      <c r="C448" s="104"/>
      <c r="D448" s="104"/>
      <c r="E448" s="104"/>
      <c r="F448" s="104"/>
      <c r="G448" s="104"/>
      <c r="H448" s="104"/>
      <c r="I448" s="104"/>
    </row>
    <row r="449" spans="2:9">
      <c r="B449" s="104"/>
      <c r="C449" s="104"/>
      <c r="D449" s="104"/>
      <c r="E449" s="104"/>
      <c r="F449" s="104"/>
      <c r="G449" s="104"/>
      <c r="H449" s="104"/>
      <c r="I449" s="104"/>
    </row>
    <row r="450" spans="2:9">
      <c r="B450" s="104"/>
      <c r="C450" s="104"/>
      <c r="D450" s="104"/>
      <c r="E450" s="104"/>
      <c r="F450" s="104"/>
      <c r="G450" s="104"/>
      <c r="H450" s="104"/>
      <c r="I450" s="104"/>
    </row>
    <row r="451" spans="2:9">
      <c r="B451" s="104"/>
      <c r="C451" s="104"/>
      <c r="D451" s="104"/>
      <c r="E451" s="104"/>
      <c r="F451" s="104"/>
      <c r="G451" s="104"/>
      <c r="H451" s="104"/>
      <c r="I451" s="104"/>
    </row>
    <row r="452" spans="2:9">
      <c r="B452" s="104"/>
      <c r="C452" s="104"/>
      <c r="D452" s="104"/>
      <c r="E452" s="104"/>
      <c r="F452" s="104"/>
      <c r="G452" s="104"/>
      <c r="H452" s="104"/>
      <c r="I452" s="104"/>
    </row>
    <row r="453" spans="2:9">
      <c r="B453" s="104"/>
      <c r="C453" s="104"/>
      <c r="D453" s="104"/>
      <c r="E453" s="104"/>
      <c r="F453" s="104"/>
      <c r="G453" s="104"/>
      <c r="H453" s="104"/>
      <c r="I453" s="104"/>
    </row>
    <row r="454" spans="2:9">
      <c r="B454" s="104"/>
      <c r="C454" s="104"/>
      <c r="D454" s="104"/>
      <c r="E454" s="104"/>
      <c r="F454" s="104"/>
      <c r="G454" s="104"/>
      <c r="H454" s="104"/>
      <c r="I454" s="104"/>
    </row>
    <row r="455" spans="2:9">
      <c r="B455" s="104"/>
      <c r="C455" s="104"/>
      <c r="D455" s="104"/>
      <c r="E455" s="104"/>
      <c r="F455" s="104"/>
      <c r="G455" s="104"/>
      <c r="H455" s="104"/>
      <c r="I455" s="104"/>
    </row>
    <row r="456" spans="2:9">
      <c r="B456" s="104"/>
      <c r="C456" s="104"/>
      <c r="D456" s="104"/>
      <c r="E456" s="104"/>
      <c r="F456" s="104"/>
      <c r="G456" s="104"/>
      <c r="H456" s="104"/>
      <c r="I456" s="104"/>
    </row>
    <row r="457" spans="2:9">
      <c r="B457" s="104"/>
      <c r="C457" s="104"/>
      <c r="D457" s="104"/>
      <c r="E457" s="104"/>
      <c r="F457" s="104"/>
      <c r="G457" s="104"/>
      <c r="H457" s="104"/>
      <c r="I457" s="104"/>
    </row>
    <row r="458" spans="2:9">
      <c r="B458" s="104"/>
      <c r="C458" s="104"/>
      <c r="D458" s="104"/>
      <c r="E458" s="104"/>
      <c r="F458" s="104"/>
      <c r="G458" s="104"/>
      <c r="H458" s="104"/>
      <c r="I458" s="104"/>
    </row>
    <row r="459" spans="2:9">
      <c r="B459" s="104"/>
      <c r="C459" s="104"/>
      <c r="D459" s="104"/>
      <c r="E459" s="104"/>
      <c r="F459" s="104"/>
      <c r="G459" s="104"/>
      <c r="H459" s="104"/>
      <c r="I459" s="104"/>
    </row>
    <row r="460" spans="2:9">
      <c r="B460" s="104"/>
      <c r="C460" s="104"/>
      <c r="D460" s="104"/>
      <c r="E460" s="104"/>
      <c r="F460" s="104"/>
      <c r="G460" s="104"/>
      <c r="H460" s="104"/>
      <c r="I460" s="104"/>
    </row>
    <row r="461" spans="2:9">
      <c r="B461" s="104"/>
      <c r="C461" s="104"/>
      <c r="D461" s="104"/>
      <c r="E461" s="104"/>
      <c r="F461" s="104"/>
      <c r="G461" s="104"/>
      <c r="H461" s="104"/>
      <c r="I461" s="104"/>
    </row>
    <row r="462" spans="2:9">
      <c r="B462" s="104"/>
      <c r="C462" s="104"/>
      <c r="D462" s="104"/>
      <c r="E462" s="104"/>
      <c r="F462" s="104"/>
      <c r="G462" s="104"/>
      <c r="H462" s="104"/>
      <c r="I462" s="104"/>
    </row>
    <row r="463" spans="2:9">
      <c r="B463" s="104"/>
      <c r="C463" s="104"/>
      <c r="D463" s="104"/>
      <c r="E463" s="104"/>
      <c r="F463" s="104"/>
      <c r="G463" s="104"/>
      <c r="H463" s="104"/>
      <c r="I463" s="104"/>
    </row>
    <row r="464" spans="2:9">
      <c r="B464" s="104"/>
      <c r="C464" s="104"/>
      <c r="D464" s="104"/>
      <c r="E464" s="104"/>
      <c r="F464" s="104"/>
      <c r="G464" s="104"/>
      <c r="H464" s="104"/>
      <c r="I464" s="104"/>
    </row>
    <row r="465" spans="2:9">
      <c r="B465" s="104"/>
      <c r="C465" s="104"/>
      <c r="D465" s="104"/>
      <c r="E465" s="104"/>
      <c r="F465" s="104"/>
      <c r="G465" s="104"/>
      <c r="H465" s="104"/>
      <c r="I465" s="104"/>
    </row>
    <row r="466" spans="2:9">
      <c r="B466" s="104"/>
      <c r="C466" s="104"/>
      <c r="D466" s="104"/>
      <c r="E466" s="104"/>
      <c r="F466" s="104"/>
      <c r="G466" s="104"/>
      <c r="H466" s="104"/>
      <c r="I466" s="104"/>
    </row>
    <row r="467" spans="2:9">
      <c r="B467" s="104"/>
      <c r="C467" s="104"/>
      <c r="D467" s="104"/>
      <c r="E467" s="104"/>
      <c r="F467" s="104"/>
      <c r="G467" s="104"/>
      <c r="H467" s="104"/>
      <c r="I467" s="104"/>
    </row>
    <row r="468" spans="2:9">
      <c r="B468" s="104"/>
      <c r="C468" s="104"/>
      <c r="D468" s="104"/>
      <c r="E468" s="104"/>
      <c r="F468" s="104"/>
      <c r="G468" s="104"/>
      <c r="H468" s="104"/>
      <c r="I468" s="104"/>
    </row>
    <row r="469" spans="2:9">
      <c r="B469" s="104"/>
      <c r="C469" s="104"/>
      <c r="D469" s="104"/>
      <c r="E469" s="104"/>
      <c r="F469" s="104"/>
      <c r="G469" s="104"/>
      <c r="H469" s="104"/>
      <c r="I469" s="104"/>
    </row>
    <row r="470" spans="2:9">
      <c r="B470" s="104"/>
      <c r="C470" s="104"/>
      <c r="D470" s="104"/>
      <c r="E470" s="104"/>
      <c r="F470" s="104"/>
      <c r="G470" s="104"/>
      <c r="H470" s="104"/>
      <c r="I470" s="104"/>
    </row>
    <row r="471" spans="2:9">
      <c r="B471" s="104"/>
      <c r="C471" s="104"/>
      <c r="D471" s="104"/>
      <c r="E471" s="104"/>
      <c r="F471" s="104"/>
      <c r="G471" s="104"/>
      <c r="H471" s="104"/>
      <c r="I471" s="104"/>
    </row>
    <row r="472" spans="2:9">
      <c r="B472" s="104"/>
      <c r="C472" s="104"/>
      <c r="D472" s="104"/>
      <c r="E472" s="104"/>
      <c r="F472" s="104"/>
      <c r="G472" s="104"/>
      <c r="H472" s="104"/>
      <c r="I472" s="104"/>
    </row>
    <row r="473" spans="2:9">
      <c r="B473" s="104"/>
      <c r="C473" s="104"/>
      <c r="D473" s="104"/>
      <c r="E473" s="104"/>
      <c r="F473" s="104"/>
      <c r="G473" s="104"/>
      <c r="H473" s="104"/>
      <c r="I473" s="104"/>
    </row>
    <row r="474" spans="2:9">
      <c r="B474" s="104"/>
      <c r="C474" s="104"/>
      <c r="D474" s="104"/>
      <c r="E474" s="104"/>
      <c r="F474" s="104"/>
      <c r="G474" s="104"/>
      <c r="H474" s="104"/>
      <c r="I474" s="104"/>
    </row>
    <row r="475" spans="2:9">
      <c r="B475" s="104"/>
      <c r="C475" s="104"/>
      <c r="D475" s="104"/>
      <c r="E475" s="104"/>
      <c r="F475" s="104"/>
      <c r="G475" s="104"/>
      <c r="H475" s="104"/>
      <c r="I475" s="104"/>
    </row>
    <row r="476" spans="2:9">
      <c r="B476" s="104"/>
      <c r="C476" s="104"/>
      <c r="D476" s="104"/>
      <c r="E476" s="104"/>
      <c r="F476" s="104"/>
      <c r="G476" s="104"/>
      <c r="H476" s="104"/>
      <c r="I476" s="104"/>
    </row>
    <row r="477" spans="2:9">
      <c r="B477" s="104"/>
      <c r="C477" s="104"/>
      <c r="D477" s="104"/>
      <c r="E477" s="104"/>
      <c r="F477" s="104"/>
      <c r="G477" s="104"/>
      <c r="H477" s="104"/>
      <c r="I477" s="104"/>
    </row>
    <row r="478" spans="2:9">
      <c r="B478" s="104"/>
      <c r="C478" s="104"/>
      <c r="D478" s="104"/>
      <c r="E478" s="104"/>
      <c r="F478" s="104"/>
      <c r="G478" s="104"/>
      <c r="H478" s="104"/>
      <c r="I478" s="104"/>
    </row>
    <row r="479" spans="2:9">
      <c r="B479" s="104"/>
      <c r="C479" s="104"/>
      <c r="D479" s="104"/>
      <c r="E479" s="104"/>
      <c r="F479" s="104"/>
      <c r="G479" s="104"/>
      <c r="H479" s="104"/>
      <c r="I479" s="104"/>
    </row>
    <row r="480" spans="2:9">
      <c r="B480" s="104"/>
      <c r="C480" s="104"/>
      <c r="D480" s="104"/>
      <c r="E480" s="104"/>
      <c r="F480" s="104"/>
      <c r="G480" s="104"/>
      <c r="H480" s="104"/>
      <c r="I480" s="104"/>
    </row>
    <row r="481" spans="2:9">
      <c r="B481" s="104"/>
      <c r="C481" s="104"/>
      <c r="D481" s="104"/>
      <c r="E481" s="104"/>
      <c r="F481" s="104"/>
      <c r="G481" s="104"/>
      <c r="H481" s="104"/>
      <c r="I481" s="104"/>
    </row>
    <row r="482" spans="2:9">
      <c r="B482" s="104"/>
      <c r="C482" s="104"/>
      <c r="D482" s="104"/>
      <c r="E482" s="104"/>
      <c r="F482" s="104"/>
      <c r="G482" s="104"/>
      <c r="H482" s="104"/>
      <c r="I482" s="104"/>
    </row>
    <row r="483" spans="2:9">
      <c r="B483" s="104"/>
      <c r="C483" s="104"/>
      <c r="D483" s="104"/>
      <c r="E483" s="104"/>
      <c r="F483" s="104"/>
      <c r="G483" s="104"/>
      <c r="H483" s="104"/>
      <c r="I483" s="104"/>
    </row>
    <row r="484" spans="2:9">
      <c r="B484" s="104"/>
      <c r="C484" s="104"/>
      <c r="D484" s="104"/>
      <c r="E484" s="104"/>
      <c r="F484" s="104"/>
      <c r="G484" s="104"/>
      <c r="H484" s="104"/>
      <c r="I484" s="104"/>
    </row>
    <row r="485" spans="2:9">
      <c r="B485" s="104"/>
      <c r="C485" s="104"/>
      <c r="D485" s="104"/>
      <c r="E485" s="104"/>
      <c r="F485" s="104"/>
      <c r="G485" s="104"/>
      <c r="H485" s="104"/>
      <c r="I485" s="104"/>
    </row>
    <row r="486" spans="2:9">
      <c r="B486" s="104"/>
      <c r="C486" s="104"/>
      <c r="D486" s="104"/>
      <c r="E486" s="104"/>
      <c r="F486" s="104"/>
      <c r="G486" s="104"/>
      <c r="H486" s="104"/>
      <c r="I486" s="104"/>
    </row>
    <row r="487" spans="2:9">
      <c r="B487" s="104"/>
      <c r="C487" s="104"/>
      <c r="D487" s="104"/>
      <c r="E487" s="104"/>
      <c r="F487" s="104"/>
      <c r="G487" s="104"/>
      <c r="H487" s="104"/>
      <c r="I487" s="104"/>
    </row>
    <row r="488" spans="2:9">
      <c r="B488" s="104"/>
      <c r="C488" s="104"/>
      <c r="D488" s="104"/>
      <c r="E488" s="104"/>
      <c r="F488" s="104"/>
      <c r="G488" s="104"/>
      <c r="H488" s="104"/>
      <c r="I488" s="104"/>
    </row>
    <row r="489" spans="2:9">
      <c r="B489" s="104"/>
      <c r="C489" s="104"/>
      <c r="D489" s="104"/>
      <c r="E489" s="104"/>
      <c r="F489" s="104"/>
      <c r="G489" s="104"/>
      <c r="H489" s="104"/>
      <c r="I489" s="104"/>
    </row>
    <row r="490" spans="2:9">
      <c r="B490" s="104"/>
      <c r="C490" s="104"/>
      <c r="D490" s="104"/>
      <c r="E490" s="104"/>
      <c r="F490" s="104"/>
      <c r="G490" s="104"/>
      <c r="H490" s="104"/>
      <c r="I490" s="104"/>
    </row>
    <row r="491" spans="2:9">
      <c r="B491" s="104"/>
      <c r="C491" s="104"/>
      <c r="D491" s="104"/>
      <c r="E491" s="104"/>
      <c r="F491" s="104"/>
      <c r="G491" s="104"/>
      <c r="H491" s="104"/>
      <c r="I491" s="104"/>
    </row>
    <row r="492" spans="2:9">
      <c r="B492" s="104"/>
      <c r="C492" s="104"/>
      <c r="D492" s="104"/>
      <c r="E492" s="104"/>
      <c r="F492" s="104"/>
      <c r="G492" s="104"/>
      <c r="H492" s="104"/>
      <c r="I492" s="104"/>
    </row>
    <row r="493" spans="2:9">
      <c r="B493" s="104"/>
      <c r="C493" s="104"/>
      <c r="D493" s="104"/>
      <c r="E493" s="104"/>
      <c r="F493" s="104"/>
      <c r="G493" s="104"/>
      <c r="H493" s="104"/>
      <c r="I493" s="104"/>
    </row>
    <row r="494" spans="2:9">
      <c r="B494" s="104"/>
      <c r="C494" s="104"/>
      <c r="D494" s="104"/>
      <c r="E494" s="104"/>
      <c r="F494" s="104"/>
      <c r="G494" s="104"/>
      <c r="H494" s="104"/>
      <c r="I494" s="104"/>
    </row>
    <row r="495" spans="2:9">
      <c r="B495" s="104"/>
      <c r="C495" s="104"/>
      <c r="D495" s="104"/>
      <c r="E495" s="104"/>
      <c r="F495" s="104"/>
      <c r="G495" s="104"/>
      <c r="H495" s="104"/>
      <c r="I495" s="104"/>
    </row>
    <row r="496" spans="2:9">
      <c r="B496" s="104"/>
      <c r="C496" s="104"/>
      <c r="D496" s="104"/>
      <c r="E496" s="104"/>
      <c r="F496" s="104"/>
      <c r="G496" s="104"/>
      <c r="H496" s="104"/>
      <c r="I496" s="104"/>
    </row>
    <row r="497" spans="2:9">
      <c r="B497" s="104"/>
      <c r="C497" s="104"/>
      <c r="D497" s="104"/>
      <c r="E497" s="104"/>
      <c r="F497" s="104"/>
      <c r="G497" s="104"/>
      <c r="H497" s="104"/>
      <c r="I497" s="104"/>
    </row>
    <row r="498" spans="2:9">
      <c r="B498" s="104"/>
      <c r="C498" s="104"/>
      <c r="D498" s="104"/>
      <c r="E498" s="104"/>
      <c r="F498" s="104"/>
      <c r="G498" s="104"/>
      <c r="H498" s="104"/>
      <c r="I498" s="104"/>
    </row>
    <row r="499" spans="2:9">
      <c r="B499" s="104"/>
      <c r="C499" s="104"/>
      <c r="D499" s="104"/>
      <c r="E499" s="104"/>
      <c r="F499" s="104"/>
      <c r="G499" s="104"/>
      <c r="H499" s="104"/>
      <c r="I499" s="104"/>
    </row>
    <row r="500" spans="2:9">
      <c r="B500" s="104"/>
      <c r="C500" s="104"/>
      <c r="D500" s="104"/>
      <c r="E500" s="104"/>
      <c r="F500" s="104"/>
      <c r="G500" s="104"/>
      <c r="H500" s="104"/>
      <c r="I500" s="104"/>
    </row>
    <row r="501" spans="2:9">
      <c r="B501" s="104"/>
      <c r="C501" s="104"/>
      <c r="D501" s="104"/>
      <c r="E501" s="104"/>
      <c r="F501" s="104"/>
      <c r="G501" s="104"/>
      <c r="H501" s="104"/>
      <c r="I501" s="104"/>
    </row>
    <row r="502" spans="2:9">
      <c r="B502" s="104"/>
      <c r="C502" s="104"/>
      <c r="D502" s="104"/>
      <c r="E502" s="104"/>
      <c r="F502" s="104"/>
      <c r="G502" s="104"/>
      <c r="H502" s="104"/>
      <c r="I502" s="104"/>
    </row>
    <row r="503" spans="2:9">
      <c r="B503" s="104"/>
      <c r="C503" s="104"/>
      <c r="D503" s="104"/>
      <c r="E503" s="104"/>
      <c r="F503" s="104"/>
      <c r="G503" s="104"/>
      <c r="H503" s="104"/>
      <c r="I503" s="104"/>
    </row>
    <row r="504" spans="2:9">
      <c r="B504" s="104"/>
      <c r="C504" s="104"/>
      <c r="D504" s="104"/>
      <c r="E504" s="104"/>
      <c r="F504" s="104"/>
      <c r="G504" s="104"/>
      <c r="H504" s="104"/>
      <c r="I504" s="104"/>
    </row>
    <row r="505" spans="2:9">
      <c r="B505" s="104"/>
      <c r="C505" s="104"/>
      <c r="D505" s="104"/>
      <c r="E505" s="104"/>
      <c r="F505" s="104"/>
      <c r="G505" s="104"/>
      <c r="H505" s="104"/>
      <c r="I505" s="104"/>
    </row>
    <row r="506" spans="2:9">
      <c r="B506" s="104"/>
      <c r="C506" s="104"/>
      <c r="D506" s="104"/>
      <c r="E506" s="104"/>
      <c r="F506" s="104"/>
      <c r="G506" s="104"/>
      <c r="H506" s="104"/>
      <c r="I506" s="104"/>
    </row>
    <row r="507" spans="2:9">
      <c r="B507" s="104"/>
      <c r="C507" s="104"/>
      <c r="D507" s="104"/>
      <c r="E507" s="104"/>
      <c r="F507" s="104"/>
      <c r="G507" s="104"/>
      <c r="H507" s="104"/>
      <c r="I507" s="104"/>
    </row>
    <row r="508" spans="2:9">
      <c r="B508" s="104"/>
      <c r="C508" s="104"/>
      <c r="D508" s="104"/>
      <c r="E508" s="104"/>
      <c r="F508" s="104"/>
      <c r="G508" s="104"/>
      <c r="H508" s="104"/>
      <c r="I508" s="104"/>
    </row>
    <row r="509" spans="2:9">
      <c r="B509" s="104"/>
      <c r="C509" s="104"/>
      <c r="D509" s="104"/>
      <c r="E509" s="104"/>
      <c r="F509" s="104"/>
      <c r="G509" s="104"/>
      <c r="H509" s="104"/>
      <c r="I509" s="104"/>
    </row>
    <row r="510" spans="2:9">
      <c r="B510" s="104"/>
      <c r="C510" s="104"/>
      <c r="D510" s="104"/>
      <c r="E510" s="104"/>
      <c r="F510" s="104"/>
      <c r="G510" s="104"/>
      <c r="H510" s="104"/>
      <c r="I510" s="104"/>
    </row>
    <row r="511" spans="2:9">
      <c r="B511" s="104"/>
      <c r="C511" s="104"/>
      <c r="D511" s="104"/>
      <c r="E511" s="104"/>
      <c r="F511" s="104"/>
      <c r="G511" s="104"/>
      <c r="H511" s="104"/>
      <c r="I511" s="104"/>
    </row>
    <row r="512" spans="2:9">
      <c r="B512" s="104"/>
      <c r="C512" s="104"/>
      <c r="D512" s="104"/>
      <c r="E512" s="104"/>
      <c r="F512" s="104"/>
      <c r="G512" s="104"/>
      <c r="H512" s="104"/>
      <c r="I512" s="104"/>
    </row>
    <row r="513" spans="2:9">
      <c r="B513" s="104"/>
      <c r="C513" s="104"/>
      <c r="D513" s="104"/>
      <c r="E513" s="104"/>
      <c r="F513" s="104"/>
      <c r="G513" s="104"/>
      <c r="H513" s="104"/>
      <c r="I513" s="104"/>
    </row>
    <row r="514" spans="2:9">
      <c r="B514" s="104"/>
      <c r="C514" s="104"/>
      <c r="D514" s="104"/>
      <c r="E514" s="104"/>
      <c r="F514" s="104"/>
      <c r="G514" s="104"/>
      <c r="H514" s="104"/>
      <c r="I514" s="104"/>
    </row>
    <row r="515" spans="2:9">
      <c r="B515" s="104"/>
      <c r="C515" s="104"/>
      <c r="D515" s="104"/>
      <c r="E515" s="104"/>
      <c r="F515" s="104"/>
      <c r="G515" s="104"/>
      <c r="H515" s="104"/>
      <c r="I515" s="104"/>
    </row>
    <row r="516" spans="2:9">
      <c r="B516" s="104"/>
      <c r="C516" s="104"/>
      <c r="D516" s="104"/>
      <c r="E516" s="104"/>
      <c r="F516" s="104"/>
      <c r="G516" s="104"/>
      <c r="H516" s="104"/>
      <c r="I516" s="104"/>
    </row>
    <row r="517" spans="2:9">
      <c r="B517" s="104"/>
      <c r="C517" s="104"/>
      <c r="D517" s="104"/>
      <c r="E517" s="104"/>
      <c r="F517" s="104"/>
      <c r="G517" s="104"/>
      <c r="H517" s="104"/>
      <c r="I517" s="104"/>
    </row>
    <row r="518" spans="2:9">
      <c r="B518" s="104"/>
      <c r="C518" s="104"/>
      <c r="D518" s="104"/>
      <c r="E518" s="104"/>
      <c r="F518" s="104"/>
      <c r="G518" s="104"/>
      <c r="H518" s="104"/>
      <c r="I518" s="104"/>
    </row>
    <row r="519" spans="2:9">
      <c r="B519" s="104"/>
      <c r="C519" s="104"/>
      <c r="D519" s="104"/>
      <c r="E519" s="104"/>
      <c r="F519" s="104"/>
      <c r="G519" s="104"/>
      <c r="H519" s="104"/>
      <c r="I519" s="104"/>
    </row>
    <row r="520" spans="2:9">
      <c r="B520" s="104"/>
      <c r="C520" s="104"/>
      <c r="D520" s="104"/>
      <c r="E520" s="104"/>
      <c r="F520" s="104"/>
      <c r="G520" s="104"/>
      <c r="H520" s="104"/>
      <c r="I520" s="104"/>
    </row>
    <row r="521" spans="2:9">
      <c r="B521" s="104"/>
      <c r="C521" s="104"/>
      <c r="D521" s="104"/>
      <c r="E521" s="104"/>
      <c r="F521" s="104"/>
      <c r="G521" s="104"/>
      <c r="H521" s="104"/>
      <c r="I521" s="104"/>
    </row>
    <row r="522" spans="2:9">
      <c r="B522" s="104"/>
      <c r="C522" s="104"/>
      <c r="D522" s="104"/>
      <c r="E522" s="104"/>
      <c r="F522" s="104"/>
      <c r="G522" s="104"/>
      <c r="H522" s="104"/>
      <c r="I522" s="104"/>
    </row>
    <row r="523" spans="2:9">
      <c r="B523" s="104"/>
      <c r="C523" s="104"/>
      <c r="D523" s="104"/>
      <c r="E523" s="104"/>
      <c r="F523" s="104"/>
      <c r="G523" s="104"/>
      <c r="H523" s="104"/>
      <c r="I523" s="104"/>
    </row>
    <row r="524" spans="2:9">
      <c r="B524" s="104"/>
      <c r="C524" s="104"/>
      <c r="D524" s="104"/>
      <c r="E524" s="104"/>
      <c r="F524" s="104"/>
      <c r="G524" s="104"/>
      <c r="H524" s="104"/>
      <c r="I524" s="104"/>
    </row>
    <row r="525" spans="2:9">
      <c r="B525" s="104"/>
      <c r="C525" s="104"/>
      <c r="D525" s="104"/>
      <c r="E525" s="104"/>
      <c r="F525" s="104"/>
      <c r="G525" s="104"/>
      <c r="H525" s="104"/>
      <c r="I525" s="104"/>
    </row>
    <row r="526" spans="2:9">
      <c r="B526" s="104"/>
      <c r="C526" s="104"/>
      <c r="D526" s="104"/>
      <c r="E526" s="104"/>
      <c r="F526" s="104"/>
      <c r="G526" s="104"/>
      <c r="H526" s="104"/>
      <c r="I526" s="104"/>
    </row>
    <row r="527" spans="2:9">
      <c r="B527" s="104"/>
      <c r="C527" s="104"/>
      <c r="D527" s="104"/>
      <c r="E527" s="104"/>
      <c r="F527" s="104"/>
      <c r="G527" s="104"/>
      <c r="H527" s="104"/>
      <c r="I527" s="104"/>
    </row>
    <row r="528" spans="2:9">
      <c r="B528" s="104"/>
      <c r="C528" s="104"/>
      <c r="D528" s="104"/>
      <c r="E528" s="104"/>
      <c r="F528" s="104"/>
      <c r="G528" s="104"/>
      <c r="H528" s="104"/>
      <c r="I528" s="104"/>
    </row>
    <row r="529" spans="2:9">
      <c r="B529" s="104"/>
      <c r="C529" s="104"/>
      <c r="D529" s="104"/>
      <c r="E529" s="104"/>
      <c r="F529" s="104"/>
      <c r="G529" s="104"/>
      <c r="H529" s="104"/>
      <c r="I529" s="104"/>
    </row>
    <row r="530" spans="2:9">
      <c r="B530" s="104"/>
      <c r="C530" s="104"/>
      <c r="D530" s="104"/>
      <c r="E530" s="104"/>
      <c r="F530" s="104"/>
      <c r="G530" s="104"/>
      <c r="H530" s="104"/>
      <c r="I530" s="104"/>
    </row>
    <row r="531" spans="2:9">
      <c r="B531" s="104"/>
      <c r="C531" s="104"/>
      <c r="D531" s="104"/>
      <c r="E531" s="104"/>
      <c r="F531" s="104"/>
      <c r="G531" s="104"/>
      <c r="H531" s="104"/>
      <c r="I531" s="104"/>
    </row>
    <row r="532" spans="2:9">
      <c r="B532" s="104"/>
      <c r="C532" s="104"/>
      <c r="D532" s="104"/>
      <c r="E532" s="104"/>
      <c r="F532" s="104"/>
      <c r="G532" s="104"/>
      <c r="H532" s="104"/>
      <c r="I532" s="104"/>
    </row>
    <row r="533" spans="2:9">
      <c r="B533" s="104"/>
      <c r="C533" s="104"/>
      <c r="D533" s="104"/>
      <c r="E533" s="104"/>
      <c r="F533" s="104"/>
      <c r="G533" s="104"/>
      <c r="H533" s="104"/>
      <c r="I533" s="104"/>
    </row>
    <row r="534" spans="2:9">
      <c r="B534" s="104"/>
      <c r="C534" s="104"/>
      <c r="D534" s="104"/>
      <c r="E534" s="104"/>
      <c r="F534" s="104"/>
      <c r="G534" s="104"/>
      <c r="H534" s="104"/>
      <c r="I534" s="104"/>
    </row>
    <row r="535" spans="2:9">
      <c r="B535" s="104"/>
      <c r="C535" s="104"/>
      <c r="D535" s="104"/>
      <c r="E535" s="104"/>
      <c r="F535" s="104"/>
      <c r="G535" s="104"/>
      <c r="H535" s="104"/>
      <c r="I535" s="104"/>
    </row>
    <row r="536" spans="2:9">
      <c r="B536" s="104"/>
      <c r="C536" s="104"/>
      <c r="D536" s="104"/>
      <c r="E536" s="104"/>
      <c r="F536" s="104"/>
      <c r="G536" s="104"/>
      <c r="H536" s="104"/>
      <c r="I536" s="104"/>
    </row>
    <row r="537" spans="2:9">
      <c r="B537" s="104"/>
      <c r="C537" s="104"/>
      <c r="D537" s="104"/>
      <c r="E537" s="104"/>
      <c r="F537" s="104"/>
      <c r="G537" s="104"/>
      <c r="H537" s="104"/>
      <c r="I537" s="104"/>
    </row>
    <row r="538" spans="2:9">
      <c r="B538" s="104"/>
      <c r="C538" s="104"/>
      <c r="D538" s="104"/>
      <c r="E538" s="104"/>
      <c r="F538" s="104"/>
      <c r="G538" s="104"/>
      <c r="H538" s="104"/>
      <c r="I538" s="104"/>
    </row>
    <row r="539" spans="2:9">
      <c r="B539" s="104"/>
      <c r="C539" s="104"/>
      <c r="D539" s="104"/>
      <c r="E539" s="104"/>
      <c r="F539" s="104"/>
      <c r="G539" s="104"/>
      <c r="H539" s="104"/>
      <c r="I539" s="104"/>
    </row>
    <row r="540" spans="2:9">
      <c r="B540" s="104"/>
      <c r="C540" s="104"/>
      <c r="D540" s="104"/>
      <c r="E540" s="104"/>
      <c r="F540" s="104"/>
      <c r="G540" s="104"/>
      <c r="H540" s="104"/>
      <c r="I540" s="104"/>
    </row>
    <row r="541" spans="2:9">
      <c r="B541" s="104"/>
      <c r="C541" s="104"/>
      <c r="D541" s="104"/>
      <c r="E541" s="104"/>
      <c r="F541" s="104"/>
      <c r="G541" s="104"/>
      <c r="H541" s="104"/>
      <c r="I541" s="104"/>
    </row>
    <row r="542" spans="2:9">
      <c r="B542" s="104"/>
      <c r="C542" s="104"/>
      <c r="D542" s="104"/>
      <c r="E542" s="104"/>
      <c r="F542" s="104"/>
      <c r="G542" s="104"/>
      <c r="H542" s="104"/>
      <c r="I542" s="104"/>
    </row>
    <row r="543" spans="2:9">
      <c r="B543" s="104"/>
      <c r="C543" s="104"/>
      <c r="D543" s="104"/>
      <c r="E543" s="104"/>
      <c r="F543" s="104"/>
      <c r="G543" s="104"/>
      <c r="H543" s="104"/>
      <c r="I543" s="104"/>
    </row>
    <row r="544" spans="2:9">
      <c r="B544" s="104"/>
      <c r="C544" s="104"/>
      <c r="D544" s="104"/>
      <c r="E544" s="104"/>
      <c r="F544" s="104"/>
      <c r="G544" s="104"/>
      <c r="H544" s="104"/>
      <c r="I544" s="104"/>
    </row>
    <row r="545" spans="2:9">
      <c r="B545" s="104"/>
      <c r="C545" s="104"/>
      <c r="D545" s="104"/>
      <c r="E545" s="104"/>
      <c r="F545" s="104"/>
      <c r="G545" s="104"/>
      <c r="H545" s="104"/>
      <c r="I545" s="104"/>
    </row>
    <row r="546" spans="2:9">
      <c r="B546" s="104"/>
      <c r="C546" s="104"/>
      <c r="D546" s="104"/>
      <c r="E546" s="104"/>
      <c r="F546" s="104"/>
      <c r="G546" s="104"/>
      <c r="H546" s="104"/>
      <c r="I546" s="104"/>
    </row>
    <row r="547" spans="2:9">
      <c r="B547" s="104"/>
      <c r="C547" s="104"/>
      <c r="D547" s="104"/>
      <c r="E547" s="104"/>
      <c r="F547" s="104"/>
      <c r="G547" s="104"/>
      <c r="H547" s="104"/>
      <c r="I547" s="104"/>
    </row>
    <row r="548" spans="2:9">
      <c r="B548" s="104"/>
      <c r="C548" s="104"/>
      <c r="D548" s="104"/>
      <c r="E548" s="104"/>
      <c r="F548" s="104"/>
      <c r="G548" s="104"/>
      <c r="H548" s="104"/>
      <c r="I548" s="104"/>
    </row>
    <row r="549" spans="2:9">
      <c r="B549" s="104"/>
      <c r="C549" s="104"/>
      <c r="D549" s="104"/>
      <c r="E549" s="104"/>
      <c r="F549" s="104"/>
      <c r="G549" s="104"/>
      <c r="H549" s="104"/>
      <c r="I549" s="104"/>
    </row>
    <row r="550" spans="2:9">
      <c r="B550" s="104"/>
      <c r="C550" s="104"/>
      <c r="D550" s="104"/>
      <c r="E550" s="104"/>
      <c r="F550" s="104"/>
      <c r="G550" s="104"/>
      <c r="H550" s="104"/>
      <c r="I550" s="104"/>
    </row>
    <row r="551" spans="2:9">
      <c r="B551" s="104"/>
      <c r="C551" s="104"/>
      <c r="D551" s="104"/>
      <c r="E551" s="104"/>
      <c r="F551" s="104"/>
      <c r="G551" s="104"/>
      <c r="H551" s="104"/>
      <c r="I551" s="104"/>
    </row>
    <row r="552" spans="2:9">
      <c r="B552" s="104"/>
      <c r="C552" s="104"/>
      <c r="D552" s="104"/>
      <c r="E552" s="104"/>
      <c r="F552" s="104"/>
      <c r="G552" s="104"/>
      <c r="H552" s="104"/>
      <c r="I552" s="104"/>
    </row>
    <row r="553" spans="2:9">
      <c r="B553" s="104"/>
      <c r="C553" s="104"/>
      <c r="D553" s="104"/>
      <c r="E553" s="104"/>
      <c r="F553" s="104"/>
      <c r="G553" s="104"/>
      <c r="H553" s="104"/>
      <c r="I553" s="104"/>
    </row>
    <row r="554" spans="2:9">
      <c r="B554" s="104"/>
      <c r="C554" s="104"/>
      <c r="D554" s="104"/>
      <c r="E554" s="104"/>
      <c r="F554" s="104"/>
      <c r="G554" s="104"/>
      <c r="H554" s="104"/>
      <c r="I554" s="104"/>
    </row>
    <row r="555" spans="2:9">
      <c r="B555" s="104"/>
      <c r="C555" s="104"/>
      <c r="D555" s="104"/>
      <c r="E555" s="104"/>
      <c r="F555" s="104"/>
      <c r="G555" s="104"/>
      <c r="H555" s="104"/>
      <c r="I555" s="104"/>
    </row>
    <row r="556" spans="2:9">
      <c r="B556" s="104"/>
      <c r="C556" s="104"/>
      <c r="D556" s="104"/>
      <c r="E556" s="104"/>
      <c r="F556" s="104"/>
      <c r="G556" s="104"/>
      <c r="H556" s="104"/>
      <c r="I556" s="104"/>
    </row>
    <row r="557" spans="2:9">
      <c r="B557" s="104"/>
      <c r="C557" s="104"/>
      <c r="D557" s="104"/>
      <c r="E557" s="104"/>
      <c r="F557" s="104"/>
      <c r="G557" s="104"/>
      <c r="H557" s="104"/>
      <c r="I557" s="104"/>
    </row>
    <row r="558" spans="2:9">
      <c r="B558" s="104"/>
      <c r="C558" s="104"/>
      <c r="D558" s="104"/>
      <c r="E558" s="104"/>
      <c r="F558" s="104"/>
      <c r="G558" s="104"/>
      <c r="H558" s="104"/>
      <c r="I558" s="104"/>
    </row>
    <row r="559" spans="2:9">
      <c r="B559" s="104"/>
      <c r="C559" s="104"/>
      <c r="D559" s="104"/>
      <c r="E559" s="104"/>
      <c r="F559" s="104"/>
      <c r="G559" s="104"/>
      <c r="H559" s="104"/>
      <c r="I559" s="104"/>
    </row>
    <row r="560" spans="2:9">
      <c r="B560" s="104"/>
      <c r="C560" s="104"/>
      <c r="D560" s="104"/>
      <c r="E560" s="104"/>
      <c r="F560" s="104"/>
      <c r="G560" s="104"/>
      <c r="H560" s="104"/>
      <c r="I560" s="104"/>
    </row>
    <row r="561" spans="2:9">
      <c r="B561" s="104"/>
      <c r="C561" s="104"/>
      <c r="D561" s="104"/>
      <c r="E561" s="104"/>
      <c r="F561" s="104"/>
      <c r="G561" s="104"/>
      <c r="H561" s="104"/>
      <c r="I561" s="104"/>
    </row>
    <row r="562" spans="2:9">
      <c r="B562" s="104"/>
      <c r="C562" s="104"/>
      <c r="D562" s="104"/>
      <c r="E562" s="104"/>
      <c r="F562" s="104"/>
      <c r="G562" s="104"/>
      <c r="H562" s="104"/>
      <c r="I562" s="104"/>
    </row>
    <row r="563" spans="2:9">
      <c r="B563" s="104"/>
      <c r="C563" s="104"/>
      <c r="D563" s="104"/>
      <c r="E563" s="104"/>
      <c r="F563" s="104"/>
      <c r="G563" s="104"/>
      <c r="H563" s="104"/>
      <c r="I563" s="104"/>
    </row>
    <row r="564" spans="2:9">
      <c r="B564" s="104"/>
      <c r="C564" s="104"/>
      <c r="D564" s="104"/>
      <c r="E564" s="104"/>
      <c r="F564" s="104"/>
      <c r="G564" s="104"/>
      <c r="H564" s="104"/>
      <c r="I564" s="104"/>
    </row>
    <row r="565" spans="2:9">
      <c r="B565" s="104"/>
      <c r="C565" s="104"/>
      <c r="D565" s="104"/>
      <c r="E565" s="104"/>
      <c r="F565" s="104"/>
      <c r="G565" s="104"/>
      <c r="H565" s="104"/>
      <c r="I565" s="104"/>
    </row>
    <row r="566" spans="2:9">
      <c r="B566" s="104"/>
      <c r="C566" s="104"/>
      <c r="D566" s="104"/>
      <c r="E566" s="104"/>
      <c r="F566" s="104"/>
      <c r="G566" s="104"/>
      <c r="H566" s="104"/>
      <c r="I566" s="104"/>
    </row>
    <row r="567" spans="2:9">
      <c r="B567" s="104"/>
      <c r="C567" s="104"/>
      <c r="D567" s="104"/>
      <c r="E567" s="104"/>
      <c r="F567" s="104"/>
      <c r="G567" s="104"/>
      <c r="H567" s="104"/>
      <c r="I567" s="104"/>
    </row>
    <row r="568" spans="2:9">
      <c r="B568" s="104"/>
      <c r="C568" s="104"/>
      <c r="D568" s="104"/>
      <c r="E568" s="104"/>
      <c r="F568" s="104"/>
      <c r="G568" s="104"/>
      <c r="H568" s="104"/>
      <c r="I568" s="104"/>
    </row>
    <row r="569" spans="2:9">
      <c r="B569" s="104"/>
      <c r="C569" s="104"/>
      <c r="D569" s="104"/>
      <c r="E569" s="104"/>
      <c r="F569" s="104"/>
      <c r="G569" s="104"/>
      <c r="H569" s="104"/>
      <c r="I569" s="104"/>
    </row>
    <row r="570" spans="2:9">
      <c r="B570" s="104"/>
      <c r="C570" s="104"/>
      <c r="D570" s="104"/>
      <c r="E570" s="104"/>
      <c r="F570" s="104"/>
      <c r="G570" s="104"/>
      <c r="H570" s="104"/>
      <c r="I570" s="104"/>
    </row>
    <row r="571" spans="2:9">
      <c r="B571" s="104"/>
      <c r="C571" s="104"/>
      <c r="D571" s="104"/>
      <c r="E571" s="104"/>
      <c r="F571" s="104"/>
      <c r="G571" s="104"/>
      <c r="H571" s="104"/>
      <c r="I571" s="104"/>
    </row>
    <row r="572" spans="2:9">
      <c r="B572" s="104"/>
      <c r="C572" s="104"/>
      <c r="D572" s="104"/>
      <c r="E572" s="104"/>
      <c r="F572" s="104"/>
      <c r="G572" s="104"/>
      <c r="H572" s="104"/>
      <c r="I572" s="104"/>
    </row>
    <row r="573" spans="2:9">
      <c r="B573" s="104"/>
      <c r="C573" s="104"/>
      <c r="D573" s="104"/>
      <c r="E573" s="104"/>
      <c r="F573" s="104"/>
      <c r="G573" s="104"/>
      <c r="H573" s="104"/>
      <c r="I573" s="104"/>
    </row>
    <row r="574" spans="2:9">
      <c r="B574" s="104"/>
      <c r="C574" s="104"/>
      <c r="D574" s="104"/>
      <c r="E574" s="104"/>
      <c r="F574" s="104"/>
      <c r="G574" s="104"/>
      <c r="H574" s="104"/>
      <c r="I574" s="104"/>
    </row>
    <row r="575" spans="2:9">
      <c r="B575" s="104"/>
      <c r="C575" s="104"/>
      <c r="D575" s="104"/>
      <c r="E575" s="104"/>
      <c r="F575" s="104"/>
      <c r="G575" s="104"/>
      <c r="H575" s="104"/>
      <c r="I575" s="104"/>
    </row>
    <row r="576" spans="2:9">
      <c r="B576" s="104"/>
      <c r="C576" s="104"/>
      <c r="D576" s="104"/>
      <c r="E576" s="104"/>
      <c r="F576" s="104"/>
      <c r="G576" s="104"/>
      <c r="H576" s="104"/>
      <c r="I576" s="104"/>
    </row>
    <row r="577" spans="2:9">
      <c r="B577" s="104"/>
      <c r="C577" s="104"/>
      <c r="D577" s="104"/>
      <c r="E577" s="104"/>
      <c r="F577" s="104"/>
      <c r="G577" s="104"/>
      <c r="H577" s="104"/>
      <c r="I577" s="104"/>
    </row>
    <row r="578" spans="2:9">
      <c r="B578" s="104"/>
      <c r="C578" s="104"/>
      <c r="D578" s="104"/>
      <c r="E578" s="104"/>
      <c r="F578" s="104"/>
      <c r="G578" s="104"/>
      <c r="H578" s="104"/>
      <c r="I578" s="104"/>
    </row>
    <row r="579" spans="2:9">
      <c r="B579" s="104"/>
      <c r="C579" s="104"/>
      <c r="D579" s="104"/>
      <c r="E579" s="104"/>
      <c r="F579" s="104"/>
      <c r="G579" s="104"/>
      <c r="H579" s="104"/>
      <c r="I579" s="104"/>
    </row>
    <row r="580" spans="2:9">
      <c r="B580" s="104"/>
      <c r="C580" s="104"/>
      <c r="D580" s="104"/>
      <c r="E580" s="104"/>
      <c r="F580" s="104"/>
      <c r="G580" s="104"/>
      <c r="H580" s="104"/>
      <c r="I580" s="104"/>
    </row>
    <row r="581" spans="2:9">
      <c r="B581" s="104"/>
      <c r="C581" s="104"/>
      <c r="D581" s="104"/>
      <c r="E581" s="104"/>
      <c r="F581" s="104"/>
      <c r="G581" s="104"/>
      <c r="H581" s="104"/>
      <c r="I581" s="104"/>
    </row>
    <row r="582" spans="2:9">
      <c r="B582" s="104"/>
      <c r="C582" s="104"/>
      <c r="D582" s="104"/>
      <c r="E582" s="104"/>
      <c r="F582" s="104"/>
      <c r="G582" s="104"/>
      <c r="H582" s="104"/>
      <c r="I582" s="104"/>
    </row>
    <row r="583" spans="2:9">
      <c r="B583" s="104"/>
      <c r="C583" s="104"/>
      <c r="D583" s="104"/>
      <c r="E583" s="104"/>
      <c r="F583" s="104"/>
      <c r="G583" s="104"/>
      <c r="H583" s="104"/>
      <c r="I583" s="104"/>
    </row>
    <row r="584" spans="2:9">
      <c r="B584" s="104"/>
      <c r="C584" s="104"/>
      <c r="D584" s="104"/>
      <c r="E584" s="104"/>
      <c r="F584" s="104"/>
      <c r="G584" s="104"/>
      <c r="H584" s="104"/>
      <c r="I584" s="104"/>
    </row>
    <row r="585" spans="2:9">
      <c r="B585" s="104"/>
      <c r="C585" s="104"/>
      <c r="D585" s="104"/>
      <c r="E585" s="104"/>
      <c r="F585" s="104"/>
      <c r="G585" s="104"/>
      <c r="H585" s="104"/>
      <c r="I585" s="104"/>
    </row>
    <row r="586" spans="2:9">
      <c r="B586" s="104"/>
      <c r="C586" s="104"/>
      <c r="D586" s="104"/>
      <c r="E586" s="104"/>
      <c r="F586" s="104"/>
      <c r="G586" s="104"/>
      <c r="H586" s="104"/>
      <c r="I586" s="104"/>
    </row>
    <row r="587" spans="2:9">
      <c r="B587" s="104"/>
      <c r="C587" s="104"/>
      <c r="D587" s="104"/>
      <c r="E587" s="104"/>
      <c r="F587" s="104"/>
      <c r="G587" s="104"/>
      <c r="H587" s="104"/>
      <c r="I587" s="104"/>
    </row>
    <row r="588" spans="2:9">
      <c r="B588" s="104"/>
      <c r="C588" s="104"/>
      <c r="D588" s="104"/>
      <c r="E588" s="104"/>
      <c r="F588" s="104"/>
      <c r="G588" s="104"/>
      <c r="H588" s="104"/>
      <c r="I588" s="104"/>
    </row>
    <row r="589" spans="2:9">
      <c r="B589" s="104"/>
      <c r="C589" s="104"/>
      <c r="D589" s="104"/>
      <c r="E589" s="104"/>
      <c r="F589" s="104"/>
      <c r="G589" s="104"/>
      <c r="H589" s="104"/>
      <c r="I589" s="104"/>
    </row>
    <row r="590" spans="2:9">
      <c r="B590" s="104"/>
      <c r="C590" s="104"/>
      <c r="D590" s="104"/>
      <c r="E590" s="104"/>
      <c r="F590" s="104"/>
      <c r="G590" s="104"/>
      <c r="H590" s="104"/>
      <c r="I590" s="104"/>
    </row>
    <row r="591" spans="2:9">
      <c r="B591" s="104"/>
      <c r="C591" s="104"/>
      <c r="D591" s="104"/>
      <c r="E591" s="104"/>
      <c r="F591" s="104"/>
      <c r="G591" s="104"/>
      <c r="H591" s="104"/>
      <c r="I591" s="104"/>
    </row>
    <row r="592" spans="2:9">
      <c r="B592" s="104"/>
      <c r="C592" s="104"/>
      <c r="D592" s="104"/>
      <c r="E592" s="104"/>
      <c r="F592" s="104"/>
      <c r="G592" s="104"/>
      <c r="H592" s="104"/>
      <c r="I592" s="104"/>
    </row>
    <row r="593" spans="2:9">
      <c r="B593" s="104"/>
      <c r="C593" s="104"/>
      <c r="D593" s="104"/>
      <c r="E593" s="104"/>
      <c r="F593" s="104"/>
      <c r="G593" s="104"/>
      <c r="H593" s="104"/>
      <c r="I593" s="104"/>
    </row>
    <row r="594" spans="2:9">
      <c r="B594" s="104"/>
      <c r="C594" s="104"/>
      <c r="D594" s="104"/>
      <c r="E594" s="104"/>
      <c r="F594" s="104"/>
      <c r="G594" s="104"/>
      <c r="H594" s="104"/>
      <c r="I594" s="104"/>
    </row>
    <row r="595" spans="2:9">
      <c r="B595" s="104"/>
      <c r="C595" s="104"/>
      <c r="D595" s="104"/>
      <c r="E595" s="104"/>
      <c r="F595" s="104"/>
      <c r="G595" s="104"/>
      <c r="H595" s="104"/>
      <c r="I595" s="104"/>
    </row>
    <row r="596" spans="2:9">
      <c r="B596" s="104"/>
      <c r="C596" s="104"/>
      <c r="D596" s="104"/>
      <c r="E596" s="104"/>
      <c r="F596" s="104"/>
      <c r="G596" s="104"/>
      <c r="H596" s="104"/>
      <c r="I596" s="104"/>
    </row>
    <row r="597" spans="2:9">
      <c r="B597" s="104"/>
      <c r="C597" s="104"/>
      <c r="D597" s="104"/>
      <c r="E597" s="104"/>
      <c r="F597" s="104"/>
      <c r="G597" s="104"/>
      <c r="H597" s="104"/>
      <c r="I597" s="104"/>
    </row>
    <row r="598" spans="2:9">
      <c r="B598" s="104"/>
      <c r="C598" s="104"/>
      <c r="D598" s="104"/>
      <c r="E598" s="104"/>
      <c r="F598" s="104"/>
      <c r="G598" s="104"/>
      <c r="H598" s="104"/>
      <c r="I598" s="104"/>
    </row>
    <row r="599" spans="2:9">
      <c r="B599" s="104"/>
      <c r="C599" s="104"/>
      <c r="D599" s="104"/>
      <c r="E599" s="104"/>
      <c r="F599" s="104"/>
      <c r="G599" s="104"/>
      <c r="H599" s="104"/>
      <c r="I599" s="104"/>
    </row>
    <row r="600" spans="2:9">
      <c r="B600" s="104"/>
      <c r="C600" s="104"/>
      <c r="D600" s="104"/>
      <c r="E600" s="104"/>
      <c r="F600" s="104"/>
      <c r="G600" s="104"/>
      <c r="H600" s="104"/>
      <c r="I600" s="104"/>
    </row>
    <row r="601" spans="2:9">
      <c r="B601" s="104"/>
      <c r="C601" s="104"/>
      <c r="D601" s="104"/>
      <c r="E601" s="104"/>
      <c r="F601" s="104"/>
      <c r="G601" s="104"/>
      <c r="H601" s="104"/>
      <c r="I601" s="104"/>
    </row>
    <row r="602" spans="2:9">
      <c r="B602" s="104"/>
      <c r="C602" s="104"/>
      <c r="D602" s="104"/>
      <c r="E602" s="104"/>
      <c r="F602" s="104"/>
      <c r="G602" s="104"/>
      <c r="H602" s="104"/>
      <c r="I602" s="104"/>
    </row>
    <row r="603" spans="2:9">
      <c r="B603" s="104"/>
      <c r="C603" s="104"/>
      <c r="D603" s="104"/>
      <c r="E603" s="104"/>
      <c r="F603" s="104"/>
      <c r="G603" s="104"/>
      <c r="H603" s="104"/>
      <c r="I603" s="104"/>
    </row>
    <row r="604" spans="2:9">
      <c r="B604" s="104"/>
      <c r="C604" s="104"/>
      <c r="D604" s="104"/>
      <c r="E604" s="104"/>
      <c r="F604" s="104"/>
      <c r="G604" s="104"/>
      <c r="H604" s="104"/>
      <c r="I604" s="104"/>
    </row>
    <row r="605" spans="2:9">
      <c r="B605" s="104"/>
      <c r="C605" s="104"/>
      <c r="D605" s="104"/>
      <c r="E605" s="104"/>
      <c r="F605" s="104"/>
      <c r="G605" s="104"/>
      <c r="H605" s="104"/>
      <c r="I605" s="104"/>
    </row>
    <row r="606" spans="2:9">
      <c r="B606" s="104"/>
      <c r="C606" s="104"/>
      <c r="D606" s="104"/>
      <c r="E606" s="104"/>
      <c r="F606" s="104"/>
      <c r="G606" s="104"/>
      <c r="H606" s="104"/>
      <c r="I606" s="104"/>
    </row>
    <row r="607" spans="2:9">
      <c r="B607" s="104"/>
      <c r="C607" s="104"/>
      <c r="D607" s="104"/>
      <c r="E607" s="104"/>
      <c r="F607" s="104"/>
      <c r="G607" s="104"/>
      <c r="H607" s="104"/>
      <c r="I607" s="104"/>
    </row>
    <row r="608" spans="2:9">
      <c r="B608" s="104"/>
      <c r="C608" s="104"/>
      <c r="D608" s="104"/>
      <c r="E608" s="104"/>
      <c r="F608" s="104"/>
      <c r="G608" s="104"/>
      <c r="H608" s="104"/>
      <c r="I608" s="104"/>
    </row>
    <row r="609" spans="2:9">
      <c r="B609" s="104"/>
      <c r="C609" s="104"/>
      <c r="D609" s="104"/>
      <c r="E609" s="104"/>
      <c r="F609" s="104"/>
      <c r="G609" s="104"/>
      <c r="H609" s="104"/>
      <c r="I609" s="104"/>
    </row>
    <row r="610" spans="2:9">
      <c r="B610" s="104"/>
      <c r="C610" s="104"/>
      <c r="D610" s="104"/>
      <c r="E610" s="104"/>
      <c r="F610" s="104"/>
      <c r="G610" s="104"/>
      <c r="H610" s="104"/>
      <c r="I610" s="104"/>
    </row>
    <row r="611" spans="2:9">
      <c r="B611" s="104"/>
      <c r="C611" s="104"/>
      <c r="D611" s="104"/>
      <c r="E611" s="104"/>
      <c r="F611" s="104"/>
      <c r="G611" s="104"/>
      <c r="H611" s="104"/>
      <c r="I611" s="104"/>
    </row>
    <row r="612" spans="2:9">
      <c r="B612" s="104"/>
      <c r="C612" s="104"/>
      <c r="D612" s="104"/>
      <c r="E612" s="104"/>
      <c r="F612" s="104"/>
      <c r="G612" s="104"/>
      <c r="H612" s="104"/>
      <c r="I612" s="104"/>
    </row>
    <row r="613" spans="2:9">
      <c r="B613" s="104"/>
      <c r="C613" s="104"/>
      <c r="D613" s="104"/>
      <c r="E613" s="104"/>
      <c r="F613" s="104"/>
      <c r="G613" s="104"/>
      <c r="H613" s="104"/>
      <c r="I613" s="104"/>
    </row>
    <row r="614" spans="2:9">
      <c r="B614" s="104"/>
      <c r="C614" s="104"/>
      <c r="D614" s="104"/>
      <c r="E614" s="104"/>
      <c r="F614" s="104"/>
      <c r="G614" s="104"/>
      <c r="H614" s="104"/>
      <c r="I614" s="104"/>
    </row>
    <row r="615" spans="2:9">
      <c r="B615" s="104"/>
      <c r="C615" s="104"/>
      <c r="D615" s="104"/>
      <c r="E615" s="104"/>
      <c r="F615" s="104"/>
      <c r="G615" s="104"/>
      <c r="H615" s="104"/>
      <c r="I615" s="104"/>
    </row>
    <row r="616" spans="2:9">
      <c r="B616" s="104"/>
      <c r="C616" s="104"/>
      <c r="D616" s="104"/>
      <c r="E616" s="104"/>
      <c r="F616" s="104"/>
      <c r="G616" s="104"/>
      <c r="H616" s="104"/>
      <c r="I616" s="104"/>
    </row>
    <row r="617" spans="2:9">
      <c r="B617" s="104"/>
      <c r="C617" s="104"/>
      <c r="D617" s="104"/>
      <c r="E617" s="104"/>
      <c r="F617" s="104"/>
      <c r="G617" s="104"/>
      <c r="H617" s="104"/>
      <c r="I617" s="104"/>
    </row>
    <row r="618" spans="2:9">
      <c r="B618" s="104"/>
      <c r="C618" s="104"/>
      <c r="D618" s="104"/>
      <c r="E618" s="104"/>
      <c r="F618" s="104"/>
      <c r="G618" s="104"/>
      <c r="H618" s="104"/>
      <c r="I618" s="104"/>
    </row>
    <row r="619" spans="2:9">
      <c r="B619" s="104"/>
      <c r="C619" s="104"/>
      <c r="D619" s="104"/>
      <c r="E619" s="104"/>
      <c r="F619" s="104"/>
      <c r="G619" s="104"/>
      <c r="H619" s="104"/>
      <c r="I619" s="104"/>
    </row>
    <row r="620" spans="2:9">
      <c r="B620" s="104"/>
      <c r="C620" s="104"/>
      <c r="D620" s="104"/>
      <c r="E620" s="104"/>
      <c r="F620" s="104"/>
      <c r="G620" s="104"/>
      <c r="H620" s="104"/>
      <c r="I620" s="104"/>
    </row>
    <row r="621" spans="2:9">
      <c r="B621" s="104"/>
      <c r="C621" s="104"/>
      <c r="D621" s="104"/>
      <c r="E621" s="104"/>
      <c r="F621" s="104"/>
      <c r="G621" s="104"/>
      <c r="H621" s="104"/>
      <c r="I621" s="104"/>
    </row>
    <row r="622" spans="2:9">
      <c r="B622" s="104"/>
      <c r="C622" s="104"/>
      <c r="D622" s="104"/>
      <c r="E622" s="104"/>
      <c r="F622" s="104"/>
      <c r="G622" s="104"/>
      <c r="H622" s="104"/>
      <c r="I622" s="104"/>
    </row>
    <row r="623" spans="2:9">
      <c r="B623" s="104"/>
      <c r="C623" s="104"/>
      <c r="D623" s="104"/>
      <c r="E623" s="104"/>
      <c r="F623" s="104"/>
      <c r="G623" s="104"/>
      <c r="H623" s="104"/>
      <c r="I623" s="104"/>
    </row>
    <row r="624" spans="2:9">
      <c r="B624" s="104"/>
      <c r="C624" s="104"/>
      <c r="D624" s="104"/>
      <c r="E624" s="104"/>
      <c r="F624" s="104"/>
      <c r="G624" s="104"/>
      <c r="H624" s="104"/>
      <c r="I624" s="104"/>
    </row>
    <row r="625" spans="2:9">
      <c r="B625" s="104"/>
      <c r="C625" s="104"/>
      <c r="D625" s="104"/>
      <c r="E625" s="104"/>
      <c r="F625" s="104"/>
      <c r="G625" s="104"/>
      <c r="H625" s="104"/>
      <c r="I625" s="104"/>
    </row>
    <row r="626" spans="2:9">
      <c r="B626" s="104"/>
      <c r="C626" s="104"/>
      <c r="D626" s="104"/>
      <c r="E626" s="104"/>
      <c r="F626" s="104"/>
      <c r="G626" s="104"/>
      <c r="H626" s="104"/>
      <c r="I626" s="104"/>
    </row>
    <row r="627" spans="2:9">
      <c r="B627" s="104"/>
      <c r="C627" s="104"/>
      <c r="D627" s="104"/>
      <c r="E627" s="104"/>
      <c r="F627" s="104"/>
      <c r="G627" s="104"/>
      <c r="H627" s="104"/>
      <c r="I627" s="104"/>
    </row>
    <row r="628" spans="2:9">
      <c r="B628" s="104"/>
      <c r="C628" s="104"/>
      <c r="D628" s="104"/>
      <c r="E628" s="104"/>
      <c r="F628" s="104"/>
      <c r="G628" s="104"/>
      <c r="H628" s="104"/>
      <c r="I628" s="104"/>
    </row>
    <row r="629" spans="2:9">
      <c r="B629" s="104"/>
      <c r="C629" s="104"/>
      <c r="D629" s="104"/>
      <c r="E629" s="104"/>
      <c r="F629" s="104"/>
      <c r="G629" s="104"/>
      <c r="H629" s="104"/>
      <c r="I629" s="104"/>
    </row>
    <row r="630" spans="2:9">
      <c r="B630" s="104"/>
      <c r="C630" s="104"/>
      <c r="D630" s="104"/>
      <c r="E630" s="104"/>
      <c r="F630" s="104"/>
      <c r="G630" s="104"/>
      <c r="H630" s="104"/>
      <c r="I630" s="104"/>
    </row>
    <row r="631" spans="2:9">
      <c r="B631" s="104"/>
      <c r="C631" s="104"/>
      <c r="D631" s="104"/>
      <c r="E631" s="104"/>
      <c r="F631" s="104"/>
      <c r="G631" s="104"/>
      <c r="H631" s="104"/>
      <c r="I631" s="104"/>
    </row>
    <row r="632" spans="2:9">
      <c r="B632" s="104"/>
      <c r="C632" s="104"/>
      <c r="D632" s="104"/>
      <c r="E632" s="104"/>
      <c r="F632" s="104"/>
      <c r="G632" s="104"/>
      <c r="H632" s="104"/>
      <c r="I632" s="104"/>
    </row>
    <row r="633" spans="2:9">
      <c r="B633" s="104"/>
      <c r="C633" s="104"/>
      <c r="D633" s="104"/>
      <c r="E633" s="104"/>
      <c r="F633" s="104"/>
      <c r="G633" s="104"/>
      <c r="H633" s="104"/>
      <c r="I633" s="104"/>
    </row>
    <row r="634" spans="2:9">
      <c r="B634" s="104"/>
      <c r="C634" s="104"/>
      <c r="D634" s="104"/>
      <c r="E634" s="104"/>
      <c r="F634" s="104"/>
      <c r="G634" s="104"/>
      <c r="H634" s="104"/>
      <c r="I634" s="104"/>
    </row>
    <row r="635" spans="2:9">
      <c r="B635" s="104"/>
      <c r="C635" s="104"/>
      <c r="D635" s="104"/>
      <c r="E635" s="104"/>
      <c r="F635" s="104"/>
      <c r="G635" s="104"/>
      <c r="H635" s="104"/>
      <c r="I635" s="104"/>
    </row>
    <row r="636" spans="2:9">
      <c r="B636" s="104"/>
      <c r="C636" s="104"/>
      <c r="D636" s="104"/>
      <c r="E636" s="104"/>
      <c r="F636" s="104"/>
      <c r="G636" s="104"/>
      <c r="H636" s="104"/>
      <c r="I636" s="104"/>
    </row>
    <row r="637" spans="2:9">
      <c r="B637" s="104"/>
      <c r="C637" s="104"/>
      <c r="D637" s="104"/>
      <c r="E637" s="104"/>
      <c r="F637" s="104"/>
      <c r="G637" s="104"/>
      <c r="H637" s="104"/>
      <c r="I637" s="104"/>
    </row>
    <row r="638" spans="2:9">
      <c r="B638" s="104"/>
      <c r="C638" s="104"/>
      <c r="D638" s="104"/>
      <c r="E638" s="104"/>
      <c r="F638" s="104"/>
      <c r="G638" s="104"/>
      <c r="H638" s="104"/>
      <c r="I638" s="104"/>
    </row>
    <row r="639" spans="2:9">
      <c r="B639" s="104"/>
      <c r="C639" s="104"/>
      <c r="D639" s="104"/>
      <c r="E639" s="104"/>
      <c r="F639" s="104"/>
      <c r="G639" s="104"/>
      <c r="H639" s="104"/>
      <c r="I639" s="104"/>
    </row>
    <row r="640" spans="2:9">
      <c r="B640" s="104"/>
      <c r="C640" s="104"/>
      <c r="D640" s="104"/>
      <c r="E640" s="104"/>
      <c r="F640" s="104"/>
      <c r="G640" s="104"/>
      <c r="H640" s="104"/>
      <c r="I640" s="104"/>
    </row>
    <row r="641" spans="2:9">
      <c r="B641" s="104"/>
      <c r="C641" s="104"/>
      <c r="D641" s="104"/>
      <c r="E641" s="104"/>
      <c r="F641" s="104"/>
      <c r="G641" s="104"/>
      <c r="H641" s="104"/>
      <c r="I641" s="104"/>
    </row>
    <row r="642" spans="2:9">
      <c r="B642" s="104"/>
      <c r="C642" s="104"/>
      <c r="D642" s="104"/>
      <c r="E642" s="104"/>
      <c r="F642" s="104"/>
      <c r="G642" s="104"/>
      <c r="H642" s="104"/>
      <c r="I642" s="104"/>
    </row>
    <row r="643" spans="2:9">
      <c r="B643" s="104"/>
      <c r="C643" s="104"/>
      <c r="D643" s="104"/>
      <c r="E643" s="104"/>
      <c r="F643" s="104"/>
      <c r="G643" s="104"/>
      <c r="H643" s="104"/>
      <c r="I643" s="104"/>
    </row>
    <row r="644" spans="2:9">
      <c r="B644" s="104"/>
      <c r="C644" s="104"/>
      <c r="D644" s="104"/>
      <c r="E644" s="104"/>
      <c r="F644" s="104"/>
      <c r="G644" s="104"/>
      <c r="H644" s="104"/>
      <c r="I644" s="104"/>
    </row>
    <row r="645" spans="2:9">
      <c r="B645" s="104"/>
      <c r="C645" s="104"/>
      <c r="D645" s="104"/>
      <c r="E645" s="104"/>
      <c r="F645" s="104"/>
      <c r="G645" s="104"/>
      <c r="H645" s="104"/>
      <c r="I645" s="104"/>
    </row>
    <row r="646" spans="2:9">
      <c r="B646" s="104"/>
      <c r="C646" s="104"/>
      <c r="D646" s="104"/>
      <c r="E646" s="104"/>
      <c r="F646" s="104"/>
      <c r="G646" s="104"/>
      <c r="H646" s="104"/>
      <c r="I646" s="104"/>
    </row>
    <row r="647" spans="2:9">
      <c r="B647" s="104"/>
      <c r="C647" s="104"/>
      <c r="D647" s="104"/>
      <c r="E647" s="104"/>
      <c r="F647" s="104"/>
      <c r="G647" s="104"/>
      <c r="H647" s="104"/>
      <c r="I647" s="104"/>
    </row>
    <row r="648" spans="2:9">
      <c r="B648" s="104"/>
      <c r="C648" s="104"/>
      <c r="D648" s="104"/>
      <c r="E648" s="104"/>
      <c r="F648" s="104"/>
      <c r="G648" s="104"/>
      <c r="H648" s="104"/>
      <c r="I648" s="104"/>
    </row>
    <row r="649" spans="2:9">
      <c r="B649" s="104"/>
      <c r="C649" s="104"/>
      <c r="D649" s="104"/>
      <c r="E649" s="104"/>
      <c r="F649" s="104"/>
      <c r="G649" s="104"/>
      <c r="H649" s="104"/>
      <c r="I649" s="104"/>
    </row>
    <row r="650" spans="2:9">
      <c r="B650" s="104"/>
      <c r="C650" s="104"/>
      <c r="D650" s="104"/>
      <c r="E650" s="104"/>
      <c r="F650" s="104"/>
      <c r="G650" s="104"/>
      <c r="H650" s="104"/>
      <c r="I650" s="104"/>
    </row>
    <row r="651" spans="2:9">
      <c r="B651" s="104"/>
      <c r="C651" s="104"/>
      <c r="D651" s="104"/>
      <c r="E651" s="104"/>
      <c r="F651" s="104"/>
      <c r="G651" s="104"/>
      <c r="H651" s="104"/>
      <c r="I651" s="104"/>
    </row>
    <row r="652" spans="2:9">
      <c r="B652" s="104"/>
      <c r="C652" s="104"/>
      <c r="D652" s="104"/>
      <c r="E652" s="104"/>
      <c r="F652" s="104"/>
      <c r="G652" s="104"/>
      <c r="H652" s="104"/>
      <c r="I652" s="104"/>
    </row>
    <row r="653" spans="2:9">
      <c r="B653" s="104"/>
      <c r="C653" s="104"/>
      <c r="D653" s="104"/>
      <c r="E653" s="104"/>
      <c r="F653" s="104"/>
      <c r="G653" s="104"/>
      <c r="H653" s="104"/>
      <c r="I653" s="104"/>
    </row>
    <row r="654" spans="2:9">
      <c r="B654" s="104"/>
      <c r="C654" s="104"/>
      <c r="D654" s="104"/>
      <c r="E654" s="104"/>
      <c r="F654" s="104"/>
      <c r="G654" s="104"/>
      <c r="H654" s="104"/>
      <c r="I654" s="104"/>
    </row>
    <row r="655" spans="2:9">
      <c r="B655" s="104"/>
      <c r="C655" s="104"/>
      <c r="D655" s="104"/>
      <c r="E655" s="104"/>
      <c r="F655" s="104"/>
      <c r="G655" s="104"/>
      <c r="H655" s="104"/>
      <c r="I655" s="104"/>
    </row>
    <row r="656" spans="2:9">
      <c r="B656" s="104"/>
      <c r="C656" s="104"/>
      <c r="D656" s="104"/>
      <c r="E656" s="104"/>
      <c r="F656" s="104"/>
      <c r="G656" s="104"/>
      <c r="H656" s="104"/>
      <c r="I656" s="104"/>
    </row>
    <row r="657" spans="2:9">
      <c r="B657" s="104"/>
      <c r="C657" s="104"/>
      <c r="D657" s="104"/>
      <c r="E657" s="104"/>
      <c r="F657" s="104"/>
      <c r="G657" s="104"/>
      <c r="H657" s="104"/>
      <c r="I657" s="104"/>
    </row>
    <row r="658" spans="2:9">
      <c r="B658" s="104"/>
      <c r="C658" s="104"/>
      <c r="D658" s="104"/>
      <c r="E658" s="104"/>
      <c r="F658" s="104"/>
      <c r="G658" s="104"/>
      <c r="H658" s="104"/>
      <c r="I658" s="104"/>
    </row>
    <row r="659" spans="2:9">
      <c r="B659" s="104"/>
      <c r="C659" s="104"/>
      <c r="D659" s="104"/>
      <c r="E659" s="104"/>
      <c r="F659" s="104"/>
      <c r="G659" s="104"/>
      <c r="H659" s="104"/>
      <c r="I659" s="104"/>
    </row>
    <row r="660" spans="2:9">
      <c r="B660" s="104"/>
      <c r="C660" s="104"/>
      <c r="D660" s="104"/>
      <c r="E660" s="104"/>
      <c r="F660" s="104"/>
      <c r="G660" s="104"/>
      <c r="H660" s="104"/>
      <c r="I660" s="104"/>
    </row>
    <row r="661" spans="2:9">
      <c r="B661" s="104"/>
      <c r="C661" s="104"/>
      <c r="D661" s="104"/>
      <c r="E661" s="104"/>
      <c r="F661" s="104"/>
      <c r="G661" s="104"/>
      <c r="H661" s="104"/>
      <c r="I661" s="104"/>
    </row>
    <row r="662" spans="2:9">
      <c r="B662" s="104"/>
      <c r="C662" s="104"/>
      <c r="D662" s="104"/>
      <c r="E662" s="104"/>
      <c r="F662" s="104"/>
      <c r="G662" s="104"/>
      <c r="H662" s="104"/>
      <c r="I662" s="104"/>
    </row>
    <row r="663" spans="2:9">
      <c r="B663" s="104"/>
      <c r="C663" s="104"/>
      <c r="D663" s="104"/>
      <c r="E663" s="104"/>
      <c r="F663" s="104"/>
      <c r="G663" s="104"/>
      <c r="H663" s="104"/>
      <c r="I663" s="104"/>
    </row>
    <row r="664" spans="2:9">
      <c r="B664" s="104"/>
      <c r="C664" s="104"/>
      <c r="D664" s="104"/>
      <c r="E664" s="104"/>
      <c r="F664" s="104"/>
      <c r="G664" s="104"/>
      <c r="H664" s="104"/>
      <c r="I664" s="104"/>
    </row>
    <row r="665" spans="2:9">
      <c r="B665" s="104"/>
      <c r="C665" s="104"/>
      <c r="D665" s="104"/>
      <c r="E665" s="104"/>
      <c r="F665" s="104"/>
      <c r="G665" s="104"/>
      <c r="H665" s="104"/>
      <c r="I665" s="104"/>
    </row>
    <row r="666" spans="2:9">
      <c r="B666" s="104"/>
      <c r="C666" s="104"/>
      <c r="D666" s="104"/>
      <c r="E666" s="104"/>
      <c r="F666" s="104"/>
      <c r="G666" s="104"/>
      <c r="H666" s="104"/>
      <c r="I666" s="104"/>
    </row>
    <row r="667" spans="2:9">
      <c r="B667" s="104"/>
      <c r="C667" s="104"/>
      <c r="D667" s="104"/>
      <c r="E667" s="104"/>
      <c r="F667" s="104"/>
      <c r="G667" s="104"/>
      <c r="H667" s="104"/>
      <c r="I667" s="104"/>
    </row>
    <row r="668" spans="2:9">
      <c r="B668" s="104"/>
      <c r="C668" s="104"/>
      <c r="D668" s="104"/>
      <c r="E668" s="104"/>
      <c r="F668" s="104"/>
      <c r="G668" s="104"/>
      <c r="H668" s="104"/>
      <c r="I668" s="104"/>
    </row>
    <row r="669" spans="2:9">
      <c r="B669" s="104"/>
      <c r="C669" s="104"/>
      <c r="D669" s="104"/>
      <c r="E669" s="104"/>
      <c r="F669" s="104"/>
      <c r="G669" s="104"/>
      <c r="H669" s="104"/>
      <c r="I669" s="104"/>
    </row>
    <row r="670" spans="2:9">
      <c r="B670" s="104"/>
      <c r="C670" s="104"/>
      <c r="D670" s="104"/>
      <c r="E670" s="104"/>
      <c r="F670" s="104"/>
      <c r="G670" s="104"/>
      <c r="H670" s="104"/>
      <c r="I670" s="104"/>
    </row>
    <row r="671" spans="2:9">
      <c r="B671" s="104"/>
      <c r="C671" s="104"/>
      <c r="D671" s="104"/>
      <c r="E671" s="104"/>
      <c r="F671" s="104"/>
      <c r="G671" s="104"/>
      <c r="H671" s="104"/>
      <c r="I671" s="104"/>
    </row>
    <row r="672" spans="2:9">
      <c r="B672" s="104"/>
      <c r="C672" s="104"/>
      <c r="D672" s="104"/>
      <c r="E672" s="104"/>
      <c r="F672" s="104"/>
      <c r="G672" s="104"/>
      <c r="H672" s="104"/>
      <c r="I672" s="104"/>
    </row>
    <row r="673" spans="2:9">
      <c r="B673" s="104"/>
      <c r="C673" s="104"/>
      <c r="D673" s="104"/>
      <c r="E673" s="104"/>
      <c r="F673" s="104"/>
      <c r="G673" s="104"/>
      <c r="H673" s="104"/>
      <c r="I673" s="104"/>
    </row>
    <row r="674" spans="2:9">
      <c r="B674" s="104"/>
      <c r="C674" s="104"/>
      <c r="D674" s="104"/>
      <c r="E674" s="104"/>
      <c r="F674" s="104"/>
      <c r="G674" s="104"/>
      <c r="H674" s="104"/>
      <c r="I674" s="104"/>
    </row>
    <row r="675" spans="2:9">
      <c r="B675" s="104"/>
      <c r="C675" s="104"/>
      <c r="D675" s="104"/>
      <c r="E675" s="104"/>
      <c r="F675" s="104"/>
      <c r="G675" s="104"/>
      <c r="H675" s="104"/>
      <c r="I675" s="104"/>
    </row>
    <row r="676" spans="2:9">
      <c r="B676" s="104"/>
      <c r="C676" s="104"/>
      <c r="D676" s="104"/>
      <c r="E676" s="104"/>
      <c r="F676" s="104"/>
      <c r="G676" s="104"/>
      <c r="H676" s="104"/>
      <c r="I676" s="104"/>
    </row>
    <row r="677" spans="2:9">
      <c r="B677" s="104"/>
      <c r="C677" s="104"/>
      <c r="D677" s="104"/>
      <c r="E677" s="104"/>
      <c r="F677" s="104"/>
      <c r="G677" s="104"/>
      <c r="H677" s="104"/>
      <c r="I677" s="104"/>
    </row>
    <row r="678" spans="2:9">
      <c r="B678" s="104"/>
      <c r="C678" s="104"/>
      <c r="D678" s="104"/>
      <c r="E678" s="104"/>
      <c r="F678" s="104"/>
      <c r="G678" s="104"/>
      <c r="H678" s="104"/>
      <c r="I678" s="104"/>
    </row>
    <row r="679" spans="2:9">
      <c r="B679" s="104"/>
      <c r="C679" s="104"/>
      <c r="D679" s="104"/>
      <c r="E679" s="104"/>
      <c r="F679" s="104"/>
      <c r="G679" s="104"/>
      <c r="H679" s="104"/>
      <c r="I679" s="104"/>
    </row>
    <row r="680" spans="2:9">
      <c r="B680" s="104"/>
      <c r="C680" s="104"/>
      <c r="D680" s="104"/>
      <c r="E680" s="104"/>
      <c r="F680" s="104"/>
      <c r="G680" s="104"/>
      <c r="H680" s="104"/>
      <c r="I680" s="104"/>
    </row>
    <row r="681" spans="2:9">
      <c r="B681" s="104"/>
      <c r="C681" s="104"/>
      <c r="D681" s="104"/>
      <c r="E681" s="104"/>
      <c r="F681" s="104"/>
      <c r="G681" s="104"/>
      <c r="H681" s="104"/>
      <c r="I681" s="104"/>
    </row>
    <row r="682" spans="2:9">
      <c r="B682" s="104"/>
      <c r="C682" s="104"/>
      <c r="D682" s="104"/>
      <c r="E682" s="104"/>
      <c r="F682" s="104"/>
      <c r="G682" s="104"/>
      <c r="H682" s="104"/>
      <c r="I682" s="104"/>
    </row>
    <row r="683" spans="2:9">
      <c r="B683" s="104"/>
      <c r="C683" s="104"/>
      <c r="D683" s="104"/>
      <c r="E683" s="104"/>
      <c r="F683" s="104"/>
      <c r="G683" s="104"/>
      <c r="H683" s="104"/>
      <c r="I683" s="104"/>
    </row>
    <row r="684" spans="2:9">
      <c r="B684" s="104"/>
      <c r="C684" s="104"/>
      <c r="D684" s="104"/>
      <c r="E684" s="104"/>
      <c r="F684" s="104"/>
      <c r="G684" s="104"/>
      <c r="H684" s="104"/>
      <c r="I684" s="104"/>
    </row>
    <row r="685" spans="2:9">
      <c r="B685" s="104"/>
      <c r="C685" s="104"/>
      <c r="D685" s="104"/>
      <c r="E685" s="104"/>
      <c r="F685" s="104"/>
      <c r="G685" s="104"/>
      <c r="H685" s="104"/>
      <c r="I685" s="104"/>
    </row>
    <row r="686" spans="2:9">
      <c r="B686" s="104"/>
      <c r="C686" s="104"/>
      <c r="D686" s="104"/>
      <c r="E686" s="104"/>
      <c r="F686" s="104"/>
      <c r="G686" s="104"/>
      <c r="H686" s="104"/>
      <c r="I686" s="104"/>
    </row>
    <row r="687" spans="2:9">
      <c r="B687" s="104"/>
      <c r="C687" s="104"/>
      <c r="D687" s="104"/>
      <c r="E687" s="104"/>
      <c r="F687" s="104"/>
      <c r="G687" s="104"/>
      <c r="H687" s="104"/>
      <c r="I687" s="104"/>
    </row>
    <row r="688" spans="2:9">
      <c r="B688" s="104"/>
      <c r="C688" s="104"/>
      <c r="D688" s="104"/>
      <c r="E688" s="104"/>
      <c r="F688" s="104"/>
      <c r="G688" s="104"/>
      <c r="H688" s="104"/>
      <c r="I688" s="104"/>
    </row>
    <row r="689" spans="2:9">
      <c r="B689" s="104"/>
      <c r="C689" s="104"/>
      <c r="D689" s="104"/>
      <c r="E689" s="104"/>
      <c r="F689" s="104"/>
      <c r="G689" s="104"/>
      <c r="H689" s="104"/>
      <c r="I689" s="104"/>
    </row>
    <row r="690" spans="2:9">
      <c r="B690" s="104"/>
      <c r="C690" s="104"/>
      <c r="D690" s="104"/>
      <c r="E690" s="104"/>
      <c r="F690" s="104"/>
      <c r="G690" s="104"/>
      <c r="H690" s="104"/>
      <c r="I690" s="104"/>
    </row>
    <row r="691" spans="2:9">
      <c r="B691" s="104"/>
      <c r="C691" s="104"/>
      <c r="D691" s="104"/>
      <c r="E691" s="104"/>
      <c r="F691" s="104"/>
      <c r="G691" s="104"/>
      <c r="H691" s="104"/>
      <c r="I691" s="104"/>
    </row>
    <row r="692" spans="2:9">
      <c r="B692" s="104"/>
      <c r="C692" s="104"/>
      <c r="D692" s="104"/>
      <c r="E692" s="104"/>
      <c r="F692" s="104"/>
      <c r="G692" s="104"/>
      <c r="H692" s="104"/>
      <c r="I692" s="104"/>
    </row>
    <row r="693" spans="2:9">
      <c r="B693" s="104"/>
      <c r="C693" s="104"/>
      <c r="D693" s="104"/>
      <c r="E693" s="104"/>
      <c r="F693" s="104"/>
      <c r="G693" s="104"/>
      <c r="H693" s="104"/>
      <c r="I693" s="104"/>
    </row>
    <row r="694" spans="2:9">
      <c r="B694" s="104"/>
      <c r="C694" s="104"/>
      <c r="D694" s="104"/>
      <c r="E694" s="104"/>
      <c r="F694" s="104"/>
      <c r="G694" s="104"/>
      <c r="H694" s="104"/>
      <c r="I694" s="104"/>
    </row>
    <row r="695" spans="2:9">
      <c r="B695" s="104"/>
      <c r="C695" s="104"/>
      <c r="D695" s="104"/>
      <c r="E695" s="104"/>
      <c r="F695" s="104"/>
      <c r="G695" s="104"/>
      <c r="H695" s="104"/>
      <c r="I695" s="104"/>
    </row>
    <row r="696" spans="2:9">
      <c r="B696" s="104"/>
      <c r="C696" s="104"/>
      <c r="D696" s="104"/>
      <c r="E696" s="104"/>
      <c r="F696" s="104"/>
      <c r="G696" s="104"/>
      <c r="H696" s="104"/>
      <c r="I696" s="104"/>
    </row>
    <row r="697" spans="2:9">
      <c r="B697" s="104"/>
      <c r="C697" s="104"/>
      <c r="D697" s="104"/>
      <c r="E697" s="104"/>
      <c r="F697" s="104"/>
      <c r="G697" s="104"/>
      <c r="H697" s="104"/>
      <c r="I697" s="104"/>
    </row>
    <row r="698" spans="2:9">
      <c r="B698" s="104"/>
      <c r="C698" s="104"/>
      <c r="D698" s="104"/>
      <c r="E698" s="104"/>
      <c r="F698" s="104"/>
      <c r="G698" s="104"/>
      <c r="H698" s="104"/>
      <c r="I698" s="104"/>
    </row>
    <row r="699" spans="2:9">
      <c r="B699" s="104"/>
      <c r="C699" s="104"/>
      <c r="D699" s="104"/>
      <c r="E699" s="104"/>
      <c r="F699" s="104"/>
      <c r="G699" s="104"/>
      <c r="H699" s="104"/>
      <c r="I699" s="104"/>
    </row>
    <row r="700" spans="2:9">
      <c r="B700" s="104"/>
      <c r="C700" s="104"/>
      <c r="D700" s="104"/>
      <c r="E700" s="104"/>
      <c r="F700" s="104"/>
      <c r="G700" s="104"/>
      <c r="H700" s="104"/>
      <c r="I700" s="104"/>
    </row>
    <row r="701" spans="2:9">
      <c r="B701" s="104"/>
      <c r="C701" s="104"/>
      <c r="D701" s="104"/>
      <c r="E701" s="104"/>
      <c r="F701" s="104"/>
      <c r="G701" s="104"/>
      <c r="H701" s="104"/>
      <c r="I701" s="104"/>
    </row>
    <row r="702" spans="2:9">
      <c r="B702" s="104"/>
      <c r="C702" s="104"/>
      <c r="D702" s="104"/>
      <c r="E702" s="104"/>
      <c r="F702" s="104"/>
      <c r="G702" s="104"/>
      <c r="H702" s="104"/>
      <c r="I702" s="104"/>
    </row>
    <row r="703" spans="2:9">
      <c r="B703" s="104"/>
      <c r="C703" s="104"/>
      <c r="D703" s="104"/>
      <c r="E703" s="104"/>
      <c r="F703" s="104"/>
      <c r="G703" s="104"/>
      <c r="H703" s="104"/>
      <c r="I703" s="104"/>
    </row>
    <row r="704" spans="2:9">
      <c r="B704" s="104"/>
      <c r="C704" s="104"/>
      <c r="D704" s="104"/>
      <c r="E704" s="104"/>
      <c r="F704" s="104"/>
      <c r="G704" s="104"/>
      <c r="H704" s="104"/>
      <c r="I704" s="104"/>
    </row>
    <row r="705" spans="2:9">
      <c r="B705" s="104"/>
      <c r="C705" s="104"/>
      <c r="D705" s="104"/>
      <c r="E705" s="104"/>
      <c r="F705" s="104"/>
      <c r="G705" s="104"/>
      <c r="H705" s="104"/>
      <c r="I705" s="104"/>
    </row>
    <row r="706" spans="2:9">
      <c r="B706" s="104"/>
      <c r="C706" s="104"/>
      <c r="D706" s="104"/>
      <c r="E706" s="104"/>
      <c r="F706" s="104"/>
      <c r="G706" s="104"/>
      <c r="H706" s="104"/>
      <c r="I706" s="104"/>
    </row>
    <row r="707" spans="2:9">
      <c r="B707" s="104"/>
      <c r="C707" s="104"/>
      <c r="D707" s="104"/>
      <c r="E707" s="104"/>
      <c r="F707" s="104"/>
      <c r="G707" s="104"/>
      <c r="H707" s="104"/>
      <c r="I707" s="104"/>
    </row>
    <row r="708" spans="2:9">
      <c r="B708" s="104"/>
      <c r="C708" s="104"/>
      <c r="D708" s="104"/>
      <c r="E708" s="104"/>
      <c r="F708" s="104"/>
      <c r="G708" s="104"/>
      <c r="H708" s="104"/>
      <c r="I708" s="104"/>
    </row>
    <row r="709" spans="2:9">
      <c r="B709" s="104"/>
      <c r="C709" s="104"/>
      <c r="D709" s="104"/>
      <c r="E709" s="104"/>
      <c r="F709" s="104"/>
      <c r="G709" s="104"/>
      <c r="H709" s="104"/>
      <c r="I709" s="104"/>
    </row>
    <row r="710" spans="2:9">
      <c r="B710" s="104"/>
      <c r="C710" s="104"/>
      <c r="D710" s="104"/>
      <c r="E710" s="104"/>
      <c r="F710" s="104"/>
      <c r="G710" s="104"/>
      <c r="H710" s="104"/>
      <c r="I710" s="104"/>
    </row>
    <row r="711" spans="2:9">
      <c r="B711" s="104"/>
      <c r="C711" s="104"/>
      <c r="D711" s="104"/>
      <c r="E711" s="104"/>
      <c r="F711" s="104"/>
      <c r="G711" s="104"/>
      <c r="H711" s="104"/>
      <c r="I711" s="104"/>
    </row>
    <row r="712" spans="2:9">
      <c r="B712" s="104"/>
      <c r="C712" s="104"/>
      <c r="D712" s="104"/>
      <c r="E712" s="104"/>
      <c r="F712" s="104"/>
      <c r="G712" s="104"/>
      <c r="H712" s="104"/>
      <c r="I712" s="104"/>
    </row>
    <row r="713" spans="2:9">
      <c r="B713" s="104"/>
      <c r="C713" s="104"/>
      <c r="D713" s="104"/>
      <c r="E713" s="104"/>
      <c r="F713" s="104"/>
      <c r="G713" s="104"/>
      <c r="H713" s="104"/>
      <c r="I713" s="104"/>
    </row>
    <row r="714" spans="2:9">
      <c r="B714" s="104"/>
      <c r="C714" s="104"/>
      <c r="D714" s="104"/>
      <c r="E714" s="104"/>
      <c r="F714" s="104"/>
      <c r="G714" s="104"/>
      <c r="H714" s="104"/>
      <c r="I714" s="104"/>
    </row>
    <row r="715" spans="2:9">
      <c r="B715" s="104"/>
      <c r="C715" s="104"/>
      <c r="D715" s="104"/>
      <c r="E715" s="104"/>
      <c r="F715" s="104"/>
      <c r="G715" s="104"/>
      <c r="H715" s="104"/>
      <c r="I715" s="104"/>
    </row>
    <row r="716" spans="2:9">
      <c r="B716" s="104"/>
      <c r="C716" s="104"/>
      <c r="D716" s="104"/>
      <c r="E716" s="104"/>
      <c r="F716" s="104"/>
      <c r="G716" s="104"/>
      <c r="H716" s="104"/>
      <c r="I716" s="104"/>
    </row>
    <row r="717" spans="2:9">
      <c r="B717" s="104"/>
      <c r="C717" s="104"/>
      <c r="D717" s="104"/>
      <c r="E717" s="104"/>
      <c r="F717" s="104"/>
      <c r="G717" s="104"/>
      <c r="H717" s="104"/>
      <c r="I717" s="104"/>
    </row>
    <row r="718" spans="2:9">
      <c r="B718" s="104"/>
      <c r="C718" s="104"/>
      <c r="D718" s="104"/>
      <c r="E718" s="104"/>
      <c r="F718" s="104"/>
      <c r="G718" s="104"/>
      <c r="H718" s="104"/>
      <c r="I718" s="104"/>
    </row>
    <row r="719" spans="2:9">
      <c r="B719" s="104"/>
      <c r="C719" s="104"/>
      <c r="D719" s="104"/>
      <c r="E719" s="104"/>
      <c r="F719" s="104"/>
      <c r="G719" s="104"/>
      <c r="H719" s="104"/>
      <c r="I719" s="104"/>
    </row>
    <row r="720" spans="2:9">
      <c r="B720" s="104"/>
      <c r="C720" s="104"/>
      <c r="D720" s="104"/>
      <c r="E720" s="104"/>
      <c r="F720" s="104"/>
      <c r="G720" s="104"/>
      <c r="H720" s="104"/>
      <c r="I720" s="104"/>
    </row>
    <row r="721" spans="2:9">
      <c r="B721" s="104"/>
      <c r="C721" s="104"/>
      <c r="D721" s="104"/>
      <c r="E721" s="104"/>
      <c r="F721" s="104"/>
      <c r="G721" s="104"/>
      <c r="H721" s="104"/>
      <c r="I721" s="104"/>
    </row>
    <row r="722" spans="2:9">
      <c r="B722" s="104"/>
      <c r="C722" s="104"/>
      <c r="D722" s="104"/>
      <c r="E722" s="104"/>
      <c r="F722" s="104"/>
      <c r="G722" s="104"/>
      <c r="H722" s="104"/>
      <c r="I722" s="104"/>
    </row>
    <row r="723" spans="2:9">
      <c r="B723" s="104"/>
      <c r="C723" s="104"/>
      <c r="D723" s="104"/>
      <c r="E723" s="104"/>
      <c r="F723" s="104"/>
      <c r="G723" s="104"/>
      <c r="H723" s="104"/>
      <c r="I723" s="104"/>
    </row>
    <row r="724" spans="2:9">
      <c r="B724" s="104"/>
      <c r="C724" s="104"/>
      <c r="D724" s="104"/>
      <c r="E724" s="104"/>
      <c r="F724" s="104"/>
      <c r="G724" s="104"/>
      <c r="H724" s="104"/>
      <c r="I724" s="104"/>
    </row>
    <row r="725" spans="2:9">
      <c r="B725" s="104"/>
      <c r="C725" s="104"/>
      <c r="D725" s="104"/>
      <c r="E725" s="104"/>
      <c r="F725" s="104"/>
      <c r="G725" s="104"/>
      <c r="H725" s="104"/>
      <c r="I725" s="104"/>
    </row>
    <row r="726" spans="2:9">
      <c r="B726" s="104"/>
      <c r="C726" s="104"/>
      <c r="D726" s="104"/>
      <c r="E726" s="104"/>
      <c r="F726" s="104"/>
      <c r="G726" s="104"/>
      <c r="H726" s="104"/>
      <c r="I726" s="104"/>
    </row>
    <row r="727" spans="2:9">
      <c r="B727" s="104"/>
      <c r="C727" s="104"/>
      <c r="D727" s="104"/>
      <c r="E727" s="104"/>
      <c r="F727" s="104"/>
      <c r="G727" s="104"/>
      <c r="H727" s="104"/>
      <c r="I727" s="104"/>
    </row>
    <row r="728" spans="2:9">
      <c r="B728" s="104"/>
      <c r="C728" s="104"/>
      <c r="D728" s="104"/>
      <c r="E728" s="104"/>
      <c r="F728" s="104"/>
      <c r="G728" s="104"/>
      <c r="H728" s="104"/>
      <c r="I728" s="104"/>
    </row>
    <row r="729" spans="2:9">
      <c r="B729" s="104"/>
      <c r="C729" s="104"/>
      <c r="D729" s="104"/>
      <c r="E729" s="104"/>
      <c r="F729" s="104"/>
      <c r="G729" s="104"/>
      <c r="H729" s="104"/>
      <c r="I729" s="104"/>
    </row>
    <row r="730" spans="2:9">
      <c r="B730" s="104"/>
      <c r="C730" s="104"/>
      <c r="D730" s="104"/>
      <c r="E730" s="104"/>
      <c r="F730" s="104"/>
      <c r="G730" s="104"/>
      <c r="H730" s="104"/>
      <c r="I730" s="104"/>
    </row>
    <row r="731" spans="2:9">
      <c r="B731" s="104"/>
      <c r="C731" s="104"/>
      <c r="D731" s="104"/>
      <c r="E731" s="104"/>
      <c r="F731" s="104"/>
      <c r="G731" s="104"/>
      <c r="H731" s="104"/>
      <c r="I731" s="104"/>
    </row>
    <row r="732" spans="2:9">
      <c r="B732" s="104"/>
      <c r="C732" s="104"/>
      <c r="D732" s="104"/>
      <c r="E732" s="104"/>
      <c r="F732" s="104"/>
      <c r="G732" s="104"/>
      <c r="H732" s="104"/>
      <c r="I732" s="104"/>
    </row>
    <row r="733" spans="2:9">
      <c r="B733" s="104"/>
      <c r="C733" s="104"/>
      <c r="D733" s="104"/>
      <c r="E733" s="104"/>
      <c r="F733" s="104"/>
      <c r="G733" s="104"/>
      <c r="H733" s="104"/>
      <c r="I733" s="104"/>
    </row>
    <row r="734" spans="2:9">
      <c r="B734" s="104"/>
      <c r="C734" s="104"/>
      <c r="D734" s="104"/>
      <c r="E734" s="104"/>
      <c r="F734" s="104"/>
      <c r="G734" s="104"/>
      <c r="H734" s="104"/>
      <c r="I734" s="104"/>
    </row>
    <row r="735" spans="2:9">
      <c r="B735" s="104"/>
      <c r="C735" s="104"/>
      <c r="D735" s="104"/>
      <c r="E735" s="104"/>
      <c r="F735" s="104"/>
      <c r="G735" s="104"/>
      <c r="H735" s="104"/>
      <c r="I735" s="104"/>
    </row>
    <row r="736" spans="2:9">
      <c r="B736" s="104"/>
      <c r="C736" s="104"/>
      <c r="D736" s="104"/>
      <c r="E736" s="104"/>
      <c r="F736" s="104"/>
      <c r="G736" s="104"/>
      <c r="H736" s="104"/>
      <c r="I736" s="104"/>
    </row>
    <row r="737" spans="2:9">
      <c r="B737" s="104"/>
      <c r="C737" s="104"/>
      <c r="D737" s="104"/>
      <c r="E737" s="104"/>
      <c r="F737" s="104"/>
      <c r="G737" s="104"/>
      <c r="H737" s="104"/>
      <c r="I737" s="104"/>
    </row>
    <row r="738" spans="2:9">
      <c r="B738" s="104"/>
      <c r="C738" s="104"/>
      <c r="D738" s="104"/>
      <c r="E738" s="104"/>
      <c r="F738" s="104"/>
      <c r="G738" s="104"/>
      <c r="H738" s="104"/>
      <c r="I738" s="104"/>
    </row>
    <row r="739" spans="2:9">
      <c r="B739" s="104"/>
      <c r="C739" s="104"/>
      <c r="D739" s="104"/>
      <c r="E739" s="104"/>
      <c r="F739" s="104"/>
      <c r="G739" s="104"/>
      <c r="H739" s="104"/>
      <c r="I739" s="104"/>
    </row>
    <row r="740" spans="2:9">
      <c r="B740" s="104"/>
      <c r="C740" s="104"/>
      <c r="D740" s="104"/>
      <c r="E740" s="104"/>
      <c r="F740" s="104"/>
      <c r="G740" s="104"/>
      <c r="H740" s="104"/>
      <c r="I740" s="104"/>
    </row>
    <row r="741" spans="2:9">
      <c r="B741" s="104"/>
      <c r="C741" s="104"/>
      <c r="D741" s="104"/>
      <c r="E741" s="104"/>
      <c r="F741" s="104"/>
      <c r="G741" s="104"/>
      <c r="H741" s="104"/>
      <c r="I741" s="104"/>
    </row>
    <row r="742" spans="2:9">
      <c r="B742" s="104"/>
      <c r="C742" s="104"/>
      <c r="D742" s="104"/>
      <c r="E742" s="104"/>
      <c r="F742" s="104"/>
      <c r="G742" s="104"/>
      <c r="H742" s="104"/>
      <c r="I742" s="104"/>
    </row>
    <row r="743" spans="2:9">
      <c r="B743" s="104"/>
      <c r="C743" s="104"/>
      <c r="D743" s="104"/>
      <c r="E743" s="104"/>
      <c r="F743" s="104"/>
      <c r="G743" s="104"/>
      <c r="H743" s="104"/>
      <c r="I743" s="104"/>
    </row>
    <row r="744" spans="2:9">
      <c r="B744" s="104"/>
      <c r="C744" s="104"/>
      <c r="D744" s="104"/>
      <c r="E744" s="104"/>
      <c r="F744" s="104"/>
      <c r="G744" s="104"/>
      <c r="H744" s="104"/>
      <c r="I744" s="104"/>
    </row>
    <row r="745" spans="2:9">
      <c r="B745" s="104"/>
      <c r="C745" s="104"/>
      <c r="D745" s="104"/>
      <c r="E745" s="104"/>
      <c r="F745" s="104"/>
      <c r="G745" s="104"/>
      <c r="H745" s="104"/>
      <c r="I745" s="104"/>
    </row>
    <row r="746" spans="2:9">
      <c r="B746" s="104"/>
      <c r="C746" s="104"/>
      <c r="D746" s="104"/>
      <c r="E746" s="104"/>
      <c r="F746" s="104"/>
      <c r="G746" s="104"/>
      <c r="H746" s="104"/>
      <c r="I746" s="104"/>
    </row>
    <row r="747" spans="2:9">
      <c r="B747" s="104"/>
      <c r="C747" s="104"/>
      <c r="D747" s="104"/>
      <c r="E747" s="104"/>
      <c r="F747" s="104"/>
      <c r="G747" s="104"/>
      <c r="H747" s="104"/>
      <c r="I747" s="104"/>
    </row>
    <row r="748" spans="2:9">
      <c r="B748" s="104"/>
      <c r="C748" s="104"/>
      <c r="D748" s="104"/>
      <c r="E748" s="104"/>
      <c r="F748" s="104"/>
      <c r="G748" s="104"/>
      <c r="H748" s="104"/>
      <c r="I748" s="104"/>
    </row>
    <row r="749" spans="2:9">
      <c r="B749" s="104"/>
      <c r="C749" s="104"/>
      <c r="D749" s="104"/>
      <c r="E749" s="104"/>
      <c r="F749" s="104"/>
      <c r="G749" s="104"/>
      <c r="H749" s="104"/>
      <c r="I749" s="104"/>
    </row>
    <row r="750" spans="2:9">
      <c r="B750" s="104"/>
      <c r="C750" s="104"/>
      <c r="D750" s="104"/>
      <c r="E750" s="104"/>
      <c r="F750" s="104"/>
      <c r="G750" s="104"/>
      <c r="H750" s="104"/>
      <c r="I750" s="104"/>
    </row>
    <row r="751" spans="2:9">
      <c r="B751" s="104"/>
      <c r="C751" s="104"/>
      <c r="D751" s="104"/>
      <c r="E751" s="104"/>
      <c r="F751" s="104"/>
      <c r="G751" s="104"/>
      <c r="H751" s="104"/>
      <c r="I751" s="104"/>
    </row>
    <row r="752" spans="2:9">
      <c r="B752" s="104"/>
      <c r="C752" s="104"/>
      <c r="D752" s="104"/>
      <c r="E752" s="104"/>
      <c r="F752" s="104"/>
      <c r="G752" s="104"/>
      <c r="H752" s="104"/>
      <c r="I752" s="104"/>
    </row>
    <row r="753" spans="2:9">
      <c r="B753" s="104"/>
      <c r="C753" s="104"/>
      <c r="D753" s="104"/>
      <c r="E753" s="104"/>
      <c r="F753" s="104"/>
      <c r="G753" s="104"/>
      <c r="H753" s="104"/>
      <c r="I753" s="104"/>
    </row>
    <row r="754" spans="2:9">
      <c r="B754" s="104"/>
      <c r="C754" s="104"/>
      <c r="D754" s="104"/>
      <c r="E754" s="104"/>
      <c r="F754" s="104"/>
      <c r="G754" s="104"/>
      <c r="H754" s="104"/>
      <c r="I754" s="104"/>
    </row>
    <row r="755" spans="2:9">
      <c r="B755" s="104"/>
      <c r="C755" s="104"/>
      <c r="D755" s="104"/>
      <c r="E755" s="104"/>
      <c r="F755" s="104"/>
      <c r="G755" s="104"/>
      <c r="H755" s="104"/>
      <c r="I755" s="104"/>
    </row>
    <row r="756" spans="2:9">
      <c r="B756" s="104"/>
      <c r="C756" s="104"/>
      <c r="D756" s="104"/>
      <c r="E756" s="104"/>
      <c r="F756" s="104"/>
      <c r="G756" s="104"/>
      <c r="H756" s="104"/>
      <c r="I756" s="104"/>
    </row>
    <row r="757" spans="2:9">
      <c r="B757" s="104"/>
      <c r="C757" s="104"/>
      <c r="D757" s="104"/>
      <c r="E757" s="104"/>
      <c r="F757" s="104"/>
      <c r="G757" s="104"/>
      <c r="H757" s="104"/>
      <c r="I757" s="104"/>
    </row>
    <row r="758" spans="2:9">
      <c r="B758" s="104"/>
      <c r="C758" s="104"/>
      <c r="D758" s="104"/>
      <c r="E758" s="104"/>
      <c r="F758" s="104"/>
      <c r="G758" s="104"/>
      <c r="H758" s="104"/>
      <c r="I758" s="104"/>
    </row>
    <row r="759" spans="2:9">
      <c r="B759" s="104"/>
      <c r="C759" s="104"/>
      <c r="D759" s="104"/>
      <c r="E759" s="104"/>
      <c r="F759" s="104"/>
      <c r="G759" s="104"/>
      <c r="H759" s="104"/>
      <c r="I759" s="104"/>
    </row>
    <row r="760" spans="2:9">
      <c r="B760" s="104"/>
      <c r="C760" s="104"/>
      <c r="D760" s="104"/>
      <c r="E760" s="104"/>
      <c r="F760" s="104"/>
      <c r="G760" s="104"/>
      <c r="H760" s="104"/>
      <c r="I760" s="104"/>
    </row>
    <row r="761" spans="2:9">
      <c r="B761" s="104"/>
      <c r="C761" s="104"/>
      <c r="D761" s="104"/>
      <c r="E761" s="104"/>
      <c r="F761" s="104"/>
      <c r="G761" s="104"/>
      <c r="H761" s="104"/>
      <c r="I761" s="104"/>
    </row>
    <row r="762" spans="2:9">
      <c r="B762" s="104"/>
      <c r="C762" s="104"/>
      <c r="D762" s="104"/>
      <c r="E762" s="104"/>
      <c r="F762" s="104"/>
      <c r="G762" s="104"/>
      <c r="H762" s="104"/>
      <c r="I762" s="104"/>
    </row>
    <row r="763" spans="2:9">
      <c r="B763" s="104"/>
      <c r="C763" s="104"/>
      <c r="D763" s="104"/>
      <c r="E763" s="104"/>
      <c r="F763" s="104"/>
      <c r="G763" s="104"/>
      <c r="H763" s="104"/>
      <c r="I763" s="104"/>
    </row>
    <row r="764" spans="2:9">
      <c r="B764" s="104"/>
      <c r="C764" s="104"/>
      <c r="D764" s="104"/>
      <c r="E764" s="104"/>
      <c r="F764" s="104"/>
      <c r="G764" s="104"/>
      <c r="H764" s="104"/>
      <c r="I764" s="104"/>
    </row>
    <row r="765" spans="2:9">
      <c r="B765" s="104"/>
      <c r="C765" s="104"/>
      <c r="D765" s="104"/>
      <c r="E765" s="104"/>
      <c r="F765" s="104"/>
      <c r="G765" s="104"/>
      <c r="H765" s="104"/>
      <c r="I765" s="104"/>
    </row>
    <row r="766" spans="2:9">
      <c r="B766" s="104"/>
      <c r="C766" s="104"/>
      <c r="D766" s="104"/>
      <c r="E766" s="104"/>
      <c r="F766" s="104"/>
      <c r="G766" s="104"/>
      <c r="H766" s="104"/>
      <c r="I766" s="104"/>
    </row>
    <row r="767" spans="2:9">
      <c r="B767" s="104"/>
      <c r="C767" s="104"/>
      <c r="D767" s="104"/>
      <c r="E767" s="104"/>
      <c r="F767" s="104"/>
      <c r="G767" s="104"/>
      <c r="H767" s="104"/>
      <c r="I767" s="104"/>
    </row>
    <row r="768" spans="2:9">
      <c r="B768" s="104"/>
      <c r="C768" s="104"/>
      <c r="D768" s="104"/>
      <c r="E768" s="104"/>
      <c r="F768" s="104"/>
      <c r="G768" s="104"/>
      <c r="H768" s="104"/>
      <c r="I768" s="104"/>
    </row>
    <row r="769" spans="2:9">
      <c r="B769" s="104"/>
      <c r="C769" s="104"/>
      <c r="D769" s="104"/>
      <c r="E769" s="104"/>
      <c r="F769" s="104"/>
      <c r="G769" s="104"/>
      <c r="H769" s="104"/>
      <c r="I769" s="104"/>
    </row>
    <row r="770" spans="2:9">
      <c r="B770" s="104"/>
      <c r="C770" s="104"/>
      <c r="D770" s="104"/>
      <c r="E770" s="104"/>
      <c r="F770" s="104"/>
      <c r="G770" s="104"/>
      <c r="H770" s="104"/>
      <c r="I770" s="104"/>
    </row>
    <row r="771" spans="2:9">
      <c r="B771" s="104"/>
      <c r="C771" s="104"/>
      <c r="D771" s="104"/>
      <c r="E771" s="104"/>
      <c r="F771" s="104"/>
      <c r="G771" s="104"/>
      <c r="H771" s="104"/>
      <c r="I771" s="104"/>
    </row>
    <row r="772" spans="2:9">
      <c r="B772" s="104"/>
      <c r="C772" s="104"/>
      <c r="D772" s="104"/>
      <c r="E772" s="104"/>
      <c r="F772" s="104"/>
      <c r="G772" s="104"/>
      <c r="H772" s="104"/>
      <c r="I772" s="104"/>
    </row>
    <row r="773" spans="2:9">
      <c r="B773" s="104"/>
      <c r="C773" s="104"/>
      <c r="D773" s="104"/>
      <c r="E773" s="104"/>
      <c r="F773" s="104"/>
      <c r="G773" s="104"/>
      <c r="H773" s="104"/>
      <c r="I773" s="104"/>
    </row>
    <row r="774" spans="2:9">
      <c r="B774" s="104"/>
      <c r="C774" s="104"/>
      <c r="D774" s="104"/>
      <c r="E774" s="104"/>
      <c r="F774" s="104"/>
      <c r="G774" s="104"/>
      <c r="H774" s="104"/>
      <c r="I774" s="104"/>
    </row>
    <row r="775" spans="2:9">
      <c r="B775" s="104"/>
      <c r="C775" s="104"/>
      <c r="D775" s="104"/>
      <c r="E775" s="104"/>
      <c r="F775" s="104"/>
      <c r="G775" s="104"/>
      <c r="H775" s="104"/>
      <c r="I775" s="104"/>
    </row>
    <row r="776" spans="2:9">
      <c r="B776" s="104"/>
      <c r="C776" s="104"/>
      <c r="D776" s="104"/>
      <c r="E776" s="104"/>
      <c r="F776" s="104"/>
      <c r="G776" s="104"/>
      <c r="H776" s="104"/>
      <c r="I776" s="104"/>
    </row>
    <row r="777" spans="2:9">
      <c r="B777" s="104"/>
      <c r="C777" s="104"/>
      <c r="D777" s="104"/>
      <c r="E777" s="104"/>
      <c r="F777" s="104"/>
      <c r="G777" s="104"/>
      <c r="H777" s="104"/>
      <c r="I777" s="104"/>
    </row>
    <row r="778" spans="2:9">
      <c r="B778" s="104"/>
      <c r="C778" s="104"/>
      <c r="D778" s="104"/>
      <c r="E778" s="104"/>
      <c r="F778" s="104"/>
      <c r="G778" s="104"/>
      <c r="H778" s="104"/>
      <c r="I778" s="104"/>
    </row>
    <row r="779" spans="2:9">
      <c r="B779" s="104"/>
      <c r="C779" s="104"/>
      <c r="D779" s="104"/>
      <c r="E779" s="104"/>
      <c r="F779" s="104"/>
      <c r="G779" s="104"/>
      <c r="H779" s="104"/>
      <c r="I779" s="104"/>
    </row>
    <row r="780" spans="2:9">
      <c r="B780" s="104"/>
      <c r="C780" s="104"/>
      <c r="D780" s="104"/>
      <c r="E780" s="104"/>
      <c r="F780" s="104"/>
      <c r="G780" s="104"/>
      <c r="H780" s="104"/>
      <c r="I780" s="104"/>
    </row>
    <row r="781" spans="2:9">
      <c r="B781" s="104"/>
      <c r="C781" s="104"/>
      <c r="D781" s="104"/>
      <c r="E781" s="104"/>
      <c r="F781" s="104"/>
      <c r="G781" s="104"/>
      <c r="H781" s="104"/>
      <c r="I781" s="104"/>
    </row>
    <row r="782" spans="2:9">
      <c r="B782" s="104"/>
      <c r="C782" s="104"/>
      <c r="D782" s="104"/>
      <c r="E782" s="104"/>
      <c r="F782" s="104"/>
      <c r="G782" s="104"/>
      <c r="H782" s="104"/>
      <c r="I782" s="104"/>
    </row>
    <row r="783" spans="2:9">
      <c r="B783" s="104"/>
      <c r="C783" s="104"/>
      <c r="D783" s="104"/>
      <c r="E783" s="104"/>
      <c r="F783" s="104"/>
      <c r="G783" s="104"/>
      <c r="H783" s="104"/>
      <c r="I783" s="104"/>
    </row>
    <row r="784" spans="2:9">
      <c r="B784" s="104"/>
      <c r="C784" s="104"/>
      <c r="D784" s="104"/>
      <c r="E784" s="104"/>
      <c r="F784" s="104"/>
      <c r="G784" s="104"/>
      <c r="H784" s="104"/>
      <c r="I784" s="104"/>
    </row>
    <row r="785" spans="2:9">
      <c r="B785" s="104"/>
      <c r="C785" s="104"/>
      <c r="D785" s="104"/>
      <c r="E785" s="104"/>
      <c r="F785" s="104"/>
      <c r="G785" s="104"/>
      <c r="H785" s="104"/>
      <c r="I785" s="104"/>
    </row>
    <row r="786" spans="2:9">
      <c r="B786" s="104"/>
      <c r="C786" s="104"/>
      <c r="D786" s="104"/>
      <c r="E786" s="104"/>
      <c r="F786" s="104"/>
      <c r="G786" s="104"/>
      <c r="H786" s="104"/>
      <c r="I786" s="104"/>
    </row>
    <row r="787" spans="2:9">
      <c r="B787" s="104"/>
      <c r="C787" s="104"/>
      <c r="D787" s="104"/>
      <c r="E787" s="104"/>
      <c r="F787" s="104"/>
      <c r="G787" s="104"/>
      <c r="H787" s="104"/>
      <c r="I787" s="104"/>
    </row>
    <row r="788" spans="2:9">
      <c r="B788" s="104"/>
      <c r="C788" s="104"/>
      <c r="D788" s="104"/>
      <c r="E788" s="104"/>
      <c r="F788" s="104"/>
      <c r="G788" s="104"/>
      <c r="H788" s="104"/>
      <c r="I788" s="104"/>
    </row>
    <row r="789" spans="2:9">
      <c r="B789" s="104"/>
      <c r="C789" s="104"/>
      <c r="D789" s="104"/>
      <c r="E789" s="104"/>
      <c r="F789" s="104"/>
      <c r="G789" s="104"/>
      <c r="H789" s="104"/>
      <c r="I789" s="104"/>
    </row>
    <row r="790" spans="2:9">
      <c r="B790" s="104"/>
      <c r="C790" s="104"/>
      <c r="D790" s="104"/>
      <c r="E790" s="104"/>
      <c r="F790" s="104"/>
      <c r="G790" s="104"/>
      <c r="H790" s="104"/>
      <c r="I790" s="104"/>
    </row>
    <row r="791" spans="2:9">
      <c r="B791" s="104"/>
      <c r="C791" s="104"/>
      <c r="D791" s="104"/>
      <c r="E791" s="104"/>
      <c r="F791" s="104"/>
      <c r="G791" s="104"/>
      <c r="H791" s="104"/>
      <c r="I791" s="104"/>
    </row>
    <row r="792" spans="2:9">
      <c r="B792" s="104"/>
      <c r="C792" s="104"/>
      <c r="D792" s="104"/>
      <c r="E792" s="104"/>
      <c r="F792" s="104"/>
      <c r="G792" s="104"/>
      <c r="H792" s="104"/>
      <c r="I792" s="104"/>
    </row>
    <row r="793" spans="2:9">
      <c r="B793" s="104"/>
      <c r="C793" s="104"/>
      <c r="D793" s="104"/>
      <c r="E793" s="104"/>
      <c r="F793" s="104"/>
      <c r="G793" s="104"/>
      <c r="H793" s="104"/>
      <c r="I793" s="104"/>
    </row>
    <row r="794" spans="2:9">
      <c r="B794" s="104"/>
      <c r="C794" s="104"/>
      <c r="D794" s="104"/>
      <c r="E794" s="104"/>
      <c r="F794" s="104"/>
      <c r="G794" s="104"/>
      <c r="H794" s="104"/>
      <c r="I794" s="104"/>
    </row>
    <row r="795" spans="2:9">
      <c r="B795" s="104"/>
      <c r="C795" s="104"/>
      <c r="D795" s="104"/>
      <c r="E795" s="104"/>
      <c r="F795" s="104"/>
      <c r="G795" s="104"/>
      <c r="H795" s="104"/>
      <c r="I795" s="104"/>
    </row>
    <row r="796" spans="2:9">
      <c r="B796" s="104"/>
      <c r="C796" s="104"/>
      <c r="D796" s="104"/>
      <c r="E796" s="104"/>
      <c r="F796" s="104"/>
      <c r="G796" s="104"/>
      <c r="H796" s="104"/>
      <c r="I796" s="104"/>
    </row>
    <row r="797" spans="2:9">
      <c r="B797" s="104"/>
      <c r="C797" s="104"/>
      <c r="D797" s="104"/>
      <c r="E797" s="104"/>
      <c r="F797" s="104"/>
      <c r="G797" s="104"/>
      <c r="H797" s="104"/>
      <c r="I797" s="104"/>
    </row>
    <row r="798" spans="2:9">
      <c r="B798" s="104"/>
      <c r="C798" s="104"/>
      <c r="D798" s="104"/>
      <c r="E798" s="104"/>
      <c r="F798" s="104"/>
      <c r="G798" s="104"/>
      <c r="H798" s="104"/>
      <c r="I798" s="104"/>
    </row>
    <row r="799" spans="2:9">
      <c r="B799" s="104"/>
      <c r="C799" s="104"/>
      <c r="D799" s="104"/>
      <c r="E799" s="104"/>
      <c r="F799" s="104"/>
      <c r="G799" s="104"/>
      <c r="H799" s="104"/>
      <c r="I799" s="104"/>
    </row>
    <row r="800" spans="2:9">
      <c r="B800" s="104"/>
      <c r="C800" s="104"/>
      <c r="D800" s="104"/>
      <c r="E800" s="104"/>
      <c r="F800" s="104"/>
      <c r="G800" s="104"/>
      <c r="H800" s="104"/>
      <c r="I800" s="104"/>
    </row>
    <row r="801" spans="2:9">
      <c r="B801" s="104"/>
      <c r="C801" s="104"/>
      <c r="D801" s="104"/>
      <c r="E801" s="104"/>
      <c r="F801" s="104"/>
      <c r="G801" s="104"/>
      <c r="H801" s="104"/>
      <c r="I801" s="104"/>
    </row>
    <row r="802" spans="2:9">
      <c r="B802" s="104"/>
      <c r="C802" s="104"/>
      <c r="D802" s="104"/>
      <c r="E802" s="104"/>
      <c r="F802" s="104"/>
      <c r="G802" s="104"/>
      <c r="H802" s="104"/>
      <c r="I802" s="104"/>
    </row>
    <row r="803" spans="2:9">
      <c r="B803" s="104"/>
      <c r="C803" s="104"/>
      <c r="D803" s="104"/>
      <c r="E803" s="104"/>
      <c r="F803" s="104"/>
      <c r="G803" s="104"/>
      <c r="H803" s="104"/>
      <c r="I803" s="104"/>
    </row>
    <row r="804" spans="2:9">
      <c r="B804" s="104"/>
      <c r="C804" s="104"/>
      <c r="D804" s="104"/>
      <c r="E804" s="104"/>
      <c r="F804" s="104"/>
      <c r="G804" s="104"/>
      <c r="H804" s="104"/>
      <c r="I804" s="104"/>
    </row>
    <row r="805" spans="2:9">
      <c r="B805" s="104"/>
      <c r="C805" s="104"/>
      <c r="D805" s="104"/>
      <c r="E805" s="104"/>
      <c r="F805" s="104"/>
      <c r="G805" s="104"/>
      <c r="H805" s="104"/>
      <c r="I805" s="104"/>
    </row>
    <row r="806" spans="2:9">
      <c r="B806" s="104"/>
      <c r="C806" s="104"/>
      <c r="D806" s="104"/>
      <c r="E806" s="104"/>
      <c r="F806" s="104"/>
      <c r="G806" s="104"/>
      <c r="H806" s="104"/>
      <c r="I806" s="104"/>
    </row>
    <row r="807" spans="2:9">
      <c r="B807" s="104"/>
      <c r="C807" s="104"/>
      <c r="D807" s="104"/>
      <c r="E807" s="104"/>
      <c r="F807" s="104"/>
      <c r="G807" s="104"/>
      <c r="H807" s="104"/>
      <c r="I807" s="104"/>
    </row>
    <row r="808" spans="2:9">
      <c r="B808" s="104"/>
      <c r="C808" s="104"/>
      <c r="D808" s="104"/>
      <c r="E808" s="104"/>
      <c r="F808" s="104"/>
      <c r="G808" s="104"/>
      <c r="H808" s="104"/>
      <c r="I808" s="104"/>
    </row>
    <row r="809" spans="2:9">
      <c r="B809" s="104"/>
      <c r="C809" s="104"/>
      <c r="D809" s="104"/>
      <c r="E809" s="104"/>
      <c r="F809" s="104"/>
      <c r="G809" s="104"/>
      <c r="H809" s="104"/>
      <c r="I809" s="104"/>
    </row>
    <row r="810" spans="2:9">
      <c r="B810" s="104"/>
      <c r="C810" s="104"/>
      <c r="D810" s="104"/>
      <c r="E810" s="104"/>
      <c r="F810" s="104"/>
      <c r="G810" s="104"/>
      <c r="H810" s="104"/>
      <c r="I810" s="104"/>
    </row>
    <row r="811" spans="2:9">
      <c r="B811" s="104"/>
      <c r="C811" s="104"/>
      <c r="D811" s="104"/>
      <c r="E811" s="104"/>
      <c r="F811" s="104"/>
      <c r="G811" s="104"/>
      <c r="H811" s="104"/>
      <c r="I811" s="104"/>
    </row>
    <row r="812" spans="2:9">
      <c r="B812" s="104"/>
      <c r="C812" s="104"/>
      <c r="D812" s="104"/>
      <c r="E812" s="104"/>
      <c r="F812" s="104"/>
      <c r="G812" s="104"/>
      <c r="H812" s="104"/>
      <c r="I812" s="104"/>
    </row>
    <row r="813" spans="2:9">
      <c r="B813" s="104"/>
      <c r="C813" s="104"/>
      <c r="D813" s="104"/>
      <c r="E813" s="104"/>
      <c r="F813" s="104"/>
      <c r="G813" s="104"/>
      <c r="H813" s="104"/>
      <c r="I813" s="104"/>
    </row>
    <row r="814" spans="2:9">
      <c r="B814" s="104"/>
      <c r="C814" s="104"/>
      <c r="D814" s="104"/>
      <c r="E814" s="104"/>
      <c r="F814" s="104"/>
      <c r="G814" s="104"/>
      <c r="H814" s="104"/>
      <c r="I814" s="104"/>
    </row>
    <row r="815" spans="2:9">
      <c r="B815" s="104"/>
      <c r="C815" s="104"/>
      <c r="D815" s="104"/>
      <c r="E815" s="104"/>
      <c r="F815" s="104"/>
      <c r="G815" s="104"/>
      <c r="H815" s="104"/>
      <c r="I815" s="104"/>
    </row>
    <row r="816" spans="2:9">
      <c r="B816" s="104"/>
      <c r="C816" s="104"/>
      <c r="D816" s="104"/>
      <c r="E816" s="104"/>
      <c r="F816" s="104"/>
      <c r="G816" s="104"/>
      <c r="H816" s="104"/>
      <c r="I816" s="104"/>
    </row>
    <row r="817" spans="2:9">
      <c r="B817" s="104"/>
      <c r="C817" s="104"/>
      <c r="D817" s="104"/>
      <c r="E817" s="104"/>
      <c r="F817" s="104"/>
      <c r="G817" s="104"/>
      <c r="H817" s="104"/>
      <c r="I817" s="104"/>
    </row>
    <row r="818" spans="2:9">
      <c r="B818" s="104"/>
      <c r="C818" s="104"/>
      <c r="D818" s="104"/>
      <c r="E818" s="104"/>
      <c r="F818" s="104"/>
      <c r="G818" s="104"/>
      <c r="H818" s="104"/>
      <c r="I818" s="104"/>
    </row>
    <row r="819" spans="2:9">
      <c r="B819" s="104"/>
      <c r="C819" s="104"/>
      <c r="D819" s="104"/>
      <c r="E819" s="104"/>
      <c r="F819" s="104"/>
      <c r="G819" s="104"/>
      <c r="H819" s="104"/>
      <c r="I819" s="104"/>
    </row>
    <row r="820" spans="2:9">
      <c r="B820" s="104"/>
      <c r="C820" s="104"/>
      <c r="D820" s="104"/>
      <c r="E820" s="104"/>
      <c r="F820" s="104"/>
      <c r="G820" s="104"/>
      <c r="H820" s="104"/>
      <c r="I820" s="104"/>
    </row>
    <row r="821" spans="2:9">
      <c r="B821" s="104"/>
      <c r="C821" s="104"/>
      <c r="D821" s="104"/>
      <c r="E821" s="104"/>
      <c r="F821" s="104"/>
      <c r="G821" s="104"/>
      <c r="H821" s="104"/>
      <c r="I821" s="104"/>
    </row>
    <row r="822" spans="2:9">
      <c r="B822" s="104"/>
      <c r="C822" s="104"/>
      <c r="D822" s="104"/>
      <c r="E822" s="104"/>
      <c r="F822" s="104"/>
      <c r="G822" s="104"/>
      <c r="H822" s="104"/>
      <c r="I822" s="104"/>
    </row>
    <row r="823" spans="2:9">
      <c r="B823" s="104"/>
      <c r="C823" s="104"/>
      <c r="D823" s="104"/>
      <c r="E823" s="104"/>
      <c r="F823" s="104"/>
      <c r="G823" s="104"/>
      <c r="H823" s="104"/>
      <c r="I823" s="104"/>
    </row>
    <row r="824" spans="2:9">
      <c r="B824" s="104"/>
      <c r="C824" s="104"/>
      <c r="D824" s="104"/>
      <c r="E824" s="104"/>
      <c r="F824" s="104"/>
      <c r="G824" s="104"/>
      <c r="H824" s="104"/>
      <c r="I824" s="104"/>
    </row>
    <row r="825" spans="2:9">
      <c r="B825" s="104"/>
      <c r="C825" s="104"/>
      <c r="D825" s="104"/>
      <c r="E825" s="104"/>
      <c r="F825" s="104"/>
      <c r="G825" s="104"/>
      <c r="H825" s="104"/>
      <c r="I825" s="104"/>
    </row>
    <row r="826" spans="2:9">
      <c r="B826" s="104"/>
      <c r="C826" s="104"/>
      <c r="D826" s="104"/>
      <c r="E826" s="104"/>
      <c r="F826" s="104"/>
      <c r="G826" s="104"/>
      <c r="H826" s="104"/>
      <c r="I826" s="104"/>
    </row>
    <row r="827" spans="2:9">
      <c r="B827" s="104"/>
      <c r="C827" s="104"/>
      <c r="D827" s="104"/>
      <c r="E827" s="104"/>
      <c r="F827" s="104"/>
      <c r="G827" s="104"/>
      <c r="H827" s="104"/>
      <c r="I827" s="104"/>
    </row>
    <row r="828" spans="2:9">
      <c r="B828" s="104"/>
      <c r="C828" s="104"/>
      <c r="D828" s="104"/>
      <c r="E828" s="104"/>
      <c r="F828" s="104"/>
      <c r="G828" s="104"/>
      <c r="H828" s="104"/>
      <c r="I828" s="104"/>
    </row>
    <row r="829" spans="2:9">
      <c r="B829" s="104"/>
      <c r="C829" s="104"/>
      <c r="D829" s="104"/>
      <c r="E829" s="104"/>
      <c r="F829" s="104"/>
      <c r="G829" s="104"/>
      <c r="H829" s="104"/>
      <c r="I829" s="104"/>
    </row>
    <row r="830" spans="2:9">
      <c r="B830" s="104"/>
      <c r="C830" s="104"/>
      <c r="D830" s="104"/>
      <c r="E830" s="104"/>
      <c r="F830" s="104"/>
      <c r="G830" s="104"/>
      <c r="H830" s="104"/>
      <c r="I830" s="104"/>
    </row>
    <row r="831" spans="2:9">
      <c r="B831" s="104"/>
      <c r="C831" s="104"/>
      <c r="D831" s="104"/>
      <c r="E831" s="104"/>
      <c r="F831" s="104"/>
      <c r="G831" s="104"/>
      <c r="H831" s="104"/>
      <c r="I831" s="104"/>
    </row>
    <row r="832" spans="2:9">
      <c r="B832" s="104"/>
      <c r="C832" s="104"/>
      <c r="D832" s="104"/>
      <c r="E832" s="104"/>
      <c r="F832" s="104"/>
      <c r="G832" s="104"/>
      <c r="H832" s="104"/>
      <c r="I832" s="104"/>
    </row>
    <row r="833" spans="2:9">
      <c r="B833" s="104"/>
      <c r="C833" s="104"/>
      <c r="D833" s="104"/>
      <c r="E833" s="104"/>
      <c r="F833" s="104"/>
      <c r="G833" s="104"/>
      <c r="H833" s="104"/>
      <c r="I833" s="104"/>
    </row>
    <row r="834" spans="2:9">
      <c r="B834" s="104"/>
      <c r="C834" s="104"/>
      <c r="D834" s="104"/>
      <c r="E834" s="104"/>
      <c r="F834" s="104"/>
      <c r="G834" s="104"/>
      <c r="H834" s="104"/>
      <c r="I834" s="104"/>
    </row>
    <row r="835" spans="2:9">
      <c r="B835" s="104"/>
      <c r="C835" s="104"/>
      <c r="D835" s="104"/>
      <c r="E835" s="104"/>
      <c r="F835" s="104"/>
      <c r="G835" s="104"/>
      <c r="H835" s="104"/>
      <c r="I835" s="104"/>
    </row>
    <row r="836" spans="2:9">
      <c r="B836" s="104"/>
      <c r="C836" s="104"/>
      <c r="D836" s="104"/>
      <c r="E836" s="104"/>
      <c r="F836" s="104"/>
      <c r="G836" s="104"/>
      <c r="H836" s="104"/>
      <c r="I836" s="104"/>
    </row>
    <row r="837" spans="2:9">
      <c r="B837" s="104"/>
      <c r="C837" s="104"/>
      <c r="D837" s="104"/>
      <c r="E837" s="104"/>
      <c r="F837" s="104"/>
      <c r="G837" s="104"/>
      <c r="H837" s="104"/>
      <c r="I837" s="104"/>
    </row>
    <row r="838" spans="2:9">
      <c r="B838" s="104"/>
      <c r="C838" s="104"/>
      <c r="D838" s="104"/>
      <c r="E838" s="104"/>
      <c r="F838" s="104"/>
      <c r="G838" s="104"/>
      <c r="H838" s="104"/>
      <c r="I838" s="104"/>
    </row>
    <row r="839" spans="2:9">
      <c r="B839" s="104"/>
      <c r="C839" s="104"/>
      <c r="D839" s="104"/>
      <c r="E839" s="104"/>
      <c r="F839" s="104"/>
      <c r="G839" s="104"/>
      <c r="H839" s="104"/>
      <c r="I839" s="104"/>
    </row>
    <row r="840" spans="2:9">
      <c r="B840" s="104"/>
      <c r="C840" s="104"/>
      <c r="D840" s="104"/>
      <c r="E840" s="104"/>
      <c r="F840" s="104"/>
      <c r="G840" s="104"/>
      <c r="H840" s="104"/>
      <c r="I840" s="104"/>
    </row>
    <row r="841" spans="2:9">
      <c r="B841" s="104"/>
      <c r="C841" s="104"/>
      <c r="D841" s="104"/>
      <c r="E841" s="104"/>
      <c r="F841" s="104"/>
      <c r="G841" s="104"/>
      <c r="H841" s="104"/>
      <c r="I841" s="104"/>
    </row>
    <row r="842" spans="2:9">
      <c r="B842" s="104"/>
      <c r="C842" s="104"/>
      <c r="D842" s="104"/>
      <c r="E842" s="104"/>
      <c r="F842" s="104"/>
      <c r="G842" s="104"/>
      <c r="H842" s="104"/>
      <c r="I842" s="104"/>
    </row>
    <row r="843" spans="2:9">
      <c r="B843" s="104"/>
      <c r="C843" s="104"/>
      <c r="D843" s="104"/>
      <c r="E843" s="104"/>
      <c r="F843" s="104"/>
      <c r="G843" s="104"/>
      <c r="H843" s="104"/>
      <c r="I843" s="104"/>
    </row>
    <row r="844" spans="2:9">
      <c r="B844" s="104"/>
      <c r="C844" s="104"/>
      <c r="D844" s="104"/>
      <c r="E844" s="104"/>
      <c r="F844" s="104"/>
      <c r="G844" s="104"/>
      <c r="H844" s="104"/>
      <c r="I844" s="104"/>
    </row>
    <row r="845" spans="2:9">
      <c r="B845" s="104"/>
      <c r="C845" s="104"/>
      <c r="D845" s="104"/>
      <c r="E845" s="104"/>
      <c r="F845" s="104"/>
      <c r="G845" s="104"/>
      <c r="H845" s="104"/>
      <c r="I845" s="104"/>
    </row>
    <row r="846" spans="2:9">
      <c r="B846" s="104"/>
      <c r="C846" s="104"/>
      <c r="D846" s="104"/>
      <c r="E846" s="104"/>
      <c r="F846" s="104"/>
      <c r="G846" s="104"/>
      <c r="H846" s="104"/>
      <c r="I846" s="104"/>
    </row>
    <row r="847" spans="2:9">
      <c r="B847" s="104"/>
      <c r="C847" s="104"/>
      <c r="D847" s="104"/>
      <c r="E847" s="104"/>
      <c r="F847" s="104"/>
      <c r="G847" s="104"/>
      <c r="H847" s="104"/>
      <c r="I847" s="104"/>
    </row>
    <row r="848" spans="2:9">
      <c r="B848" s="104"/>
      <c r="C848" s="104"/>
      <c r="D848" s="104"/>
      <c r="E848" s="104"/>
      <c r="F848" s="104"/>
      <c r="G848" s="104"/>
      <c r="H848" s="104"/>
      <c r="I848" s="104"/>
    </row>
    <row r="849" spans="2:9">
      <c r="B849" s="104"/>
      <c r="C849" s="104"/>
      <c r="D849" s="104"/>
      <c r="E849" s="104"/>
      <c r="F849" s="104"/>
      <c r="G849" s="104"/>
      <c r="H849" s="104"/>
      <c r="I849" s="104"/>
    </row>
    <row r="850" spans="2:9">
      <c r="B850" s="104"/>
      <c r="C850" s="104"/>
      <c r="D850" s="104"/>
      <c r="E850" s="104"/>
      <c r="F850" s="104"/>
      <c r="G850" s="104"/>
      <c r="H850" s="104"/>
      <c r="I850" s="104"/>
    </row>
    <row r="851" spans="2:9">
      <c r="B851" s="104"/>
      <c r="C851" s="104"/>
      <c r="D851" s="104"/>
      <c r="E851" s="104"/>
      <c r="F851" s="104"/>
      <c r="G851" s="104"/>
      <c r="H851" s="104"/>
      <c r="I851" s="104"/>
    </row>
    <row r="852" spans="2:9">
      <c r="B852" s="104"/>
      <c r="C852" s="104"/>
      <c r="D852" s="104"/>
      <c r="E852" s="104"/>
      <c r="F852" s="104"/>
      <c r="G852" s="104"/>
      <c r="H852" s="104"/>
      <c r="I852" s="104"/>
    </row>
    <row r="853" spans="2:9">
      <c r="B853" s="104"/>
      <c r="C853" s="104"/>
      <c r="D853" s="104"/>
      <c r="E853" s="104"/>
      <c r="F853" s="104"/>
      <c r="G853" s="104"/>
      <c r="H853" s="104"/>
      <c r="I853" s="104"/>
    </row>
    <row r="854" spans="2:9">
      <c r="B854" s="104"/>
      <c r="C854" s="104"/>
      <c r="D854" s="104"/>
      <c r="E854" s="104"/>
      <c r="F854" s="104"/>
      <c r="G854" s="104"/>
      <c r="H854" s="104"/>
      <c r="I854" s="104"/>
    </row>
    <row r="855" spans="2:9">
      <c r="B855" s="104"/>
      <c r="C855" s="104"/>
      <c r="D855" s="104"/>
      <c r="E855" s="104"/>
      <c r="F855" s="104"/>
      <c r="G855" s="104"/>
      <c r="H855" s="104"/>
      <c r="I855" s="104"/>
    </row>
    <row r="856" spans="2:9">
      <c r="B856" s="104"/>
      <c r="C856" s="104"/>
      <c r="D856" s="104"/>
      <c r="E856" s="104"/>
      <c r="F856" s="104"/>
      <c r="G856" s="104"/>
      <c r="H856" s="104"/>
      <c r="I856" s="104"/>
    </row>
    <row r="857" spans="2:9">
      <c r="B857" s="104"/>
      <c r="C857" s="104"/>
      <c r="D857" s="104"/>
      <c r="E857" s="104"/>
      <c r="F857" s="104"/>
      <c r="G857" s="104"/>
      <c r="H857" s="104"/>
      <c r="I857" s="104"/>
    </row>
    <row r="858" spans="2:9">
      <c r="B858" s="104"/>
      <c r="C858" s="104"/>
      <c r="D858" s="104"/>
      <c r="E858" s="104"/>
      <c r="F858" s="104"/>
      <c r="G858" s="104"/>
      <c r="H858" s="104"/>
      <c r="I858" s="104"/>
    </row>
    <row r="859" spans="2:9">
      <c r="B859" s="104"/>
      <c r="C859" s="104"/>
      <c r="D859" s="104"/>
      <c r="E859" s="104"/>
      <c r="F859" s="104"/>
      <c r="G859" s="104"/>
      <c r="H859" s="104"/>
      <c r="I859" s="104"/>
    </row>
    <row r="860" spans="2:9">
      <c r="B860" s="104"/>
      <c r="C860" s="104"/>
      <c r="D860" s="104"/>
      <c r="E860" s="104"/>
      <c r="F860" s="104"/>
      <c r="G860" s="104"/>
      <c r="H860" s="104"/>
      <c r="I860" s="104"/>
    </row>
    <row r="861" spans="2:9">
      <c r="B861" s="104"/>
      <c r="C861" s="104"/>
      <c r="D861" s="104"/>
      <c r="E861" s="104"/>
      <c r="F861" s="104"/>
      <c r="G861" s="104"/>
      <c r="H861" s="104"/>
      <c r="I861" s="104"/>
    </row>
    <row r="862" spans="2:9">
      <c r="B862" s="104"/>
      <c r="C862" s="104"/>
      <c r="D862" s="104"/>
      <c r="E862" s="104"/>
      <c r="F862" s="104"/>
      <c r="G862" s="104"/>
      <c r="H862" s="104"/>
      <c r="I862" s="104"/>
    </row>
    <row r="863" spans="2:9">
      <c r="B863" s="104"/>
      <c r="C863" s="104"/>
      <c r="D863" s="104"/>
      <c r="E863" s="104"/>
      <c r="F863" s="104"/>
      <c r="G863" s="104"/>
      <c r="H863" s="104"/>
      <c r="I863" s="104"/>
    </row>
    <row r="864" spans="2:9">
      <c r="B864" s="104"/>
      <c r="C864" s="104"/>
      <c r="D864" s="104"/>
      <c r="E864" s="104"/>
      <c r="F864" s="104"/>
      <c r="G864" s="104"/>
      <c r="H864" s="104"/>
      <c r="I864" s="104"/>
    </row>
    <row r="865" spans="2:9">
      <c r="B865" s="104"/>
      <c r="C865" s="104"/>
      <c r="D865" s="104"/>
      <c r="E865" s="104"/>
      <c r="F865" s="104"/>
      <c r="G865" s="104"/>
      <c r="H865" s="104"/>
      <c r="I865" s="104"/>
    </row>
    <row r="866" spans="2:9">
      <c r="B866" s="104"/>
      <c r="C866" s="104"/>
      <c r="D866" s="104"/>
      <c r="E866" s="104"/>
      <c r="F866" s="104"/>
      <c r="G866" s="104"/>
      <c r="H866" s="104"/>
      <c r="I866" s="104"/>
    </row>
    <row r="867" spans="2:9">
      <c r="B867" s="104"/>
      <c r="C867" s="104"/>
      <c r="D867" s="104"/>
      <c r="E867" s="104"/>
      <c r="F867" s="104"/>
      <c r="G867" s="104"/>
      <c r="H867" s="104"/>
      <c r="I867" s="104"/>
    </row>
    <row r="868" spans="2:9">
      <c r="B868" s="104"/>
      <c r="C868" s="104"/>
      <c r="D868" s="104"/>
      <c r="E868" s="104"/>
      <c r="F868" s="104"/>
      <c r="G868" s="104"/>
      <c r="H868" s="104"/>
      <c r="I868" s="104"/>
    </row>
    <row r="869" spans="2:9">
      <c r="B869" s="104"/>
      <c r="C869" s="104"/>
      <c r="D869" s="104"/>
      <c r="E869" s="104"/>
      <c r="F869" s="104"/>
      <c r="G869" s="104"/>
      <c r="H869" s="104"/>
      <c r="I869" s="104"/>
    </row>
    <row r="870" spans="2:9">
      <c r="B870" s="104"/>
      <c r="C870" s="104"/>
      <c r="D870" s="104"/>
      <c r="E870" s="104"/>
      <c r="F870" s="104"/>
      <c r="G870" s="104"/>
      <c r="H870" s="104"/>
      <c r="I870" s="104"/>
    </row>
    <row r="871" spans="2:9">
      <c r="B871" s="104"/>
      <c r="C871" s="104"/>
      <c r="D871" s="104"/>
      <c r="E871" s="104"/>
      <c r="F871" s="104"/>
      <c r="G871" s="104"/>
      <c r="H871" s="104"/>
      <c r="I871" s="104"/>
    </row>
    <row r="872" spans="2:9">
      <c r="B872" s="104"/>
      <c r="C872" s="104"/>
      <c r="D872" s="104"/>
      <c r="E872" s="104"/>
      <c r="F872" s="104"/>
      <c r="G872" s="104"/>
      <c r="H872" s="104"/>
      <c r="I872" s="104"/>
    </row>
    <row r="873" spans="2:9">
      <c r="B873" s="104"/>
      <c r="C873" s="104"/>
      <c r="D873" s="104"/>
      <c r="E873" s="104"/>
      <c r="F873" s="104"/>
      <c r="G873" s="104"/>
      <c r="H873" s="104"/>
      <c r="I873" s="104"/>
    </row>
    <row r="874" spans="2:9">
      <c r="B874" s="104"/>
      <c r="C874" s="104"/>
      <c r="D874" s="104"/>
      <c r="E874" s="104"/>
      <c r="F874" s="104"/>
      <c r="G874" s="104"/>
      <c r="H874" s="104"/>
      <c r="I874" s="104"/>
    </row>
    <row r="875" spans="2:9">
      <c r="B875" s="104"/>
      <c r="C875" s="104"/>
      <c r="D875" s="104"/>
      <c r="E875" s="104"/>
      <c r="F875" s="104"/>
      <c r="G875" s="104"/>
      <c r="H875" s="104"/>
      <c r="I875" s="104"/>
    </row>
    <row r="876" spans="2:9">
      <c r="B876" s="104"/>
      <c r="C876" s="104"/>
      <c r="D876" s="104"/>
      <c r="E876" s="104"/>
      <c r="F876" s="104"/>
      <c r="G876" s="104"/>
      <c r="H876" s="104"/>
      <c r="I876" s="104"/>
    </row>
    <row r="877" spans="2:9">
      <c r="B877" s="104"/>
      <c r="C877" s="104"/>
      <c r="D877" s="104"/>
      <c r="E877" s="104"/>
      <c r="F877" s="104"/>
      <c r="G877" s="104"/>
      <c r="H877" s="104"/>
      <c r="I877" s="104"/>
    </row>
    <row r="878" spans="2:9">
      <c r="B878" s="104"/>
      <c r="C878" s="104"/>
      <c r="D878" s="104"/>
      <c r="E878" s="104"/>
      <c r="F878" s="104"/>
      <c r="G878" s="104"/>
      <c r="H878" s="104"/>
      <c r="I878" s="104"/>
    </row>
    <row r="879" spans="2:9">
      <c r="B879" s="104"/>
      <c r="C879" s="104"/>
      <c r="D879" s="104"/>
      <c r="E879" s="104"/>
      <c r="F879" s="104"/>
      <c r="G879" s="104"/>
      <c r="H879" s="104"/>
      <c r="I879" s="104"/>
    </row>
    <row r="880" spans="2:9">
      <c r="B880" s="104"/>
      <c r="C880" s="104"/>
      <c r="D880" s="104"/>
      <c r="E880" s="104"/>
      <c r="F880" s="104"/>
      <c r="G880" s="104"/>
      <c r="H880" s="104"/>
      <c r="I880" s="104"/>
    </row>
    <row r="881" spans="2:9">
      <c r="B881" s="104"/>
      <c r="C881" s="104"/>
      <c r="D881" s="104"/>
      <c r="E881" s="104"/>
      <c r="F881" s="104"/>
      <c r="G881" s="104"/>
      <c r="H881" s="104"/>
      <c r="I881" s="104"/>
    </row>
    <row r="882" spans="2:9">
      <c r="B882" s="104"/>
      <c r="C882" s="104"/>
      <c r="D882" s="104"/>
      <c r="E882" s="104"/>
      <c r="F882" s="104"/>
      <c r="G882" s="104"/>
      <c r="H882" s="104"/>
      <c r="I882" s="104"/>
    </row>
    <row r="883" spans="2:9">
      <c r="B883" s="104"/>
      <c r="C883" s="104"/>
      <c r="D883" s="104"/>
      <c r="E883" s="104"/>
      <c r="F883" s="104"/>
      <c r="G883" s="104"/>
      <c r="H883" s="104"/>
      <c r="I883" s="104"/>
    </row>
    <row r="884" spans="2:9">
      <c r="B884" s="104"/>
      <c r="C884" s="104"/>
      <c r="D884" s="104"/>
      <c r="E884" s="104"/>
      <c r="F884" s="104"/>
      <c r="G884" s="104"/>
      <c r="H884" s="104"/>
      <c r="I884" s="104"/>
    </row>
    <row r="885" spans="2:9">
      <c r="B885" s="104"/>
      <c r="C885" s="104"/>
      <c r="D885" s="104"/>
      <c r="E885" s="104"/>
      <c r="F885" s="104"/>
      <c r="G885" s="104"/>
      <c r="H885" s="104"/>
      <c r="I885" s="104"/>
    </row>
    <row r="886" spans="2:9">
      <c r="B886" s="104"/>
      <c r="C886" s="104"/>
      <c r="D886" s="104"/>
      <c r="E886" s="104"/>
      <c r="F886" s="104"/>
      <c r="G886" s="104"/>
      <c r="H886" s="104"/>
      <c r="I886" s="104"/>
    </row>
    <row r="887" spans="2:9">
      <c r="B887" s="104"/>
      <c r="C887" s="104"/>
      <c r="D887" s="104"/>
      <c r="E887" s="104"/>
      <c r="F887" s="104"/>
      <c r="G887" s="104"/>
      <c r="H887" s="104"/>
      <c r="I887" s="104"/>
    </row>
    <row r="888" spans="2:9">
      <c r="B888" s="104"/>
      <c r="C888" s="104"/>
      <c r="D888" s="104"/>
      <c r="E888" s="104"/>
      <c r="F888" s="104"/>
      <c r="G888" s="104"/>
      <c r="H888" s="104"/>
      <c r="I888" s="104"/>
    </row>
    <row r="889" spans="2:9">
      <c r="B889" s="104"/>
      <c r="C889" s="104"/>
      <c r="D889" s="104"/>
      <c r="E889" s="104"/>
      <c r="F889" s="104"/>
      <c r="G889" s="104"/>
      <c r="H889" s="104"/>
      <c r="I889" s="104"/>
    </row>
    <row r="890" spans="2:9">
      <c r="B890" s="104"/>
      <c r="C890" s="104"/>
      <c r="D890" s="104"/>
      <c r="E890" s="104"/>
      <c r="F890" s="104"/>
      <c r="G890" s="104"/>
      <c r="H890" s="104"/>
      <c r="I890" s="104"/>
    </row>
    <row r="891" spans="2:9">
      <c r="B891" s="104"/>
      <c r="C891" s="104"/>
      <c r="D891" s="104"/>
      <c r="E891" s="104"/>
      <c r="F891" s="104"/>
      <c r="G891" s="104"/>
      <c r="H891" s="104"/>
      <c r="I891" s="104"/>
    </row>
    <row r="892" spans="2:9">
      <c r="B892" s="104"/>
      <c r="C892" s="104"/>
      <c r="D892" s="104"/>
      <c r="E892" s="104"/>
      <c r="F892" s="104"/>
      <c r="G892" s="104"/>
      <c r="H892" s="104"/>
      <c r="I892" s="104"/>
    </row>
    <row r="893" spans="2:9">
      <c r="B893" s="104"/>
      <c r="C893" s="104"/>
      <c r="D893" s="104"/>
      <c r="E893" s="104"/>
      <c r="F893" s="104"/>
      <c r="G893" s="104"/>
      <c r="H893" s="104"/>
      <c r="I893" s="104"/>
    </row>
    <row r="894" spans="2:9">
      <c r="B894" s="104"/>
      <c r="C894" s="104"/>
      <c r="D894" s="104"/>
      <c r="E894" s="104"/>
      <c r="F894" s="104"/>
      <c r="G894" s="104"/>
      <c r="H894" s="104"/>
      <c r="I894" s="104"/>
    </row>
    <row r="895" spans="2:9">
      <c r="B895" s="104"/>
      <c r="C895" s="104"/>
      <c r="D895" s="104"/>
      <c r="E895" s="104"/>
      <c r="F895" s="104"/>
      <c r="G895" s="104"/>
      <c r="H895" s="104"/>
      <c r="I895" s="104"/>
    </row>
    <row r="896" spans="2:9">
      <c r="B896" s="104"/>
      <c r="C896" s="104"/>
      <c r="D896" s="104"/>
      <c r="E896" s="104"/>
      <c r="F896" s="104"/>
      <c r="G896" s="104"/>
      <c r="H896" s="104"/>
      <c r="I896" s="104"/>
    </row>
    <row r="897" spans="2:9">
      <c r="B897" s="104"/>
      <c r="C897" s="104"/>
      <c r="D897" s="104"/>
      <c r="E897" s="104"/>
      <c r="F897" s="104"/>
      <c r="G897" s="104"/>
      <c r="H897" s="104"/>
      <c r="I897" s="104"/>
    </row>
    <row r="898" spans="2:9">
      <c r="B898" s="104"/>
      <c r="C898" s="104"/>
      <c r="D898" s="104"/>
      <c r="E898" s="104"/>
      <c r="F898" s="104"/>
      <c r="G898" s="104"/>
      <c r="H898" s="104"/>
      <c r="I898" s="104"/>
    </row>
    <row r="899" spans="2:9">
      <c r="B899" s="104"/>
      <c r="C899" s="104"/>
      <c r="D899" s="104"/>
      <c r="E899" s="104"/>
      <c r="F899" s="104"/>
      <c r="G899" s="104"/>
      <c r="H899" s="104"/>
      <c r="I899" s="104"/>
    </row>
    <row r="900" spans="2:9">
      <c r="B900" s="104"/>
      <c r="C900" s="104"/>
      <c r="D900" s="104"/>
      <c r="E900" s="104"/>
      <c r="F900" s="104"/>
      <c r="G900" s="104"/>
      <c r="H900" s="104"/>
      <c r="I900" s="104"/>
    </row>
    <row r="901" spans="2:9">
      <c r="B901" s="104"/>
      <c r="C901" s="104"/>
      <c r="D901" s="104"/>
      <c r="E901" s="104"/>
      <c r="F901" s="104"/>
      <c r="G901" s="104"/>
      <c r="H901" s="104"/>
      <c r="I901" s="104"/>
    </row>
    <row r="902" spans="2:9">
      <c r="B902" s="104"/>
      <c r="C902" s="104"/>
      <c r="D902" s="104"/>
      <c r="E902" s="104"/>
      <c r="F902" s="104"/>
      <c r="G902" s="104"/>
      <c r="H902" s="104"/>
      <c r="I902" s="104"/>
    </row>
    <row r="903" spans="2:9">
      <c r="B903" s="104"/>
      <c r="C903" s="104"/>
      <c r="D903" s="104"/>
      <c r="E903" s="104"/>
      <c r="F903" s="104"/>
      <c r="G903" s="104"/>
      <c r="H903" s="104"/>
      <c r="I903" s="104"/>
    </row>
    <row r="904" spans="2:9">
      <c r="B904" s="104"/>
      <c r="C904" s="104"/>
      <c r="D904" s="104"/>
      <c r="E904" s="104"/>
      <c r="F904" s="104"/>
      <c r="G904" s="104"/>
      <c r="H904" s="104"/>
      <c r="I904" s="104"/>
    </row>
    <row r="905" spans="2:9">
      <c r="B905" s="104"/>
      <c r="C905" s="104"/>
      <c r="D905" s="104"/>
      <c r="E905" s="104"/>
      <c r="F905" s="104"/>
      <c r="G905" s="104"/>
      <c r="H905" s="104"/>
      <c r="I905" s="104"/>
    </row>
    <row r="906" spans="2:9">
      <c r="B906" s="104"/>
      <c r="C906" s="104"/>
      <c r="D906" s="104"/>
      <c r="E906" s="104"/>
      <c r="F906" s="104"/>
      <c r="G906" s="104"/>
      <c r="H906" s="104"/>
      <c r="I906" s="104"/>
    </row>
    <row r="907" spans="2:9">
      <c r="B907" s="104"/>
      <c r="C907" s="104"/>
      <c r="D907" s="104"/>
      <c r="E907" s="104"/>
      <c r="F907" s="104"/>
      <c r="G907" s="104"/>
      <c r="H907" s="104"/>
      <c r="I907" s="104"/>
    </row>
    <row r="908" spans="2:9">
      <c r="B908" s="104"/>
      <c r="C908" s="104"/>
      <c r="D908" s="104"/>
      <c r="E908" s="104"/>
      <c r="F908" s="104"/>
      <c r="G908" s="104"/>
      <c r="H908" s="104"/>
      <c r="I908" s="104"/>
    </row>
    <row r="909" spans="2:9">
      <c r="B909" s="104"/>
      <c r="C909" s="104"/>
      <c r="D909" s="104"/>
      <c r="E909" s="104"/>
      <c r="F909" s="104"/>
      <c r="G909" s="104"/>
      <c r="H909" s="104"/>
      <c r="I909" s="104"/>
    </row>
    <row r="910" spans="2:9">
      <c r="B910" s="104"/>
      <c r="C910" s="104"/>
      <c r="D910" s="104"/>
      <c r="E910" s="104"/>
      <c r="F910" s="104"/>
      <c r="G910" s="104"/>
      <c r="H910" s="104"/>
      <c r="I910" s="104"/>
    </row>
    <row r="911" spans="2:9">
      <c r="B911" s="104"/>
      <c r="C911" s="104"/>
      <c r="D911" s="104"/>
      <c r="E911" s="104"/>
      <c r="F911" s="104"/>
      <c r="G911" s="104"/>
      <c r="H911" s="104"/>
      <c r="I911" s="104"/>
    </row>
    <row r="912" spans="2:9">
      <c r="B912" s="104"/>
      <c r="C912" s="104"/>
      <c r="D912" s="104"/>
      <c r="E912" s="104"/>
      <c r="F912" s="104"/>
      <c r="G912" s="104"/>
      <c r="H912" s="104"/>
      <c r="I912" s="104"/>
    </row>
    <row r="913" spans="2:9">
      <c r="B913" s="104"/>
      <c r="C913" s="104"/>
      <c r="D913" s="104"/>
      <c r="E913" s="104"/>
      <c r="F913" s="104"/>
      <c r="G913" s="104"/>
      <c r="H913" s="104"/>
      <c r="I913" s="104"/>
    </row>
    <row r="914" spans="2:9">
      <c r="B914" s="104"/>
      <c r="C914" s="104"/>
      <c r="D914" s="104"/>
      <c r="E914" s="104"/>
      <c r="F914" s="104"/>
      <c r="G914" s="104"/>
      <c r="H914" s="104"/>
      <c r="I914" s="104"/>
    </row>
    <row r="915" spans="2:9">
      <c r="B915" s="104"/>
      <c r="C915" s="104"/>
      <c r="D915" s="104"/>
      <c r="E915" s="104"/>
      <c r="F915" s="104"/>
      <c r="G915" s="104"/>
      <c r="H915" s="104"/>
      <c r="I915" s="104"/>
    </row>
    <row r="916" spans="2:9">
      <c r="B916" s="104"/>
      <c r="C916" s="104"/>
      <c r="D916" s="104"/>
      <c r="E916" s="104"/>
      <c r="F916" s="104"/>
      <c r="G916" s="104"/>
      <c r="H916" s="104"/>
      <c r="I916" s="104"/>
    </row>
    <row r="917" spans="2:9">
      <c r="B917" s="104"/>
      <c r="C917" s="104"/>
      <c r="D917" s="104"/>
      <c r="E917" s="104"/>
      <c r="F917" s="104"/>
      <c r="G917" s="104"/>
      <c r="H917" s="104"/>
      <c r="I917" s="104"/>
    </row>
    <row r="918" spans="2:9">
      <c r="B918" s="104"/>
      <c r="C918" s="104"/>
      <c r="D918" s="104"/>
      <c r="E918" s="104"/>
      <c r="F918" s="104"/>
      <c r="G918" s="104"/>
      <c r="H918" s="104"/>
      <c r="I918" s="104"/>
    </row>
    <row r="919" spans="2:9">
      <c r="B919" s="104"/>
      <c r="C919" s="104"/>
      <c r="D919" s="104"/>
      <c r="E919" s="104"/>
      <c r="F919" s="104"/>
      <c r="G919" s="104"/>
      <c r="H919" s="104"/>
      <c r="I919" s="104"/>
    </row>
    <row r="920" spans="2:9">
      <c r="B920" s="104"/>
      <c r="C920" s="104"/>
      <c r="D920" s="104"/>
      <c r="E920" s="104"/>
      <c r="F920" s="104"/>
      <c r="G920" s="104"/>
      <c r="H920" s="104"/>
      <c r="I920" s="104"/>
    </row>
    <row r="921" spans="2:9">
      <c r="B921" s="104"/>
      <c r="C921" s="104"/>
      <c r="D921" s="104"/>
      <c r="E921" s="104"/>
      <c r="F921" s="104"/>
      <c r="G921" s="104"/>
      <c r="H921" s="104"/>
      <c r="I921" s="104"/>
    </row>
    <row r="922" spans="2:9">
      <c r="B922" s="104"/>
      <c r="C922" s="104"/>
      <c r="D922" s="104"/>
      <c r="E922" s="104"/>
      <c r="F922" s="104"/>
      <c r="G922" s="104"/>
      <c r="H922" s="104"/>
      <c r="I922" s="104"/>
    </row>
    <row r="923" spans="2:9">
      <c r="B923" s="104"/>
      <c r="C923" s="104"/>
      <c r="D923" s="104"/>
      <c r="E923" s="104"/>
      <c r="F923" s="104"/>
      <c r="G923" s="104"/>
      <c r="H923" s="104"/>
      <c r="I923" s="104"/>
    </row>
    <row r="924" spans="2:9">
      <c r="B924" s="104"/>
      <c r="C924" s="104"/>
      <c r="D924" s="104"/>
      <c r="E924" s="104"/>
      <c r="F924" s="104"/>
      <c r="G924" s="104"/>
      <c r="H924" s="104"/>
      <c r="I924" s="104"/>
    </row>
    <row r="925" spans="2:9">
      <c r="B925" s="104"/>
      <c r="C925" s="104"/>
      <c r="D925" s="104"/>
      <c r="E925" s="104"/>
      <c r="F925" s="104"/>
      <c r="G925" s="104"/>
      <c r="H925" s="104"/>
      <c r="I925" s="104"/>
    </row>
    <row r="926" spans="2:9">
      <c r="B926" s="104"/>
      <c r="C926" s="104"/>
      <c r="D926" s="104"/>
      <c r="E926" s="104"/>
      <c r="F926" s="104"/>
      <c r="G926" s="104"/>
      <c r="H926" s="104"/>
      <c r="I926" s="104"/>
    </row>
    <row r="927" spans="2:9">
      <c r="B927" s="104"/>
      <c r="C927" s="104"/>
      <c r="D927" s="104"/>
      <c r="E927" s="104"/>
      <c r="F927" s="104"/>
      <c r="G927" s="104"/>
      <c r="H927" s="104"/>
      <c r="I927" s="104"/>
    </row>
    <row r="928" spans="2:9">
      <c r="B928" s="104"/>
      <c r="C928" s="104"/>
      <c r="D928" s="104"/>
      <c r="E928" s="104"/>
      <c r="F928" s="104"/>
      <c r="G928" s="104"/>
      <c r="H928" s="104"/>
      <c r="I928" s="104"/>
    </row>
    <row r="929" spans="2:9">
      <c r="B929" s="104"/>
      <c r="C929" s="104"/>
      <c r="D929" s="104"/>
      <c r="E929" s="104"/>
      <c r="F929" s="104"/>
      <c r="G929" s="104"/>
      <c r="H929" s="104"/>
      <c r="I929" s="104"/>
    </row>
    <row r="930" spans="2:9">
      <c r="B930" s="104"/>
      <c r="C930" s="104"/>
      <c r="D930" s="104"/>
      <c r="E930" s="104"/>
      <c r="F930" s="104"/>
      <c r="G930" s="104"/>
      <c r="H930" s="104"/>
      <c r="I930" s="104"/>
    </row>
    <row r="931" spans="2:9">
      <c r="B931" s="104"/>
      <c r="C931" s="104"/>
      <c r="D931" s="104"/>
      <c r="E931" s="104"/>
      <c r="F931" s="104"/>
      <c r="G931" s="104"/>
      <c r="H931" s="104"/>
      <c r="I931" s="104"/>
    </row>
    <row r="932" spans="2:9">
      <c r="B932" s="104"/>
      <c r="C932" s="104"/>
      <c r="D932" s="104"/>
      <c r="E932" s="104"/>
      <c r="F932" s="104"/>
      <c r="G932" s="104"/>
      <c r="H932" s="104"/>
      <c r="I932" s="104"/>
    </row>
    <row r="933" spans="2:9">
      <c r="B933" s="104"/>
      <c r="C933" s="104"/>
      <c r="D933" s="104"/>
      <c r="E933" s="104"/>
      <c r="F933" s="104"/>
      <c r="G933" s="104"/>
      <c r="H933" s="104"/>
      <c r="I933" s="104"/>
    </row>
    <row r="934" spans="2:9">
      <c r="B934" s="104"/>
      <c r="C934" s="104"/>
      <c r="D934" s="104"/>
      <c r="E934" s="104"/>
      <c r="F934" s="104"/>
      <c r="G934" s="104"/>
      <c r="H934" s="104"/>
      <c r="I934" s="104"/>
    </row>
    <row r="935" spans="2:9">
      <c r="B935" s="104"/>
      <c r="C935" s="104"/>
      <c r="D935" s="104"/>
      <c r="E935" s="104"/>
      <c r="F935" s="104"/>
      <c r="G935" s="104"/>
      <c r="H935" s="104"/>
      <c r="I935" s="104"/>
    </row>
    <row r="936" spans="2:9">
      <c r="B936" s="104"/>
      <c r="C936" s="104"/>
      <c r="D936" s="104"/>
      <c r="E936" s="104"/>
      <c r="F936" s="104"/>
      <c r="G936" s="104"/>
      <c r="H936" s="104"/>
      <c r="I936" s="104"/>
    </row>
    <row r="937" spans="2:9">
      <c r="B937" s="104"/>
      <c r="C937" s="104"/>
      <c r="D937" s="104"/>
      <c r="E937" s="104"/>
      <c r="F937" s="104"/>
      <c r="G937" s="104"/>
      <c r="H937" s="104"/>
      <c r="I937" s="104"/>
    </row>
    <row r="938" spans="2:9">
      <c r="B938" s="104"/>
      <c r="C938" s="104"/>
      <c r="D938" s="104"/>
      <c r="E938" s="104"/>
      <c r="F938" s="104"/>
      <c r="G938" s="104"/>
      <c r="H938" s="104"/>
      <c r="I938" s="104"/>
    </row>
    <row r="939" spans="2:9">
      <c r="B939" s="104"/>
      <c r="C939" s="104"/>
      <c r="D939" s="104"/>
      <c r="E939" s="104"/>
      <c r="F939" s="104"/>
      <c r="G939" s="104"/>
      <c r="H939" s="104"/>
      <c r="I939" s="104"/>
    </row>
    <row r="940" spans="2:9">
      <c r="B940" s="104"/>
      <c r="C940" s="104"/>
      <c r="D940" s="104"/>
      <c r="E940" s="104"/>
      <c r="F940" s="104"/>
      <c r="G940" s="104"/>
      <c r="H940" s="104"/>
      <c r="I940" s="104"/>
    </row>
    <row r="941" spans="2:9">
      <c r="B941" s="104"/>
      <c r="C941" s="104"/>
      <c r="D941" s="104"/>
      <c r="E941" s="104"/>
      <c r="F941" s="104"/>
      <c r="G941" s="104"/>
      <c r="H941" s="104"/>
      <c r="I941" s="104"/>
    </row>
    <row r="942" spans="2:9">
      <c r="B942" s="104"/>
      <c r="C942" s="104"/>
      <c r="D942" s="104"/>
      <c r="E942" s="104"/>
      <c r="F942" s="104"/>
      <c r="G942" s="104"/>
      <c r="H942" s="104"/>
      <c r="I942" s="104"/>
    </row>
    <row r="943" spans="2:9">
      <c r="B943" s="104"/>
      <c r="C943" s="104"/>
      <c r="D943" s="104"/>
      <c r="E943" s="104"/>
      <c r="F943" s="104"/>
      <c r="G943" s="104"/>
      <c r="H943" s="104"/>
      <c r="I943" s="104"/>
    </row>
    <row r="944" spans="2:9">
      <c r="B944" s="104"/>
      <c r="C944" s="104"/>
      <c r="D944" s="104"/>
      <c r="E944" s="104"/>
      <c r="F944" s="104"/>
      <c r="G944" s="104"/>
      <c r="H944" s="104"/>
      <c r="I944" s="104"/>
    </row>
    <row r="945" spans="2:9">
      <c r="B945" s="104"/>
      <c r="C945" s="104"/>
      <c r="D945" s="104"/>
      <c r="E945" s="104"/>
      <c r="F945" s="104"/>
      <c r="G945" s="104"/>
      <c r="H945" s="104"/>
      <c r="I945" s="104"/>
    </row>
    <row r="946" spans="2:9">
      <c r="B946" s="104"/>
      <c r="C946" s="104"/>
      <c r="D946" s="104"/>
      <c r="E946" s="104"/>
      <c r="F946" s="104"/>
      <c r="G946" s="104"/>
      <c r="H946" s="104"/>
      <c r="I946" s="104"/>
    </row>
    <row r="947" spans="2:9">
      <c r="B947" s="104"/>
      <c r="C947" s="104"/>
      <c r="D947" s="104"/>
      <c r="E947" s="104"/>
      <c r="F947" s="104"/>
      <c r="G947" s="104"/>
      <c r="H947" s="104"/>
      <c r="I947" s="104"/>
    </row>
    <row r="948" spans="2:9">
      <c r="B948" s="104"/>
      <c r="C948" s="104"/>
      <c r="D948" s="104"/>
      <c r="E948" s="104"/>
      <c r="F948" s="104"/>
      <c r="G948" s="104"/>
      <c r="H948" s="104"/>
      <c r="I948" s="104"/>
    </row>
    <row r="949" spans="2:9">
      <c r="B949" s="104"/>
      <c r="C949" s="104"/>
      <c r="D949" s="104"/>
      <c r="E949" s="104"/>
      <c r="F949" s="104"/>
      <c r="G949" s="104"/>
      <c r="H949" s="104"/>
      <c r="I949" s="104"/>
    </row>
    <row r="950" spans="2:9">
      <c r="B950" s="104"/>
      <c r="C950" s="104"/>
      <c r="D950" s="104"/>
      <c r="E950" s="104"/>
      <c r="F950" s="104"/>
      <c r="G950" s="104"/>
      <c r="H950" s="104"/>
      <c r="I950" s="104"/>
    </row>
    <row r="951" spans="2:9">
      <c r="B951" s="104"/>
      <c r="C951" s="104"/>
      <c r="D951" s="104"/>
      <c r="E951" s="104"/>
      <c r="F951" s="104"/>
      <c r="G951" s="104"/>
      <c r="H951" s="104"/>
      <c r="I951" s="104"/>
    </row>
    <row r="952" spans="2:9">
      <c r="B952" s="104"/>
      <c r="C952" s="104"/>
      <c r="D952" s="104"/>
      <c r="E952" s="104"/>
      <c r="F952" s="104"/>
      <c r="G952" s="104"/>
      <c r="H952" s="104"/>
      <c r="I952" s="104"/>
    </row>
    <row r="953" spans="2:9">
      <c r="B953" s="104"/>
      <c r="C953" s="104"/>
      <c r="D953" s="104"/>
      <c r="E953" s="104"/>
      <c r="F953" s="104"/>
      <c r="G953" s="104"/>
      <c r="H953" s="104"/>
      <c r="I953" s="104"/>
    </row>
    <row r="954" spans="2:9">
      <c r="B954" s="104"/>
      <c r="C954" s="104"/>
      <c r="D954" s="104"/>
      <c r="E954" s="104"/>
      <c r="F954" s="104"/>
      <c r="G954" s="104"/>
      <c r="H954" s="104"/>
      <c r="I954" s="104"/>
    </row>
    <row r="955" spans="2:9">
      <c r="B955" s="104"/>
      <c r="C955" s="104"/>
      <c r="D955" s="104"/>
      <c r="E955" s="104"/>
      <c r="F955" s="104"/>
      <c r="G955" s="104"/>
      <c r="H955" s="104"/>
      <c r="I955" s="104"/>
    </row>
    <row r="956" spans="2:9">
      <c r="B956" s="104"/>
      <c r="C956" s="104"/>
      <c r="D956" s="104"/>
      <c r="E956" s="104"/>
      <c r="F956" s="104"/>
      <c r="G956" s="104"/>
      <c r="H956" s="104"/>
      <c r="I956" s="104"/>
    </row>
    <row r="957" spans="2:9">
      <c r="B957" s="104"/>
      <c r="C957" s="104"/>
      <c r="D957" s="104"/>
      <c r="E957" s="104"/>
      <c r="F957" s="104"/>
      <c r="G957" s="104"/>
      <c r="H957" s="104"/>
      <c r="I957" s="104"/>
    </row>
    <row r="958" spans="2:9">
      <c r="B958" s="104"/>
      <c r="C958" s="104"/>
      <c r="D958" s="104"/>
      <c r="E958" s="104"/>
      <c r="F958" s="104"/>
      <c r="G958" s="104"/>
      <c r="H958" s="104"/>
      <c r="I958" s="104"/>
    </row>
    <row r="959" spans="2:9">
      <c r="B959" s="104"/>
      <c r="C959" s="104"/>
      <c r="D959" s="104"/>
      <c r="E959" s="104"/>
      <c r="F959" s="104"/>
      <c r="G959" s="104"/>
      <c r="H959" s="104"/>
      <c r="I959" s="104"/>
    </row>
    <row r="960" spans="2:9">
      <c r="B960" s="104"/>
      <c r="C960" s="104"/>
      <c r="D960" s="104"/>
      <c r="E960" s="104"/>
      <c r="F960" s="104"/>
      <c r="G960" s="104"/>
      <c r="H960" s="104"/>
      <c r="I960" s="104"/>
    </row>
    <row r="961" spans="2:9">
      <c r="B961" s="104"/>
      <c r="C961" s="104"/>
      <c r="D961" s="104"/>
      <c r="E961" s="104"/>
      <c r="F961" s="104"/>
      <c r="G961" s="104"/>
      <c r="H961" s="104"/>
      <c r="I961" s="104"/>
    </row>
    <row r="962" spans="2:9">
      <c r="B962" s="104"/>
      <c r="C962" s="104"/>
      <c r="D962" s="104"/>
      <c r="E962" s="104"/>
      <c r="F962" s="104"/>
      <c r="G962" s="104"/>
      <c r="H962" s="104"/>
      <c r="I962" s="104"/>
    </row>
    <row r="963" spans="2:9">
      <c r="B963" s="104"/>
      <c r="C963" s="104"/>
      <c r="D963" s="104"/>
      <c r="E963" s="104"/>
      <c r="F963" s="104"/>
      <c r="G963" s="104"/>
      <c r="H963" s="104"/>
      <c r="I963" s="104"/>
    </row>
    <row r="964" spans="2:9">
      <c r="B964" s="104"/>
      <c r="C964" s="104"/>
      <c r="D964" s="104"/>
      <c r="E964" s="104"/>
      <c r="F964" s="104"/>
      <c r="G964" s="104"/>
      <c r="H964" s="104"/>
      <c r="I964" s="104"/>
    </row>
    <row r="965" spans="2:9">
      <c r="B965" s="104"/>
      <c r="C965" s="104"/>
      <c r="D965" s="104"/>
      <c r="E965" s="104"/>
      <c r="F965" s="104"/>
      <c r="G965" s="104"/>
      <c r="H965" s="104"/>
      <c r="I965" s="104"/>
    </row>
    <row r="966" spans="2:9">
      <c r="B966" s="104"/>
      <c r="C966" s="104"/>
      <c r="D966" s="104"/>
      <c r="E966" s="104"/>
      <c r="F966" s="104"/>
      <c r="G966" s="104"/>
      <c r="H966" s="104"/>
      <c r="I966" s="104"/>
    </row>
    <row r="967" spans="2:9">
      <c r="B967" s="104"/>
      <c r="C967" s="104"/>
      <c r="D967" s="104"/>
      <c r="E967" s="104"/>
      <c r="F967" s="104"/>
      <c r="G967" s="104"/>
      <c r="H967" s="104"/>
      <c r="I967" s="104"/>
    </row>
    <row r="968" spans="2:9">
      <c r="B968" s="104"/>
      <c r="C968" s="104"/>
      <c r="D968" s="104"/>
      <c r="E968" s="104"/>
      <c r="F968" s="104"/>
      <c r="G968" s="104"/>
      <c r="H968" s="104"/>
      <c r="I968" s="104"/>
    </row>
    <row r="969" spans="2:9">
      <c r="B969" s="104"/>
      <c r="C969" s="104"/>
      <c r="D969" s="104"/>
      <c r="E969" s="104"/>
      <c r="F969" s="104"/>
      <c r="G969" s="104"/>
      <c r="H969" s="104"/>
      <c r="I969" s="104"/>
    </row>
    <row r="970" spans="2:9">
      <c r="B970" s="104"/>
      <c r="C970" s="104"/>
      <c r="D970" s="104"/>
      <c r="E970" s="104"/>
      <c r="F970" s="104"/>
      <c r="G970" s="104"/>
      <c r="H970" s="104"/>
      <c r="I970" s="104"/>
    </row>
    <row r="971" spans="2:9">
      <c r="B971" s="104"/>
      <c r="C971" s="104"/>
      <c r="D971" s="104"/>
      <c r="E971" s="104"/>
      <c r="F971" s="104"/>
      <c r="G971" s="104"/>
      <c r="H971" s="104"/>
      <c r="I971" s="104"/>
    </row>
    <row r="972" spans="2:9">
      <c r="B972" s="104"/>
      <c r="C972" s="104"/>
      <c r="D972" s="104"/>
      <c r="E972" s="104"/>
      <c r="F972" s="104"/>
      <c r="G972" s="104"/>
      <c r="H972" s="104"/>
      <c r="I972" s="104"/>
    </row>
    <row r="973" spans="2:9">
      <c r="B973" s="104"/>
      <c r="C973" s="104"/>
      <c r="D973" s="104"/>
      <c r="E973" s="104"/>
      <c r="F973" s="104"/>
      <c r="G973" s="104"/>
      <c r="H973" s="104"/>
      <c r="I973" s="104"/>
    </row>
    <row r="974" spans="2:9">
      <c r="B974" s="104"/>
      <c r="C974" s="104"/>
      <c r="D974" s="104"/>
      <c r="E974" s="104"/>
      <c r="F974" s="104"/>
      <c r="G974" s="104"/>
      <c r="H974" s="104"/>
      <c r="I974" s="104"/>
    </row>
    <row r="975" spans="2:9">
      <c r="B975" s="104"/>
      <c r="C975" s="104"/>
      <c r="D975" s="104"/>
      <c r="E975" s="104"/>
      <c r="F975" s="104"/>
      <c r="G975" s="104"/>
      <c r="H975" s="104"/>
      <c r="I975" s="104"/>
    </row>
    <row r="976" spans="2:9">
      <c r="B976" s="104"/>
      <c r="C976" s="104"/>
      <c r="D976" s="104"/>
      <c r="E976" s="104"/>
      <c r="F976" s="104"/>
      <c r="G976" s="104"/>
      <c r="H976" s="104"/>
      <c r="I976" s="104"/>
    </row>
    <row r="977" spans="2:9">
      <c r="B977" s="104"/>
      <c r="C977" s="104"/>
      <c r="D977" s="104"/>
      <c r="E977" s="104"/>
      <c r="F977" s="104"/>
      <c r="G977" s="104"/>
      <c r="H977" s="104"/>
      <c r="I977" s="104"/>
    </row>
    <row r="978" spans="2:9">
      <c r="B978" s="104"/>
      <c r="C978" s="104"/>
      <c r="D978" s="104"/>
      <c r="E978" s="104"/>
      <c r="F978" s="104"/>
      <c r="G978" s="104"/>
      <c r="H978" s="104"/>
      <c r="I978" s="104"/>
    </row>
    <row r="979" spans="2:9">
      <c r="B979" s="104"/>
      <c r="C979" s="104"/>
      <c r="D979" s="104"/>
      <c r="E979" s="104"/>
      <c r="F979" s="104"/>
      <c r="G979" s="104"/>
      <c r="H979" s="104"/>
      <c r="I979" s="104"/>
    </row>
    <row r="980" spans="2:9">
      <c r="B980" s="104"/>
      <c r="C980" s="104"/>
      <c r="D980" s="104"/>
      <c r="E980" s="104"/>
      <c r="F980" s="104"/>
      <c r="G980" s="104"/>
      <c r="H980" s="104"/>
      <c r="I980" s="104"/>
    </row>
    <row r="981" spans="2:9">
      <c r="B981" s="104"/>
      <c r="C981" s="104"/>
      <c r="D981" s="104"/>
      <c r="E981" s="104"/>
      <c r="F981" s="104"/>
      <c r="G981" s="104"/>
      <c r="H981" s="104"/>
      <c r="I981" s="104"/>
    </row>
    <row r="982" spans="2:9">
      <c r="B982" s="104"/>
      <c r="C982" s="104"/>
      <c r="D982" s="104"/>
      <c r="E982" s="104"/>
      <c r="F982" s="104"/>
      <c r="G982" s="104"/>
      <c r="H982" s="104"/>
      <c r="I982" s="104"/>
    </row>
    <row r="983" spans="2:9">
      <c r="B983" s="104"/>
      <c r="C983" s="104"/>
      <c r="D983" s="104"/>
      <c r="E983" s="104"/>
      <c r="F983" s="104"/>
      <c r="G983" s="104"/>
      <c r="H983" s="104"/>
      <c r="I983" s="104"/>
    </row>
    <row r="984" spans="2:9">
      <c r="B984" s="104"/>
      <c r="C984" s="104"/>
      <c r="D984" s="104"/>
      <c r="E984" s="104"/>
      <c r="F984" s="104"/>
      <c r="G984" s="104"/>
      <c r="H984" s="104"/>
      <c r="I984" s="104"/>
    </row>
    <row r="985" spans="2:9">
      <c r="B985" s="104"/>
      <c r="C985" s="104"/>
      <c r="D985" s="104"/>
      <c r="E985" s="104"/>
      <c r="F985" s="104"/>
      <c r="G985" s="104"/>
      <c r="H985" s="104"/>
      <c r="I985" s="104"/>
    </row>
    <row r="986" spans="2:9">
      <c r="B986" s="104"/>
      <c r="C986" s="104"/>
      <c r="D986" s="104"/>
      <c r="E986" s="104"/>
      <c r="F986" s="104"/>
      <c r="G986" s="104"/>
      <c r="H986" s="104"/>
      <c r="I986" s="104"/>
    </row>
    <row r="987" spans="2:9">
      <c r="B987" s="104"/>
      <c r="C987" s="104"/>
      <c r="D987" s="104"/>
      <c r="E987" s="104"/>
      <c r="F987" s="104"/>
      <c r="G987" s="104"/>
      <c r="H987" s="104"/>
      <c r="I987" s="104"/>
    </row>
    <row r="988" spans="2:9">
      <c r="B988" s="104"/>
      <c r="C988" s="104"/>
      <c r="D988" s="104"/>
      <c r="E988" s="104"/>
      <c r="F988" s="104"/>
      <c r="G988" s="104"/>
      <c r="H988" s="104"/>
      <c r="I988" s="104"/>
    </row>
    <row r="989" spans="2:9">
      <c r="B989" s="104"/>
      <c r="C989" s="104"/>
      <c r="D989" s="104"/>
      <c r="E989" s="104"/>
      <c r="F989" s="104"/>
      <c r="G989" s="104"/>
      <c r="H989" s="104"/>
      <c r="I989" s="104"/>
    </row>
    <row r="990" spans="2:9">
      <c r="B990" s="104"/>
      <c r="C990" s="104"/>
      <c r="D990" s="104"/>
      <c r="E990" s="104"/>
      <c r="F990" s="104"/>
      <c r="G990" s="104"/>
      <c r="H990" s="104"/>
      <c r="I990" s="104"/>
    </row>
    <row r="991" spans="2:9">
      <c r="B991" s="104"/>
      <c r="C991" s="104"/>
      <c r="D991" s="104"/>
      <c r="E991" s="104"/>
      <c r="F991" s="104"/>
      <c r="G991" s="104"/>
      <c r="H991" s="104"/>
      <c r="I991" s="104"/>
    </row>
    <row r="992" spans="2:9">
      <c r="B992" s="104"/>
      <c r="C992" s="104"/>
      <c r="D992" s="104"/>
      <c r="E992" s="104"/>
      <c r="F992" s="104"/>
      <c r="G992" s="104"/>
      <c r="H992" s="104"/>
      <c r="I992" s="104"/>
    </row>
    <row r="993" spans="2:9">
      <c r="B993" s="104"/>
      <c r="C993" s="104"/>
      <c r="D993" s="104"/>
      <c r="E993" s="104"/>
      <c r="F993" s="104"/>
      <c r="G993" s="104"/>
      <c r="H993" s="104"/>
      <c r="I993" s="104"/>
    </row>
    <row r="994" spans="2:9">
      <c r="B994" s="104"/>
      <c r="C994" s="104"/>
      <c r="D994" s="104"/>
      <c r="E994" s="104"/>
      <c r="F994" s="104"/>
      <c r="G994" s="104"/>
      <c r="H994" s="104"/>
      <c r="I994" s="104"/>
    </row>
    <row r="995" spans="2:9">
      <c r="B995" s="104"/>
      <c r="C995" s="104"/>
      <c r="D995" s="104"/>
      <c r="E995" s="104"/>
      <c r="F995" s="104"/>
      <c r="G995" s="104"/>
      <c r="H995" s="104"/>
      <c r="I995" s="104"/>
    </row>
    <row r="996" spans="2:9">
      <c r="B996" s="104"/>
      <c r="C996" s="104"/>
      <c r="D996" s="104"/>
      <c r="E996" s="104"/>
      <c r="F996" s="104"/>
      <c r="G996" s="104"/>
      <c r="H996" s="104"/>
      <c r="I996" s="104"/>
    </row>
    <row r="997" spans="2:9">
      <c r="B997" s="104"/>
      <c r="C997" s="104"/>
      <c r="D997" s="104"/>
      <c r="E997" s="104"/>
      <c r="F997" s="104"/>
      <c r="G997" s="104"/>
      <c r="H997" s="104"/>
      <c r="I997" s="104"/>
    </row>
    <row r="998" spans="2:9">
      <c r="B998" s="104"/>
      <c r="C998" s="104"/>
      <c r="D998" s="104"/>
      <c r="E998" s="104"/>
      <c r="F998" s="104"/>
      <c r="G998" s="104"/>
      <c r="H998" s="104"/>
      <c r="I998" s="104"/>
    </row>
    <row r="999" spans="2:9">
      <c r="B999" s="104"/>
      <c r="C999" s="104"/>
      <c r="D999" s="104"/>
      <c r="E999" s="104"/>
      <c r="F999" s="104"/>
      <c r="G999" s="104"/>
      <c r="H999" s="104"/>
      <c r="I999" s="104"/>
    </row>
    <row r="1000" spans="2:9">
      <c r="B1000" s="104"/>
      <c r="C1000" s="104"/>
      <c r="D1000" s="104"/>
      <c r="E1000" s="104"/>
      <c r="F1000" s="104"/>
      <c r="G1000" s="104"/>
      <c r="H1000" s="104"/>
      <c r="I1000" s="104"/>
    </row>
    <row r="1001" spans="2:9">
      <c r="B1001" s="104"/>
      <c r="C1001" s="104"/>
      <c r="D1001" s="104"/>
      <c r="E1001" s="104"/>
      <c r="F1001" s="104"/>
      <c r="G1001" s="104"/>
      <c r="H1001" s="104"/>
      <c r="I1001" s="104"/>
    </row>
    <row r="1002" spans="2:9">
      <c r="B1002" s="104"/>
      <c r="C1002" s="104"/>
      <c r="D1002" s="104"/>
      <c r="E1002" s="104"/>
      <c r="F1002" s="104"/>
      <c r="G1002" s="104"/>
      <c r="H1002" s="104"/>
      <c r="I1002" s="104"/>
    </row>
    <row r="1003" spans="2:9">
      <c r="B1003" s="104"/>
      <c r="C1003" s="104"/>
      <c r="D1003" s="104"/>
      <c r="E1003" s="104"/>
      <c r="F1003" s="104"/>
      <c r="G1003" s="104"/>
      <c r="H1003" s="104"/>
      <c r="I1003" s="104"/>
    </row>
    <row r="1004" spans="2:9">
      <c r="B1004" s="104"/>
      <c r="C1004" s="104"/>
      <c r="D1004" s="104"/>
      <c r="E1004" s="104"/>
      <c r="F1004" s="104"/>
      <c r="G1004" s="104"/>
      <c r="H1004" s="104"/>
      <c r="I1004" s="104"/>
    </row>
    <row r="1005" spans="2:9">
      <c r="B1005" s="104"/>
      <c r="C1005" s="104"/>
      <c r="D1005" s="104"/>
      <c r="E1005" s="104"/>
      <c r="F1005" s="104"/>
      <c r="G1005" s="104"/>
      <c r="H1005" s="104"/>
      <c r="I1005" s="104"/>
    </row>
    <row r="1006" spans="2:9">
      <c r="B1006" s="104"/>
      <c r="C1006" s="104"/>
      <c r="D1006" s="104"/>
      <c r="E1006" s="104"/>
      <c r="F1006" s="104"/>
      <c r="G1006" s="104"/>
      <c r="H1006" s="104"/>
      <c r="I1006" s="104"/>
    </row>
    <row r="1007" spans="2:9">
      <c r="B1007" s="104"/>
      <c r="C1007" s="104"/>
      <c r="D1007" s="104"/>
      <c r="E1007" s="104"/>
      <c r="F1007" s="104"/>
      <c r="G1007" s="104"/>
      <c r="H1007" s="104"/>
      <c r="I1007" s="104"/>
    </row>
    <row r="1008" spans="2:9">
      <c r="B1008" s="104"/>
      <c r="C1008" s="104"/>
      <c r="D1008" s="104"/>
      <c r="E1008" s="104"/>
      <c r="F1008" s="104"/>
      <c r="G1008" s="104"/>
      <c r="H1008" s="104"/>
      <c r="I1008" s="104"/>
    </row>
    <row r="1009" spans="2:9">
      <c r="B1009" s="104"/>
      <c r="C1009" s="104"/>
      <c r="D1009" s="104"/>
      <c r="E1009" s="104"/>
      <c r="F1009" s="104"/>
      <c r="G1009" s="104"/>
      <c r="H1009" s="104"/>
      <c r="I1009" s="104"/>
    </row>
    <row r="1010" spans="2:9">
      <c r="B1010" s="104"/>
      <c r="C1010" s="104"/>
      <c r="D1010" s="104"/>
      <c r="E1010" s="104"/>
      <c r="F1010" s="104"/>
      <c r="G1010" s="104"/>
      <c r="H1010" s="104"/>
      <c r="I1010" s="104"/>
    </row>
    <row r="1011" spans="2:9">
      <c r="B1011" s="104"/>
      <c r="C1011" s="104"/>
      <c r="D1011" s="104"/>
      <c r="E1011" s="104"/>
      <c r="F1011" s="104"/>
      <c r="G1011" s="104"/>
      <c r="H1011" s="104"/>
      <c r="I1011" s="104"/>
    </row>
    <row r="1012" spans="2:9">
      <c r="B1012" s="104"/>
      <c r="C1012" s="104"/>
      <c r="D1012" s="104"/>
      <c r="E1012" s="104"/>
      <c r="F1012" s="104"/>
      <c r="G1012" s="104"/>
      <c r="H1012" s="104"/>
      <c r="I1012" s="104"/>
    </row>
    <row r="1013" spans="2:9">
      <c r="B1013" s="104"/>
      <c r="C1013" s="104"/>
      <c r="D1013" s="104"/>
      <c r="E1013" s="104"/>
      <c r="F1013" s="104"/>
      <c r="G1013" s="104"/>
      <c r="H1013" s="104"/>
      <c r="I1013" s="104"/>
    </row>
    <row r="1014" spans="2:9">
      <c r="B1014" s="104"/>
      <c r="C1014" s="104"/>
      <c r="D1014" s="104"/>
      <c r="E1014" s="104"/>
      <c r="F1014" s="104"/>
      <c r="G1014" s="104"/>
      <c r="H1014" s="104"/>
      <c r="I1014" s="104"/>
    </row>
    <row r="1015" spans="2:9">
      <c r="B1015" s="104"/>
      <c r="C1015" s="104"/>
      <c r="D1015" s="104"/>
      <c r="E1015" s="104"/>
      <c r="F1015" s="104"/>
      <c r="G1015" s="104"/>
      <c r="H1015" s="104"/>
      <c r="I1015" s="104"/>
    </row>
    <row r="1016" spans="2:9">
      <c r="B1016" s="104"/>
      <c r="C1016" s="104"/>
      <c r="D1016" s="104"/>
      <c r="E1016" s="104"/>
      <c r="F1016" s="104"/>
      <c r="G1016" s="104"/>
      <c r="H1016" s="104"/>
      <c r="I1016" s="104"/>
    </row>
    <row r="1017" spans="2:9">
      <c r="B1017" s="104"/>
      <c r="C1017" s="104"/>
      <c r="D1017" s="104"/>
      <c r="E1017" s="104"/>
      <c r="F1017" s="104"/>
      <c r="G1017" s="104"/>
      <c r="H1017" s="104"/>
      <c r="I1017" s="104"/>
    </row>
    <row r="1018" spans="2:9">
      <c r="B1018" s="104"/>
      <c r="C1018" s="104"/>
      <c r="D1018" s="104"/>
      <c r="E1018" s="104"/>
      <c r="F1018" s="104"/>
      <c r="G1018" s="104"/>
      <c r="H1018" s="104"/>
      <c r="I1018" s="104"/>
    </row>
    <row r="1019" spans="2:9">
      <c r="B1019" s="104"/>
      <c r="C1019" s="104"/>
      <c r="D1019" s="104"/>
      <c r="E1019" s="104"/>
      <c r="F1019" s="104"/>
      <c r="G1019" s="104"/>
      <c r="H1019" s="104"/>
      <c r="I1019" s="104"/>
    </row>
    <row r="1020" spans="2:9">
      <c r="B1020" s="104"/>
      <c r="C1020" s="104"/>
      <c r="D1020" s="104"/>
      <c r="E1020" s="104"/>
      <c r="F1020" s="104"/>
      <c r="G1020" s="104"/>
      <c r="H1020" s="104"/>
      <c r="I1020" s="104"/>
    </row>
    <row r="1021" spans="2:9">
      <c r="B1021" s="104"/>
      <c r="C1021" s="104"/>
      <c r="D1021" s="104"/>
      <c r="E1021" s="104"/>
      <c r="F1021" s="104"/>
      <c r="G1021" s="104"/>
      <c r="H1021" s="104"/>
      <c r="I1021" s="104"/>
    </row>
    <row r="1022" spans="2:9">
      <c r="B1022" s="104"/>
      <c r="C1022" s="104"/>
      <c r="D1022" s="104"/>
      <c r="E1022" s="104"/>
      <c r="F1022" s="104"/>
      <c r="G1022" s="104"/>
      <c r="H1022" s="104"/>
      <c r="I1022" s="104"/>
    </row>
    <row r="1023" spans="2:9">
      <c r="B1023" s="104"/>
      <c r="C1023" s="104"/>
      <c r="D1023" s="104"/>
      <c r="E1023" s="104"/>
      <c r="F1023" s="104"/>
      <c r="G1023" s="104"/>
      <c r="H1023" s="104"/>
      <c r="I1023" s="104"/>
    </row>
    <row r="1024" spans="2:9">
      <c r="B1024" s="104"/>
      <c r="C1024" s="104"/>
      <c r="D1024" s="104"/>
      <c r="E1024" s="104"/>
      <c r="F1024" s="104"/>
      <c r="G1024" s="104"/>
      <c r="H1024" s="104"/>
      <c r="I1024" s="104"/>
    </row>
    <row r="1025" spans="2:9">
      <c r="B1025" s="104"/>
      <c r="C1025" s="104"/>
      <c r="D1025" s="104"/>
      <c r="E1025" s="104"/>
      <c r="F1025" s="104"/>
      <c r="G1025" s="104"/>
      <c r="H1025" s="104"/>
      <c r="I1025" s="104"/>
    </row>
    <row r="1026" spans="2:9">
      <c r="B1026" s="104"/>
      <c r="C1026" s="104"/>
      <c r="D1026" s="104"/>
      <c r="E1026" s="104"/>
      <c r="F1026" s="104"/>
      <c r="G1026" s="104"/>
      <c r="H1026" s="104"/>
      <c r="I1026" s="104"/>
    </row>
    <row r="1027" spans="2:9">
      <c r="B1027" s="104"/>
      <c r="C1027" s="104"/>
      <c r="D1027" s="104"/>
      <c r="E1027" s="104"/>
      <c r="F1027" s="104"/>
      <c r="G1027" s="104"/>
      <c r="H1027" s="104"/>
      <c r="I1027" s="104"/>
    </row>
    <row r="1028" spans="2:9">
      <c r="B1028" s="104"/>
      <c r="C1028" s="104"/>
      <c r="D1028" s="104"/>
      <c r="E1028" s="104"/>
      <c r="F1028" s="104"/>
      <c r="G1028" s="104"/>
      <c r="H1028" s="104"/>
      <c r="I1028" s="104"/>
    </row>
    <row r="1029" spans="2:9">
      <c r="B1029" s="104"/>
      <c r="C1029" s="104"/>
      <c r="D1029" s="104"/>
      <c r="E1029" s="104"/>
      <c r="F1029" s="104"/>
      <c r="G1029" s="104"/>
      <c r="H1029" s="104"/>
      <c r="I1029" s="104"/>
    </row>
    <row r="1030" spans="2:9">
      <c r="B1030" s="104"/>
      <c r="C1030" s="104"/>
      <c r="D1030" s="104"/>
      <c r="E1030" s="104"/>
      <c r="F1030" s="104"/>
      <c r="G1030" s="104"/>
      <c r="H1030" s="104"/>
      <c r="I1030" s="104"/>
    </row>
    <row r="1031" spans="2:9">
      <c r="B1031" s="104"/>
      <c r="C1031" s="104"/>
      <c r="D1031" s="104"/>
      <c r="E1031" s="104"/>
      <c r="F1031" s="104"/>
      <c r="G1031" s="104"/>
      <c r="H1031" s="104"/>
      <c r="I1031" s="104"/>
    </row>
    <row r="1032" spans="2:9">
      <c r="B1032" s="104"/>
      <c r="C1032" s="104"/>
      <c r="D1032" s="104"/>
      <c r="E1032" s="104"/>
      <c r="F1032" s="104"/>
      <c r="G1032" s="104"/>
      <c r="H1032" s="104"/>
      <c r="I1032" s="104"/>
    </row>
    <row r="1033" spans="2:9">
      <c r="B1033" s="104"/>
      <c r="C1033" s="104"/>
      <c r="D1033" s="104"/>
      <c r="E1033" s="104"/>
      <c r="F1033" s="104"/>
      <c r="G1033" s="104"/>
      <c r="H1033" s="104"/>
      <c r="I1033" s="104"/>
    </row>
    <row r="1034" spans="2:9">
      <c r="B1034" s="104"/>
      <c r="C1034" s="104"/>
      <c r="D1034" s="104"/>
      <c r="E1034" s="104"/>
      <c r="F1034" s="104"/>
      <c r="G1034" s="104"/>
      <c r="H1034" s="104"/>
      <c r="I1034" s="104"/>
    </row>
    <row r="1035" spans="2:9">
      <c r="B1035" s="104"/>
      <c r="C1035" s="104"/>
      <c r="D1035" s="104"/>
      <c r="E1035" s="104"/>
      <c r="F1035" s="104"/>
      <c r="G1035" s="104"/>
      <c r="H1035" s="104"/>
      <c r="I1035" s="104"/>
    </row>
    <row r="1036" spans="2:9">
      <c r="B1036" s="104"/>
      <c r="C1036" s="104"/>
      <c r="D1036" s="104"/>
      <c r="E1036" s="104"/>
      <c r="F1036" s="104"/>
      <c r="G1036" s="104"/>
      <c r="H1036" s="104"/>
      <c r="I1036" s="104"/>
    </row>
    <row r="1037" spans="2:9">
      <c r="B1037" s="104"/>
      <c r="C1037" s="104"/>
      <c r="D1037" s="104"/>
      <c r="E1037" s="104"/>
      <c r="F1037" s="104"/>
      <c r="G1037" s="104"/>
      <c r="H1037" s="104"/>
      <c r="I1037" s="104"/>
    </row>
    <row r="1038" spans="2:9">
      <c r="B1038" s="104"/>
      <c r="C1038" s="104"/>
      <c r="D1038" s="104"/>
      <c r="E1038" s="104"/>
      <c r="F1038" s="104"/>
      <c r="G1038" s="104"/>
      <c r="H1038" s="104"/>
      <c r="I1038" s="104"/>
    </row>
    <row r="1039" spans="2:9">
      <c r="B1039" s="104"/>
      <c r="C1039" s="104"/>
      <c r="D1039" s="104"/>
      <c r="E1039" s="104"/>
      <c r="F1039" s="104"/>
      <c r="G1039" s="104"/>
      <c r="H1039" s="104"/>
      <c r="I1039" s="104"/>
    </row>
    <row r="1040" spans="2:9">
      <c r="B1040" s="104"/>
      <c r="C1040" s="104"/>
      <c r="D1040" s="104"/>
      <c r="E1040" s="104"/>
      <c r="F1040" s="104"/>
      <c r="G1040" s="104"/>
      <c r="H1040" s="104"/>
      <c r="I1040" s="104"/>
    </row>
    <row r="1041" spans="2:9">
      <c r="B1041" s="104"/>
      <c r="C1041" s="104"/>
      <c r="D1041" s="104"/>
      <c r="E1041" s="104"/>
      <c r="F1041" s="104"/>
      <c r="G1041" s="104"/>
      <c r="H1041" s="104"/>
      <c r="I1041" s="104"/>
    </row>
    <row r="1042" spans="2:9">
      <c r="B1042" s="104"/>
      <c r="C1042" s="104"/>
      <c r="D1042" s="104"/>
      <c r="E1042" s="104"/>
      <c r="F1042" s="104"/>
      <c r="G1042" s="104"/>
      <c r="H1042" s="104"/>
      <c r="I1042" s="104"/>
    </row>
    <row r="1043" spans="2:9">
      <c r="B1043" s="104"/>
      <c r="C1043" s="104"/>
      <c r="D1043" s="104"/>
      <c r="E1043" s="104"/>
      <c r="F1043" s="104"/>
      <c r="G1043" s="104"/>
      <c r="H1043" s="104"/>
      <c r="I1043" s="104"/>
    </row>
    <row r="1044" spans="2:9">
      <c r="B1044" s="104"/>
      <c r="C1044" s="104"/>
      <c r="D1044" s="104"/>
      <c r="E1044" s="104"/>
      <c r="F1044" s="104"/>
      <c r="G1044" s="104"/>
      <c r="H1044" s="104"/>
      <c r="I1044" s="104"/>
    </row>
    <row r="1045" spans="2:9">
      <c r="B1045" s="104"/>
      <c r="C1045" s="104"/>
      <c r="D1045" s="104"/>
      <c r="E1045" s="104"/>
      <c r="F1045" s="104"/>
      <c r="G1045" s="104"/>
      <c r="H1045" s="104"/>
      <c r="I1045" s="104"/>
    </row>
    <row r="1046" spans="2:9">
      <c r="B1046" s="104"/>
      <c r="C1046" s="104"/>
      <c r="D1046" s="104"/>
      <c r="E1046" s="104"/>
      <c r="F1046" s="104"/>
      <c r="G1046" s="104"/>
      <c r="H1046" s="104"/>
      <c r="I1046" s="104"/>
    </row>
    <row r="1047" spans="2:9">
      <c r="B1047" s="104"/>
      <c r="C1047" s="104"/>
      <c r="D1047" s="104"/>
      <c r="E1047" s="104"/>
      <c r="F1047" s="104"/>
      <c r="G1047" s="104"/>
      <c r="H1047" s="104"/>
      <c r="I1047" s="104"/>
    </row>
    <row r="1048" spans="2:9">
      <c r="B1048" s="104"/>
      <c r="C1048" s="104"/>
      <c r="D1048" s="104"/>
      <c r="E1048" s="104"/>
      <c r="F1048" s="104"/>
      <c r="G1048" s="104"/>
      <c r="H1048" s="104"/>
      <c r="I1048" s="104"/>
    </row>
    <row r="1049" spans="2:9">
      <c r="B1049" s="104"/>
      <c r="C1049" s="104"/>
      <c r="D1049" s="104"/>
      <c r="E1049" s="104"/>
      <c r="F1049" s="104"/>
      <c r="G1049" s="104"/>
      <c r="H1049" s="104"/>
      <c r="I1049" s="104"/>
    </row>
    <row r="1050" spans="2:9">
      <c r="B1050" s="104"/>
      <c r="C1050" s="104"/>
      <c r="D1050" s="104"/>
      <c r="E1050" s="104"/>
      <c r="F1050" s="104"/>
      <c r="G1050" s="104"/>
      <c r="H1050" s="104"/>
      <c r="I1050" s="104"/>
    </row>
    <row r="1051" spans="2:9">
      <c r="B1051" s="104"/>
      <c r="C1051" s="104"/>
      <c r="D1051" s="104"/>
      <c r="E1051" s="104"/>
      <c r="F1051" s="104"/>
      <c r="G1051" s="104"/>
      <c r="H1051" s="104"/>
      <c r="I1051" s="104"/>
    </row>
    <row r="1052" spans="2:9">
      <c r="B1052" s="104"/>
      <c r="C1052" s="104"/>
      <c r="D1052" s="104"/>
      <c r="E1052" s="104"/>
      <c r="F1052" s="104"/>
      <c r="G1052" s="104"/>
      <c r="H1052" s="104"/>
      <c r="I1052" s="104"/>
    </row>
    <row r="1053" spans="2:9">
      <c r="B1053" s="104"/>
      <c r="C1053" s="104"/>
      <c r="D1053" s="104"/>
      <c r="E1053" s="104"/>
      <c r="F1053" s="104"/>
      <c r="G1053" s="104"/>
      <c r="H1053" s="104"/>
      <c r="I1053" s="104"/>
    </row>
    <row r="1054" spans="2:9">
      <c r="B1054" s="104"/>
      <c r="C1054" s="104"/>
      <c r="D1054" s="104"/>
      <c r="E1054" s="104"/>
      <c r="F1054" s="104"/>
      <c r="G1054" s="104"/>
      <c r="H1054" s="104"/>
      <c r="I1054" s="104"/>
    </row>
    <row r="1055" spans="2:9">
      <c r="B1055" s="104"/>
      <c r="C1055" s="104"/>
      <c r="D1055" s="104"/>
      <c r="E1055" s="104"/>
      <c r="F1055" s="104"/>
      <c r="G1055" s="104"/>
      <c r="H1055" s="104"/>
      <c r="I1055" s="104"/>
    </row>
    <row r="1056" spans="2:9">
      <c r="B1056" s="104"/>
      <c r="C1056" s="104"/>
      <c r="D1056" s="104"/>
      <c r="E1056" s="104"/>
      <c r="F1056" s="104"/>
      <c r="G1056" s="104"/>
      <c r="H1056" s="104"/>
      <c r="I1056" s="104"/>
    </row>
    <row r="1057" spans="2:9">
      <c r="B1057" s="104"/>
      <c r="C1057" s="104"/>
      <c r="D1057" s="104"/>
      <c r="E1057" s="104"/>
      <c r="F1057" s="104"/>
      <c r="G1057" s="104"/>
      <c r="H1057" s="104"/>
      <c r="I1057" s="104"/>
    </row>
    <row r="1058" spans="2:9">
      <c r="B1058" s="104"/>
      <c r="C1058" s="104"/>
      <c r="D1058" s="104"/>
      <c r="E1058" s="104"/>
      <c r="F1058" s="104"/>
      <c r="G1058" s="104"/>
      <c r="H1058" s="104"/>
      <c r="I1058" s="104"/>
    </row>
    <row r="1059" spans="2:9">
      <c r="B1059" s="104"/>
      <c r="C1059" s="104"/>
      <c r="D1059" s="104"/>
      <c r="E1059" s="104"/>
      <c r="F1059" s="104"/>
      <c r="G1059" s="104"/>
      <c r="H1059" s="104"/>
      <c r="I1059" s="104"/>
    </row>
    <row r="1060" spans="2:9">
      <c r="B1060" s="104"/>
      <c r="C1060" s="104"/>
      <c r="D1060" s="104"/>
      <c r="E1060" s="104"/>
      <c r="F1060" s="104"/>
      <c r="G1060" s="104"/>
      <c r="H1060" s="104"/>
      <c r="I1060" s="104"/>
    </row>
    <row r="1061" spans="2:9">
      <c r="B1061" s="104"/>
      <c r="C1061" s="104"/>
      <c r="D1061" s="104"/>
      <c r="E1061" s="104"/>
      <c r="F1061" s="104"/>
      <c r="G1061" s="104"/>
      <c r="H1061" s="104"/>
      <c r="I1061" s="104"/>
    </row>
    <row r="1062" spans="2:9">
      <c r="B1062" s="104"/>
      <c r="C1062" s="104"/>
      <c r="D1062" s="104"/>
      <c r="E1062" s="104"/>
      <c r="F1062" s="104"/>
      <c r="G1062" s="104"/>
      <c r="H1062" s="104"/>
      <c r="I1062" s="104"/>
    </row>
    <row r="1063" spans="2:9">
      <c r="B1063" s="104"/>
      <c r="C1063" s="104"/>
      <c r="D1063" s="104"/>
      <c r="E1063" s="104"/>
      <c r="F1063" s="104"/>
      <c r="G1063" s="104"/>
      <c r="H1063" s="104"/>
      <c r="I1063" s="104"/>
    </row>
    <row r="1064" spans="2:9">
      <c r="B1064" s="104"/>
      <c r="C1064" s="104"/>
      <c r="D1064" s="104"/>
      <c r="E1064" s="104"/>
      <c r="F1064" s="104"/>
      <c r="G1064" s="104"/>
      <c r="H1064" s="104"/>
      <c r="I1064" s="104"/>
    </row>
    <row r="1065" spans="2:9">
      <c r="B1065" s="104"/>
      <c r="C1065" s="104"/>
      <c r="D1065" s="104"/>
      <c r="E1065" s="104"/>
      <c r="F1065" s="104"/>
      <c r="G1065" s="104"/>
      <c r="H1065" s="104"/>
      <c r="I1065" s="104"/>
    </row>
    <row r="1066" spans="2:9">
      <c r="B1066" s="104"/>
      <c r="C1066" s="104"/>
      <c r="D1066" s="104"/>
      <c r="E1066" s="104"/>
      <c r="F1066" s="104"/>
      <c r="G1066" s="104"/>
      <c r="H1066" s="104"/>
      <c r="I1066" s="104"/>
    </row>
    <row r="1067" spans="2:9">
      <c r="B1067" s="104"/>
      <c r="C1067" s="104"/>
      <c r="D1067" s="104"/>
      <c r="E1067" s="104"/>
      <c r="F1067" s="104"/>
      <c r="G1067" s="104"/>
      <c r="H1067" s="104"/>
      <c r="I1067" s="104"/>
    </row>
    <row r="1068" spans="2:9">
      <c r="B1068" s="104"/>
      <c r="C1068" s="104"/>
      <c r="D1068" s="104"/>
      <c r="E1068" s="104"/>
      <c r="F1068" s="104"/>
      <c r="G1068" s="104"/>
      <c r="H1068" s="104"/>
      <c r="I1068" s="104"/>
    </row>
    <row r="1069" spans="2:9">
      <c r="B1069" s="104"/>
      <c r="C1069" s="104"/>
      <c r="D1069" s="104"/>
      <c r="E1069" s="104"/>
      <c r="F1069" s="104"/>
      <c r="G1069" s="104"/>
      <c r="H1069" s="104"/>
      <c r="I1069" s="104"/>
    </row>
    <row r="1070" spans="2:9">
      <c r="B1070" s="104"/>
      <c r="C1070" s="104"/>
      <c r="D1070" s="104"/>
      <c r="E1070" s="104"/>
      <c r="F1070" s="104"/>
      <c r="G1070" s="104"/>
      <c r="H1070" s="104"/>
      <c r="I1070" s="104"/>
    </row>
    <row r="1071" spans="2:9">
      <c r="B1071" s="104"/>
      <c r="C1071" s="104"/>
      <c r="D1071" s="104"/>
      <c r="E1071" s="104"/>
      <c r="F1071" s="104"/>
      <c r="G1071" s="104"/>
      <c r="H1071" s="104"/>
      <c r="I1071" s="104"/>
    </row>
    <row r="1072" spans="2:9">
      <c r="B1072" s="104"/>
      <c r="C1072" s="104"/>
      <c r="D1072" s="104"/>
      <c r="E1072" s="104"/>
      <c r="F1072" s="104"/>
      <c r="G1072" s="104"/>
      <c r="H1072" s="104"/>
      <c r="I1072" s="104"/>
    </row>
    <row r="1073" spans="2:9">
      <c r="B1073" s="104"/>
      <c r="C1073" s="104"/>
      <c r="D1073" s="104"/>
      <c r="E1073" s="104"/>
      <c r="F1073" s="104"/>
      <c r="G1073" s="104"/>
      <c r="H1073" s="104"/>
      <c r="I1073" s="104"/>
    </row>
    <row r="1074" spans="2:9">
      <c r="B1074" s="104"/>
      <c r="C1074" s="104"/>
      <c r="D1074" s="104"/>
      <c r="E1074" s="104"/>
      <c r="F1074" s="104"/>
      <c r="G1074" s="104"/>
      <c r="H1074" s="104"/>
      <c r="I1074" s="104"/>
    </row>
    <row r="1075" spans="2:9">
      <c r="B1075" s="104"/>
      <c r="C1075" s="104"/>
      <c r="D1075" s="104"/>
      <c r="E1075" s="104"/>
      <c r="F1075" s="104"/>
      <c r="G1075" s="104"/>
      <c r="H1075" s="104"/>
      <c r="I1075" s="104"/>
    </row>
    <row r="1076" spans="2:9">
      <c r="B1076" s="104"/>
      <c r="C1076" s="104"/>
      <c r="D1076" s="104"/>
      <c r="E1076" s="104"/>
      <c r="F1076" s="104"/>
      <c r="G1076" s="104"/>
      <c r="H1076" s="104"/>
      <c r="I1076" s="104"/>
    </row>
    <row r="1077" spans="2:9">
      <c r="B1077" s="104"/>
      <c r="C1077" s="104"/>
      <c r="D1077" s="104"/>
      <c r="E1077" s="104"/>
      <c r="F1077" s="104"/>
      <c r="G1077" s="104"/>
      <c r="H1077" s="104"/>
      <c r="I1077" s="104"/>
    </row>
    <row r="1078" spans="2:9">
      <c r="B1078" s="104"/>
      <c r="C1078" s="104"/>
      <c r="D1078" s="104"/>
      <c r="E1078" s="104"/>
      <c r="F1078" s="104"/>
      <c r="G1078" s="104"/>
      <c r="H1078" s="104"/>
      <c r="I1078" s="104"/>
    </row>
    <row r="1079" spans="2:9">
      <c r="B1079" s="104"/>
      <c r="C1079" s="104"/>
      <c r="D1079" s="104"/>
      <c r="E1079" s="104"/>
      <c r="F1079" s="104"/>
      <c r="G1079" s="104"/>
      <c r="H1079" s="104"/>
      <c r="I1079" s="104"/>
    </row>
    <row r="1080" spans="2:9">
      <c r="B1080" s="104"/>
      <c r="C1080" s="104"/>
      <c r="D1080" s="104"/>
      <c r="E1080" s="104"/>
      <c r="F1080" s="104"/>
      <c r="G1080" s="104"/>
      <c r="H1080" s="104"/>
      <c r="I1080" s="104"/>
    </row>
    <row r="1081" spans="2:9">
      <c r="B1081" s="104"/>
      <c r="C1081" s="104"/>
      <c r="D1081" s="104"/>
      <c r="E1081" s="104"/>
      <c r="F1081" s="104"/>
      <c r="G1081" s="104"/>
      <c r="H1081" s="104"/>
      <c r="I1081" s="104"/>
    </row>
    <row r="1082" spans="2:9">
      <c r="B1082" s="104"/>
      <c r="C1082" s="104"/>
      <c r="D1082" s="104"/>
      <c r="E1082" s="104"/>
      <c r="F1082" s="104"/>
      <c r="G1082" s="104"/>
      <c r="H1082" s="104"/>
      <c r="I1082" s="104"/>
    </row>
    <row r="1083" spans="2:9">
      <c r="B1083" s="104"/>
      <c r="C1083" s="104"/>
      <c r="D1083" s="104"/>
      <c r="E1083" s="104"/>
      <c r="F1083" s="104"/>
      <c r="G1083" s="104"/>
      <c r="H1083" s="104"/>
      <c r="I1083" s="104"/>
    </row>
    <row r="1084" spans="2:9">
      <c r="B1084" s="104"/>
      <c r="C1084" s="104"/>
      <c r="D1084" s="104"/>
      <c r="E1084" s="104"/>
      <c r="F1084" s="104"/>
      <c r="G1084" s="104"/>
      <c r="H1084" s="104"/>
      <c r="I1084" s="104"/>
    </row>
    <row r="1085" spans="2:9">
      <c r="B1085" s="104"/>
      <c r="C1085" s="104"/>
      <c r="D1085" s="104"/>
      <c r="E1085" s="104"/>
      <c r="F1085" s="104"/>
      <c r="G1085" s="104"/>
      <c r="H1085" s="104"/>
      <c r="I1085" s="104"/>
    </row>
    <row r="1086" spans="2:9">
      <c r="B1086" s="104"/>
      <c r="C1086" s="104"/>
      <c r="D1086" s="104"/>
      <c r="E1086" s="104"/>
      <c r="F1086" s="104"/>
      <c r="G1086" s="104"/>
      <c r="H1086" s="104"/>
      <c r="I1086" s="104"/>
    </row>
    <row r="1087" spans="2:9">
      <c r="B1087" s="104"/>
      <c r="C1087" s="104"/>
      <c r="D1087" s="104"/>
      <c r="E1087" s="104"/>
      <c r="F1087" s="104"/>
      <c r="G1087" s="104"/>
      <c r="H1087" s="104"/>
      <c r="I1087" s="104"/>
    </row>
    <row r="1088" spans="2:9">
      <c r="B1088" s="104"/>
      <c r="C1088" s="104"/>
      <c r="D1088" s="104"/>
      <c r="E1088" s="104"/>
      <c r="F1088" s="104"/>
      <c r="G1088" s="104"/>
      <c r="H1088" s="104"/>
      <c r="I1088" s="104"/>
    </row>
    <row r="1089" spans="2:9">
      <c r="B1089" s="104"/>
      <c r="C1089" s="104"/>
      <c r="D1089" s="104"/>
      <c r="E1089" s="104"/>
      <c r="F1089" s="104"/>
      <c r="G1089" s="104"/>
      <c r="H1089" s="104"/>
      <c r="I1089" s="104"/>
    </row>
    <row r="1090" spans="2:9">
      <c r="B1090" s="104"/>
      <c r="C1090" s="104"/>
      <c r="D1090" s="104"/>
      <c r="E1090" s="104"/>
      <c r="F1090" s="104"/>
      <c r="G1090" s="104"/>
      <c r="H1090" s="104"/>
      <c r="I1090" s="104"/>
    </row>
    <row r="1091" spans="2:9">
      <c r="B1091" s="104"/>
      <c r="C1091" s="104"/>
      <c r="D1091" s="104"/>
      <c r="E1091" s="104"/>
      <c r="F1091" s="104"/>
      <c r="G1091" s="104"/>
      <c r="H1091" s="104"/>
      <c r="I1091" s="104"/>
    </row>
    <row r="1092" spans="2:9">
      <c r="B1092" s="104"/>
      <c r="C1092" s="104"/>
      <c r="D1092" s="104"/>
      <c r="E1092" s="104"/>
      <c r="F1092" s="104"/>
      <c r="G1092" s="104"/>
      <c r="H1092" s="104"/>
      <c r="I1092" s="104"/>
    </row>
    <row r="1093" spans="2:9">
      <c r="B1093" s="104"/>
      <c r="C1093" s="104"/>
      <c r="D1093" s="104"/>
      <c r="E1093" s="104"/>
      <c r="F1093" s="104"/>
      <c r="G1093" s="104"/>
      <c r="H1093" s="104"/>
      <c r="I1093" s="104"/>
    </row>
    <row r="1094" spans="2:9">
      <c r="B1094" s="104"/>
      <c r="C1094" s="104"/>
      <c r="D1094" s="104"/>
      <c r="E1094" s="104"/>
      <c r="F1094" s="104"/>
      <c r="G1094" s="104"/>
      <c r="H1094" s="104"/>
      <c r="I1094" s="104"/>
    </row>
    <row r="1095" spans="2:9">
      <c r="B1095" s="104"/>
      <c r="C1095" s="104"/>
      <c r="D1095" s="104"/>
      <c r="E1095" s="104"/>
      <c r="F1095" s="104"/>
      <c r="G1095" s="104"/>
      <c r="H1095" s="104"/>
      <c r="I1095" s="104"/>
    </row>
    <row r="1096" spans="2:9">
      <c r="B1096" s="104"/>
      <c r="C1096" s="104"/>
      <c r="D1096" s="104"/>
      <c r="E1096" s="104"/>
      <c r="F1096" s="104"/>
      <c r="G1096" s="104"/>
      <c r="H1096" s="104"/>
      <c r="I1096" s="104"/>
    </row>
    <row r="1097" spans="2:9">
      <c r="B1097" s="104"/>
      <c r="C1097" s="104"/>
      <c r="D1097" s="104"/>
      <c r="E1097" s="104"/>
      <c r="F1097" s="104"/>
      <c r="G1097" s="104"/>
      <c r="H1097" s="104"/>
      <c r="I1097" s="104"/>
    </row>
    <row r="1098" spans="2:9">
      <c r="B1098" s="104"/>
      <c r="C1098" s="104"/>
      <c r="D1098" s="104"/>
      <c r="E1098" s="104"/>
      <c r="F1098" s="104"/>
      <c r="G1098" s="104"/>
      <c r="H1098" s="104"/>
      <c r="I1098" s="104"/>
    </row>
    <row r="1099" spans="2:9">
      <c r="B1099" s="104"/>
      <c r="C1099" s="104"/>
      <c r="D1099" s="104"/>
      <c r="E1099" s="104"/>
      <c r="F1099" s="104"/>
      <c r="G1099" s="104"/>
      <c r="H1099" s="104"/>
      <c r="I1099" s="104"/>
    </row>
    <row r="1100" spans="2:9">
      <c r="B1100" s="104"/>
      <c r="C1100" s="104"/>
      <c r="D1100" s="104"/>
      <c r="E1100" s="104"/>
      <c r="F1100" s="104"/>
      <c r="G1100" s="104"/>
      <c r="H1100" s="104"/>
      <c r="I1100" s="104"/>
    </row>
    <row r="1101" spans="2:9">
      <c r="B1101" s="104"/>
      <c r="C1101" s="104"/>
      <c r="D1101" s="104"/>
      <c r="E1101" s="104"/>
      <c r="F1101" s="104"/>
      <c r="G1101" s="104"/>
      <c r="H1101" s="104"/>
      <c r="I1101" s="104"/>
    </row>
    <row r="1102" spans="2:9">
      <c r="B1102" s="104"/>
      <c r="C1102" s="104"/>
      <c r="D1102" s="104"/>
      <c r="E1102" s="104"/>
      <c r="F1102" s="104"/>
      <c r="G1102" s="104"/>
      <c r="H1102" s="104"/>
      <c r="I1102" s="104"/>
    </row>
    <row r="1103" spans="2:9">
      <c r="B1103" s="104"/>
      <c r="C1103" s="104"/>
      <c r="D1103" s="104"/>
      <c r="E1103" s="104"/>
      <c r="F1103" s="104"/>
      <c r="G1103" s="104"/>
      <c r="H1103" s="104"/>
      <c r="I1103" s="104"/>
    </row>
    <row r="1104" spans="2:9">
      <c r="B1104" s="104"/>
      <c r="C1104" s="104"/>
      <c r="D1104" s="104"/>
      <c r="E1104" s="104"/>
      <c r="F1104" s="104"/>
      <c r="G1104" s="104"/>
      <c r="H1104" s="104"/>
      <c r="I1104" s="104"/>
    </row>
    <row r="1105" spans="2:9">
      <c r="B1105" s="104"/>
      <c r="C1105" s="104"/>
      <c r="D1105" s="104"/>
      <c r="E1105" s="104"/>
      <c r="F1105" s="104"/>
      <c r="G1105" s="104"/>
      <c r="H1105" s="104"/>
      <c r="I1105" s="104"/>
    </row>
    <row r="1106" spans="2:9">
      <c r="B1106" s="104"/>
      <c r="C1106" s="104"/>
      <c r="D1106" s="104"/>
      <c r="E1106" s="104"/>
      <c r="F1106" s="104"/>
      <c r="G1106" s="104"/>
      <c r="H1106" s="104"/>
      <c r="I1106" s="104"/>
    </row>
    <row r="1107" spans="2:9">
      <c r="B1107" s="104"/>
      <c r="C1107" s="104"/>
      <c r="D1107" s="104"/>
      <c r="E1107" s="104"/>
      <c r="F1107" s="104"/>
      <c r="G1107" s="104"/>
      <c r="H1107" s="104"/>
      <c r="I1107" s="104"/>
    </row>
    <row r="1108" spans="2:9">
      <c r="B1108" s="104"/>
      <c r="C1108" s="104"/>
      <c r="D1108" s="104"/>
      <c r="E1108" s="104"/>
      <c r="F1108" s="104"/>
      <c r="G1108" s="104"/>
      <c r="H1108" s="104"/>
      <c r="I1108" s="104"/>
    </row>
    <row r="1109" spans="2:9">
      <c r="B1109" s="104"/>
      <c r="C1109" s="104"/>
      <c r="D1109" s="104"/>
      <c r="E1109" s="104"/>
      <c r="F1109" s="104"/>
      <c r="G1109" s="104"/>
      <c r="H1109" s="104"/>
      <c r="I1109" s="104"/>
    </row>
    <row r="1110" spans="2:9">
      <c r="B1110" s="104"/>
      <c r="C1110" s="104"/>
      <c r="D1110" s="104"/>
      <c r="E1110" s="104"/>
      <c r="F1110" s="104"/>
      <c r="G1110" s="104"/>
      <c r="H1110" s="104"/>
      <c r="I1110" s="104"/>
    </row>
    <row r="1111" spans="2:9">
      <c r="B1111" s="104"/>
      <c r="C1111" s="104"/>
      <c r="D1111" s="104"/>
      <c r="E1111" s="104"/>
      <c r="F1111" s="104"/>
      <c r="G1111" s="104"/>
      <c r="H1111" s="104"/>
      <c r="I1111" s="104"/>
    </row>
    <row r="1112" spans="2:9">
      <c r="B1112" s="104"/>
      <c r="C1112" s="104"/>
      <c r="D1112" s="104"/>
      <c r="E1112" s="104"/>
      <c r="F1112" s="104"/>
      <c r="G1112" s="104"/>
      <c r="H1112" s="104"/>
      <c r="I1112" s="104"/>
    </row>
    <row r="1113" spans="2:9">
      <c r="B1113" s="104"/>
      <c r="C1113" s="104"/>
      <c r="D1113" s="104"/>
      <c r="E1113" s="104"/>
      <c r="F1113" s="104"/>
      <c r="G1113" s="104"/>
      <c r="H1113" s="104"/>
      <c r="I1113" s="104"/>
    </row>
    <row r="1114" spans="2:9">
      <c r="B1114" s="104"/>
      <c r="C1114" s="104"/>
      <c r="D1114" s="104"/>
      <c r="E1114" s="104"/>
      <c r="F1114" s="104"/>
      <c r="G1114" s="104"/>
      <c r="H1114" s="104"/>
      <c r="I1114" s="104"/>
    </row>
    <row r="1115" spans="2:9">
      <c r="B1115" s="104"/>
      <c r="C1115" s="104"/>
      <c r="D1115" s="104"/>
      <c r="E1115" s="104"/>
      <c r="F1115" s="104"/>
      <c r="G1115" s="104"/>
      <c r="H1115" s="104"/>
      <c r="I1115" s="104"/>
    </row>
    <row r="1116" spans="2:9">
      <c r="B1116" s="104"/>
      <c r="C1116" s="104"/>
      <c r="D1116" s="104"/>
      <c r="E1116" s="104"/>
      <c r="F1116" s="104"/>
      <c r="G1116" s="104"/>
      <c r="H1116" s="104"/>
      <c r="I1116" s="104"/>
    </row>
    <row r="1117" spans="2:9">
      <c r="B1117" s="104"/>
      <c r="C1117" s="104"/>
      <c r="D1117" s="104"/>
      <c r="E1117" s="104"/>
      <c r="F1117" s="104"/>
      <c r="G1117" s="104"/>
      <c r="H1117" s="104"/>
      <c r="I1117" s="104"/>
    </row>
    <row r="1118" spans="2:9">
      <c r="B1118" s="104"/>
      <c r="C1118" s="104"/>
      <c r="D1118" s="104"/>
      <c r="E1118" s="104"/>
      <c r="F1118" s="104"/>
      <c r="G1118" s="104"/>
      <c r="H1118" s="104"/>
      <c r="I1118" s="104"/>
    </row>
    <row r="1119" spans="2:9">
      <c r="B1119" s="104"/>
      <c r="C1119" s="104"/>
      <c r="D1119" s="104"/>
      <c r="E1119" s="104"/>
      <c r="F1119" s="104"/>
      <c r="G1119" s="104"/>
      <c r="H1119" s="104"/>
      <c r="I1119" s="104"/>
    </row>
    <row r="1120" spans="2:9">
      <c r="B1120" s="104"/>
      <c r="C1120" s="104"/>
      <c r="D1120" s="104"/>
      <c r="E1120" s="104"/>
      <c r="F1120" s="104"/>
      <c r="G1120" s="104"/>
      <c r="H1120" s="104"/>
      <c r="I1120" s="104"/>
    </row>
    <row r="1121" spans="2:9">
      <c r="B1121" s="104"/>
      <c r="C1121" s="104"/>
      <c r="D1121" s="104"/>
      <c r="E1121" s="104"/>
      <c r="F1121" s="104"/>
      <c r="G1121" s="104"/>
      <c r="H1121" s="104"/>
      <c r="I1121" s="104"/>
    </row>
    <row r="1122" spans="2:9">
      <c r="B1122" s="104"/>
      <c r="C1122" s="104"/>
      <c r="D1122" s="104"/>
      <c r="E1122" s="104"/>
      <c r="F1122" s="104"/>
      <c r="G1122" s="104"/>
      <c r="H1122" s="104"/>
      <c r="I1122" s="104"/>
    </row>
    <row r="1123" spans="2:9">
      <c r="B1123" s="104"/>
      <c r="C1123" s="104"/>
      <c r="D1123" s="104"/>
      <c r="E1123" s="104"/>
      <c r="F1123" s="104"/>
      <c r="G1123" s="104"/>
      <c r="H1123" s="104"/>
      <c r="I1123" s="104"/>
    </row>
    <row r="1124" spans="2:9">
      <c r="B1124" s="104"/>
      <c r="C1124" s="104"/>
      <c r="D1124" s="104"/>
      <c r="E1124" s="104"/>
      <c r="F1124" s="104"/>
      <c r="G1124" s="104"/>
      <c r="H1124" s="104"/>
      <c r="I1124" s="104"/>
    </row>
    <row r="1125" spans="2:9">
      <c r="B1125" s="104"/>
      <c r="C1125" s="104"/>
      <c r="D1125" s="104"/>
      <c r="E1125" s="104"/>
      <c r="F1125" s="104"/>
      <c r="G1125" s="104"/>
      <c r="H1125" s="104"/>
      <c r="I1125" s="104"/>
    </row>
    <row r="1126" spans="2:9">
      <c r="B1126" s="104"/>
      <c r="C1126" s="104"/>
      <c r="D1126" s="104"/>
      <c r="E1126" s="104"/>
      <c r="F1126" s="104"/>
      <c r="G1126" s="104"/>
      <c r="H1126" s="104"/>
      <c r="I1126" s="104"/>
    </row>
    <row r="1127" spans="2:9">
      <c r="B1127" s="104"/>
      <c r="C1127" s="104"/>
      <c r="D1127" s="104"/>
      <c r="E1127" s="104"/>
      <c r="F1127" s="104"/>
      <c r="G1127" s="104"/>
      <c r="H1127" s="104"/>
      <c r="I1127" s="104"/>
    </row>
    <row r="1128" spans="2:9">
      <c r="B1128" s="104"/>
      <c r="C1128" s="104"/>
      <c r="D1128" s="104"/>
      <c r="E1128" s="104"/>
      <c r="F1128" s="104"/>
      <c r="G1128" s="104"/>
      <c r="H1128" s="104"/>
      <c r="I1128" s="104"/>
    </row>
    <row r="1129" spans="2:9">
      <c r="B1129" s="104"/>
      <c r="C1129" s="104"/>
      <c r="D1129" s="104"/>
      <c r="E1129" s="104"/>
      <c r="F1129" s="104"/>
      <c r="G1129" s="104"/>
      <c r="H1129" s="104"/>
      <c r="I1129" s="104"/>
    </row>
    <row r="1130" spans="2:9">
      <c r="B1130" s="104"/>
      <c r="C1130" s="104"/>
      <c r="D1130" s="104"/>
      <c r="E1130" s="104"/>
      <c r="F1130" s="104"/>
      <c r="G1130" s="104"/>
      <c r="H1130" s="104"/>
      <c r="I1130" s="104"/>
    </row>
    <row r="1131" spans="2:9">
      <c r="B1131" s="104"/>
      <c r="C1131" s="104"/>
      <c r="D1131" s="104"/>
      <c r="E1131" s="104"/>
      <c r="F1131" s="104"/>
      <c r="G1131" s="104"/>
      <c r="H1131" s="104"/>
      <c r="I1131" s="104"/>
    </row>
    <row r="1132" spans="2:9">
      <c r="B1132" s="104"/>
      <c r="C1132" s="104"/>
      <c r="D1132" s="104"/>
      <c r="E1132" s="104"/>
      <c r="F1132" s="104"/>
      <c r="G1132" s="104"/>
      <c r="H1132" s="104"/>
      <c r="I1132" s="104"/>
    </row>
    <row r="1133" spans="2:9">
      <c r="B1133" s="104"/>
      <c r="C1133" s="104"/>
      <c r="D1133" s="104"/>
      <c r="E1133" s="104"/>
      <c r="F1133" s="104"/>
      <c r="G1133" s="104"/>
      <c r="H1133" s="104"/>
      <c r="I1133" s="104"/>
    </row>
    <row r="1134" spans="2:9">
      <c r="B1134" s="104"/>
      <c r="C1134" s="104"/>
      <c r="D1134" s="104"/>
      <c r="E1134" s="104"/>
      <c r="F1134" s="104"/>
      <c r="G1134" s="104"/>
      <c r="H1134" s="104"/>
      <c r="I1134" s="104"/>
    </row>
    <row r="1135" spans="2:9">
      <c r="B1135" s="104"/>
      <c r="C1135" s="104"/>
      <c r="D1135" s="104"/>
      <c r="E1135" s="104"/>
      <c r="F1135" s="104"/>
      <c r="G1135" s="104"/>
      <c r="H1135" s="104"/>
      <c r="I1135" s="104"/>
    </row>
    <row r="1136" spans="2:9">
      <c r="B1136" s="104"/>
      <c r="C1136" s="104"/>
      <c r="D1136" s="104"/>
      <c r="E1136" s="104"/>
      <c r="F1136" s="104"/>
      <c r="G1136" s="104"/>
      <c r="H1136" s="104"/>
      <c r="I1136" s="104"/>
    </row>
    <row r="1137" spans="2:9">
      <c r="B1137" s="104"/>
      <c r="C1137" s="104"/>
      <c r="D1137" s="104"/>
      <c r="E1137" s="104"/>
      <c r="F1137" s="104"/>
      <c r="G1137" s="104"/>
      <c r="H1137" s="104"/>
      <c r="I1137" s="104"/>
    </row>
    <row r="1138" spans="2:9">
      <c r="B1138" s="104"/>
      <c r="C1138" s="104"/>
      <c r="D1138" s="104"/>
      <c r="E1138" s="104"/>
      <c r="F1138" s="104"/>
      <c r="G1138" s="104"/>
      <c r="H1138" s="104"/>
      <c r="I1138" s="104"/>
    </row>
    <row r="1139" spans="2:9">
      <c r="B1139" s="104"/>
      <c r="C1139" s="104"/>
      <c r="D1139" s="104"/>
      <c r="E1139" s="104"/>
      <c r="F1139" s="104"/>
      <c r="G1139" s="104"/>
      <c r="H1139" s="104"/>
      <c r="I1139" s="104"/>
    </row>
    <row r="1140" spans="2:9">
      <c r="B1140" s="104"/>
      <c r="C1140" s="104"/>
      <c r="D1140" s="104"/>
      <c r="E1140" s="104"/>
      <c r="F1140" s="104"/>
      <c r="G1140" s="104"/>
      <c r="H1140" s="104"/>
      <c r="I1140" s="104"/>
    </row>
    <row r="1141" spans="2:9">
      <c r="B1141" s="104"/>
      <c r="C1141" s="104"/>
      <c r="D1141" s="104"/>
      <c r="E1141" s="104"/>
      <c r="F1141" s="104"/>
      <c r="G1141" s="104"/>
      <c r="H1141" s="104"/>
      <c r="I1141" s="104"/>
    </row>
    <row r="1142" spans="2:9">
      <c r="B1142" s="104"/>
      <c r="C1142" s="104"/>
      <c r="D1142" s="104"/>
      <c r="E1142" s="104"/>
      <c r="F1142" s="104"/>
      <c r="G1142" s="104"/>
      <c r="H1142" s="104"/>
      <c r="I1142" s="104"/>
    </row>
    <row r="1143" spans="2:9">
      <c r="B1143" s="104"/>
      <c r="C1143" s="104"/>
      <c r="D1143" s="104"/>
      <c r="E1143" s="104"/>
      <c r="F1143" s="104"/>
      <c r="G1143" s="104"/>
      <c r="H1143" s="104"/>
      <c r="I1143" s="104"/>
    </row>
    <row r="1144" spans="2:9">
      <c r="B1144" s="104"/>
      <c r="C1144" s="104"/>
      <c r="D1144" s="104"/>
      <c r="E1144" s="104"/>
      <c r="F1144" s="104"/>
      <c r="G1144" s="104"/>
      <c r="H1144" s="104"/>
      <c r="I1144" s="104"/>
    </row>
    <row r="1145" spans="2:9">
      <c r="B1145" s="104"/>
      <c r="C1145" s="104"/>
      <c r="D1145" s="104"/>
      <c r="E1145" s="104"/>
      <c r="F1145" s="104"/>
      <c r="G1145" s="104"/>
      <c r="H1145" s="104"/>
      <c r="I1145" s="104"/>
    </row>
    <row r="1146" spans="2:9">
      <c r="B1146" s="104"/>
      <c r="C1146" s="104"/>
      <c r="D1146" s="104"/>
      <c r="E1146" s="104"/>
      <c r="F1146" s="104"/>
      <c r="G1146" s="104"/>
      <c r="H1146" s="104"/>
      <c r="I1146" s="104"/>
    </row>
    <row r="1147" spans="2:9">
      <c r="B1147" s="104"/>
      <c r="C1147" s="104"/>
      <c r="D1147" s="104"/>
      <c r="E1147" s="104"/>
      <c r="F1147" s="104"/>
      <c r="G1147" s="104"/>
      <c r="H1147" s="104"/>
      <c r="I1147" s="104"/>
    </row>
    <row r="1148" spans="2:9">
      <c r="B1148" s="104"/>
      <c r="C1148" s="104"/>
      <c r="D1148" s="104"/>
      <c r="E1148" s="104"/>
      <c r="F1148" s="104"/>
      <c r="G1148" s="104"/>
      <c r="H1148" s="104"/>
      <c r="I1148" s="104"/>
    </row>
    <row r="1149" spans="2:9">
      <c r="B1149" s="104"/>
      <c r="C1149" s="104"/>
      <c r="D1149" s="104"/>
      <c r="E1149" s="104"/>
      <c r="F1149" s="104"/>
      <c r="G1149" s="104"/>
      <c r="H1149" s="104"/>
      <c r="I1149" s="104"/>
    </row>
    <row r="1150" spans="2:9">
      <c r="B1150" s="104"/>
      <c r="C1150" s="104"/>
      <c r="D1150" s="104"/>
      <c r="E1150" s="104"/>
      <c r="F1150" s="104"/>
      <c r="G1150" s="104"/>
      <c r="H1150" s="104"/>
      <c r="I1150" s="104"/>
    </row>
    <row r="1151" spans="2:9">
      <c r="B1151" s="104"/>
      <c r="C1151" s="104"/>
      <c r="D1151" s="104"/>
      <c r="E1151" s="104"/>
      <c r="F1151" s="104"/>
      <c r="G1151" s="104"/>
      <c r="H1151" s="104"/>
      <c r="I1151" s="104"/>
    </row>
    <row r="1152" spans="2:9">
      <c r="B1152" s="104"/>
      <c r="C1152" s="104"/>
      <c r="D1152" s="104"/>
      <c r="E1152" s="104"/>
      <c r="F1152" s="104"/>
      <c r="G1152" s="104"/>
      <c r="H1152" s="104"/>
      <c r="I1152" s="104"/>
    </row>
    <row r="1153" spans="2:9">
      <c r="B1153" s="104"/>
      <c r="C1153" s="104"/>
      <c r="D1153" s="104"/>
      <c r="E1153" s="104"/>
      <c r="F1153" s="104"/>
      <c r="G1153" s="104"/>
      <c r="H1153" s="104"/>
      <c r="I1153" s="104"/>
    </row>
    <row r="1154" spans="2:9">
      <c r="B1154" s="104"/>
      <c r="C1154" s="104"/>
      <c r="D1154" s="104"/>
      <c r="E1154" s="104"/>
      <c r="F1154" s="104"/>
      <c r="G1154" s="104"/>
      <c r="H1154" s="104"/>
      <c r="I1154" s="104"/>
    </row>
    <row r="1155" spans="2:9">
      <c r="B1155" s="104"/>
      <c r="C1155" s="104"/>
      <c r="D1155" s="104"/>
      <c r="E1155" s="104"/>
      <c r="F1155" s="104"/>
      <c r="G1155" s="104"/>
      <c r="H1155" s="104"/>
      <c r="I1155" s="104"/>
    </row>
    <row r="1156" spans="2:9">
      <c r="B1156" s="104"/>
      <c r="C1156" s="104"/>
      <c r="D1156" s="104"/>
      <c r="E1156" s="104"/>
      <c r="F1156" s="104"/>
      <c r="G1156" s="104"/>
      <c r="H1156" s="104"/>
      <c r="I1156" s="104"/>
    </row>
    <row r="1157" spans="2:9">
      <c r="B1157" s="104"/>
      <c r="C1157" s="104"/>
      <c r="D1157" s="104"/>
      <c r="E1157" s="104"/>
      <c r="F1157" s="104"/>
      <c r="G1157" s="104"/>
      <c r="H1157" s="104"/>
      <c r="I1157" s="104"/>
    </row>
    <row r="1158" spans="2:9">
      <c r="B1158" s="104"/>
      <c r="C1158" s="104"/>
      <c r="D1158" s="104"/>
      <c r="E1158" s="104"/>
      <c r="F1158" s="104"/>
      <c r="G1158" s="104"/>
      <c r="H1158" s="104"/>
      <c r="I1158" s="104"/>
    </row>
    <row r="1159" spans="2:9">
      <c r="B1159" s="104"/>
      <c r="C1159" s="104"/>
      <c r="D1159" s="104"/>
      <c r="E1159" s="104"/>
      <c r="F1159" s="104"/>
      <c r="G1159" s="104"/>
      <c r="H1159" s="104"/>
      <c r="I1159" s="104"/>
    </row>
    <row r="1160" spans="2:9">
      <c r="B1160" s="104"/>
      <c r="C1160" s="104"/>
      <c r="D1160" s="104"/>
      <c r="E1160" s="104"/>
      <c r="F1160" s="104"/>
      <c r="G1160" s="104"/>
      <c r="H1160" s="104"/>
      <c r="I1160" s="104"/>
    </row>
    <row r="1161" spans="2:9">
      <c r="B1161" s="104"/>
      <c r="C1161" s="104"/>
      <c r="D1161" s="104"/>
      <c r="E1161" s="104"/>
      <c r="F1161" s="104"/>
      <c r="G1161" s="104"/>
      <c r="H1161" s="104"/>
      <c r="I1161" s="104"/>
    </row>
    <row r="1162" spans="2:9">
      <c r="B1162" s="104"/>
      <c r="C1162" s="104"/>
      <c r="D1162" s="104"/>
      <c r="E1162" s="104"/>
      <c r="F1162" s="104"/>
      <c r="G1162" s="104"/>
      <c r="H1162" s="104"/>
      <c r="I1162" s="104"/>
    </row>
    <row r="1163" spans="2:9">
      <c r="B1163" s="104"/>
      <c r="C1163" s="104"/>
      <c r="D1163" s="104"/>
      <c r="E1163" s="104"/>
      <c r="F1163" s="104"/>
      <c r="G1163" s="104"/>
      <c r="H1163" s="104"/>
      <c r="I1163" s="104"/>
    </row>
    <row r="1164" spans="2:9">
      <c r="B1164" s="104"/>
      <c r="C1164" s="104"/>
      <c r="D1164" s="104"/>
      <c r="E1164" s="104"/>
      <c r="F1164" s="104"/>
      <c r="G1164" s="104"/>
      <c r="H1164" s="104"/>
      <c r="I1164" s="104"/>
    </row>
    <row r="1165" spans="2:9">
      <c r="B1165" s="104"/>
      <c r="C1165" s="104"/>
      <c r="D1165" s="104"/>
      <c r="E1165" s="104"/>
      <c r="F1165" s="104"/>
      <c r="G1165" s="104"/>
      <c r="H1165" s="104"/>
      <c r="I1165" s="104"/>
    </row>
    <row r="1166" spans="2:9">
      <c r="B1166" s="104"/>
      <c r="C1166" s="104"/>
      <c r="D1166" s="104"/>
      <c r="E1166" s="104"/>
      <c r="F1166" s="104"/>
      <c r="G1166" s="104"/>
      <c r="H1166" s="104"/>
      <c r="I1166" s="104"/>
    </row>
    <row r="1167" spans="2:9">
      <c r="B1167" s="104"/>
      <c r="C1167" s="104"/>
      <c r="D1167" s="104"/>
      <c r="E1167" s="104"/>
      <c r="F1167" s="104"/>
      <c r="G1167" s="104"/>
      <c r="H1167" s="104"/>
      <c r="I1167" s="104"/>
    </row>
    <row r="1168" spans="2:9">
      <c r="B1168" s="104"/>
      <c r="C1168" s="104"/>
      <c r="D1168" s="104"/>
      <c r="E1168" s="104"/>
      <c r="F1168" s="104"/>
      <c r="G1168" s="104"/>
      <c r="H1168" s="104"/>
      <c r="I1168" s="104"/>
    </row>
    <row r="1169" spans="2:9">
      <c r="B1169" s="104"/>
      <c r="C1169" s="104"/>
      <c r="D1169" s="104"/>
      <c r="E1169" s="104"/>
      <c r="F1169" s="104"/>
      <c r="G1169" s="104"/>
      <c r="H1169" s="104"/>
      <c r="I1169" s="104"/>
    </row>
    <row r="1170" spans="2:9">
      <c r="B1170" s="104"/>
      <c r="C1170" s="104"/>
      <c r="D1170" s="104"/>
      <c r="E1170" s="104"/>
      <c r="F1170" s="104"/>
      <c r="G1170" s="104"/>
      <c r="H1170" s="104"/>
      <c r="I1170" s="104"/>
    </row>
    <row r="1171" spans="2:9">
      <c r="B1171" s="104"/>
      <c r="C1171" s="104"/>
      <c r="D1171" s="104"/>
      <c r="E1171" s="104"/>
      <c r="F1171" s="104"/>
      <c r="G1171" s="104"/>
      <c r="H1171" s="104"/>
      <c r="I1171" s="104"/>
    </row>
    <row r="1172" spans="2:9">
      <c r="B1172" s="104"/>
      <c r="C1172" s="104"/>
      <c r="D1172" s="104"/>
      <c r="E1172" s="104"/>
      <c r="F1172" s="104"/>
      <c r="G1172" s="104"/>
      <c r="H1172" s="104"/>
      <c r="I1172" s="104"/>
    </row>
    <row r="1173" spans="2:9">
      <c r="B1173" s="104"/>
      <c r="C1173" s="104"/>
      <c r="D1173" s="104"/>
      <c r="E1173" s="104"/>
      <c r="F1173" s="104"/>
      <c r="G1173" s="104"/>
      <c r="H1173" s="104"/>
      <c r="I1173" s="104"/>
    </row>
    <row r="1174" spans="2:9">
      <c r="B1174" s="104"/>
      <c r="C1174" s="104"/>
      <c r="D1174" s="104"/>
      <c r="E1174" s="104"/>
      <c r="F1174" s="104"/>
      <c r="G1174" s="104"/>
      <c r="H1174" s="104"/>
      <c r="I1174" s="104"/>
    </row>
    <row r="1175" spans="2:9">
      <c r="B1175" s="104"/>
      <c r="C1175" s="104"/>
      <c r="D1175" s="104"/>
      <c r="E1175" s="104"/>
      <c r="F1175" s="104"/>
      <c r="G1175" s="104"/>
      <c r="H1175" s="104"/>
      <c r="I1175" s="104"/>
    </row>
    <row r="1176" spans="2:9">
      <c r="B1176" s="104"/>
      <c r="C1176" s="104"/>
      <c r="D1176" s="104"/>
      <c r="E1176" s="104"/>
      <c r="F1176" s="104"/>
      <c r="G1176" s="104"/>
      <c r="H1176" s="104"/>
      <c r="I1176" s="104"/>
    </row>
    <row r="1177" spans="2:9">
      <c r="B1177" s="104"/>
      <c r="C1177" s="104"/>
      <c r="D1177" s="104"/>
      <c r="E1177" s="104"/>
      <c r="F1177" s="104"/>
      <c r="G1177" s="104"/>
      <c r="H1177" s="104"/>
      <c r="I1177" s="104"/>
    </row>
    <row r="1178" spans="2:9">
      <c r="B1178" s="104"/>
      <c r="C1178" s="104"/>
      <c r="D1178" s="104"/>
      <c r="E1178" s="104"/>
      <c r="F1178" s="104"/>
      <c r="G1178" s="104"/>
      <c r="H1178" s="104"/>
      <c r="I1178" s="104"/>
    </row>
    <row r="1179" spans="2:9">
      <c r="B1179" s="104"/>
      <c r="C1179" s="104"/>
      <c r="D1179" s="104"/>
      <c r="E1179" s="104"/>
      <c r="F1179" s="104"/>
      <c r="G1179" s="104"/>
      <c r="H1179" s="104"/>
      <c r="I1179" s="104"/>
    </row>
    <row r="1180" spans="2:9">
      <c r="B1180" s="104"/>
      <c r="C1180" s="104"/>
      <c r="D1180" s="104"/>
      <c r="E1180" s="104"/>
      <c r="F1180" s="104"/>
      <c r="G1180" s="104"/>
      <c r="H1180" s="104"/>
      <c r="I1180" s="104"/>
    </row>
    <row r="1181" spans="2:9">
      <c r="B1181" s="104"/>
      <c r="C1181" s="104"/>
      <c r="D1181" s="104"/>
      <c r="E1181" s="104"/>
      <c r="F1181" s="104"/>
      <c r="G1181" s="104"/>
      <c r="H1181" s="104"/>
      <c r="I1181" s="104"/>
    </row>
    <row r="1182" spans="2:9">
      <c r="B1182" s="104"/>
      <c r="C1182" s="104"/>
      <c r="D1182" s="104"/>
      <c r="E1182" s="104"/>
      <c r="F1182" s="104"/>
      <c r="G1182" s="104"/>
      <c r="H1182" s="104"/>
      <c r="I1182" s="104"/>
    </row>
    <row r="1183" spans="2:9">
      <c r="B1183" s="104"/>
      <c r="C1183" s="104"/>
      <c r="D1183" s="104"/>
      <c r="E1183" s="104"/>
      <c r="F1183" s="104"/>
      <c r="G1183" s="104"/>
      <c r="H1183" s="104"/>
      <c r="I1183" s="104"/>
    </row>
    <row r="1184" spans="2:9">
      <c r="B1184" s="104"/>
      <c r="C1184" s="104"/>
      <c r="D1184" s="104"/>
      <c r="E1184" s="104"/>
      <c r="F1184" s="104"/>
      <c r="G1184" s="104"/>
      <c r="H1184" s="104"/>
      <c r="I1184" s="104"/>
    </row>
    <row r="1185" spans="2:9">
      <c r="B1185" s="104"/>
      <c r="C1185" s="104"/>
      <c r="D1185" s="104"/>
      <c r="E1185" s="104"/>
      <c r="F1185" s="104"/>
      <c r="G1185" s="104"/>
      <c r="H1185" s="104"/>
      <c r="I1185" s="104"/>
    </row>
    <row r="1186" spans="2:9">
      <c r="B1186" s="104"/>
      <c r="C1186" s="104"/>
      <c r="D1186" s="104"/>
      <c r="E1186" s="104"/>
      <c r="F1186" s="104"/>
      <c r="G1186" s="104"/>
      <c r="H1186" s="104"/>
      <c r="I1186" s="104"/>
    </row>
    <row r="1187" spans="2:9">
      <c r="B1187" s="104"/>
      <c r="C1187" s="104"/>
      <c r="D1187" s="104"/>
      <c r="E1187" s="104"/>
      <c r="F1187" s="104"/>
      <c r="G1187" s="104"/>
      <c r="H1187" s="104"/>
      <c r="I1187" s="104"/>
    </row>
    <row r="1188" spans="2:9">
      <c r="B1188" s="104"/>
      <c r="C1188" s="104"/>
      <c r="D1188" s="104"/>
      <c r="E1188" s="104"/>
      <c r="F1188" s="104"/>
      <c r="G1188" s="104"/>
      <c r="H1188" s="104"/>
      <c r="I1188" s="104"/>
    </row>
    <row r="1189" spans="2:9">
      <c r="B1189" s="104"/>
      <c r="C1189" s="104"/>
      <c r="D1189" s="104"/>
      <c r="E1189" s="104"/>
      <c r="F1189" s="104"/>
      <c r="G1189" s="104"/>
      <c r="H1189" s="104"/>
      <c r="I1189" s="104"/>
    </row>
    <row r="1190" spans="2:9">
      <c r="B1190" s="104"/>
      <c r="C1190" s="104"/>
      <c r="D1190" s="104"/>
      <c r="E1190" s="104"/>
      <c r="F1190" s="104"/>
      <c r="G1190" s="104"/>
      <c r="H1190" s="104"/>
      <c r="I1190" s="104"/>
    </row>
    <row r="1191" spans="2:9">
      <c r="B1191" s="104"/>
      <c r="C1191" s="104"/>
      <c r="D1191" s="104"/>
      <c r="E1191" s="104"/>
      <c r="F1191" s="104"/>
      <c r="G1191" s="104"/>
      <c r="H1191" s="104"/>
      <c r="I1191" s="104"/>
    </row>
    <row r="1192" spans="2:9">
      <c r="B1192" s="104"/>
      <c r="C1192" s="104"/>
      <c r="D1192" s="104"/>
      <c r="E1192" s="104"/>
      <c r="F1192" s="104"/>
      <c r="G1192" s="104"/>
      <c r="H1192" s="104"/>
      <c r="I1192" s="104"/>
    </row>
    <row r="1193" spans="2:9">
      <c r="B1193" s="104"/>
      <c r="C1193" s="104"/>
      <c r="D1193" s="104"/>
      <c r="E1193" s="104"/>
      <c r="F1193" s="104"/>
      <c r="G1193" s="104"/>
      <c r="H1193" s="104"/>
      <c r="I1193" s="104"/>
    </row>
    <row r="1194" spans="2:9">
      <c r="B1194" s="104"/>
      <c r="C1194" s="104"/>
      <c r="D1194" s="104"/>
      <c r="E1194" s="104"/>
      <c r="F1194" s="104"/>
      <c r="G1194" s="104"/>
      <c r="H1194" s="104"/>
      <c r="I1194" s="104"/>
    </row>
    <row r="1195" spans="2:9">
      <c r="B1195" s="104"/>
      <c r="C1195" s="104"/>
      <c r="D1195" s="104"/>
      <c r="E1195" s="104"/>
      <c r="F1195" s="104"/>
      <c r="G1195" s="104"/>
      <c r="H1195" s="104"/>
      <c r="I1195" s="104"/>
    </row>
    <row r="1196" spans="2:9">
      <c r="B1196" s="104"/>
      <c r="C1196" s="104"/>
      <c r="D1196" s="104"/>
      <c r="E1196" s="104"/>
      <c r="F1196" s="104"/>
      <c r="G1196" s="104"/>
      <c r="H1196" s="104"/>
      <c r="I1196" s="104"/>
    </row>
    <row r="1197" spans="2:9">
      <c r="B1197" s="104"/>
      <c r="C1197" s="104"/>
      <c r="D1197" s="104"/>
      <c r="E1197" s="104"/>
      <c r="F1197" s="104"/>
      <c r="G1197" s="104"/>
      <c r="H1197" s="104"/>
      <c r="I1197" s="104"/>
    </row>
    <row r="1198" spans="2:9">
      <c r="B1198" s="104"/>
      <c r="C1198" s="104"/>
      <c r="D1198" s="104"/>
      <c r="E1198" s="104"/>
      <c r="F1198" s="104"/>
      <c r="G1198" s="104"/>
      <c r="H1198" s="104"/>
      <c r="I1198" s="104"/>
    </row>
    <row r="1199" spans="2:9">
      <c r="B1199" s="104"/>
      <c r="C1199" s="104"/>
      <c r="D1199" s="104"/>
      <c r="E1199" s="104"/>
      <c r="F1199" s="104"/>
      <c r="G1199" s="104"/>
      <c r="H1199" s="104"/>
      <c r="I1199" s="104"/>
    </row>
    <row r="1200" spans="2:9">
      <c r="B1200" s="104"/>
      <c r="C1200" s="104"/>
      <c r="D1200" s="104"/>
      <c r="E1200" s="104"/>
      <c r="F1200" s="104"/>
      <c r="G1200" s="104"/>
      <c r="H1200" s="104"/>
      <c r="I1200" s="104"/>
    </row>
    <row r="1201" spans="2:9">
      <c r="B1201" s="104"/>
      <c r="C1201" s="104"/>
      <c r="D1201" s="104"/>
      <c r="E1201" s="104"/>
      <c r="F1201" s="104"/>
      <c r="G1201" s="104"/>
      <c r="H1201" s="104"/>
      <c r="I1201" s="104"/>
    </row>
    <row r="1202" spans="2:9">
      <c r="B1202" s="104"/>
      <c r="C1202" s="104"/>
      <c r="D1202" s="104"/>
      <c r="E1202" s="104"/>
      <c r="F1202" s="104"/>
      <c r="G1202" s="104"/>
      <c r="H1202" s="104"/>
      <c r="I1202" s="104"/>
    </row>
    <row r="1203" spans="2:9">
      <c r="B1203" s="104"/>
      <c r="C1203" s="104"/>
      <c r="D1203" s="104"/>
      <c r="E1203" s="104"/>
      <c r="F1203" s="104"/>
      <c r="G1203" s="104"/>
      <c r="H1203" s="104"/>
      <c r="I1203" s="104"/>
    </row>
    <row r="1204" spans="2:9">
      <c r="B1204" s="104"/>
      <c r="C1204" s="104"/>
      <c r="D1204" s="104"/>
      <c r="E1204" s="104"/>
      <c r="F1204" s="104"/>
      <c r="G1204" s="104"/>
      <c r="H1204" s="104"/>
      <c r="I1204" s="104"/>
    </row>
    <row r="1205" spans="2:9">
      <c r="B1205" s="104"/>
      <c r="C1205" s="104"/>
      <c r="D1205" s="104"/>
      <c r="E1205" s="104"/>
      <c r="F1205" s="104"/>
      <c r="G1205" s="104"/>
      <c r="H1205" s="104"/>
      <c r="I1205" s="104"/>
    </row>
    <row r="1206" spans="2:9">
      <c r="B1206" s="104"/>
      <c r="C1206" s="104"/>
      <c r="D1206" s="104"/>
      <c r="E1206" s="104"/>
      <c r="F1206" s="104"/>
      <c r="G1206" s="104"/>
      <c r="H1206" s="104"/>
      <c r="I1206" s="104"/>
    </row>
    <row r="1207" spans="2:9">
      <c r="B1207" s="104"/>
      <c r="C1207" s="104"/>
      <c r="D1207" s="104"/>
      <c r="E1207" s="104"/>
      <c r="F1207" s="104"/>
      <c r="G1207" s="104"/>
      <c r="H1207" s="104"/>
      <c r="I1207" s="104"/>
    </row>
    <row r="1208" spans="2:9">
      <c r="B1208" s="104"/>
      <c r="C1208" s="104"/>
      <c r="D1208" s="104"/>
      <c r="E1208" s="104"/>
      <c r="F1208" s="104"/>
      <c r="G1208" s="104"/>
      <c r="H1208" s="104"/>
      <c r="I1208" s="104"/>
    </row>
    <row r="1209" spans="2:9">
      <c r="B1209" s="104"/>
      <c r="C1209" s="104"/>
      <c r="D1209" s="104"/>
      <c r="E1209" s="104"/>
      <c r="F1209" s="104"/>
      <c r="G1209" s="104"/>
      <c r="H1209" s="104"/>
      <c r="I1209" s="104"/>
    </row>
    <row r="1210" spans="2:9">
      <c r="B1210" s="104"/>
      <c r="C1210" s="104"/>
      <c r="D1210" s="104"/>
      <c r="E1210" s="104"/>
      <c r="F1210" s="104"/>
      <c r="G1210" s="104"/>
      <c r="H1210" s="104"/>
      <c r="I1210" s="104"/>
    </row>
    <row r="1211" spans="2:9">
      <c r="B1211" s="104"/>
      <c r="C1211" s="104"/>
      <c r="D1211" s="104"/>
      <c r="E1211" s="104"/>
      <c r="F1211" s="104"/>
      <c r="G1211" s="104"/>
      <c r="H1211" s="104"/>
      <c r="I1211" s="104"/>
    </row>
    <row r="1212" spans="2:9">
      <c r="B1212" s="104"/>
      <c r="C1212" s="104"/>
      <c r="D1212" s="104"/>
      <c r="E1212" s="104"/>
      <c r="F1212" s="104"/>
      <c r="G1212" s="104"/>
      <c r="H1212" s="104"/>
      <c r="I1212" s="104"/>
    </row>
    <row r="1213" spans="2:9">
      <c r="B1213" s="104"/>
      <c r="C1213" s="104"/>
      <c r="D1213" s="104"/>
      <c r="E1213" s="104"/>
      <c r="F1213" s="104"/>
      <c r="G1213" s="104"/>
      <c r="H1213" s="104"/>
      <c r="I1213" s="104"/>
    </row>
    <row r="1214" spans="2:9">
      <c r="B1214" s="104"/>
      <c r="C1214" s="104"/>
      <c r="D1214" s="104"/>
      <c r="E1214" s="104"/>
      <c r="F1214" s="104"/>
      <c r="G1214" s="104"/>
      <c r="H1214" s="104"/>
      <c r="I1214" s="104"/>
    </row>
    <row r="1215" spans="2:9">
      <c r="B1215" s="104"/>
      <c r="C1215" s="104"/>
      <c r="D1215" s="104"/>
      <c r="E1215" s="104"/>
      <c r="F1215" s="104"/>
      <c r="G1215" s="104"/>
      <c r="H1215" s="104"/>
      <c r="I1215" s="104"/>
    </row>
    <row r="1216" spans="2:9">
      <c r="B1216" s="104"/>
      <c r="C1216" s="104"/>
      <c r="D1216" s="104"/>
      <c r="E1216" s="104"/>
      <c r="F1216" s="104"/>
      <c r="G1216" s="104"/>
      <c r="H1216" s="104"/>
      <c r="I1216" s="104"/>
    </row>
    <row r="1217" spans="2:9">
      <c r="B1217" s="104"/>
      <c r="C1217" s="104"/>
      <c r="D1217" s="104"/>
      <c r="E1217" s="104"/>
      <c r="F1217" s="104"/>
      <c r="G1217" s="104"/>
      <c r="H1217" s="104"/>
      <c r="I1217" s="104"/>
    </row>
    <row r="1218" spans="2:9">
      <c r="B1218" s="104"/>
      <c r="C1218" s="104"/>
      <c r="D1218" s="104"/>
      <c r="E1218" s="104"/>
      <c r="F1218" s="104"/>
      <c r="G1218" s="104"/>
      <c r="H1218" s="104"/>
      <c r="I1218" s="104"/>
    </row>
    <row r="1219" spans="2:9">
      <c r="B1219" s="104"/>
      <c r="C1219" s="104"/>
      <c r="D1219" s="104"/>
      <c r="E1219" s="104"/>
      <c r="F1219" s="104"/>
      <c r="G1219" s="104"/>
      <c r="H1219" s="104"/>
      <c r="I1219" s="104"/>
    </row>
    <row r="1220" spans="2:9">
      <c r="B1220" s="104"/>
      <c r="C1220" s="104"/>
      <c r="D1220" s="104"/>
      <c r="E1220" s="104"/>
      <c r="F1220" s="104"/>
      <c r="G1220" s="104"/>
      <c r="H1220" s="104"/>
      <c r="I1220" s="104"/>
    </row>
    <row r="1221" spans="2:9">
      <c r="B1221" s="104"/>
      <c r="C1221" s="104"/>
      <c r="D1221" s="104"/>
      <c r="E1221" s="104"/>
      <c r="F1221" s="104"/>
      <c r="G1221" s="104"/>
      <c r="H1221" s="104"/>
      <c r="I1221" s="104"/>
    </row>
    <row r="1222" spans="2:9">
      <c r="B1222" s="104"/>
      <c r="C1222" s="104"/>
      <c r="D1222" s="104"/>
      <c r="E1222" s="104"/>
      <c r="F1222" s="104"/>
      <c r="G1222" s="104"/>
      <c r="H1222" s="104"/>
      <c r="I1222" s="104"/>
    </row>
    <row r="1223" spans="2:9">
      <c r="B1223" s="104"/>
      <c r="C1223" s="104"/>
      <c r="D1223" s="104"/>
      <c r="E1223" s="104"/>
      <c r="F1223" s="104"/>
      <c r="G1223" s="104"/>
      <c r="H1223" s="104"/>
      <c r="I1223" s="104"/>
    </row>
    <row r="1224" spans="2:9">
      <c r="B1224" s="104"/>
      <c r="C1224" s="104"/>
      <c r="D1224" s="104"/>
      <c r="E1224" s="104"/>
      <c r="F1224" s="104"/>
      <c r="G1224" s="104"/>
      <c r="H1224" s="104"/>
      <c r="I1224" s="104"/>
    </row>
    <row r="1225" spans="2:9">
      <c r="B1225" s="104"/>
      <c r="C1225" s="104"/>
      <c r="D1225" s="104"/>
      <c r="E1225" s="104"/>
      <c r="F1225" s="104"/>
      <c r="G1225" s="104"/>
      <c r="H1225" s="104"/>
      <c r="I1225" s="104"/>
    </row>
    <row r="1226" spans="2:9">
      <c r="B1226" s="104"/>
      <c r="C1226" s="104"/>
      <c r="D1226" s="104"/>
      <c r="E1226" s="104"/>
      <c r="F1226" s="104"/>
      <c r="G1226" s="104"/>
      <c r="H1226" s="104"/>
      <c r="I1226" s="104"/>
    </row>
    <row r="1227" spans="2:9">
      <c r="B1227" s="104"/>
      <c r="C1227" s="104"/>
      <c r="D1227" s="104"/>
      <c r="E1227" s="104"/>
      <c r="F1227" s="104"/>
      <c r="G1227" s="104"/>
      <c r="H1227" s="104"/>
      <c r="I1227" s="104"/>
    </row>
    <row r="1228" spans="2:9">
      <c r="B1228" s="104"/>
      <c r="C1228" s="104"/>
      <c r="D1228" s="104"/>
      <c r="E1228" s="104"/>
      <c r="F1228" s="104"/>
      <c r="G1228" s="104"/>
      <c r="H1228" s="104"/>
      <c r="I1228" s="104"/>
    </row>
    <row r="1229" spans="2:9">
      <c r="B1229" s="104"/>
      <c r="C1229" s="104"/>
      <c r="D1229" s="104"/>
      <c r="E1229" s="104"/>
      <c r="F1229" s="104"/>
      <c r="G1229" s="104"/>
      <c r="H1229" s="104"/>
      <c r="I1229" s="104"/>
    </row>
    <row r="1230" spans="2:9">
      <c r="B1230" s="104"/>
      <c r="C1230" s="104"/>
      <c r="D1230" s="104"/>
      <c r="E1230" s="104"/>
      <c r="F1230" s="104"/>
      <c r="G1230" s="104"/>
      <c r="H1230" s="104"/>
      <c r="I1230" s="104"/>
    </row>
    <row r="1231" spans="2:9">
      <c r="B1231" s="104"/>
      <c r="C1231" s="104"/>
      <c r="D1231" s="104"/>
      <c r="E1231" s="104"/>
      <c r="F1231" s="104"/>
      <c r="G1231" s="104"/>
      <c r="H1231" s="104"/>
      <c r="I1231" s="104"/>
    </row>
    <row r="1232" spans="2:9">
      <c r="B1232" s="104"/>
      <c r="C1232" s="104"/>
      <c r="D1232" s="104"/>
      <c r="E1232" s="104"/>
      <c r="F1232" s="104"/>
      <c r="G1232" s="104"/>
      <c r="H1232" s="104"/>
      <c r="I1232" s="104"/>
    </row>
    <row r="1233" spans="2:9">
      <c r="B1233" s="104"/>
      <c r="C1233" s="104"/>
      <c r="D1233" s="104"/>
      <c r="E1233" s="104"/>
      <c r="F1233" s="104"/>
      <c r="G1233" s="104"/>
      <c r="H1233" s="104"/>
      <c r="I1233" s="104"/>
    </row>
    <row r="1234" spans="2:9">
      <c r="B1234" s="104"/>
      <c r="C1234" s="104"/>
      <c r="D1234" s="104"/>
      <c r="E1234" s="104"/>
      <c r="F1234" s="104"/>
      <c r="G1234" s="104"/>
      <c r="H1234" s="104"/>
      <c r="I1234" s="104"/>
    </row>
    <row r="1235" spans="2:9">
      <c r="B1235" s="104"/>
      <c r="C1235" s="104"/>
      <c r="D1235" s="104"/>
      <c r="E1235" s="104"/>
      <c r="F1235" s="104"/>
      <c r="G1235" s="104"/>
      <c r="H1235" s="104"/>
      <c r="I1235" s="104"/>
    </row>
    <row r="1236" spans="2:9">
      <c r="B1236" s="104"/>
      <c r="C1236" s="104"/>
      <c r="D1236" s="104"/>
      <c r="E1236" s="104"/>
      <c r="F1236" s="104"/>
      <c r="G1236" s="104"/>
      <c r="H1236" s="104"/>
      <c r="I1236" s="104"/>
    </row>
    <row r="1237" spans="2:9">
      <c r="B1237" s="104"/>
      <c r="C1237" s="104"/>
      <c r="D1237" s="104"/>
      <c r="E1237" s="104"/>
      <c r="F1237" s="104"/>
      <c r="G1237" s="104"/>
      <c r="H1237" s="104"/>
      <c r="I1237" s="104"/>
    </row>
    <row r="1238" spans="2:9">
      <c r="B1238" s="104"/>
      <c r="C1238" s="104"/>
      <c r="D1238" s="104"/>
      <c r="E1238" s="104"/>
      <c r="F1238" s="104"/>
      <c r="G1238" s="104"/>
      <c r="H1238" s="104"/>
      <c r="I1238" s="104"/>
    </row>
    <row r="1239" spans="2:9">
      <c r="B1239" s="104"/>
      <c r="C1239" s="104"/>
      <c r="D1239" s="104"/>
      <c r="E1239" s="104"/>
      <c r="F1239" s="104"/>
      <c r="G1239" s="104"/>
      <c r="H1239" s="104"/>
      <c r="I1239" s="104"/>
    </row>
    <row r="1240" spans="2:9">
      <c r="B1240" s="104"/>
      <c r="C1240" s="104"/>
      <c r="D1240" s="104"/>
      <c r="E1240" s="104"/>
      <c r="F1240" s="104"/>
      <c r="G1240" s="104"/>
      <c r="H1240" s="104"/>
      <c r="I1240" s="104"/>
    </row>
    <row r="1241" spans="2:9">
      <c r="B1241" s="104"/>
      <c r="C1241" s="104"/>
      <c r="D1241" s="104"/>
      <c r="E1241" s="104"/>
      <c r="F1241" s="104"/>
      <c r="G1241" s="104"/>
      <c r="H1241" s="104"/>
      <c r="I1241" s="104"/>
    </row>
    <row r="1242" spans="2:9">
      <c r="B1242" s="104"/>
      <c r="C1242" s="104"/>
      <c r="D1242" s="104"/>
      <c r="E1242" s="104"/>
      <c r="F1242" s="104"/>
      <c r="G1242" s="104"/>
      <c r="H1242" s="104"/>
      <c r="I1242" s="104"/>
    </row>
    <row r="1243" spans="2:9">
      <c r="B1243" s="104"/>
      <c r="C1243" s="104"/>
      <c r="D1243" s="104"/>
      <c r="E1243" s="104"/>
      <c r="F1243" s="104"/>
      <c r="G1243" s="104"/>
      <c r="H1243" s="104"/>
      <c r="I1243" s="104"/>
    </row>
    <row r="1244" spans="2:9">
      <c r="B1244" s="104"/>
      <c r="C1244" s="104"/>
      <c r="D1244" s="104"/>
      <c r="E1244" s="104"/>
      <c r="F1244" s="104"/>
      <c r="G1244" s="104"/>
      <c r="H1244" s="104"/>
      <c r="I1244" s="104"/>
    </row>
    <row r="1245" spans="2:9">
      <c r="B1245" s="104"/>
      <c r="C1245" s="104"/>
      <c r="D1245" s="104"/>
      <c r="E1245" s="104"/>
      <c r="F1245" s="104"/>
      <c r="G1245" s="104"/>
      <c r="H1245" s="104"/>
      <c r="I1245" s="104"/>
    </row>
    <row r="1246" spans="2:9">
      <c r="B1246" s="104"/>
      <c r="C1246" s="104"/>
      <c r="D1246" s="104"/>
      <c r="E1246" s="104"/>
      <c r="F1246" s="104"/>
      <c r="G1246" s="104"/>
      <c r="H1246" s="104"/>
      <c r="I1246" s="104"/>
    </row>
    <row r="1247" spans="2:9">
      <c r="B1247" s="104"/>
      <c r="C1247" s="104"/>
      <c r="D1247" s="104"/>
      <c r="E1247" s="104"/>
      <c r="F1247" s="104"/>
      <c r="G1247" s="104"/>
      <c r="H1247" s="104"/>
      <c r="I1247" s="104"/>
    </row>
    <row r="1248" spans="2:9">
      <c r="B1248" s="104"/>
      <c r="C1248" s="104"/>
      <c r="D1248" s="104"/>
      <c r="E1248" s="104"/>
      <c r="F1248" s="104"/>
      <c r="G1248" s="104"/>
      <c r="H1248" s="104"/>
      <c r="I1248" s="104"/>
    </row>
    <row r="1249" spans="2:9">
      <c r="B1249" s="104"/>
      <c r="C1249" s="104"/>
      <c r="D1249" s="104"/>
      <c r="E1249" s="104"/>
      <c r="F1249" s="104"/>
      <c r="G1249" s="104"/>
      <c r="H1249" s="104"/>
      <c r="I1249" s="104"/>
    </row>
    <row r="1250" spans="2:9">
      <c r="B1250" s="104"/>
      <c r="C1250" s="104"/>
      <c r="D1250" s="104"/>
      <c r="E1250" s="104"/>
      <c r="F1250" s="104"/>
      <c r="G1250" s="104"/>
      <c r="H1250" s="104"/>
      <c r="I1250" s="104"/>
    </row>
    <row r="1251" spans="2:9">
      <c r="B1251" s="104"/>
      <c r="C1251" s="104"/>
      <c r="D1251" s="104"/>
      <c r="E1251" s="104"/>
      <c r="F1251" s="104"/>
      <c r="G1251" s="104"/>
      <c r="H1251" s="104"/>
      <c r="I1251" s="104"/>
    </row>
    <row r="1252" spans="2:9">
      <c r="B1252" s="104"/>
      <c r="C1252" s="104"/>
      <c r="D1252" s="104"/>
      <c r="E1252" s="104"/>
      <c r="F1252" s="104"/>
      <c r="G1252" s="104"/>
      <c r="H1252" s="104"/>
      <c r="I1252" s="104"/>
    </row>
    <row r="1253" spans="2:9">
      <c r="B1253" s="104"/>
      <c r="C1253" s="104"/>
      <c r="D1253" s="104"/>
      <c r="E1253" s="104"/>
      <c r="F1253" s="104"/>
      <c r="G1253" s="104"/>
      <c r="H1253" s="104"/>
      <c r="I1253" s="104"/>
    </row>
    <row r="1254" spans="2:9">
      <c r="B1254" s="104"/>
      <c r="C1254" s="104"/>
      <c r="D1254" s="104"/>
      <c r="E1254" s="104"/>
      <c r="F1254" s="104"/>
      <c r="G1254" s="104"/>
      <c r="H1254" s="104"/>
      <c r="I1254" s="104"/>
    </row>
    <row r="1255" spans="2:9">
      <c r="B1255" s="104"/>
      <c r="C1255" s="104"/>
      <c r="D1255" s="104"/>
      <c r="E1255" s="104"/>
      <c r="F1255" s="104"/>
      <c r="G1255" s="104"/>
      <c r="H1255" s="104"/>
      <c r="I1255" s="104"/>
    </row>
    <row r="1256" spans="2:9">
      <c r="B1256" s="104"/>
      <c r="C1256" s="104"/>
      <c r="D1256" s="104"/>
      <c r="E1256" s="104"/>
      <c r="F1256" s="104"/>
      <c r="G1256" s="104"/>
      <c r="H1256" s="104"/>
      <c r="I1256" s="104"/>
    </row>
    <row r="1257" spans="2:9">
      <c r="B1257" s="104"/>
      <c r="C1257" s="104"/>
      <c r="D1257" s="104"/>
      <c r="E1257" s="104"/>
      <c r="F1257" s="104"/>
      <c r="G1257" s="104"/>
      <c r="H1257" s="104"/>
      <c r="I1257" s="104"/>
    </row>
    <row r="1258" spans="2:9">
      <c r="B1258" s="104"/>
      <c r="C1258" s="104"/>
      <c r="D1258" s="104"/>
      <c r="E1258" s="104"/>
      <c r="F1258" s="104"/>
      <c r="G1258" s="104"/>
      <c r="H1258" s="104"/>
      <c r="I1258" s="104"/>
    </row>
    <row r="1259" spans="2:9">
      <c r="B1259" s="104"/>
      <c r="C1259" s="104"/>
      <c r="D1259" s="104"/>
      <c r="E1259" s="104"/>
      <c r="F1259" s="104"/>
      <c r="G1259" s="104"/>
      <c r="H1259" s="104"/>
      <c r="I1259" s="104"/>
    </row>
    <row r="1260" spans="2:9">
      <c r="B1260" s="104"/>
      <c r="C1260" s="104"/>
      <c r="D1260" s="104"/>
      <c r="E1260" s="104"/>
      <c r="F1260" s="104"/>
      <c r="G1260" s="104"/>
      <c r="H1260" s="104"/>
      <c r="I1260" s="104"/>
    </row>
    <row r="1261" spans="2:9">
      <c r="B1261" s="104"/>
      <c r="C1261" s="104"/>
      <c r="D1261" s="104"/>
      <c r="E1261" s="104"/>
      <c r="F1261" s="104"/>
      <c r="G1261" s="104"/>
      <c r="H1261" s="104"/>
      <c r="I1261" s="104"/>
    </row>
    <row r="1262" spans="2:9">
      <c r="B1262" s="104"/>
      <c r="C1262" s="104"/>
      <c r="D1262" s="104"/>
      <c r="E1262" s="104"/>
      <c r="F1262" s="104"/>
      <c r="G1262" s="104"/>
      <c r="H1262" s="104"/>
      <c r="I1262" s="104"/>
    </row>
    <row r="1263" spans="2:9">
      <c r="B1263" s="104"/>
      <c r="C1263" s="104"/>
      <c r="D1263" s="104"/>
      <c r="E1263" s="104"/>
      <c r="F1263" s="104"/>
      <c r="G1263" s="104"/>
      <c r="H1263" s="104"/>
      <c r="I1263" s="104"/>
    </row>
    <row r="1264" spans="2:9">
      <c r="B1264" s="104"/>
      <c r="C1264" s="104"/>
      <c r="D1264" s="104"/>
      <c r="E1264" s="104"/>
      <c r="F1264" s="104"/>
      <c r="G1264" s="104"/>
      <c r="H1264" s="104"/>
      <c r="I1264" s="104"/>
    </row>
    <row r="1265" spans="2:9">
      <c r="B1265" s="104"/>
      <c r="C1265" s="104"/>
      <c r="D1265" s="104"/>
      <c r="E1265" s="104"/>
      <c r="F1265" s="104"/>
      <c r="G1265" s="104"/>
      <c r="H1265" s="104"/>
      <c r="I1265" s="104"/>
    </row>
    <row r="1266" spans="2:9">
      <c r="B1266" s="104"/>
      <c r="C1266" s="104"/>
      <c r="D1266" s="104"/>
      <c r="E1266" s="104"/>
      <c r="F1266" s="104"/>
      <c r="G1266" s="104"/>
      <c r="H1266" s="104"/>
      <c r="I1266" s="104"/>
    </row>
    <row r="1267" spans="2:9">
      <c r="B1267" s="104"/>
      <c r="C1267" s="104"/>
      <c r="D1267" s="104"/>
      <c r="E1267" s="104"/>
      <c r="F1267" s="104"/>
      <c r="G1267" s="104"/>
      <c r="H1267" s="104"/>
      <c r="I1267" s="104"/>
    </row>
    <row r="1268" spans="2:9">
      <c r="B1268" s="104"/>
      <c r="C1268" s="104"/>
      <c r="D1268" s="104"/>
      <c r="E1268" s="104"/>
      <c r="F1268" s="104"/>
      <c r="G1268" s="104"/>
      <c r="H1268" s="104"/>
      <c r="I1268" s="104"/>
    </row>
    <row r="1269" spans="2:9">
      <c r="B1269" s="104"/>
      <c r="C1269" s="104"/>
      <c r="D1269" s="104"/>
      <c r="E1269" s="104"/>
      <c r="F1269" s="104"/>
      <c r="G1269" s="104"/>
      <c r="H1269" s="104"/>
      <c r="I1269" s="104"/>
    </row>
    <row r="1270" spans="2:9">
      <c r="B1270" s="104"/>
      <c r="C1270" s="104"/>
      <c r="D1270" s="104"/>
      <c r="E1270" s="104"/>
      <c r="F1270" s="104"/>
      <c r="G1270" s="104"/>
      <c r="H1270" s="104"/>
      <c r="I1270" s="104"/>
    </row>
    <row r="1271" spans="2:9">
      <c r="B1271" s="104"/>
      <c r="C1271" s="104"/>
      <c r="D1271" s="104"/>
      <c r="E1271" s="104"/>
      <c r="F1271" s="104"/>
      <c r="G1271" s="104"/>
      <c r="H1271" s="104"/>
      <c r="I1271" s="104"/>
    </row>
    <row r="1272" spans="2:9">
      <c r="B1272" s="104"/>
      <c r="C1272" s="104"/>
      <c r="D1272" s="104"/>
      <c r="E1272" s="104"/>
      <c r="F1272" s="104"/>
      <c r="G1272" s="104"/>
      <c r="H1272" s="104"/>
      <c r="I1272" s="104"/>
    </row>
    <row r="1273" spans="2:9">
      <c r="B1273" s="104"/>
      <c r="C1273" s="104"/>
      <c r="D1273" s="104"/>
      <c r="E1273" s="104"/>
      <c r="F1273" s="104"/>
      <c r="G1273" s="104"/>
      <c r="H1273" s="104"/>
      <c r="I1273" s="104"/>
    </row>
    <row r="1274" spans="2:9">
      <c r="B1274" s="104"/>
      <c r="C1274" s="104"/>
      <c r="D1274" s="104"/>
      <c r="E1274" s="104"/>
      <c r="F1274" s="104"/>
      <c r="G1274" s="104"/>
      <c r="H1274" s="104"/>
      <c r="I1274" s="104"/>
    </row>
    <row r="1275" spans="2:9">
      <c r="B1275" s="104"/>
      <c r="C1275" s="104"/>
      <c r="D1275" s="104"/>
      <c r="E1275" s="104"/>
      <c r="F1275" s="104"/>
      <c r="G1275" s="104"/>
      <c r="H1275" s="104"/>
      <c r="I1275" s="104"/>
    </row>
    <row r="1276" spans="2:9">
      <c r="B1276" s="104"/>
      <c r="C1276" s="104"/>
      <c r="D1276" s="104"/>
      <c r="E1276" s="104"/>
      <c r="F1276" s="104"/>
      <c r="G1276" s="104"/>
      <c r="H1276" s="104"/>
      <c r="I1276" s="104"/>
    </row>
    <row r="1277" spans="2:9">
      <c r="B1277" s="104"/>
      <c r="C1277" s="104"/>
      <c r="D1277" s="104"/>
      <c r="E1277" s="104"/>
      <c r="F1277" s="104"/>
      <c r="G1277" s="104"/>
      <c r="H1277" s="104"/>
      <c r="I1277" s="104"/>
    </row>
    <row r="1278" spans="2:9">
      <c r="B1278" s="104"/>
      <c r="C1278" s="104"/>
      <c r="D1278" s="104"/>
      <c r="E1278" s="104"/>
      <c r="F1278" s="104"/>
      <c r="G1278" s="104"/>
      <c r="H1278" s="104"/>
      <c r="I1278" s="104"/>
    </row>
    <row r="1279" spans="2:9">
      <c r="B1279" s="104"/>
      <c r="C1279" s="104"/>
      <c r="D1279" s="104"/>
      <c r="E1279" s="104"/>
      <c r="F1279" s="104"/>
      <c r="G1279" s="104"/>
      <c r="H1279" s="104"/>
    </row>
    <row r="1280" spans="2:9">
      <c r="B1280" s="104"/>
      <c r="C1280" s="104"/>
      <c r="D1280" s="104"/>
      <c r="E1280" s="104"/>
      <c r="F1280" s="104"/>
      <c r="G1280" s="104"/>
      <c r="H1280" s="104"/>
    </row>
    <row r="1281" spans="2:8">
      <c r="B1281" s="104"/>
      <c r="C1281" s="104"/>
      <c r="D1281" s="104"/>
      <c r="E1281" s="104"/>
      <c r="F1281" s="104"/>
      <c r="G1281" s="104"/>
      <c r="H1281" s="104"/>
    </row>
    <row r="1282" spans="2:8">
      <c r="B1282" s="104"/>
      <c r="C1282" s="104"/>
      <c r="D1282" s="104"/>
      <c r="E1282" s="104"/>
      <c r="F1282" s="104"/>
      <c r="G1282" s="104"/>
      <c r="H1282" s="104"/>
    </row>
    <row r="1283" spans="2:8">
      <c r="B1283" s="104"/>
      <c r="C1283" s="104"/>
      <c r="D1283" s="104"/>
      <c r="E1283" s="104"/>
      <c r="F1283" s="104"/>
      <c r="G1283" s="104"/>
      <c r="H1283" s="104"/>
    </row>
    <row r="1284" spans="2:8">
      <c r="B1284" s="104"/>
      <c r="C1284" s="104"/>
      <c r="D1284" s="104"/>
      <c r="E1284" s="104"/>
      <c r="F1284" s="104"/>
      <c r="G1284" s="104"/>
      <c r="H1284" s="104"/>
    </row>
    <row r="1285" spans="2:8">
      <c r="B1285" s="104"/>
      <c r="C1285" s="104"/>
      <c r="D1285" s="104"/>
      <c r="E1285" s="104"/>
      <c r="F1285" s="104"/>
      <c r="G1285" s="104"/>
      <c r="H1285" s="104"/>
    </row>
    <row r="1286" spans="2:8">
      <c r="B1286" s="104"/>
      <c r="C1286" s="104"/>
      <c r="D1286" s="104"/>
      <c r="E1286" s="104"/>
      <c r="F1286" s="104"/>
      <c r="G1286" s="104"/>
      <c r="H1286" s="104"/>
    </row>
    <row r="1287" spans="2:8">
      <c r="B1287" s="104"/>
      <c r="C1287" s="104"/>
      <c r="D1287" s="104"/>
      <c r="E1287" s="104"/>
      <c r="F1287" s="104"/>
      <c r="G1287" s="104"/>
      <c r="H1287" s="104"/>
    </row>
    <row r="1288" spans="2:8">
      <c r="B1288" s="104"/>
      <c r="C1288" s="104"/>
      <c r="D1288" s="104"/>
      <c r="E1288" s="104"/>
      <c r="F1288" s="104"/>
      <c r="G1288" s="104"/>
      <c r="H1288" s="104"/>
    </row>
    <row r="1289" spans="2:8">
      <c r="B1289" s="104"/>
      <c r="C1289" s="104"/>
      <c r="D1289" s="104"/>
      <c r="E1289" s="104"/>
      <c r="F1289" s="104"/>
      <c r="G1289" s="104"/>
      <c r="H1289" s="104"/>
    </row>
    <row r="1290" spans="2:8">
      <c r="B1290" s="104"/>
      <c r="C1290" s="104"/>
      <c r="D1290" s="104"/>
      <c r="E1290" s="104"/>
      <c r="F1290" s="104"/>
      <c r="G1290" s="104"/>
      <c r="H1290" s="104"/>
    </row>
    <row r="1291" spans="2:8">
      <c r="B1291" s="104"/>
      <c r="C1291" s="104"/>
      <c r="D1291" s="104"/>
      <c r="E1291" s="104"/>
      <c r="F1291" s="104"/>
      <c r="G1291" s="104"/>
      <c r="H1291" s="104"/>
    </row>
    <row r="1292" spans="2:8">
      <c r="B1292" s="104"/>
      <c r="C1292" s="104"/>
      <c r="D1292" s="104"/>
      <c r="E1292" s="104"/>
      <c r="F1292" s="104"/>
      <c r="G1292" s="104"/>
      <c r="H1292" s="104"/>
    </row>
    <row r="1293" spans="2:8">
      <c r="B1293" s="104"/>
      <c r="C1293" s="104"/>
      <c r="D1293" s="104"/>
      <c r="E1293" s="104"/>
      <c r="F1293" s="104"/>
      <c r="G1293" s="104"/>
      <c r="H1293" s="104"/>
    </row>
    <row r="1294" spans="2:8">
      <c r="B1294" s="104"/>
      <c r="C1294" s="104"/>
      <c r="D1294" s="104"/>
      <c r="E1294" s="104"/>
      <c r="F1294" s="104"/>
      <c r="G1294" s="104"/>
      <c r="H1294" s="104"/>
    </row>
    <row r="1295" spans="2:8">
      <c r="B1295" s="104"/>
      <c r="C1295" s="104"/>
      <c r="D1295" s="104"/>
      <c r="E1295" s="104"/>
      <c r="F1295" s="104"/>
      <c r="G1295" s="104"/>
      <c r="H1295" s="104"/>
    </row>
    <row r="1296" spans="2:8">
      <c r="B1296" s="104"/>
      <c r="C1296" s="104"/>
      <c r="D1296" s="104"/>
      <c r="E1296" s="104"/>
      <c r="F1296" s="104"/>
      <c r="G1296" s="104"/>
      <c r="H1296" s="104"/>
    </row>
    <row r="1297" spans="2:8">
      <c r="B1297" s="104"/>
      <c r="C1297" s="104"/>
      <c r="D1297" s="104"/>
      <c r="E1297" s="104"/>
      <c r="F1297" s="104"/>
      <c r="G1297" s="104"/>
      <c r="H1297" s="104"/>
    </row>
    <row r="1298" spans="2:8">
      <c r="B1298" s="104"/>
      <c r="C1298" s="104"/>
      <c r="D1298" s="104"/>
      <c r="E1298" s="104"/>
      <c r="F1298" s="104"/>
      <c r="G1298" s="104"/>
      <c r="H1298" s="104"/>
    </row>
    <row r="1299" spans="2:8">
      <c r="B1299" s="104"/>
      <c r="C1299" s="104"/>
      <c r="D1299" s="104"/>
      <c r="E1299" s="104"/>
      <c r="F1299" s="104"/>
      <c r="G1299" s="104"/>
      <c r="H1299" s="104"/>
    </row>
    <row r="1300" spans="2:8">
      <c r="B1300" s="104"/>
      <c r="C1300" s="104"/>
      <c r="D1300" s="104"/>
      <c r="E1300" s="104"/>
      <c r="F1300" s="104"/>
      <c r="G1300" s="104"/>
      <c r="H1300" s="104"/>
    </row>
    <row r="1301" spans="2:8">
      <c r="B1301" s="104"/>
      <c r="C1301" s="104"/>
      <c r="D1301" s="104"/>
      <c r="E1301" s="104"/>
      <c r="F1301" s="104"/>
      <c r="G1301" s="104"/>
      <c r="H1301" s="104"/>
    </row>
    <row r="1302" spans="2:8">
      <c r="B1302" s="104"/>
      <c r="C1302" s="104"/>
      <c r="D1302" s="104"/>
      <c r="E1302" s="104"/>
      <c r="F1302" s="104"/>
      <c r="G1302" s="104"/>
      <c r="H1302" s="104"/>
    </row>
    <row r="1303" spans="2:8">
      <c r="B1303" s="104"/>
      <c r="C1303" s="104"/>
      <c r="D1303" s="104"/>
      <c r="E1303" s="104"/>
      <c r="F1303" s="104"/>
      <c r="G1303" s="104"/>
      <c r="H1303" s="104"/>
    </row>
    <row r="1304" spans="2:8">
      <c r="B1304" s="104"/>
      <c r="C1304" s="104"/>
      <c r="D1304" s="104"/>
      <c r="E1304" s="104"/>
      <c r="F1304" s="104"/>
      <c r="G1304" s="104"/>
      <c r="H1304" s="104"/>
    </row>
    <row r="1305" spans="2:8">
      <c r="B1305" s="104"/>
      <c r="C1305" s="104"/>
      <c r="D1305" s="104"/>
      <c r="E1305" s="104"/>
      <c r="F1305" s="104"/>
      <c r="G1305" s="104"/>
      <c r="H1305" s="104"/>
    </row>
    <row r="1306" spans="2:8">
      <c r="B1306" s="104"/>
      <c r="C1306" s="104"/>
      <c r="D1306" s="104"/>
      <c r="E1306" s="104"/>
      <c r="F1306" s="104"/>
      <c r="G1306" s="104"/>
      <c r="H1306" s="104"/>
    </row>
    <row r="1307" spans="2:8">
      <c r="B1307" s="104"/>
      <c r="C1307" s="104"/>
      <c r="D1307" s="104"/>
      <c r="E1307" s="104"/>
      <c r="F1307" s="104"/>
      <c r="G1307" s="104"/>
      <c r="H1307" s="104"/>
    </row>
    <row r="1308" spans="2:8">
      <c r="B1308" s="104"/>
      <c r="C1308" s="104"/>
      <c r="D1308" s="104"/>
      <c r="E1308" s="104"/>
      <c r="F1308" s="104"/>
      <c r="G1308" s="104"/>
      <c r="H1308" s="104"/>
    </row>
    <row r="1309" spans="2:8">
      <c r="B1309" s="104"/>
      <c r="C1309" s="104"/>
      <c r="D1309" s="104"/>
      <c r="E1309" s="104"/>
      <c r="F1309" s="104"/>
      <c r="G1309" s="104"/>
      <c r="H1309" s="104"/>
    </row>
    <row r="1310" spans="2:8">
      <c r="B1310" s="104"/>
      <c r="C1310" s="104"/>
      <c r="D1310" s="104"/>
      <c r="E1310" s="104"/>
      <c r="F1310" s="104"/>
      <c r="G1310" s="104"/>
      <c r="H1310" s="104"/>
    </row>
    <row r="1311" spans="2:8">
      <c r="B1311" s="104"/>
      <c r="C1311" s="104"/>
      <c r="D1311" s="104"/>
      <c r="E1311" s="104"/>
      <c r="F1311" s="104"/>
      <c r="G1311" s="104"/>
      <c r="H1311" s="104"/>
    </row>
    <row r="1312" spans="2:8">
      <c r="B1312" s="104"/>
      <c r="C1312" s="104"/>
      <c r="D1312" s="104"/>
      <c r="E1312" s="104"/>
      <c r="F1312" s="104"/>
      <c r="G1312" s="104"/>
      <c r="H1312" s="104"/>
    </row>
    <row r="1313" spans="2:8">
      <c r="B1313" s="104"/>
      <c r="C1313" s="104"/>
      <c r="D1313" s="104"/>
      <c r="E1313" s="104"/>
      <c r="F1313" s="104"/>
      <c r="G1313" s="104"/>
      <c r="H1313" s="104"/>
    </row>
    <row r="1314" spans="2:8">
      <c r="B1314" s="104"/>
      <c r="C1314" s="104"/>
      <c r="D1314" s="104"/>
      <c r="E1314" s="104"/>
      <c r="F1314" s="104"/>
      <c r="G1314" s="104"/>
      <c r="H1314" s="104"/>
    </row>
    <row r="1315" spans="2:8">
      <c r="B1315" s="104"/>
      <c r="C1315" s="104"/>
      <c r="D1315" s="104"/>
      <c r="E1315" s="104"/>
      <c r="F1315" s="104"/>
      <c r="G1315" s="104"/>
      <c r="H1315" s="104"/>
    </row>
    <row r="1316" spans="2:8">
      <c r="B1316" s="104"/>
      <c r="C1316" s="104"/>
      <c r="D1316" s="104"/>
      <c r="E1316" s="104"/>
      <c r="F1316" s="104"/>
      <c r="G1316" s="104"/>
      <c r="H1316" s="104"/>
    </row>
    <row r="1317" spans="2:8">
      <c r="B1317" s="104"/>
      <c r="C1317" s="104"/>
      <c r="D1317" s="104"/>
      <c r="E1317" s="104"/>
      <c r="F1317" s="104"/>
      <c r="G1317" s="104"/>
      <c r="H1317" s="104"/>
    </row>
    <row r="1318" spans="2:8">
      <c r="B1318" s="104"/>
      <c r="C1318" s="104"/>
      <c r="D1318" s="104"/>
      <c r="E1318" s="104"/>
      <c r="F1318" s="104"/>
      <c r="G1318" s="104"/>
      <c r="H1318" s="104"/>
    </row>
    <row r="1319" spans="2:8">
      <c r="B1319" s="104"/>
      <c r="C1319" s="104"/>
      <c r="D1319" s="104"/>
      <c r="E1319" s="104"/>
      <c r="F1319" s="104"/>
      <c r="G1319" s="104"/>
      <c r="H1319" s="104"/>
    </row>
    <row r="1320" spans="2:8">
      <c r="B1320" s="104"/>
      <c r="C1320" s="104"/>
      <c r="D1320" s="104"/>
      <c r="E1320" s="104"/>
      <c r="F1320" s="104"/>
      <c r="G1320" s="104"/>
      <c r="H1320" s="104"/>
    </row>
    <row r="1321" spans="2:8">
      <c r="B1321" s="104"/>
      <c r="C1321" s="104"/>
      <c r="D1321" s="104"/>
      <c r="E1321" s="104"/>
      <c r="F1321" s="104"/>
      <c r="G1321" s="104"/>
      <c r="H1321" s="104"/>
    </row>
    <row r="1322" spans="2:8">
      <c r="B1322" s="104"/>
      <c r="C1322" s="104"/>
      <c r="D1322" s="104"/>
      <c r="E1322" s="104"/>
      <c r="F1322" s="104"/>
      <c r="G1322" s="104"/>
      <c r="H1322" s="104"/>
    </row>
    <row r="1323" spans="2:8">
      <c r="B1323" s="104"/>
      <c r="C1323" s="104"/>
      <c r="D1323" s="104"/>
      <c r="E1323" s="104"/>
      <c r="F1323" s="104"/>
      <c r="G1323" s="104"/>
      <c r="H1323" s="104"/>
    </row>
    <row r="1324" spans="2:8">
      <c r="B1324" s="104"/>
      <c r="C1324" s="104"/>
      <c r="D1324" s="104"/>
      <c r="E1324" s="104"/>
      <c r="F1324" s="104"/>
      <c r="G1324" s="104"/>
      <c r="H1324" s="104"/>
    </row>
    <row r="1325" spans="2:8">
      <c r="B1325" s="104"/>
      <c r="C1325" s="104"/>
      <c r="D1325" s="104"/>
      <c r="E1325" s="104"/>
      <c r="F1325" s="104"/>
      <c r="G1325" s="104"/>
      <c r="H1325" s="104"/>
    </row>
    <row r="1326" spans="2:8">
      <c r="B1326" s="104"/>
      <c r="C1326" s="104"/>
      <c r="D1326" s="104"/>
      <c r="E1326" s="104"/>
      <c r="F1326" s="104"/>
      <c r="G1326" s="104"/>
      <c r="H1326" s="104"/>
    </row>
    <row r="1327" spans="2:8">
      <c r="B1327" s="104"/>
      <c r="C1327" s="104"/>
      <c r="D1327" s="104"/>
      <c r="E1327" s="104"/>
      <c r="F1327" s="104"/>
      <c r="G1327" s="104"/>
      <c r="H1327" s="104"/>
    </row>
    <row r="1328" spans="2:8">
      <c r="B1328" s="104"/>
      <c r="C1328" s="104"/>
      <c r="D1328" s="104"/>
      <c r="E1328" s="104"/>
      <c r="F1328" s="104"/>
      <c r="G1328" s="104"/>
      <c r="H1328" s="104"/>
    </row>
    <row r="1329" spans="2:8">
      <c r="B1329" s="104"/>
      <c r="C1329" s="104"/>
      <c r="D1329" s="104"/>
      <c r="E1329" s="104"/>
      <c r="F1329" s="104"/>
      <c r="G1329" s="104"/>
      <c r="H1329" s="104"/>
    </row>
    <row r="1330" spans="2:8">
      <c r="B1330" s="104"/>
      <c r="C1330" s="104"/>
      <c r="D1330" s="104"/>
      <c r="E1330" s="104"/>
      <c r="F1330" s="104"/>
      <c r="G1330" s="104"/>
      <c r="H1330" s="104"/>
    </row>
    <row r="1331" spans="2:8">
      <c r="B1331" s="104"/>
      <c r="C1331" s="104"/>
      <c r="D1331" s="104"/>
      <c r="E1331" s="104"/>
      <c r="F1331" s="104"/>
      <c r="G1331" s="104"/>
      <c r="H1331" s="104"/>
    </row>
    <row r="1332" spans="2:8">
      <c r="B1332" s="104"/>
      <c r="C1332" s="104"/>
      <c r="D1332" s="104"/>
      <c r="E1332" s="104"/>
      <c r="F1332" s="104"/>
      <c r="G1332" s="104"/>
      <c r="H1332" s="104"/>
    </row>
    <row r="1333" spans="2:8">
      <c r="B1333" s="104"/>
      <c r="C1333" s="104"/>
      <c r="D1333" s="104"/>
      <c r="E1333" s="104"/>
      <c r="F1333" s="104"/>
      <c r="G1333" s="104"/>
      <c r="H1333" s="104"/>
    </row>
    <row r="1334" spans="2:8">
      <c r="B1334" s="104"/>
      <c r="C1334" s="104"/>
      <c r="D1334" s="104"/>
      <c r="E1334" s="104"/>
      <c r="F1334" s="104"/>
      <c r="G1334" s="104"/>
      <c r="H1334" s="104"/>
    </row>
    <row r="1335" spans="2:8">
      <c r="B1335" s="104"/>
      <c r="C1335" s="104"/>
      <c r="D1335" s="104"/>
      <c r="E1335" s="104"/>
      <c r="F1335" s="104"/>
      <c r="G1335" s="104"/>
      <c r="H1335" s="104"/>
    </row>
    <row r="1336" spans="2:8">
      <c r="B1336" s="104"/>
      <c r="C1336" s="104"/>
      <c r="D1336" s="104"/>
      <c r="E1336" s="104"/>
      <c r="F1336" s="104"/>
      <c r="G1336" s="104"/>
      <c r="H1336" s="104"/>
    </row>
    <row r="1337" spans="2:8">
      <c r="B1337" s="104"/>
      <c r="C1337" s="104"/>
      <c r="D1337" s="104"/>
      <c r="E1337" s="104"/>
      <c r="F1337" s="104"/>
      <c r="G1337" s="104"/>
      <c r="H1337" s="104"/>
    </row>
    <row r="1338" spans="2:8">
      <c r="B1338" s="104"/>
      <c r="C1338" s="104"/>
      <c r="D1338" s="104"/>
      <c r="E1338" s="104"/>
      <c r="F1338" s="104"/>
      <c r="G1338" s="104"/>
      <c r="H1338" s="104"/>
    </row>
    <row r="1339" spans="2:8">
      <c r="B1339" s="104"/>
      <c r="C1339" s="104"/>
      <c r="D1339" s="104"/>
      <c r="E1339" s="104"/>
      <c r="F1339" s="104"/>
      <c r="G1339" s="104"/>
      <c r="H1339" s="104"/>
    </row>
    <row r="1340" spans="2:8">
      <c r="B1340" s="104"/>
      <c r="C1340" s="104"/>
      <c r="D1340" s="104"/>
      <c r="E1340" s="104"/>
      <c r="F1340" s="104"/>
      <c r="G1340" s="104"/>
      <c r="H1340" s="104"/>
    </row>
    <row r="1341" spans="2:8">
      <c r="B1341" s="104"/>
      <c r="C1341" s="104"/>
      <c r="D1341" s="104"/>
      <c r="E1341" s="104"/>
      <c r="F1341" s="104"/>
      <c r="G1341" s="104"/>
      <c r="H1341" s="104"/>
    </row>
    <row r="1342" spans="2:8">
      <c r="B1342" s="104"/>
      <c r="C1342" s="104"/>
      <c r="D1342" s="104"/>
      <c r="E1342" s="104"/>
      <c r="F1342" s="104"/>
      <c r="G1342" s="104"/>
      <c r="H1342" s="104"/>
    </row>
    <row r="1343" spans="2:8">
      <c r="B1343" s="104"/>
      <c r="C1343" s="104"/>
      <c r="D1343" s="104"/>
      <c r="E1343" s="104"/>
      <c r="F1343" s="104"/>
      <c r="G1343" s="104"/>
      <c r="H1343" s="104"/>
    </row>
    <row r="1344" spans="2:8">
      <c r="B1344" s="104"/>
      <c r="C1344" s="104"/>
      <c r="D1344" s="104"/>
      <c r="E1344" s="104"/>
      <c r="F1344" s="104"/>
      <c r="G1344" s="104"/>
      <c r="H1344" s="104"/>
    </row>
    <row r="1345" spans="2:8">
      <c r="B1345" s="104"/>
      <c r="C1345" s="104"/>
      <c r="D1345" s="104"/>
      <c r="E1345" s="104"/>
      <c r="F1345" s="104"/>
      <c r="G1345" s="104"/>
      <c r="H1345" s="104"/>
    </row>
    <row r="1346" spans="2:8">
      <c r="B1346" s="104"/>
      <c r="C1346" s="104"/>
      <c r="D1346" s="104"/>
      <c r="E1346" s="104"/>
      <c r="F1346" s="104"/>
      <c r="G1346" s="104"/>
      <c r="H1346" s="104"/>
    </row>
    <row r="1347" spans="2:8">
      <c r="B1347" s="104"/>
      <c r="C1347" s="104"/>
      <c r="D1347" s="104"/>
      <c r="E1347" s="104"/>
      <c r="F1347" s="104"/>
      <c r="G1347" s="104"/>
      <c r="H1347" s="104"/>
    </row>
    <row r="1348" spans="2:8">
      <c r="B1348" s="104"/>
      <c r="C1348" s="104"/>
      <c r="D1348" s="104"/>
      <c r="E1348" s="104"/>
      <c r="F1348" s="104"/>
      <c r="G1348" s="104"/>
      <c r="H1348" s="104"/>
    </row>
    <row r="1349" spans="2:8">
      <c r="B1349" s="104"/>
      <c r="C1349" s="104"/>
      <c r="D1349" s="104"/>
      <c r="E1349" s="104"/>
      <c r="F1349" s="104"/>
      <c r="G1349" s="104"/>
      <c r="H1349" s="104"/>
    </row>
    <row r="1350" spans="2:8">
      <c r="B1350" s="104"/>
      <c r="C1350" s="104"/>
      <c r="D1350" s="104"/>
      <c r="E1350" s="104"/>
      <c r="F1350" s="104"/>
      <c r="G1350" s="104"/>
      <c r="H1350" s="104"/>
    </row>
    <row r="1351" spans="2:8">
      <c r="B1351" s="104"/>
      <c r="C1351" s="104"/>
      <c r="D1351" s="104"/>
      <c r="E1351" s="104"/>
      <c r="F1351" s="104"/>
      <c r="G1351" s="104"/>
      <c r="H1351" s="104"/>
    </row>
    <row r="1352" spans="2:8">
      <c r="B1352" s="104"/>
      <c r="C1352" s="104"/>
      <c r="D1352" s="104"/>
      <c r="E1352" s="104"/>
      <c r="F1352" s="104"/>
      <c r="G1352" s="104"/>
      <c r="H1352" s="104"/>
    </row>
    <row r="1353" spans="2:8">
      <c r="B1353" s="104"/>
      <c r="C1353" s="104"/>
      <c r="D1353" s="104"/>
      <c r="E1353" s="104"/>
      <c r="F1353" s="104"/>
      <c r="G1353" s="104"/>
      <c r="H1353" s="104"/>
    </row>
    <row r="1354" spans="2:8">
      <c r="B1354" s="104"/>
      <c r="C1354" s="104"/>
      <c r="D1354" s="104"/>
      <c r="E1354" s="104"/>
      <c r="F1354" s="104"/>
      <c r="G1354" s="104"/>
      <c r="H1354" s="104"/>
    </row>
    <row r="1355" spans="2:8">
      <c r="B1355" s="104"/>
      <c r="C1355" s="104"/>
      <c r="D1355" s="104"/>
      <c r="E1355" s="104"/>
      <c r="F1355" s="104"/>
      <c r="G1355" s="104"/>
      <c r="H1355" s="104"/>
    </row>
    <row r="1356" spans="2:8">
      <c r="B1356" s="104"/>
      <c r="C1356" s="104"/>
      <c r="D1356" s="104"/>
      <c r="E1356" s="104"/>
      <c r="F1356" s="104"/>
      <c r="G1356" s="104"/>
      <c r="H1356" s="104"/>
    </row>
    <row r="1357" spans="2:8">
      <c r="B1357" s="104"/>
      <c r="C1357" s="104"/>
      <c r="D1357" s="104"/>
      <c r="E1357" s="104"/>
      <c r="F1357" s="104"/>
      <c r="G1357" s="104"/>
      <c r="H1357" s="104"/>
    </row>
    <row r="1358" spans="2:8">
      <c r="B1358" s="104"/>
      <c r="C1358" s="104"/>
      <c r="D1358" s="104"/>
      <c r="E1358" s="104"/>
      <c r="F1358" s="104"/>
      <c r="G1358" s="104"/>
      <c r="H1358" s="104"/>
    </row>
    <row r="1359" spans="2:8">
      <c r="B1359" s="104"/>
      <c r="C1359" s="104"/>
      <c r="D1359" s="104"/>
      <c r="E1359" s="104"/>
      <c r="F1359" s="104"/>
      <c r="G1359" s="104"/>
      <c r="H1359" s="104"/>
    </row>
    <row r="1360" spans="2:8">
      <c r="B1360" s="104"/>
      <c r="C1360" s="104"/>
      <c r="D1360" s="104"/>
      <c r="E1360" s="104"/>
      <c r="F1360" s="104"/>
      <c r="G1360" s="104"/>
      <c r="H1360" s="104"/>
    </row>
    <row r="1361" spans="2:8">
      <c r="B1361" s="104"/>
      <c r="C1361" s="104"/>
      <c r="D1361" s="104"/>
      <c r="E1361" s="104"/>
      <c r="F1361" s="104"/>
      <c r="G1361" s="104"/>
      <c r="H1361" s="104"/>
    </row>
    <row r="1362" spans="2:8">
      <c r="B1362" s="104"/>
      <c r="C1362" s="104"/>
      <c r="D1362" s="104"/>
      <c r="E1362" s="104"/>
      <c r="F1362" s="104"/>
      <c r="G1362" s="104"/>
      <c r="H1362" s="104"/>
    </row>
    <row r="1363" spans="2:8">
      <c r="B1363" s="104"/>
      <c r="C1363" s="104"/>
      <c r="D1363" s="104"/>
      <c r="E1363" s="104"/>
      <c r="F1363" s="104"/>
      <c r="G1363" s="104"/>
      <c r="H1363" s="104"/>
    </row>
    <row r="1364" spans="2:8">
      <c r="B1364" s="104"/>
      <c r="C1364" s="104"/>
      <c r="D1364" s="104"/>
      <c r="E1364" s="104"/>
      <c r="F1364" s="104"/>
      <c r="G1364" s="104"/>
      <c r="H1364" s="104"/>
    </row>
    <row r="1365" spans="2:8">
      <c r="B1365" s="104"/>
      <c r="C1365" s="104"/>
      <c r="D1365" s="104"/>
      <c r="E1365" s="104"/>
      <c r="F1365" s="104"/>
      <c r="G1365" s="104"/>
      <c r="H1365" s="104"/>
    </row>
    <row r="1366" spans="2:8">
      <c r="B1366" s="104"/>
      <c r="C1366" s="104"/>
      <c r="D1366" s="104"/>
      <c r="E1366" s="104"/>
      <c r="F1366" s="104"/>
      <c r="G1366" s="104"/>
      <c r="H1366" s="104"/>
    </row>
    <row r="1367" spans="2:8">
      <c r="B1367" s="104"/>
      <c r="C1367" s="104"/>
      <c r="D1367" s="104"/>
      <c r="E1367" s="104"/>
      <c r="F1367" s="104"/>
      <c r="G1367" s="104"/>
      <c r="H1367" s="104"/>
    </row>
    <row r="1368" spans="2:8">
      <c r="B1368" s="104"/>
      <c r="C1368" s="104"/>
      <c r="D1368" s="104"/>
      <c r="E1368" s="104"/>
      <c r="F1368" s="104"/>
      <c r="G1368" s="104"/>
      <c r="H1368" s="104"/>
    </row>
    <row r="1369" spans="2:8">
      <c r="B1369" s="104"/>
      <c r="C1369" s="104"/>
      <c r="D1369" s="104"/>
      <c r="E1369" s="104"/>
      <c r="F1369" s="104"/>
      <c r="G1369" s="104"/>
      <c r="H1369" s="104"/>
    </row>
    <row r="1370" spans="2:8">
      <c r="B1370" s="104"/>
      <c r="C1370" s="104"/>
      <c r="D1370" s="104"/>
      <c r="E1370" s="104"/>
      <c r="F1370" s="104"/>
      <c r="G1370" s="104"/>
      <c r="H1370" s="104"/>
    </row>
    <row r="1371" spans="2:8">
      <c r="B1371" s="104"/>
      <c r="C1371" s="104"/>
      <c r="D1371" s="104"/>
      <c r="E1371" s="104"/>
      <c r="F1371" s="104"/>
      <c r="G1371" s="104"/>
      <c r="H1371" s="104"/>
    </row>
    <row r="1372" spans="2:8">
      <c r="B1372" s="104"/>
      <c r="C1372" s="104"/>
      <c r="D1372" s="104"/>
      <c r="E1372" s="104"/>
      <c r="F1372" s="104"/>
      <c r="G1372" s="104"/>
      <c r="H1372" s="104"/>
    </row>
    <row r="1373" spans="2:8">
      <c r="B1373" s="104"/>
      <c r="C1373" s="104"/>
      <c r="D1373" s="104"/>
      <c r="E1373" s="104"/>
      <c r="F1373" s="104"/>
      <c r="G1373" s="104"/>
      <c r="H1373" s="104"/>
    </row>
    <row r="1374" spans="2:8">
      <c r="B1374" s="104"/>
      <c r="C1374" s="104"/>
      <c r="D1374" s="104"/>
      <c r="E1374" s="104"/>
      <c r="F1374" s="104"/>
      <c r="G1374" s="104"/>
      <c r="H1374" s="104"/>
    </row>
    <row r="1375" spans="2:8">
      <c r="B1375" s="104"/>
      <c r="C1375" s="104"/>
      <c r="D1375" s="104"/>
      <c r="E1375" s="104"/>
      <c r="F1375" s="104"/>
      <c r="G1375" s="104"/>
      <c r="H1375" s="104"/>
    </row>
    <row r="1376" spans="2:8">
      <c r="B1376" s="104"/>
      <c r="C1376" s="104"/>
      <c r="D1376" s="104"/>
      <c r="E1376" s="104"/>
      <c r="F1376" s="104"/>
      <c r="G1376" s="104"/>
      <c r="H1376" s="104"/>
    </row>
    <row r="1377" spans="2:8">
      <c r="B1377" s="104"/>
      <c r="C1377" s="104"/>
      <c r="D1377" s="104"/>
      <c r="E1377" s="104"/>
      <c r="F1377" s="104"/>
      <c r="G1377" s="104"/>
      <c r="H1377" s="104"/>
    </row>
    <row r="1378" spans="2:8">
      <c r="B1378" s="104"/>
      <c r="C1378" s="104"/>
      <c r="D1378" s="104"/>
      <c r="E1378" s="104"/>
      <c r="F1378" s="104"/>
      <c r="G1378" s="104"/>
      <c r="H1378" s="104"/>
    </row>
    <row r="1379" spans="2:8">
      <c r="B1379" s="104"/>
      <c r="C1379" s="104"/>
      <c r="D1379" s="104"/>
      <c r="E1379" s="104"/>
      <c r="F1379" s="104"/>
      <c r="G1379" s="104"/>
      <c r="H1379" s="104"/>
    </row>
    <row r="1380" spans="2:8">
      <c r="B1380" s="104"/>
      <c r="C1380" s="104"/>
      <c r="D1380" s="104"/>
      <c r="E1380" s="104"/>
      <c r="F1380" s="104"/>
      <c r="G1380" s="104"/>
      <c r="H1380" s="104"/>
    </row>
    <row r="1381" spans="2:8">
      <c r="B1381" s="104"/>
      <c r="C1381" s="104"/>
      <c r="D1381" s="104"/>
      <c r="E1381" s="104"/>
      <c r="F1381" s="104"/>
      <c r="G1381" s="104"/>
      <c r="H1381" s="104"/>
    </row>
    <row r="1382" spans="2:8">
      <c r="B1382" s="104"/>
      <c r="C1382" s="104"/>
      <c r="D1382" s="104"/>
      <c r="E1382" s="104"/>
      <c r="F1382" s="104"/>
      <c r="G1382" s="104"/>
      <c r="H1382" s="104"/>
    </row>
    <row r="1383" spans="2:8">
      <c r="B1383" s="104"/>
      <c r="C1383" s="104"/>
      <c r="D1383" s="104"/>
      <c r="E1383" s="104"/>
      <c r="F1383" s="104"/>
      <c r="G1383" s="104"/>
      <c r="H1383" s="104"/>
    </row>
    <row r="1384" spans="2:8">
      <c r="B1384" s="104"/>
      <c r="C1384" s="104"/>
      <c r="D1384" s="104"/>
      <c r="E1384" s="104"/>
      <c r="F1384" s="104"/>
      <c r="G1384" s="104"/>
      <c r="H1384" s="104"/>
    </row>
    <row r="1385" spans="2:8">
      <c r="B1385" s="104"/>
      <c r="C1385" s="104"/>
      <c r="D1385" s="104"/>
      <c r="E1385" s="104"/>
      <c r="F1385" s="104"/>
      <c r="G1385" s="104"/>
      <c r="H1385" s="104"/>
    </row>
    <row r="1386" spans="2:8">
      <c r="B1386" s="104"/>
      <c r="C1386" s="104"/>
      <c r="D1386" s="104"/>
      <c r="E1386" s="104"/>
      <c r="F1386" s="104"/>
      <c r="G1386" s="104"/>
      <c r="H1386" s="104"/>
    </row>
    <row r="1387" spans="2:8">
      <c r="B1387" s="104"/>
      <c r="C1387" s="104"/>
      <c r="D1387" s="104"/>
      <c r="E1387" s="104"/>
      <c r="F1387" s="104"/>
      <c r="G1387" s="104"/>
      <c r="H1387" s="104"/>
    </row>
    <row r="1388" spans="2:8">
      <c r="B1388" s="104"/>
      <c r="C1388" s="104"/>
      <c r="D1388" s="104"/>
      <c r="E1388" s="104"/>
      <c r="F1388" s="104"/>
      <c r="G1388" s="104"/>
      <c r="H1388" s="104"/>
    </row>
    <row r="1389" spans="2:8">
      <c r="B1389" s="104"/>
      <c r="C1389" s="104"/>
      <c r="D1389" s="104"/>
      <c r="E1389" s="104"/>
      <c r="F1389" s="104"/>
      <c r="G1389" s="104"/>
      <c r="H1389" s="104"/>
    </row>
    <row r="1390" spans="2:8">
      <c r="B1390" s="104"/>
      <c r="C1390" s="104"/>
      <c r="D1390" s="104"/>
      <c r="E1390" s="104"/>
      <c r="F1390" s="104"/>
      <c r="G1390" s="104"/>
      <c r="H1390" s="104"/>
    </row>
    <row r="1391" spans="2:8">
      <c r="B1391" s="104"/>
      <c r="C1391" s="104"/>
      <c r="D1391" s="104"/>
      <c r="E1391" s="104"/>
      <c r="F1391" s="104"/>
      <c r="G1391" s="104"/>
      <c r="H1391" s="104"/>
    </row>
    <row r="1392" spans="2:8">
      <c r="B1392" s="104"/>
      <c r="C1392" s="104"/>
      <c r="D1392" s="104"/>
      <c r="E1392" s="104"/>
      <c r="F1392" s="104"/>
      <c r="G1392" s="104"/>
      <c r="H1392" s="104"/>
    </row>
    <row r="1393" spans="2:8">
      <c r="B1393" s="104"/>
      <c r="C1393" s="104"/>
      <c r="D1393" s="104"/>
      <c r="E1393" s="104"/>
      <c r="F1393" s="104"/>
      <c r="G1393" s="104"/>
      <c r="H1393" s="104"/>
    </row>
    <row r="1394" spans="2:8">
      <c r="B1394" s="104"/>
      <c r="C1394" s="104"/>
      <c r="D1394" s="104"/>
      <c r="E1394" s="104"/>
      <c r="F1394" s="104"/>
      <c r="G1394" s="104"/>
      <c r="H1394" s="104"/>
    </row>
    <row r="1395" spans="2:8">
      <c r="B1395" s="104"/>
      <c r="C1395" s="104"/>
      <c r="D1395" s="104"/>
      <c r="E1395" s="104"/>
      <c r="F1395" s="104"/>
      <c r="G1395" s="104"/>
      <c r="H1395" s="104"/>
    </row>
    <row r="1396" spans="2:8">
      <c r="B1396" s="104"/>
      <c r="C1396" s="104"/>
      <c r="D1396" s="104"/>
      <c r="E1396" s="104"/>
      <c r="F1396" s="104"/>
      <c r="G1396" s="104"/>
      <c r="H1396" s="104"/>
    </row>
    <row r="1397" spans="2:8">
      <c r="B1397" s="104"/>
      <c r="C1397" s="104"/>
      <c r="D1397" s="104"/>
      <c r="E1397" s="104"/>
      <c r="F1397" s="104"/>
      <c r="G1397" s="104"/>
      <c r="H1397" s="104"/>
    </row>
    <row r="1398" spans="2:8">
      <c r="B1398" s="104"/>
      <c r="C1398" s="104"/>
      <c r="D1398" s="104"/>
      <c r="E1398" s="104"/>
      <c r="F1398" s="104"/>
      <c r="G1398" s="104"/>
      <c r="H1398" s="104"/>
    </row>
    <row r="1399" spans="2:8">
      <c r="B1399" s="104"/>
      <c r="C1399" s="104"/>
      <c r="D1399" s="104"/>
      <c r="E1399" s="104"/>
      <c r="F1399" s="104"/>
      <c r="G1399" s="104"/>
      <c r="H1399" s="104"/>
    </row>
    <row r="1400" spans="2:8">
      <c r="B1400" s="104"/>
      <c r="C1400" s="104"/>
      <c r="D1400" s="104"/>
      <c r="E1400" s="104"/>
      <c r="F1400" s="104"/>
      <c r="G1400" s="104"/>
      <c r="H1400" s="104"/>
    </row>
    <row r="1401" spans="2:8">
      <c r="B1401" s="104"/>
      <c r="C1401" s="104"/>
      <c r="D1401" s="104"/>
      <c r="E1401" s="104"/>
      <c r="F1401" s="104"/>
      <c r="G1401" s="104"/>
      <c r="H1401" s="104"/>
    </row>
    <row r="1402" spans="2:8">
      <c r="B1402" s="104"/>
      <c r="C1402" s="104"/>
      <c r="D1402" s="104"/>
      <c r="E1402" s="104"/>
      <c r="F1402" s="104"/>
      <c r="G1402" s="104"/>
      <c r="H1402" s="104"/>
    </row>
    <row r="1403" spans="2:8">
      <c r="B1403" s="104"/>
      <c r="C1403" s="104"/>
      <c r="D1403" s="104"/>
      <c r="E1403" s="104"/>
      <c r="F1403" s="104"/>
      <c r="G1403" s="104"/>
      <c r="H1403" s="104"/>
    </row>
    <row r="1404" spans="2:8">
      <c r="B1404" s="104"/>
      <c r="C1404" s="104"/>
      <c r="D1404" s="104"/>
      <c r="E1404" s="104"/>
      <c r="F1404" s="104"/>
      <c r="G1404" s="104"/>
      <c r="H1404" s="104"/>
    </row>
    <row r="1405" spans="2:8">
      <c r="B1405" s="104"/>
      <c r="C1405" s="104"/>
      <c r="D1405" s="104"/>
      <c r="E1405" s="104"/>
      <c r="F1405" s="104"/>
      <c r="G1405" s="104"/>
      <c r="H1405" s="104"/>
    </row>
    <row r="1406" spans="2:8">
      <c r="B1406" s="104"/>
      <c r="C1406" s="104"/>
      <c r="D1406" s="104"/>
      <c r="E1406" s="104"/>
      <c r="F1406" s="104"/>
      <c r="G1406" s="104"/>
      <c r="H1406" s="104"/>
    </row>
    <row r="1407" spans="2:8">
      <c r="B1407" s="104"/>
      <c r="C1407" s="104"/>
      <c r="D1407" s="104"/>
      <c r="E1407" s="104"/>
      <c r="F1407" s="104"/>
      <c r="G1407" s="104"/>
      <c r="H1407" s="104"/>
    </row>
    <row r="1408" spans="2:8">
      <c r="B1408" s="104"/>
      <c r="C1408" s="104"/>
      <c r="D1408" s="104"/>
      <c r="E1408" s="104"/>
      <c r="F1408" s="104"/>
      <c r="G1408" s="104"/>
      <c r="H1408" s="104"/>
    </row>
    <row r="1409" spans="2:8">
      <c r="B1409" s="104"/>
      <c r="C1409" s="104"/>
      <c r="D1409" s="104"/>
      <c r="E1409" s="104"/>
      <c r="F1409" s="104"/>
      <c r="G1409" s="104"/>
      <c r="H1409" s="104"/>
    </row>
    <row r="1410" spans="2:8">
      <c r="B1410" s="104"/>
      <c r="C1410" s="104"/>
      <c r="D1410" s="104"/>
      <c r="E1410" s="104"/>
      <c r="F1410" s="104"/>
      <c r="G1410" s="104"/>
      <c r="H1410" s="104"/>
    </row>
    <row r="1411" spans="2:8">
      <c r="B1411" s="104"/>
      <c r="C1411" s="104"/>
      <c r="D1411" s="104"/>
      <c r="E1411" s="104"/>
      <c r="F1411" s="104"/>
      <c r="G1411" s="104"/>
      <c r="H1411" s="104"/>
    </row>
    <row r="1412" spans="2:8">
      <c r="B1412" s="104"/>
      <c r="C1412" s="104"/>
      <c r="D1412" s="104"/>
      <c r="E1412" s="104"/>
      <c r="F1412" s="104"/>
      <c r="G1412" s="104"/>
      <c r="H1412" s="104"/>
    </row>
    <row r="1413" spans="2:8">
      <c r="B1413" s="104"/>
      <c r="C1413" s="104"/>
      <c r="D1413" s="104"/>
      <c r="E1413" s="104"/>
      <c r="F1413" s="104"/>
      <c r="G1413" s="104"/>
      <c r="H1413" s="104"/>
    </row>
    <row r="1414" spans="2:8">
      <c r="B1414" s="104"/>
      <c r="C1414" s="104"/>
      <c r="D1414" s="104"/>
      <c r="E1414" s="104"/>
      <c r="F1414" s="104"/>
      <c r="G1414" s="104"/>
      <c r="H1414" s="104"/>
    </row>
    <row r="1415" spans="2:8">
      <c r="B1415" s="104"/>
      <c r="C1415" s="104"/>
      <c r="D1415" s="104"/>
      <c r="E1415" s="104"/>
      <c r="F1415" s="104"/>
      <c r="G1415" s="104"/>
      <c r="H1415" s="104"/>
    </row>
    <row r="1416" spans="2:8">
      <c r="B1416" s="104"/>
      <c r="C1416" s="104"/>
      <c r="D1416" s="104"/>
      <c r="E1416" s="104"/>
      <c r="F1416" s="104"/>
      <c r="G1416" s="104"/>
      <c r="H1416" s="104"/>
    </row>
    <row r="1417" spans="2:8">
      <c r="B1417" s="104"/>
      <c r="C1417" s="104"/>
      <c r="D1417" s="104"/>
      <c r="E1417" s="104"/>
      <c r="F1417" s="104"/>
      <c r="G1417" s="104"/>
      <c r="H1417" s="104"/>
    </row>
    <row r="1418" spans="2:8">
      <c r="B1418" s="104"/>
      <c r="C1418" s="104"/>
      <c r="D1418" s="104"/>
      <c r="E1418" s="104"/>
      <c r="F1418" s="104"/>
      <c r="G1418" s="104"/>
      <c r="H1418" s="104"/>
    </row>
    <row r="1419" spans="2:8">
      <c r="B1419" s="104"/>
      <c r="C1419" s="104"/>
      <c r="D1419" s="104"/>
      <c r="E1419" s="104"/>
      <c r="F1419" s="104"/>
      <c r="G1419" s="104"/>
      <c r="H1419" s="104"/>
    </row>
    <row r="1420" spans="2:8">
      <c r="B1420" s="104"/>
      <c r="C1420" s="104"/>
      <c r="D1420" s="104"/>
      <c r="E1420" s="104"/>
      <c r="F1420" s="104"/>
      <c r="G1420" s="104"/>
      <c r="H1420" s="104"/>
    </row>
    <row r="1421" spans="2:8">
      <c r="B1421" s="104"/>
      <c r="C1421" s="104"/>
      <c r="D1421" s="104"/>
      <c r="E1421" s="104"/>
      <c r="F1421" s="104"/>
      <c r="G1421" s="104"/>
      <c r="H1421" s="104"/>
    </row>
    <row r="1422" spans="2:8">
      <c r="B1422" s="104"/>
      <c r="C1422" s="104"/>
      <c r="D1422" s="104"/>
      <c r="E1422" s="104"/>
      <c r="F1422" s="104"/>
      <c r="G1422" s="104"/>
      <c r="H1422" s="104"/>
    </row>
    <row r="1423" spans="2:8">
      <c r="B1423" s="104"/>
      <c r="C1423" s="104"/>
      <c r="D1423" s="104"/>
      <c r="E1423" s="104"/>
      <c r="F1423" s="104"/>
      <c r="G1423" s="104"/>
      <c r="H1423" s="104"/>
    </row>
    <row r="1424" spans="2:8">
      <c r="B1424" s="104"/>
      <c r="C1424" s="104"/>
      <c r="D1424" s="104"/>
      <c r="E1424" s="104"/>
      <c r="F1424" s="104"/>
      <c r="G1424" s="104"/>
      <c r="H1424" s="104"/>
    </row>
    <row r="1425" spans="2:8">
      <c r="B1425" s="104"/>
      <c r="C1425" s="104"/>
      <c r="D1425" s="104"/>
      <c r="E1425" s="104"/>
      <c r="F1425" s="104"/>
      <c r="G1425" s="104"/>
      <c r="H1425" s="104"/>
    </row>
    <row r="1426" spans="2:8">
      <c r="B1426" s="104"/>
      <c r="C1426" s="104"/>
      <c r="D1426" s="104"/>
      <c r="E1426" s="104"/>
      <c r="F1426" s="104"/>
      <c r="G1426" s="104"/>
      <c r="H1426" s="104"/>
    </row>
    <row r="1427" spans="2:8">
      <c r="B1427" s="104"/>
      <c r="C1427" s="104"/>
      <c r="D1427" s="104"/>
      <c r="E1427" s="104"/>
      <c r="F1427" s="104"/>
      <c r="G1427" s="104"/>
      <c r="H1427" s="104"/>
    </row>
    <row r="1428" spans="2:8">
      <c r="B1428" s="104"/>
      <c r="C1428" s="104"/>
      <c r="D1428" s="104"/>
      <c r="E1428" s="104"/>
      <c r="F1428" s="104"/>
      <c r="G1428" s="104"/>
      <c r="H1428" s="104"/>
    </row>
    <row r="1429" spans="2:8">
      <c r="B1429" s="104"/>
      <c r="C1429" s="104"/>
      <c r="D1429" s="104"/>
      <c r="E1429" s="104"/>
      <c r="F1429" s="104"/>
      <c r="G1429" s="104"/>
      <c r="H1429" s="104"/>
    </row>
    <row r="1430" spans="2:8">
      <c r="B1430" s="104"/>
      <c r="C1430" s="104"/>
      <c r="D1430" s="104"/>
      <c r="E1430" s="104"/>
      <c r="F1430" s="104"/>
      <c r="G1430" s="104"/>
      <c r="H1430" s="104"/>
    </row>
    <row r="1431" spans="2:8">
      <c r="B1431" s="104"/>
      <c r="C1431" s="104"/>
      <c r="D1431" s="104"/>
      <c r="E1431" s="104"/>
      <c r="F1431" s="104"/>
      <c r="G1431" s="104"/>
      <c r="H1431" s="104"/>
    </row>
    <row r="1432" spans="2:8">
      <c r="B1432" s="104"/>
      <c r="C1432" s="104"/>
      <c r="D1432" s="104"/>
      <c r="E1432" s="104"/>
      <c r="F1432" s="104"/>
      <c r="G1432" s="104"/>
      <c r="H1432" s="104"/>
    </row>
    <row r="1433" spans="2:8">
      <c r="B1433" s="104"/>
      <c r="C1433" s="104"/>
      <c r="D1433" s="104"/>
      <c r="E1433" s="104"/>
      <c r="F1433" s="104"/>
      <c r="G1433" s="104"/>
      <c r="H1433" s="104"/>
    </row>
    <row r="1434" spans="2:8">
      <c r="B1434" s="104"/>
      <c r="C1434" s="104"/>
      <c r="D1434" s="104"/>
      <c r="E1434" s="104"/>
      <c r="F1434" s="104"/>
      <c r="G1434" s="104"/>
      <c r="H1434" s="104"/>
    </row>
    <row r="1435" spans="2:8">
      <c r="B1435" s="104"/>
      <c r="C1435" s="104"/>
      <c r="D1435" s="104"/>
      <c r="E1435" s="104"/>
      <c r="F1435" s="104"/>
      <c r="G1435" s="104"/>
      <c r="H1435" s="104"/>
    </row>
    <row r="1436" spans="2:8">
      <c r="B1436" s="104"/>
      <c r="C1436" s="104"/>
      <c r="D1436" s="104"/>
      <c r="E1436" s="104"/>
      <c r="F1436" s="104"/>
      <c r="G1436" s="104"/>
      <c r="H1436" s="104"/>
    </row>
    <row r="1437" spans="2:8">
      <c r="B1437" s="104"/>
      <c r="C1437" s="104"/>
      <c r="D1437" s="104"/>
      <c r="E1437" s="104"/>
      <c r="F1437" s="104"/>
      <c r="G1437" s="104"/>
      <c r="H1437" s="104"/>
    </row>
    <row r="1438" spans="2:8">
      <c r="B1438" s="104"/>
      <c r="C1438" s="104"/>
      <c r="D1438" s="104"/>
      <c r="E1438" s="104"/>
      <c r="F1438" s="104"/>
      <c r="G1438" s="104"/>
      <c r="H1438" s="104"/>
    </row>
    <row r="1439" spans="2:8">
      <c r="B1439" s="104"/>
      <c r="C1439" s="104"/>
      <c r="D1439" s="104"/>
      <c r="E1439" s="104"/>
      <c r="F1439" s="104"/>
      <c r="G1439" s="104"/>
      <c r="H1439" s="104"/>
    </row>
    <row r="1440" spans="2:8">
      <c r="B1440" s="104"/>
      <c r="C1440" s="104"/>
      <c r="D1440" s="104"/>
      <c r="E1440" s="104"/>
      <c r="F1440" s="104"/>
      <c r="G1440" s="104"/>
      <c r="H1440" s="104"/>
    </row>
    <row r="1441" spans="2:8">
      <c r="B1441" s="104"/>
      <c r="C1441" s="104"/>
      <c r="D1441" s="104"/>
      <c r="E1441" s="104"/>
      <c r="F1441" s="104"/>
      <c r="G1441" s="104"/>
      <c r="H1441" s="104"/>
    </row>
    <row r="1442" spans="2:8">
      <c r="B1442" s="104"/>
      <c r="C1442" s="104"/>
      <c r="D1442" s="104"/>
      <c r="E1442" s="104"/>
      <c r="F1442" s="104"/>
      <c r="G1442" s="104"/>
      <c r="H1442" s="104"/>
    </row>
    <row r="1443" spans="2:8">
      <c r="B1443" s="104"/>
      <c r="C1443" s="104"/>
      <c r="D1443" s="104"/>
      <c r="E1443" s="104"/>
      <c r="F1443" s="104"/>
      <c r="G1443" s="104"/>
      <c r="H1443" s="104"/>
    </row>
    <row r="1444" spans="2:8">
      <c r="B1444" s="104"/>
      <c r="C1444" s="104"/>
      <c r="D1444" s="104"/>
      <c r="E1444" s="104"/>
      <c r="F1444" s="104"/>
      <c r="G1444" s="104"/>
      <c r="H1444" s="104"/>
    </row>
    <row r="1445" spans="2:8">
      <c r="B1445" s="104"/>
      <c r="C1445" s="104"/>
      <c r="D1445" s="104"/>
      <c r="E1445" s="104"/>
      <c r="F1445" s="104"/>
      <c r="G1445" s="104"/>
      <c r="H1445" s="104"/>
    </row>
    <row r="1446" spans="2:8">
      <c r="B1446" s="104"/>
      <c r="C1446" s="104"/>
      <c r="D1446" s="104"/>
      <c r="E1446" s="104"/>
      <c r="F1446" s="104"/>
      <c r="G1446" s="104"/>
      <c r="H1446" s="104"/>
    </row>
    <row r="1447" spans="2:8">
      <c r="B1447" s="104"/>
      <c r="C1447" s="104"/>
      <c r="D1447" s="104"/>
      <c r="E1447" s="104"/>
      <c r="F1447" s="104"/>
      <c r="G1447" s="104"/>
      <c r="H1447" s="104"/>
    </row>
    <row r="1448" spans="2:8">
      <c r="B1448" s="104"/>
      <c r="C1448" s="104"/>
      <c r="D1448" s="104"/>
      <c r="E1448" s="104"/>
      <c r="F1448" s="104"/>
      <c r="G1448" s="104"/>
      <c r="H1448" s="104"/>
    </row>
    <row r="1449" spans="2:8">
      <c r="B1449" s="104"/>
      <c r="C1449" s="104"/>
      <c r="D1449" s="104"/>
      <c r="E1449" s="104"/>
      <c r="F1449" s="104"/>
      <c r="G1449" s="104"/>
      <c r="H1449" s="104"/>
    </row>
    <row r="1450" spans="2:8">
      <c r="B1450" s="104"/>
      <c r="C1450" s="104"/>
      <c r="D1450" s="104"/>
      <c r="E1450" s="104"/>
      <c r="F1450" s="104"/>
      <c r="G1450" s="104"/>
      <c r="H1450" s="104"/>
    </row>
    <row r="1451" spans="2:8">
      <c r="B1451" s="104"/>
      <c r="C1451" s="104"/>
      <c r="D1451" s="104"/>
      <c r="E1451" s="104"/>
      <c r="F1451" s="104"/>
      <c r="G1451" s="104"/>
      <c r="H1451" s="104"/>
    </row>
    <row r="1452" spans="2:8">
      <c r="B1452" s="104"/>
      <c r="C1452" s="104"/>
      <c r="D1452" s="104"/>
      <c r="E1452" s="104"/>
      <c r="F1452" s="104"/>
      <c r="G1452" s="104"/>
      <c r="H1452" s="104"/>
    </row>
    <row r="1453" spans="2:8">
      <c r="B1453" s="104"/>
      <c r="C1453" s="104"/>
      <c r="D1453" s="104"/>
      <c r="E1453" s="104"/>
      <c r="F1453" s="104"/>
      <c r="G1453" s="104"/>
      <c r="H1453" s="104"/>
    </row>
    <row r="1454" spans="2:8">
      <c r="B1454" s="104"/>
      <c r="C1454" s="104"/>
      <c r="D1454" s="104"/>
      <c r="E1454" s="104"/>
      <c r="F1454" s="104"/>
      <c r="G1454" s="104"/>
      <c r="H1454" s="104"/>
    </row>
    <row r="1455" spans="2:8">
      <c r="B1455" s="104"/>
      <c r="C1455" s="104"/>
      <c r="D1455" s="104"/>
      <c r="E1455" s="104"/>
      <c r="F1455" s="104"/>
      <c r="G1455" s="104"/>
      <c r="H1455" s="104"/>
    </row>
    <row r="1456" spans="2:8">
      <c r="B1456" s="104"/>
      <c r="C1456" s="104"/>
      <c r="D1456" s="104"/>
      <c r="E1456" s="104"/>
      <c r="F1456" s="104"/>
      <c r="G1456" s="104"/>
      <c r="H1456" s="104"/>
    </row>
    <row r="1457" spans="2:8">
      <c r="B1457" s="104"/>
      <c r="C1457" s="104"/>
      <c r="D1457" s="104"/>
      <c r="E1457" s="104"/>
      <c r="F1457" s="104"/>
      <c r="G1457" s="104"/>
      <c r="H1457" s="104"/>
    </row>
    <row r="1458" spans="2:8">
      <c r="B1458" s="104"/>
      <c r="C1458" s="104"/>
      <c r="D1458" s="104"/>
      <c r="E1458" s="104"/>
      <c r="F1458" s="104"/>
      <c r="G1458" s="104"/>
      <c r="H1458" s="104"/>
    </row>
    <row r="1459" spans="2:8">
      <c r="B1459" s="104"/>
      <c r="C1459" s="104"/>
      <c r="D1459" s="104"/>
      <c r="E1459" s="104"/>
      <c r="F1459" s="104"/>
      <c r="G1459" s="104"/>
      <c r="H1459" s="104"/>
    </row>
    <row r="1460" spans="2:8">
      <c r="B1460" s="104"/>
      <c r="C1460" s="104"/>
      <c r="D1460" s="104"/>
      <c r="E1460" s="104"/>
      <c r="F1460" s="104"/>
      <c r="G1460" s="104"/>
      <c r="H1460" s="104"/>
    </row>
    <row r="1461" spans="2:8">
      <c r="B1461" s="104"/>
      <c r="C1461" s="104"/>
      <c r="D1461" s="104"/>
      <c r="E1461" s="104"/>
      <c r="F1461" s="104"/>
      <c r="G1461" s="104"/>
      <c r="H1461" s="104"/>
    </row>
    <row r="1462" spans="2:8">
      <c r="B1462" s="104"/>
      <c r="C1462" s="104"/>
      <c r="D1462" s="104"/>
      <c r="E1462" s="104"/>
      <c r="F1462" s="104"/>
      <c r="G1462" s="104"/>
      <c r="H1462" s="104"/>
    </row>
    <row r="1463" spans="2:8">
      <c r="B1463" s="104"/>
      <c r="C1463" s="104"/>
      <c r="D1463" s="104"/>
      <c r="E1463" s="104"/>
      <c r="F1463" s="104"/>
      <c r="G1463" s="104"/>
      <c r="H1463" s="104"/>
    </row>
    <row r="1464" spans="2:8">
      <c r="B1464" s="104"/>
      <c r="C1464" s="104"/>
      <c r="D1464" s="104"/>
      <c r="E1464" s="104"/>
      <c r="F1464" s="104"/>
      <c r="G1464" s="104"/>
      <c r="H1464" s="104"/>
    </row>
    <row r="1465" spans="2:8">
      <c r="B1465" s="104"/>
      <c r="C1465" s="104"/>
      <c r="D1465" s="104"/>
      <c r="E1465" s="104"/>
      <c r="F1465" s="104"/>
      <c r="G1465" s="104"/>
      <c r="H1465" s="104"/>
    </row>
    <row r="1466" spans="2:8">
      <c r="B1466" s="104"/>
      <c r="C1466" s="104"/>
      <c r="D1466" s="104"/>
      <c r="E1466" s="104"/>
      <c r="F1466" s="104"/>
      <c r="G1466" s="104"/>
      <c r="H1466" s="104"/>
    </row>
    <row r="1467" spans="2:8">
      <c r="B1467" s="104"/>
      <c r="C1467" s="104"/>
      <c r="D1467" s="104"/>
      <c r="E1467" s="104"/>
      <c r="F1467" s="104"/>
      <c r="G1467" s="104"/>
      <c r="H1467" s="104"/>
    </row>
    <row r="1468" spans="2:8">
      <c r="B1468" s="104"/>
      <c r="C1468" s="104"/>
      <c r="D1468" s="104"/>
      <c r="E1468" s="104"/>
      <c r="F1468" s="104"/>
      <c r="G1468" s="104"/>
      <c r="H1468" s="104"/>
    </row>
    <row r="1469" spans="2:8">
      <c r="B1469" s="104"/>
      <c r="C1469" s="104"/>
      <c r="D1469" s="104"/>
      <c r="E1469" s="104"/>
      <c r="F1469" s="104"/>
      <c r="G1469" s="104"/>
      <c r="H1469" s="104"/>
    </row>
    <row r="1470" spans="2:8">
      <c r="B1470" s="104"/>
      <c r="C1470" s="104"/>
      <c r="D1470" s="104"/>
      <c r="E1470" s="104"/>
      <c r="F1470" s="104"/>
      <c r="G1470" s="104"/>
      <c r="H1470" s="104"/>
    </row>
    <row r="1471" spans="2:8">
      <c r="B1471" s="104"/>
      <c r="C1471" s="104"/>
      <c r="D1471" s="104"/>
      <c r="E1471" s="104"/>
      <c r="F1471" s="104"/>
      <c r="G1471" s="104"/>
      <c r="H1471" s="104"/>
    </row>
    <row r="1472" spans="2:8">
      <c r="B1472" s="104"/>
      <c r="C1472" s="104"/>
      <c r="D1472" s="104"/>
      <c r="E1472" s="104"/>
      <c r="F1472" s="104"/>
      <c r="G1472" s="104"/>
      <c r="H1472" s="104"/>
    </row>
    <row r="1473" spans="2:8">
      <c r="B1473" s="104"/>
      <c r="C1473" s="104"/>
      <c r="D1473" s="104"/>
      <c r="E1473" s="104"/>
      <c r="F1473" s="104"/>
      <c r="G1473" s="104"/>
      <c r="H1473" s="104"/>
    </row>
    <row r="1474" spans="2:8">
      <c r="B1474" s="104"/>
      <c r="C1474" s="104"/>
      <c r="D1474" s="104"/>
      <c r="E1474" s="104"/>
      <c r="F1474" s="104"/>
      <c r="G1474" s="104"/>
      <c r="H1474" s="104"/>
    </row>
    <row r="1475" spans="2:8">
      <c r="B1475" s="104"/>
      <c r="C1475" s="104"/>
      <c r="D1475" s="104"/>
      <c r="E1475" s="104"/>
      <c r="F1475" s="104"/>
      <c r="G1475" s="104"/>
      <c r="H1475" s="104"/>
    </row>
    <row r="1476" spans="2:8">
      <c r="B1476" s="104"/>
      <c r="C1476" s="104"/>
      <c r="D1476" s="104"/>
      <c r="E1476" s="104"/>
      <c r="F1476" s="104"/>
      <c r="G1476" s="104"/>
      <c r="H1476" s="104"/>
    </row>
    <row r="1477" spans="2:8">
      <c r="B1477" s="104"/>
      <c r="C1477" s="104"/>
      <c r="D1477" s="104"/>
      <c r="E1477" s="104"/>
      <c r="F1477" s="104"/>
      <c r="G1477" s="104"/>
      <c r="H1477" s="104"/>
    </row>
    <row r="1478" spans="2:8">
      <c r="B1478" s="104"/>
      <c r="C1478" s="104"/>
      <c r="D1478" s="104"/>
      <c r="E1478" s="104"/>
      <c r="F1478" s="104"/>
      <c r="G1478" s="104"/>
      <c r="H1478" s="104"/>
    </row>
    <row r="1479" spans="2:8">
      <c r="B1479" s="104"/>
      <c r="C1479" s="104"/>
      <c r="D1479" s="104"/>
      <c r="E1479" s="104"/>
      <c r="F1479" s="104"/>
      <c r="G1479" s="104"/>
      <c r="H1479" s="104"/>
    </row>
    <row r="1480" spans="2:8">
      <c r="B1480" s="104"/>
      <c r="C1480" s="104"/>
      <c r="D1480" s="104"/>
      <c r="E1480" s="104"/>
      <c r="F1480" s="104"/>
      <c r="G1480" s="104"/>
      <c r="H1480" s="104"/>
    </row>
    <row r="1481" spans="2:8">
      <c r="B1481" s="104"/>
      <c r="C1481" s="104"/>
      <c r="D1481" s="104"/>
      <c r="E1481" s="104"/>
      <c r="F1481" s="104"/>
      <c r="G1481" s="104"/>
      <c r="H1481" s="104"/>
    </row>
    <row r="1482" spans="2:8">
      <c r="B1482" s="104"/>
      <c r="C1482" s="104"/>
      <c r="D1482" s="104"/>
      <c r="E1482" s="104"/>
      <c r="F1482" s="104"/>
      <c r="G1482" s="104"/>
      <c r="H1482" s="104"/>
    </row>
    <row r="1483" spans="2:8">
      <c r="B1483" s="104"/>
      <c r="C1483" s="104"/>
      <c r="D1483" s="104"/>
      <c r="E1483" s="104"/>
      <c r="F1483" s="104"/>
      <c r="G1483" s="104"/>
      <c r="H1483" s="104"/>
    </row>
    <row r="1484" spans="2:8">
      <c r="B1484" s="104"/>
      <c r="C1484" s="104"/>
      <c r="D1484" s="104"/>
      <c r="E1484" s="104"/>
      <c r="F1484" s="104"/>
      <c r="G1484" s="104"/>
      <c r="H1484" s="104"/>
    </row>
    <row r="1485" spans="2:8">
      <c r="B1485" s="104"/>
      <c r="C1485" s="104"/>
      <c r="D1485" s="104"/>
      <c r="E1485" s="104"/>
      <c r="F1485" s="104"/>
      <c r="G1485" s="104"/>
      <c r="H1485" s="104"/>
    </row>
    <row r="1486" spans="2:8">
      <c r="B1486" s="104"/>
      <c r="C1486" s="104"/>
      <c r="D1486" s="104"/>
      <c r="E1486" s="104"/>
      <c r="F1486" s="104"/>
      <c r="G1486" s="104"/>
      <c r="H1486" s="104"/>
    </row>
    <row r="1487" spans="2:8">
      <c r="B1487" s="104"/>
      <c r="C1487" s="104"/>
      <c r="D1487" s="104"/>
      <c r="E1487" s="104"/>
      <c r="F1487" s="104"/>
      <c r="G1487" s="104"/>
      <c r="H1487" s="104"/>
    </row>
    <row r="1488" spans="2:8">
      <c r="B1488" s="104"/>
      <c r="C1488" s="104"/>
      <c r="D1488" s="104"/>
      <c r="E1488" s="104"/>
      <c r="F1488" s="104"/>
      <c r="G1488" s="104"/>
      <c r="H1488" s="104"/>
    </row>
    <row r="1489" spans="2:8">
      <c r="B1489" s="104"/>
      <c r="C1489" s="104"/>
      <c r="D1489" s="104"/>
      <c r="E1489" s="104"/>
      <c r="F1489" s="104"/>
      <c r="G1489" s="104"/>
      <c r="H1489" s="104"/>
    </row>
    <row r="1490" spans="2:8">
      <c r="B1490" s="104"/>
      <c r="C1490" s="104"/>
      <c r="D1490" s="104"/>
      <c r="E1490" s="104"/>
      <c r="F1490" s="104"/>
      <c r="G1490" s="104"/>
      <c r="H1490" s="104"/>
    </row>
    <row r="1491" spans="2:8">
      <c r="B1491" s="104"/>
      <c r="C1491" s="104"/>
      <c r="D1491" s="104"/>
      <c r="E1491" s="104"/>
      <c r="F1491" s="104"/>
      <c r="G1491" s="104"/>
      <c r="H1491" s="104"/>
    </row>
    <row r="1492" spans="2:8">
      <c r="B1492" s="104"/>
      <c r="C1492" s="104"/>
      <c r="D1492" s="104"/>
      <c r="E1492" s="104"/>
      <c r="F1492" s="104"/>
      <c r="G1492" s="104"/>
      <c r="H1492" s="104"/>
    </row>
    <row r="1493" spans="2:8">
      <c r="B1493" s="104"/>
      <c r="C1493" s="104"/>
      <c r="D1493" s="104"/>
      <c r="E1493" s="104"/>
      <c r="F1493" s="104"/>
      <c r="G1493" s="104"/>
      <c r="H1493" s="104"/>
    </row>
    <row r="1494" spans="2:8">
      <c r="B1494" s="104"/>
      <c r="C1494" s="104"/>
      <c r="D1494" s="104"/>
      <c r="E1494" s="104"/>
      <c r="F1494" s="104"/>
      <c r="G1494" s="104"/>
      <c r="H1494" s="104"/>
    </row>
    <row r="1495" spans="2:8">
      <c r="B1495" s="104"/>
      <c r="C1495" s="104"/>
      <c r="D1495" s="104"/>
      <c r="E1495" s="104"/>
      <c r="F1495" s="104"/>
      <c r="G1495" s="104"/>
      <c r="H1495" s="104"/>
    </row>
    <row r="1496" spans="2:8">
      <c r="B1496" s="104"/>
      <c r="C1496" s="104"/>
      <c r="D1496" s="104"/>
      <c r="E1496" s="104"/>
      <c r="F1496" s="104"/>
      <c r="G1496" s="104"/>
      <c r="H1496" s="104"/>
    </row>
    <row r="1497" spans="2:8">
      <c r="B1497" s="104"/>
      <c r="C1497" s="104"/>
      <c r="D1497" s="104"/>
      <c r="E1497" s="104"/>
      <c r="F1497" s="104"/>
      <c r="G1497" s="104"/>
      <c r="H1497" s="104"/>
    </row>
    <row r="1498" spans="2:8">
      <c r="B1498" s="104"/>
      <c r="C1498" s="104"/>
      <c r="D1498" s="104"/>
      <c r="E1498" s="104"/>
      <c r="F1498" s="104"/>
      <c r="G1498" s="104"/>
      <c r="H1498" s="104"/>
    </row>
    <row r="1499" spans="2:8">
      <c r="B1499" s="104"/>
      <c r="C1499" s="104"/>
      <c r="D1499" s="104"/>
      <c r="E1499" s="104"/>
      <c r="F1499" s="104"/>
      <c r="G1499" s="104"/>
      <c r="H1499" s="104"/>
    </row>
    <row r="1500" spans="2:8">
      <c r="B1500" s="104"/>
      <c r="C1500" s="104"/>
      <c r="D1500" s="104"/>
      <c r="E1500" s="104"/>
      <c r="F1500" s="104"/>
      <c r="G1500" s="104"/>
      <c r="H1500" s="104"/>
    </row>
    <row r="1501" spans="2:8">
      <c r="B1501" s="104"/>
      <c r="C1501" s="104"/>
      <c r="D1501" s="104"/>
      <c r="E1501" s="104"/>
      <c r="F1501" s="104"/>
      <c r="G1501" s="104"/>
      <c r="H1501" s="104"/>
    </row>
    <row r="1502" spans="2:8">
      <c r="B1502" s="104"/>
      <c r="C1502" s="104"/>
      <c r="D1502" s="104"/>
      <c r="E1502" s="104"/>
      <c r="F1502" s="104"/>
      <c r="G1502" s="104"/>
      <c r="H1502" s="104"/>
    </row>
    <row r="1503" spans="2:8">
      <c r="B1503" s="104"/>
      <c r="C1503" s="104"/>
      <c r="D1503" s="104"/>
      <c r="E1503" s="104"/>
      <c r="F1503" s="104"/>
      <c r="G1503" s="104"/>
      <c r="H1503" s="104"/>
    </row>
    <row r="1504" spans="2:8">
      <c r="B1504" s="104"/>
      <c r="C1504" s="104"/>
      <c r="D1504" s="104"/>
      <c r="E1504" s="104"/>
      <c r="F1504" s="104"/>
      <c r="G1504" s="104"/>
      <c r="H1504" s="104"/>
    </row>
    <row r="1505" spans="2:8">
      <c r="B1505" s="104"/>
      <c r="C1505" s="104"/>
      <c r="D1505" s="104"/>
      <c r="E1505" s="104"/>
      <c r="F1505" s="104"/>
      <c r="G1505" s="104"/>
      <c r="H1505" s="104"/>
    </row>
    <row r="1506" spans="2:8">
      <c r="B1506" s="104"/>
      <c r="C1506" s="104"/>
      <c r="D1506" s="104"/>
      <c r="E1506" s="104"/>
      <c r="F1506" s="104"/>
      <c r="G1506" s="104"/>
      <c r="H1506" s="104"/>
    </row>
    <row r="1507" spans="2:8">
      <c r="B1507" s="104"/>
      <c r="C1507" s="104"/>
      <c r="D1507" s="104"/>
      <c r="E1507" s="104"/>
      <c r="F1507" s="104"/>
      <c r="G1507" s="104"/>
      <c r="H1507" s="104"/>
    </row>
    <row r="1508" spans="2:8">
      <c r="B1508" s="104"/>
      <c r="C1508" s="104"/>
      <c r="D1508" s="104"/>
      <c r="E1508" s="104"/>
      <c r="F1508" s="104"/>
      <c r="G1508" s="104"/>
      <c r="H1508" s="104"/>
    </row>
    <row r="1509" spans="2:8">
      <c r="B1509" s="104"/>
      <c r="C1509" s="104"/>
      <c r="D1509" s="104"/>
      <c r="E1509" s="104"/>
      <c r="F1509" s="104"/>
      <c r="G1509" s="104"/>
      <c r="H1509" s="104"/>
    </row>
    <row r="1510" spans="2:8">
      <c r="B1510" s="104"/>
      <c r="C1510" s="104"/>
      <c r="D1510" s="104"/>
      <c r="E1510" s="104"/>
      <c r="F1510" s="104"/>
      <c r="G1510" s="104"/>
      <c r="H1510" s="104"/>
    </row>
    <row r="1511" spans="2:8">
      <c r="B1511" s="104"/>
      <c r="C1511" s="104"/>
      <c r="D1511" s="104"/>
      <c r="E1511" s="104"/>
      <c r="F1511" s="104"/>
      <c r="G1511" s="104"/>
      <c r="H1511" s="104"/>
    </row>
    <row r="1512" spans="2:8">
      <c r="B1512" s="104"/>
      <c r="C1512" s="104"/>
      <c r="D1512" s="104"/>
      <c r="E1512" s="104"/>
      <c r="F1512" s="104"/>
      <c r="G1512" s="104"/>
      <c r="H1512" s="104"/>
    </row>
    <row r="1513" spans="2:8">
      <c r="B1513" s="104"/>
      <c r="C1513" s="104"/>
      <c r="D1513" s="104"/>
      <c r="E1513" s="104"/>
      <c r="F1513" s="104"/>
      <c r="G1513" s="104"/>
      <c r="H1513" s="104"/>
    </row>
    <row r="1514" spans="2:8">
      <c r="B1514" s="104"/>
      <c r="C1514" s="104"/>
      <c r="D1514" s="104"/>
      <c r="E1514" s="104"/>
      <c r="F1514" s="104"/>
      <c r="G1514" s="104"/>
      <c r="H1514" s="104"/>
    </row>
    <row r="1515" spans="2:8">
      <c r="B1515" s="104"/>
      <c r="C1515" s="104"/>
      <c r="D1515" s="104"/>
      <c r="E1515" s="104"/>
      <c r="F1515" s="104"/>
      <c r="G1515" s="104"/>
      <c r="H1515" s="104"/>
    </row>
    <row r="1516" spans="2:8">
      <c r="B1516" s="104"/>
      <c r="C1516" s="104"/>
      <c r="D1516" s="104"/>
      <c r="E1516" s="104"/>
      <c r="F1516" s="104"/>
      <c r="G1516" s="104"/>
      <c r="H1516" s="104"/>
    </row>
    <row r="1517" spans="2:8">
      <c r="B1517" s="104"/>
      <c r="C1517" s="104"/>
      <c r="D1517" s="104"/>
      <c r="E1517" s="104"/>
      <c r="F1517" s="104"/>
      <c r="G1517" s="104"/>
      <c r="H1517" s="104"/>
    </row>
    <row r="1518" spans="2:8">
      <c r="B1518" s="104"/>
      <c r="C1518" s="104"/>
      <c r="D1518" s="104"/>
      <c r="E1518" s="104"/>
      <c r="F1518" s="104"/>
      <c r="G1518" s="104"/>
      <c r="H1518" s="104"/>
    </row>
    <row r="1519" spans="2:8">
      <c r="B1519" s="104"/>
      <c r="C1519" s="104"/>
      <c r="D1519" s="104"/>
      <c r="E1519" s="104"/>
      <c r="F1519" s="104"/>
      <c r="G1519" s="104"/>
      <c r="H1519" s="104"/>
    </row>
    <row r="1520" spans="2:8">
      <c r="B1520" s="104"/>
      <c r="C1520" s="104"/>
      <c r="D1520" s="104"/>
      <c r="E1520" s="104"/>
      <c r="F1520" s="104"/>
      <c r="G1520" s="104"/>
      <c r="H1520" s="104"/>
    </row>
    <row r="1521" spans="2:8">
      <c r="B1521" s="104"/>
      <c r="C1521" s="104"/>
      <c r="D1521" s="104"/>
      <c r="E1521" s="104"/>
      <c r="F1521" s="104"/>
      <c r="G1521" s="104"/>
      <c r="H1521" s="104"/>
    </row>
    <row r="1522" spans="2:8">
      <c r="B1522" s="104"/>
      <c r="C1522" s="104"/>
      <c r="D1522" s="104"/>
      <c r="E1522" s="104"/>
      <c r="F1522" s="104"/>
      <c r="G1522" s="104"/>
      <c r="H1522" s="104"/>
    </row>
    <row r="1523" spans="2:8">
      <c r="B1523" s="104"/>
      <c r="C1523" s="104"/>
      <c r="D1523" s="104"/>
      <c r="E1523" s="104"/>
      <c r="F1523" s="104"/>
      <c r="G1523" s="104"/>
      <c r="H1523" s="104"/>
    </row>
    <row r="1524" spans="2:8">
      <c r="B1524" s="104"/>
      <c r="C1524" s="104"/>
      <c r="D1524" s="104"/>
      <c r="E1524" s="104"/>
      <c r="F1524" s="104"/>
      <c r="G1524" s="104"/>
      <c r="H1524" s="104"/>
    </row>
    <row r="1525" spans="2:8">
      <c r="B1525" s="104"/>
      <c r="C1525" s="104"/>
      <c r="D1525" s="104"/>
      <c r="E1525" s="104"/>
      <c r="F1525" s="104"/>
      <c r="G1525" s="104"/>
      <c r="H1525" s="104"/>
    </row>
    <row r="1526" spans="2:8">
      <c r="B1526" s="104"/>
      <c r="C1526" s="104"/>
      <c r="D1526" s="104"/>
      <c r="E1526" s="104"/>
      <c r="F1526" s="104"/>
      <c r="G1526" s="104"/>
      <c r="H1526" s="104"/>
    </row>
    <row r="1527" spans="2:8">
      <c r="B1527" s="104"/>
      <c r="C1527" s="104"/>
      <c r="D1527" s="104"/>
      <c r="E1527" s="104"/>
      <c r="F1527" s="104"/>
      <c r="G1527" s="104"/>
      <c r="H1527" s="104"/>
    </row>
    <row r="1528" spans="2:8">
      <c r="B1528" s="104"/>
      <c r="C1528" s="104"/>
      <c r="D1528" s="104"/>
      <c r="E1528" s="104"/>
      <c r="F1528" s="104"/>
      <c r="G1528" s="104"/>
      <c r="H1528" s="104"/>
    </row>
    <row r="1529" spans="2:8">
      <c r="B1529" s="104"/>
      <c r="C1529" s="104"/>
      <c r="D1529" s="104"/>
      <c r="E1529" s="104"/>
      <c r="F1529" s="104"/>
      <c r="G1529" s="104"/>
      <c r="H1529" s="104"/>
    </row>
    <row r="1530" spans="2:8">
      <c r="B1530" s="104"/>
      <c r="C1530" s="104"/>
      <c r="D1530" s="104"/>
      <c r="E1530" s="104"/>
      <c r="F1530" s="104"/>
      <c r="G1530" s="104"/>
      <c r="H1530" s="104"/>
    </row>
    <row r="1531" spans="2:8">
      <c r="B1531" s="104"/>
      <c r="C1531" s="104"/>
      <c r="D1531" s="104"/>
      <c r="E1531" s="104"/>
      <c r="F1531" s="104"/>
      <c r="G1531" s="104"/>
      <c r="H1531" s="104"/>
    </row>
    <row r="1532" spans="2:8">
      <c r="B1532" s="104"/>
      <c r="C1532" s="104"/>
      <c r="D1532" s="104"/>
      <c r="E1532" s="104"/>
      <c r="F1532" s="104"/>
      <c r="G1532" s="104"/>
      <c r="H1532" s="104"/>
    </row>
    <row r="1533" spans="2:8">
      <c r="B1533" s="104"/>
      <c r="C1533" s="104"/>
      <c r="D1533" s="104"/>
      <c r="E1533" s="104"/>
      <c r="F1533" s="104"/>
      <c r="G1533" s="104"/>
      <c r="H1533" s="104"/>
    </row>
    <row r="1534" spans="2:8">
      <c r="B1534" s="104"/>
      <c r="C1534" s="104"/>
      <c r="D1534" s="104"/>
      <c r="E1534" s="104"/>
      <c r="F1534" s="104"/>
      <c r="G1534" s="104"/>
      <c r="H1534" s="104"/>
    </row>
    <row r="1535" spans="2:8">
      <c r="B1535" s="104"/>
      <c r="C1535" s="104"/>
      <c r="D1535" s="104"/>
      <c r="E1535" s="104"/>
      <c r="F1535" s="104"/>
      <c r="G1535" s="104"/>
      <c r="H1535" s="104"/>
    </row>
    <row r="1536" spans="2:8">
      <c r="B1536" s="104"/>
      <c r="C1536" s="104"/>
      <c r="D1536" s="104"/>
      <c r="E1536" s="104"/>
      <c r="F1536" s="104"/>
      <c r="G1536" s="104"/>
      <c r="H1536" s="104"/>
    </row>
    <row r="1537" spans="2:8">
      <c r="B1537" s="104"/>
      <c r="C1537" s="104"/>
      <c r="D1537" s="104"/>
      <c r="E1537" s="104"/>
      <c r="F1537" s="104"/>
      <c r="G1537" s="104"/>
      <c r="H1537" s="104"/>
    </row>
    <row r="1538" spans="2:8">
      <c r="B1538" s="104"/>
      <c r="C1538" s="104"/>
      <c r="D1538" s="104"/>
      <c r="E1538" s="104"/>
      <c r="F1538" s="104"/>
      <c r="G1538" s="104"/>
      <c r="H1538" s="104"/>
    </row>
    <row r="1539" spans="2:8">
      <c r="B1539" s="104"/>
      <c r="C1539" s="104"/>
      <c r="D1539" s="104"/>
      <c r="E1539" s="104"/>
      <c r="F1539" s="104"/>
      <c r="G1539" s="104"/>
      <c r="H1539" s="104"/>
    </row>
    <row r="1540" spans="2:8">
      <c r="B1540" s="104"/>
      <c r="C1540" s="104"/>
      <c r="D1540" s="104"/>
      <c r="E1540" s="104"/>
      <c r="F1540" s="104"/>
      <c r="G1540" s="104"/>
      <c r="H1540" s="104"/>
    </row>
    <row r="1541" spans="2:8">
      <c r="B1541" s="104"/>
      <c r="C1541" s="104"/>
      <c r="D1541" s="104"/>
      <c r="E1541" s="104"/>
      <c r="F1541" s="104"/>
      <c r="G1541" s="104"/>
      <c r="H1541" s="104"/>
    </row>
    <row r="1542" spans="2:8">
      <c r="B1542" s="104"/>
      <c r="C1542" s="104"/>
      <c r="D1542" s="104"/>
      <c r="E1542" s="104"/>
      <c r="F1542" s="104"/>
      <c r="G1542" s="104"/>
      <c r="H1542" s="104"/>
    </row>
    <row r="1543" spans="2:8">
      <c r="B1543" s="104"/>
      <c r="C1543" s="104"/>
      <c r="D1543" s="104"/>
      <c r="E1543" s="104"/>
      <c r="F1543" s="104"/>
      <c r="G1543" s="104"/>
      <c r="H1543" s="104"/>
    </row>
  </sheetData>
  <mergeCells count="15">
    <mergeCell ref="A132:H132"/>
    <mergeCell ref="A141:H141"/>
    <mergeCell ref="A5:H5"/>
    <mergeCell ref="A87:H87"/>
    <mergeCell ref="A1:H2"/>
    <mergeCell ref="A105:H105"/>
    <mergeCell ref="A114:H114"/>
    <mergeCell ref="A123:H123"/>
    <mergeCell ref="A96:H96"/>
    <mergeCell ref="F85:H85"/>
    <mergeCell ref="D7:F7"/>
    <mergeCell ref="A77:C77"/>
    <mergeCell ref="A7:C7"/>
    <mergeCell ref="G7:H7"/>
    <mergeCell ref="A83:B83"/>
  </mergeCells>
  <printOptions horizontalCentered="1"/>
  <pageMargins left="0.7" right="0.7" top="0.75" bottom="0.75" header="0.3" footer="0.3"/>
  <pageSetup scale="70" orientation="portrait" r:id="rId1"/>
  <headerFooter>
    <oddHeader>&amp;LFY18 Multipliers for PPA and Merit for positions not being considered for a step plan.</oddHeader>
    <oddFooter>&amp;C&amp;D</oddFooter>
  </headerFooter>
  <rowBreaks count="1" manualBreakCount="1">
    <brk id="112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tabColor theme="2" tint="-0.249977111117893"/>
  </sheetPr>
  <dimension ref="A1:N16"/>
  <sheetViews>
    <sheetView zoomScaleNormal="100" workbookViewId="0">
      <selection activeCell="G27" sqref="G27"/>
    </sheetView>
  </sheetViews>
  <sheetFormatPr defaultColWidth="8.90625" defaultRowHeight="14.4"/>
  <cols>
    <col min="1" max="1" width="13.1796875" style="12" customWidth="1"/>
    <col min="2" max="2" width="18.81640625" style="45" customWidth="1"/>
    <col min="3" max="3" width="11.81640625" style="12" customWidth="1"/>
    <col min="4" max="4" width="8.90625" style="12" customWidth="1"/>
    <col min="5" max="6" width="6.81640625" style="12" customWidth="1"/>
    <col min="7" max="7" width="12.1796875" style="29" customWidth="1"/>
    <col min="8" max="8" width="9.81640625" style="29" bestFit="1" customWidth="1"/>
    <col min="9" max="9" width="9.90625" style="41" bestFit="1" customWidth="1"/>
    <col min="10" max="10" width="8.90625" style="45" customWidth="1"/>
    <col min="11" max="11" width="8.90625" style="46" customWidth="1"/>
    <col min="12" max="16384" width="8.90625" style="12"/>
  </cols>
  <sheetData>
    <row r="1" spans="1:14" ht="15" thickBot="1">
      <c r="A1" s="33" t="s">
        <v>45</v>
      </c>
      <c r="B1" s="43"/>
      <c r="C1" s="31" t="s">
        <v>46</v>
      </c>
      <c r="D1" s="25"/>
      <c r="E1" s="26">
        <v>0.42</v>
      </c>
      <c r="F1" s="24">
        <v>0.8</v>
      </c>
      <c r="G1" s="36" t="s">
        <v>370</v>
      </c>
      <c r="H1" s="42"/>
      <c r="I1" s="40" t="s">
        <v>51</v>
      </c>
      <c r="J1" s="45" t="s">
        <v>52</v>
      </c>
    </row>
    <row r="2" spans="1:14">
      <c r="A2" s="23" t="s">
        <v>1855</v>
      </c>
      <c r="B2" s="23" t="s">
        <v>1854</v>
      </c>
      <c r="C2" s="43" t="s">
        <v>1853</v>
      </c>
      <c r="D2" s="27" t="s">
        <v>42</v>
      </c>
      <c r="E2" s="28" t="s">
        <v>43</v>
      </c>
      <c r="F2" s="28" t="s">
        <v>44</v>
      </c>
      <c r="G2" s="37" t="s">
        <v>50</v>
      </c>
      <c r="H2" s="42"/>
      <c r="I2" s="318">
        <v>0</v>
      </c>
      <c r="J2" s="45" t="s">
        <v>55</v>
      </c>
    </row>
    <row r="3" spans="1:14">
      <c r="A3" s="462" t="s">
        <v>1265</v>
      </c>
      <c r="B3" s="45" t="s">
        <v>1856</v>
      </c>
      <c r="C3" s="44">
        <f t="shared" ref="C3:C15" si="0">J3</f>
        <v>2.9231999999999999E-3</v>
      </c>
      <c r="D3" s="85">
        <v>8.6999999999999994E-3</v>
      </c>
      <c r="E3" s="29">
        <f>$E$1</f>
        <v>0.42</v>
      </c>
      <c r="F3" s="29">
        <f>$F$1</f>
        <v>0.8</v>
      </c>
      <c r="G3" s="38">
        <f>D3*E3*F3</f>
        <v>2.9231999999999999E-3</v>
      </c>
      <c r="H3" s="44"/>
      <c r="I3" s="317">
        <f t="shared" ref="I3:I15" si="1">G3-H3</f>
        <v>2.9231999999999999E-3</v>
      </c>
      <c r="J3" s="320">
        <f>D3*(E3*F3)*(1+$I$2)</f>
        <v>2.9231999999999999E-3</v>
      </c>
      <c r="K3" s="319">
        <f>J3-H3</f>
        <v>2.9231999999999999E-3</v>
      </c>
      <c r="L3" s="29"/>
      <c r="M3" s="12">
        <v>1.6320000000000004E-3</v>
      </c>
      <c r="N3" s="100">
        <f t="shared" ref="N3:N15" si="2">C3/M3-1</f>
        <v>0.7911764705882347</v>
      </c>
    </row>
    <row r="4" spans="1:14">
      <c r="A4" s="462" t="s">
        <v>1338</v>
      </c>
      <c r="B4" s="45" t="s">
        <v>1857</v>
      </c>
      <c r="C4" s="44">
        <f t="shared" si="0"/>
        <v>2.4326400000000005E-2</v>
      </c>
      <c r="D4" s="85">
        <v>7.2400000000000006E-2</v>
      </c>
      <c r="E4" s="29">
        <f t="shared" ref="E4:E15" si="3">$E$1</f>
        <v>0.42</v>
      </c>
      <c r="F4" s="29">
        <f t="shared" ref="F4:F15" si="4">$F$1</f>
        <v>0.8</v>
      </c>
      <c r="G4" s="38">
        <f t="shared" ref="G4:G15" si="5">D4*E4*F4</f>
        <v>2.4326400000000001E-2</v>
      </c>
      <c r="H4" s="44"/>
      <c r="I4" s="317">
        <f t="shared" si="1"/>
        <v>2.4326400000000001E-2</v>
      </c>
      <c r="J4" s="320">
        <f t="shared" ref="J4:J15" si="6">D4*(E4*F4)*(1+$I$2)</f>
        <v>2.4326400000000005E-2</v>
      </c>
      <c r="K4" s="319">
        <f t="shared" ref="K4:K15" si="7">J4-H4</f>
        <v>2.4326400000000005E-2</v>
      </c>
      <c r="L4" s="29"/>
      <c r="M4" s="12">
        <v>1.4336000000000003E-2</v>
      </c>
      <c r="N4" s="100">
        <f t="shared" si="2"/>
        <v>0.69687499999999991</v>
      </c>
    </row>
    <row r="5" spans="1:14">
      <c r="A5" s="462" t="s">
        <v>1290</v>
      </c>
      <c r="B5" s="45" t="s">
        <v>1858</v>
      </c>
      <c r="C5" s="44">
        <f t="shared" si="0"/>
        <v>1.512E-2</v>
      </c>
      <c r="D5" s="85">
        <v>4.4999999999999998E-2</v>
      </c>
      <c r="E5" s="29">
        <f t="shared" si="3"/>
        <v>0.42</v>
      </c>
      <c r="F5" s="29">
        <f t="shared" si="4"/>
        <v>0.8</v>
      </c>
      <c r="G5" s="38">
        <f t="shared" si="5"/>
        <v>1.5120000000000001E-2</v>
      </c>
      <c r="H5" s="44"/>
      <c r="I5" s="317">
        <f t="shared" si="1"/>
        <v>1.5120000000000001E-2</v>
      </c>
      <c r="J5" s="320">
        <f t="shared" si="6"/>
        <v>1.512E-2</v>
      </c>
      <c r="K5" s="319">
        <f t="shared" si="7"/>
        <v>1.512E-2</v>
      </c>
      <c r="L5" s="29"/>
      <c r="M5" s="12">
        <v>8.1920000000000014E-3</v>
      </c>
      <c r="N5" s="100">
        <f t="shared" si="2"/>
        <v>0.84570312499999956</v>
      </c>
    </row>
    <row r="6" spans="1:14">
      <c r="A6" s="462" t="s">
        <v>1217</v>
      </c>
      <c r="B6" s="45" t="s">
        <v>1859</v>
      </c>
      <c r="C6" s="44">
        <f t="shared" si="0"/>
        <v>1.7808000000000001E-2</v>
      </c>
      <c r="D6" s="85">
        <v>5.2999999999999999E-2</v>
      </c>
      <c r="E6" s="29">
        <f t="shared" si="3"/>
        <v>0.42</v>
      </c>
      <c r="F6" s="29">
        <f t="shared" si="4"/>
        <v>0.8</v>
      </c>
      <c r="G6" s="38">
        <f t="shared" si="5"/>
        <v>1.7808000000000001E-2</v>
      </c>
      <c r="H6" s="44"/>
      <c r="I6" s="317">
        <f t="shared" si="1"/>
        <v>1.7808000000000001E-2</v>
      </c>
      <c r="J6" s="320">
        <f t="shared" si="6"/>
        <v>1.7808000000000001E-2</v>
      </c>
      <c r="K6" s="319">
        <f t="shared" si="7"/>
        <v>1.7808000000000001E-2</v>
      </c>
      <c r="L6" s="29"/>
      <c r="M6" s="12">
        <v>7.5040000000000011E-3</v>
      </c>
      <c r="N6" s="100">
        <f t="shared" si="2"/>
        <v>1.3731343283582089</v>
      </c>
    </row>
    <row r="7" spans="1:14">
      <c r="A7" s="462" t="s">
        <v>1224</v>
      </c>
      <c r="B7" s="45" t="s">
        <v>1860</v>
      </c>
      <c r="C7" s="44">
        <f t="shared" si="0"/>
        <v>1.5758399999999999E-2</v>
      </c>
      <c r="D7" s="85">
        <v>4.6899999999999997E-2</v>
      </c>
      <c r="E7" s="29">
        <f t="shared" si="3"/>
        <v>0.42</v>
      </c>
      <c r="F7" s="29">
        <f t="shared" si="4"/>
        <v>0.8</v>
      </c>
      <c r="G7" s="38">
        <f t="shared" si="5"/>
        <v>1.5758399999999999E-2</v>
      </c>
      <c r="H7" s="44"/>
      <c r="I7" s="317">
        <f t="shared" si="1"/>
        <v>1.5758399999999999E-2</v>
      </c>
      <c r="J7" s="320">
        <f t="shared" si="6"/>
        <v>1.5758399999999999E-2</v>
      </c>
      <c r="K7" s="319">
        <f t="shared" si="7"/>
        <v>1.5758399999999999E-2</v>
      </c>
      <c r="L7" s="29"/>
      <c r="M7" s="12">
        <v>6.9600000000000009E-3</v>
      </c>
      <c r="N7" s="100">
        <f t="shared" si="2"/>
        <v>1.2641379310344822</v>
      </c>
    </row>
    <row r="8" spans="1:14">
      <c r="A8" s="462" t="s">
        <v>1868</v>
      </c>
      <c r="B8" s="45" t="s">
        <v>1861</v>
      </c>
      <c r="C8" s="44">
        <f t="shared" si="0"/>
        <v>1.4050848000000001E-2</v>
      </c>
      <c r="D8" s="85">
        <v>4.1818000000000001E-2</v>
      </c>
      <c r="E8" s="29">
        <f t="shared" si="3"/>
        <v>0.42</v>
      </c>
      <c r="F8" s="29">
        <f t="shared" si="4"/>
        <v>0.8</v>
      </c>
      <c r="G8" s="38">
        <f t="shared" si="5"/>
        <v>1.4050847999999999E-2</v>
      </c>
      <c r="H8" s="44"/>
      <c r="I8" s="317">
        <f t="shared" si="1"/>
        <v>1.4050847999999999E-2</v>
      </c>
      <c r="J8" s="320">
        <f t="shared" si="6"/>
        <v>1.4050848000000001E-2</v>
      </c>
      <c r="K8" s="319">
        <f t="shared" si="7"/>
        <v>1.4050848000000001E-2</v>
      </c>
      <c r="L8" s="29"/>
      <c r="M8" s="12">
        <v>6.6908800000000015E-3</v>
      </c>
      <c r="N8" s="100">
        <f t="shared" si="2"/>
        <v>1.0999999999999996</v>
      </c>
    </row>
    <row r="9" spans="1:14">
      <c r="A9" s="462" t="s">
        <v>1240</v>
      </c>
      <c r="B9" s="45" t="s">
        <v>1862</v>
      </c>
      <c r="C9" s="44">
        <f t="shared" si="0"/>
        <v>2.8224000000000001E-3</v>
      </c>
      <c r="D9" s="85">
        <v>8.3999999999999995E-3</v>
      </c>
      <c r="E9" s="29">
        <f t="shared" si="3"/>
        <v>0.42</v>
      </c>
      <c r="F9" s="29">
        <f t="shared" si="4"/>
        <v>0.8</v>
      </c>
      <c r="G9" s="38">
        <f t="shared" si="5"/>
        <v>2.8223999999999996E-3</v>
      </c>
      <c r="H9" s="44"/>
      <c r="I9" s="317">
        <f t="shared" si="1"/>
        <v>2.8223999999999996E-3</v>
      </c>
      <c r="J9" s="320">
        <f t="shared" si="6"/>
        <v>2.8224000000000001E-3</v>
      </c>
      <c r="K9" s="319">
        <f t="shared" si="7"/>
        <v>2.8224000000000001E-3</v>
      </c>
      <c r="L9" s="29"/>
      <c r="M9" s="12">
        <v>1.3440000000000001E-3</v>
      </c>
      <c r="N9" s="100">
        <f t="shared" si="2"/>
        <v>1.0999999999999996</v>
      </c>
    </row>
    <row r="10" spans="1:14">
      <c r="A10" s="462" t="s">
        <v>1230</v>
      </c>
      <c r="B10" s="45" t="s">
        <v>1863</v>
      </c>
      <c r="C10" s="44">
        <f t="shared" si="0"/>
        <v>1.3776000000000003E-3</v>
      </c>
      <c r="D10" s="85">
        <v>4.1000000000000003E-3</v>
      </c>
      <c r="E10" s="29">
        <f t="shared" si="3"/>
        <v>0.42</v>
      </c>
      <c r="F10" s="29">
        <f t="shared" si="4"/>
        <v>0.8</v>
      </c>
      <c r="G10" s="38">
        <f t="shared" si="5"/>
        <v>1.3776000000000001E-3</v>
      </c>
      <c r="H10" s="63"/>
      <c r="I10" s="317">
        <f t="shared" si="1"/>
        <v>1.3776000000000001E-3</v>
      </c>
      <c r="J10" s="320">
        <f t="shared" si="6"/>
        <v>1.3776000000000003E-3</v>
      </c>
      <c r="K10" s="319">
        <f t="shared" si="7"/>
        <v>1.3776000000000003E-3</v>
      </c>
      <c r="L10" s="29"/>
      <c r="M10" s="12">
        <v>7.2000000000000005E-4</v>
      </c>
      <c r="N10" s="100">
        <f t="shared" si="2"/>
        <v>0.91333333333333355</v>
      </c>
    </row>
    <row r="11" spans="1:14">
      <c r="A11" s="462" t="s">
        <v>1527</v>
      </c>
      <c r="B11" s="45" t="s">
        <v>1864</v>
      </c>
      <c r="C11" s="44">
        <f t="shared" si="0"/>
        <v>2.1436799999999999E-2</v>
      </c>
      <c r="D11" s="85">
        <v>6.3799999999999996E-2</v>
      </c>
      <c r="E11" s="29">
        <f t="shared" si="3"/>
        <v>0.42</v>
      </c>
      <c r="F11" s="29">
        <f t="shared" si="4"/>
        <v>0.8</v>
      </c>
      <c r="G11" s="38">
        <f t="shared" si="5"/>
        <v>2.1436799999999999E-2</v>
      </c>
      <c r="H11" s="44"/>
      <c r="I11" s="317">
        <f t="shared" si="1"/>
        <v>2.1436799999999999E-2</v>
      </c>
      <c r="J11" s="320">
        <f t="shared" si="6"/>
        <v>2.1436799999999999E-2</v>
      </c>
      <c r="K11" s="319">
        <f t="shared" si="7"/>
        <v>2.1436799999999999E-2</v>
      </c>
      <c r="L11" s="29"/>
      <c r="M11" s="12">
        <v>1.0000000000000002E-2</v>
      </c>
      <c r="N11" s="100">
        <f t="shared" si="2"/>
        <v>1.1436799999999994</v>
      </c>
    </row>
    <row r="12" spans="1:14">
      <c r="A12" s="462" t="s">
        <v>1304</v>
      </c>
      <c r="B12" s="45" t="s">
        <v>1865</v>
      </c>
      <c r="C12" s="44">
        <f t="shared" si="0"/>
        <v>1.848E-3</v>
      </c>
      <c r="D12" s="85">
        <v>5.4999999999999997E-3</v>
      </c>
      <c r="E12" s="29">
        <f t="shared" si="3"/>
        <v>0.42</v>
      </c>
      <c r="F12" s="29">
        <f t="shared" si="4"/>
        <v>0.8</v>
      </c>
      <c r="G12" s="38">
        <f t="shared" si="5"/>
        <v>1.848E-3</v>
      </c>
      <c r="H12" s="44"/>
      <c r="I12" s="317">
        <f t="shared" si="1"/>
        <v>1.848E-3</v>
      </c>
      <c r="J12" s="320">
        <f t="shared" si="6"/>
        <v>1.848E-3</v>
      </c>
      <c r="K12" s="319">
        <f t="shared" si="7"/>
        <v>1.848E-3</v>
      </c>
      <c r="L12" s="29"/>
      <c r="M12" s="12">
        <v>8.8000000000000014E-4</v>
      </c>
      <c r="N12" s="100">
        <f t="shared" si="2"/>
        <v>1.0999999999999996</v>
      </c>
    </row>
    <row r="13" spans="1:14">
      <c r="A13" s="462" t="s">
        <v>1249</v>
      </c>
      <c r="C13" s="44">
        <f t="shared" si="0"/>
        <v>2.8022400000000003E-2</v>
      </c>
      <c r="D13" s="85">
        <v>8.3400000000000002E-2</v>
      </c>
      <c r="E13" s="29">
        <f t="shared" si="3"/>
        <v>0.42</v>
      </c>
      <c r="F13" s="29">
        <f t="shared" si="4"/>
        <v>0.8</v>
      </c>
      <c r="G13" s="38">
        <f t="shared" si="5"/>
        <v>2.8022399999999999E-2</v>
      </c>
      <c r="H13" s="44"/>
      <c r="I13" s="317">
        <f t="shared" si="1"/>
        <v>2.8022399999999999E-2</v>
      </c>
      <c r="J13" s="320">
        <f t="shared" si="6"/>
        <v>2.8022400000000003E-2</v>
      </c>
      <c r="K13" s="319">
        <f t="shared" si="7"/>
        <v>2.8022400000000003E-2</v>
      </c>
      <c r="L13" s="29"/>
      <c r="M13" s="12">
        <v>1.2640000000000002E-2</v>
      </c>
      <c r="N13" s="100">
        <f t="shared" si="2"/>
        <v>1.2169620253164557</v>
      </c>
    </row>
    <row r="14" spans="1:14">
      <c r="A14" s="462" t="s">
        <v>1258</v>
      </c>
      <c r="B14" s="45" t="s">
        <v>1866</v>
      </c>
      <c r="C14" s="44">
        <f t="shared" si="0"/>
        <v>1.8536112000000004E-2</v>
      </c>
      <c r="D14" s="85">
        <v>5.5167000000000008E-2</v>
      </c>
      <c r="E14" s="29">
        <f t="shared" si="3"/>
        <v>0.42</v>
      </c>
      <c r="F14" s="29">
        <f t="shared" si="4"/>
        <v>0.8</v>
      </c>
      <c r="G14" s="38">
        <f t="shared" si="5"/>
        <v>1.8536112000000004E-2</v>
      </c>
      <c r="H14" s="44"/>
      <c r="I14" s="317">
        <f t="shared" si="1"/>
        <v>1.8536112000000004E-2</v>
      </c>
      <c r="J14" s="320">
        <f t="shared" si="6"/>
        <v>1.8536112000000004E-2</v>
      </c>
      <c r="K14" s="319">
        <f t="shared" si="7"/>
        <v>1.8536112000000004E-2</v>
      </c>
      <c r="L14" s="29"/>
      <c r="M14" s="12">
        <v>8.8267200000000032E-3</v>
      </c>
      <c r="N14" s="100">
        <f t="shared" si="2"/>
        <v>1.0999999999999996</v>
      </c>
    </row>
    <row r="15" spans="1:14" ht="15" thickBot="1">
      <c r="A15" s="462" t="s">
        <v>1325</v>
      </c>
      <c r="B15" s="45" t="s">
        <v>1867</v>
      </c>
      <c r="C15" s="44">
        <f t="shared" si="0"/>
        <v>1.1491200000000002E-2</v>
      </c>
      <c r="D15" s="252">
        <v>3.4200000000000001E-2</v>
      </c>
      <c r="E15" s="30">
        <f t="shared" si="3"/>
        <v>0.42</v>
      </c>
      <c r="F15" s="30">
        <f t="shared" si="4"/>
        <v>0.8</v>
      </c>
      <c r="G15" s="39">
        <f t="shared" si="5"/>
        <v>1.14912E-2</v>
      </c>
      <c r="H15" s="44"/>
      <c r="I15" s="317">
        <f t="shared" si="1"/>
        <v>1.14912E-2</v>
      </c>
      <c r="J15" s="320">
        <f t="shared" si="6"/>
        <v>1.1491200000000002E-2</v>
      </c>
      <c r="K15" s="319">
        <f t="shared" si="7"/>
        <v>1.1491200000000002E-2</v>
      </c>
      <c r="L15" s="29"/>
      <c r="M15" s="12">
        <v>6.4000000000000012E-3</v>
      </c>
      <c r="N15" s="100">
        <f t="shared" si="2"/>
        <v>0.79549999999999987</v>
      </c>
    </row>
    <row r="16" spans="1:14">
      <c r="I16" s="31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AA5993"/>
  <sheetViews>
    <sheetView zoomScale="90" zoomScaleNormal="90" workbookViewId="0">
      <selection activeCell="T19" sqref="T19"/>
    </sheetView>
  </sheetViews>
  <sheetFormatPr defaultColWidth="8.90625" defaultRowHeight="15.6"/>
  <cols>
    <col min="1" max="1" width="14.81640625" style="128" customWidth="1"/>
    <col min="2" max="3" width="13" style="128" customWidth="1"/>
    <col min="4" max="4" width="18.36328125" customWidth="1"/>
    <col min="5" max="5" width="14.36328125" customWidth="1"/>
    <col min="6" max="6" width="8.6328125" customWidth="1"/>
    <col min="7" max="7" width="10.453125" customWidth="1"/>
    <col min="8" max="8" width="8.453125" customWidth="1"/>
    <col min="9" max="9" width="9.36328125" customWidth="1"/>
    <col min="10" max="10" width="8.453125" customWidth="1"/>
    <col min="11" max="11" width="10" customWidth="1"/>
    <col min="12" max="12" width="8.90625" style="128"/>
    <col min="13" max="13" width="9.36328125" customWidth="1"/>
    <col min="14" max="15" width="8.90625" style="128"/>
    <col min="16" max="27" width="9.08984375" customWidth="1"/>
    <col min="28" max="16384" width="8.90625" style="128"/>
  </cols>
  <sheetData>
    <row r="1" spans="1:27" ht="23.4">
      <c r="A1" s="127" t="s">
        <v>170</v>
      </c>
      <c r="B1" s="127"/>
      <c r="C1" s="127"/>
      <c r="D1" s="401"/>
      <c r="E1" s="402"/>
      <c r="F1" s="402"/>
      <c r="G1" s="402"/>
      <c r="H1" s="402"/>
      <c r="I1" s="402"/>
      <c r="J1" s="402"/>
      <c r="K1" s="402"/>
      <c r="L1" s="584"/>
      <c r="M1" s="402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</row>
    <row r="2" spans="1:27" ht="19.8">
      <c r="A2" s="567">
        <f>M15+SUMIF(Q:Q,D15,U:U)</f>
        <v>0</v>
      </c>
      <c r="B2" s="127" t="str">
        <f t="shared" ref="B2:B3" si="0">LEFT(D2,10)</f>
        <v/>
      </c>
      <c r="C2" s="127" t="str">
        <f t="shared" ref="C2:C3" si="1">MID(D2,12,5)</f>
        <v/>
      </c>
      <c r="D2" s="401"/>
      <c r="E2" s="403"/>
      <c r="F2" s="403"/>
      <c r="G2" s="403"/>
      <c r="H2" s="412"/>
      <c r="I2" s="412"/>
      <c r="J2" s="412"/>
      <c r="K2" s="412"/>
      <c r="L2" s="584"/>
      <c r="M2" s="412"/>
      <c r="P2" s="599"/>
      <c r="Q2" s="600"/>
      <c r="R2" s="599"/>
      <c r="S2" s="599"/>
      <c r="T2" s="599"/>
      <c r="U2" s="601"/>
      <c r="V2" s="599"/>
      <c r="W2" s="599"/>
      <c r="X2" s="599"/>
      <c r="Y2" s="599"/>
      <c r="Z2" s="599"/>
      <c r="AA2" s="599"/>
    </row>
    <row r="3" spans="1:27">
      <c r="B3" s="127" t="str">
        <f t="shared" si="0"/>
        <v/>
      </c>
      <c r="C3" s="127" t="str">
        <f t="shared" si="1"/>
        <v/>
      </c>
      <c r="D3" s="401"/>
      <c r="H3" s="404"/>
      <c r="I3" s="404"/>
      <c r="J3" s="404"/>
      <c r="K3" s="404"/>
      <c r="L3"/>
      <c r="M3" s="404"/>
      <c r="P3" s="599"/>
      <c r="Q3" s="600"/>
      <c r="R3" s="599"/>
      <c r="S3" s="599"/>
      <c r="T3" s="599"/>
      <c r="U3" s="601"/>
      <c r="V3" s="599"/>
      <c r="W3" s="599"/>
      <c r="X3" s="599"/>
      <c r="Y3" s="599"/>
      <c r="Z3" s="599"/>
      <c r="AA3" s="599"/>
    </row>
    <row r="4" spans="1:27">
      <c r="A4" s="127" t="s">
        <v>170</v>
      </c>
      <c r="B4" s="127" t="str">
        <f>LEFT(D4,10)</f>
        <v/>
      </c>
      <c r="C4" s="127" t="str">
        <f>MID(D4,12,5)</f>
        <v/>
      </c>
      <c r="D4" s="401"/>
      <c r="L4" s="585"/>
      <c r="P4" s="599"/>
      <c r="Q4" s="600"/>
      <c r="R4" s="599"/>
      <c r="S4" s="599"/>
      <c r="T4" s="599"/>
      <c r="U4" s="601"/>
      <c r="V4" s="599"/>
      <c r="W4" s="599"/>
      <c r="X4" s="599"/>
      <c r="Y4" s="599"/>
      <c r="Z4" s="599"/>
      <c r="AA4" s="599"/>
    </row>
    <row r="5" spans="1:27">
      <c r="A5" s="127" t="s">
        <v>170</v>
      </c>
      <c r="B5" s="127" t="str">
        <f t="shared" ref="B5:B68" si="2">LEFT(D5,10)</f>
        <v/>
      </c>
      <c r="C5" s="127" t="str">
        <f t="shared" ref="C5:C68" si="3">MID(D5,12,5)</f>
        <v/>
      </c>
      <c r="D5" s="401"/>
      <c r="L5" s="585"/>
      <c r="P5" s="599"/>
      <c r="Q5" s="600"/>
      <c r="R5" s="599"/>
      <c r="S5" s="599"/>
      <c r="T5" s="599"/>
      <c r="U5" s="601"/>
      <c r="V5" s="599"/>
      <c r="W5" s="599"/>
      <c r="X5" s="599"/>
      <c r="Y5" s="599"/>
      <c r="Z5" s="599"/>
      <c r="AA5" s="599"/>
    </row>
    <row r="6" spans="1:27" ht="15.75" customHeight="1">
      <c r="A6" s="127" t="s">
        <v>170</v>
      </c>
      <c r="B6" s="127" t="str">
        <f t="shared" si="2"/>
        <v/>
      </c>
      <c r="C6" s="127" t="str">
        <f t="shared" si="3"/>
        <v/>
      </c>
      <c r="J6" s="413" t="s">
        <v>1098</v>
      </c>
      <c r="L6" s="585"/>
      <c r="P6" s="599"/>
      <c r="Q6" s="600"/>
      <c r="R6" s="599"/>
      <c r="S6" s="599"/>
      <c r="T6" s="599"/>
      <c r="U6" s="601"/>
      <c r="V6" s="599"/>
      <c r="W6" s="599"/>
      <c r="X6" s="599"/>
      <c r="Y6" s="599"/>
      <c r="Z6" s="599"/>
      <c r="AA6" s="599"/>
    </row>
    <row r="7" spans="1:27" ht="34.5" customHeight="1">
      <c r="A7" s="127" t="s">
        <v>170</v>
      </c>
      <c r="B7" s="127" t="str">
        <f t="shared" si="2"/>
        <v/>
      </c>
      <c r="C7" s="127" t="str">
        <f t="shared" si="3"/>
        <v/>
      </c>
      <c r="J7" s="540" t="s">
        <v>1098</v>
      </c>
      <c r="L7"/>
      <c r="P7" s="599"/>
      <c r="Q7" s="600"/>
      <c r="R7" s="599"/>
      <c r="S7" s="599"/>
      <c r="T7" s="599"/>
      <c r="U7" s="601"/>
      <c r="V7" s="599"/>
      <c r="W7" s="599"/>
      <c r="X7" s="599"/>
      <c r="Y7" s="599"/>
      <c r="Z7" s="599"/>
      <c r="AA7" s="599"/>
    </row>
    <row r="8" spans="1:27" ht="21.6">
      <c r="A8" s="127" t="s">
        <v>170</v>
      </c>
      <c r="B8" s="127" t="str">
        <f t="shared" si="2"/>
        <v/>
      </c>
      <c r="C8" s="127" t="str">
        <f t="shared" si="3"/>
        <v/>
      </c>
      <c r="F8" s="413" t="s">
        <v>1099</v>
      </c>
      <c r="G8" s="413" t="s">
        <v>1100</v>
      </c>
      <c r="H8" s="568" t="s">
        <v>1101</v>
      </c>
      <c r="I8" s="413" t="s">
        <v>1102</v>
      </c>
      <c r="J8" s="413"/>
      <c r="K8" s="568" t="s">
        <v>1103</v>
      </c>
      <c r="L8" s="586"/>
      <c r="M8" s="540"/>
      <c r="P8" s="599"/>
      <c r="Q8" s="600"/>
      <c r="R8" s="599"/>
      <c r="S8" s="599"/>
      <c r="T8" s="599"/>
      <c r="U8" s="601"/>
      <c r="V8" s="599"/>
      <c r="W8" s="599"/>
      <c r="X8" s="599"/>
      <c r="Y8" s="599"/>
      <c r="Z8" s="599"/>
      <c r="AA8" s="599"/>
    </row>
    <row r="9" spans="1:27">
      <c r="A9" s="127" t="s">
        <v>170</v>
      </c>
      <c r="B9" s="127" t="str">
        <f t="shared" si="2"/>
        <v/>
      </c>
      <c r="C9" s="127" t="str">
        <f t="shared" si="3"/>
        <v/>
      </c>
      <c r="L9"/>
      <c r="P9" s="599"/>
      <c r="Q9" s="600"/>
      <c r="R9" s="599"/>
      <c r="S9" s="599"/>
      <c r="T9" s="599"/>
      <c r="U9" s="601"/>
      <c r="V9" s="599"/>
      <c r="W9" s="599"/>
      <c r="X9" s="599"/>
      <c r="Y9" s="599"/>
      <c r="Z9" s="599"/>
      <c r="AA9" s="599"/>
    </row>
    <row r="10" spans="1:27" ht="14.4">
      <c r="A10" s="127" t="s">
        <v>170</v>
      </c>
      <c r="B10" s="127" t="str">
        <f t="shared" si="2"/>
        <v xml:space="preserve">Fund: 100 </v>
      </c>
      <c r="C10" s="127" t="str">
        <f t="shared" si="3"/>
        <v xml:space="preserve"> GENE</v>
      </c>
      <c r="D10" s="569" t="s">
        <v>1104</v>
      </c>
      <c r="E10" s="569"/>
      <c r="F10" s="569"/>
      <c r="G10" s="569"/>
      <c r="H10" s="569"/>
      <c r="I10" s="569"/>
      <c r="J10" s="569"/>
      <c r="K10" s="569"/>
      <c r="L10" s="587"/>
      <c r="M10" s="587"/>
      <c r="P10" s="599"/>
      <c r="Q10" s="600"/>
      <c r="R10" s="599"/>
      <c r="S10" s="599"/>
      <c r="T10" s="599"/>
      <c r="U10" s="601"/>
      <c r="V10" s="599"/>
      <c r="W10" s="599"/>
      <c r="X10" s="599"/>
      <c r="Y10" s="599"/>
      <c r="Z10" s="599"/>
      <c r="AA10" s="599"/>
    </row>
    <row r="11" spans="1:27">
      <c r="A11" s="127" t="s">
        <v>170</v>
      </c>
      <c r="B11" s="127" t="str">
        <f t="shared" si="2"/>
        <v/>
      </c>
      <c r="C11" s="127" t="str">
        <f t="shared" si="3"/>
        <v/>
      </c>
      <c r="E11" s="569"/>
      <c r="F11" s="569"/>
      <c r="G11" s="569"/>
      <c r="H11" s="569"/>
      <c r="I11" s="569"/>
      <c r="J11" s="569"/>
      <c r="K11" s="569"/>
      <c r="L11" s="587"/>
      <c r="M11" s="587"/>
      <c r="P11" s="599"/>
      <c r="Q11" s="600"/>
      <c r="R11" s="599"/>
      <c r="S11" s="599"/>
      <c r="T11" s="599"/>
      <c r="U11" s="601"/>
      <c r="V11" s="599"/>
      <c r="W11" s="599"/>
      <c r="X11" s="599"/>
      <c r="Y11" s="599"/>
      <c r="Z11" s="599"/>
      <c r="AA11" s="599"/>
    </row>
    <row r="12" spans="1:27">
      <c r="A12" s="127" t="s">
        <v>170</v>
      </c>
      <c r="B12" s="127" t="str">
        <f t="shared" si="2"/>
        <v/>
      </c>
      <c r="C12" s="127" t="str">
        <f t="shared" si="3"/>
        <v/>
      </c>
      <c r="E12" s="569"/>
      <c r="F12" s="569"/>
      <c r="G12" s="569"/>
      <c r="H12" s="569"/>
      <c r="I12" s="569"/>
      <c r="J12" s="569"/>
      <c r="K12" s="569"/>
      <c r="L12" s="587"/>
      <c r="M12" s="587"/>
      <c r="P12" s="599"/>
      <c r="Q12" s="600"/>
      <c r="R12" s="599"/>
      <c r="S12" s="599"/>
      <c r="T12" s="599"/>
      <c r="U12" s="601"/>
      <c r="V12" s="599"/>
      <c r="W12" s="599"/>
      <c r="X12" s="599"/>
      <c r="Y12" s="599"/>
      <c r="Z12" s="599"/>
      <c r="AA12" s="599"/>
    </row>
    <row r="13" spans="1:27">
      <c r="A13" s="127" t="s">
        <v>170</v>
      </c>
      <c r="B13" s="127" t="str">
        <f t="shared" si="2"/>
        <v/>
      </c>
      <c r="C13" s="127" t="str">
        <f t="shared" si="3"/>
        <v/>
      </c>
      <c r="E13" s="569"/>
      <c r="F13" s="569"/>
      <c r="G13" s="569"/>
      <c r="H13" s="569"/>
      <c r="I13" s="569"/>
      <c r="J13" s="569"/>
      <c r="K13" s="569"/>
      <c r="L13" s="587"/>
      <c r="M13" s="587"/>
      <c r="P13" s="599"/>
      <c r="Q13" s="600"/>
      <c r="R13" s="599"/>
      <c r="S13" s="599"/>
      <c r="T13" s="599"/>
      <c r="U13" s="601"/>
      <c r="V13" s="599"/>
      <c r="W13" s="599"/>
      <c r="X13" s="599"/>
      <c r="Y13" s="599"/>
      <c r="Z13" s="599"/>
      <c r="AA13" s="599"/>
    </row>
    <row r="14" spans="1:27" ht="14.4">
      <c r="A14" s="127"/>
      <c r="B14" s="127" t="str">
        <f t="shared" si="2"/>
        <v>100-10-101</v>
      </c>
      <c r="C14" s="127" t="str">
        <f t="shared" si="3"/>
        <v>50101</v>
      </c>
      <c r="D14" s="570" t="s">
        <v>596</v>
      </c>
      <c r="E14" s="396" t="s">
        <v>316</v>
      </c>
      <c r="F14" s="414">
        <v>350262</v>
      </c>
      <c r="G14" s="414">
        <v>350262</v>
      </c>
      <c r="H14" s="571">
        <v>6161.54</v>
      </c>
      <c r="I14" s="414">
        <v>244147.46</v>
      </c>
      <c r="J14" s="571">
        <v>106114.54</v>
      </c>
      <c r="K14" s="572">
        <v>30.3</v>
      </c>
      <c r="L14" s="588"/>
      <c r="M14" s="589"/>
      <c r="N14" s="567"/>
      <c r="P14" s="599"/>
      <c r="Q14" s="600"/>
      <c r="R14" s="599"/>
      <c r="S14" s="599"/>
      <c r="T14" s="599"/>
      <c r="U14" s="601"/>
      <c r="V14" s="599"/>
      <c r="W14" s="599"/>
      <c r="X14" s="599"/>
      <c r="Y14" s="599"/>
      <c r="Z14" s="599"/>
      <c r="AA14" s="599"/>
    </row>
    <row r="15" spans="1:27" ht="14.4">
      <c r="A15" s="127" t="s">
        <v>170</v>
      </c>
      <c r="B15" s="127" t="str">
        <f t="shared" si="2"/>
        <v>100-10-101</v>
      </c>
      <c r="C15" s="127" t="str">
        <f t="shared" si="3"/>
        <v>50102</v>
      </c>
      <c r="D15" s="570" t="s">
        <v>550</v>
      </c>
      <c r="E15" s="396" t="s">
        <v>317</v>
      </c>
      <c r="F15" s="414">
        <v>48650</v>
      </c>
      <c r="G15" s="414">
        <v>48650</v>
      </c>
      <c r="H15" s="571">
        <v>3742.4</v>
      </c>
      <c r="I15" s="414">
        <v>46673.54</v>
      </c>
      <c r="J15" s="571">
        <v>1976.46</v>
      </c>
      <c r="K15" s="572">
        <v>4.0599999999999996</v>
      </c>
      <c r="L15" s="588"/>
      <c r="M15" s="589"/>
      <c r="N15" s="567"/>
      <c r="P15" s="599"/>
      <c r="Q15" s="600"/>
      <c r="R15" s="599"/>
      <c r="S15" s="599"/>
      <c r="T15" s="599"/>
      <c r="U15" s="601"/>
      <c r="V15" s="599"/>
      <c r="W15" s="599"/>
      <c r="X15" s="599"/>
      <c r="Y15" s="599"/>
      <c r="Z15" s="599"/>
      <c r="AA15" s="599"/>
    </row>
    <row r="16" spans="1:27" ht="14.4">
      <c r="A16" s="127" t="s">
        <v>170</v>
      </c>
      <c r="B16" s="127" t="str">
        <f t="shared" si="2"/>
        <v>100-10-101</v>
      </c>
      <c r="C16" s="127" t="str">
        <f t="shared" si="3"/>
        <v>50109</v>
      </c>
      <c r="D16" s="570" t="s">
        <v>551</v>
      </c>
      <c r="E16" s="396" t="s">
        <v>12</v>
      </c>
      <c r="F16" s="414">
        <v>3500</v>
      </c>
      <c r="G16" s="414">
        <v>3500</v>
      </c>
      <c r="H16" s="571">
        <v>44.65</v>
      </c>
      <c r="I16" s="414">
        <v>1349.9</v>
      </c>
      <c r="J16" s="571">
        <v>2150.1</v>
      </c>
      <c r="K16" s="572">
        <v>61.43</v>
      </c>
      <c r="L16" s="588"/>
      <c r="M16" s="589"/>
      <c r="N16" s="567"/>
      <c r="P16" s="599"/>
      <c r="Q16" s="600"/>
      <c r="R16" s="599"/>
      <c r="S16" s="599"/>
      <c r="T16" s="599"/>
      <c r="U16" s="601"/>
      <c r="V16" s="599"/>
      <c r="W16" s="599"/>
      <c r="X16" s="599"/>
      <c r="Y16" s="599"/>
      <c r="Z16" s="599"/>
      <c r="AA16" s="599"/>
    </row>
    <row r="17" spans="1:27" ht="14.4">
      <c r="A17" s="127" t="s">
        <v>170</v>
      </c>
      <c r="B17" s="127" t="str">
        <f t="shared" si="2"/>
        <v>100-10-101</v>
      </c>
      <c r="C17" s="127" t="str">
        <f t="shared" si="3"/>
        <v>50111</v>
      </c>
      <c r="D17" s="570" t="s">
        <v>552</v>
      </c>
      <c r="E17" s="396" t="s">
        <v>318</v>
      </c>
      <c r="F17" s="414">
        <v>2439</v>
      </c>
      <c r="G17" s="414">
        <v>2439</v>
      </c>
      <c r="H17" s="571">
        <v>0</v>
      </c>
      <c r="I17" s="414">
        <v>2450</v>
      </c>
      <c r="J17" s="571">
        <v>-11</v>
      </c>
      <c r="K17" s="572">
        <v>-0.45</v>
      </c>
      <c r="L17" s="588"/>
      <c r="M17" s="589"/>
      <c r="N17" s="567"/>
      <c r="P17" s="599"/>
      <c r="Q17" s="600"/>
      <c r="R17" s="599"/>
      <c r="S17" s="599"/>
      <c r="T17" s="599"/>
      <c r="U17" s="601"/>
      <c r="V17" s="599"/>
      <c r="W17" s="599"/>
      <c r="X17" s="599"/>
      <c r="Y17" s="599"/>
      <c r="Z17" s="599"/>
      <c r="AA17" s="599"/>
    </row>
    <row r="18" spans="1:27" ht="14.4">
      <c r="A18" s="127" t="s">
        <v>170</v>
      </c>
      <c r="B18" s="127" t="str">
        <f t="shared" si="2"/>
        <v>100-10-101</v>
      </c>
      <c r="C18" s="127" t="str">
        <f t="shared" si="3"/>
        <v>50120</v>
      </c>
      <c r="D18" s="570" t="s">
        <v>737</v>
      </c>
      <c r="E18" s="396" t="s">
        <v>319</v>
      </c>
      <c r="F18" s="414">
        <v>7200</v>
      </c>
      <c r="G18" s="414">
        <v>7200</v>
      </c>
      <c r="H18" s="571">
        <v>0</v>
      </c>
      <c r="I18" s="414">
        <v>2976</v>
      </c>
      <c r="J18" s="571">
        <v>4224</v>
      </c>
      <c r="K18" s="572">
        <v>58.67</v>
      </c>
      <c r="L18" s="588"/>
      <c r="M18" s="589"/>
      <c r="N18" s="567"/>
      <c r="P18" s="599"/>
      <c r="Q18" s="600"/>
      <c r="R18" s="599"/>
      <c r="S18" s="599"/>
      <c r="T18" s="599"/>
      <c r="U18" s="601"/>
      <c r="V18" s="599"/>
      <c r="W18" s="599"/>
      <c r="X18" s="599"/>
      <c r="Y18" s="599"/>
      <c r="Z18" s="599"/>
      <c r="AA18" s="599"/>
    </row>
    <row r="19" spans="1:27" ht="14.4">
      <c r="A19" s="127" t="s">
        <v>170</v>
      </c>
      <c r="B19" s="127" t="str">
        <f t="shared" si="2"/>
        <v>100-10-101</v>
      </c>
      <c r="C19" s="127" t="str">
        <f t="shared" si="3"/>
        <v>50610</v>
      </c>
      <c r="D19" s="570" t="s">
        <v>806</v>
      </c>
      <c r="E19" s="396" t="s">
        <v>320</v>
      </c>
      <c r="F19" s="414">
        <v>22380</v>
      </c>
      <c r="G19" s="414">
        <v>22380</v>
      </c>
      <c r="H19" s="571">
        <v>729.93</v>
      </c>
      <c r="I19" s="414">
        <v>18240.28</v>
      </c>
      <c r="J19" s="571">
        <v>4139.72</v>
      </c>
      <c r="K19" s="572">
        <v>18.5</v>
      </c>
      <c r="L19" s="588"/>
      <c r="M19" s="589"/>
      <c r="N19" s="567"/>
      <c r="P19" s="599"/>
      <c r="Q19" s="600"/>
      <c r="R19" s="599"/>
      <c r="S19" s="599"/>
      <c r="T19" s="599"/>
      <c r="U19" s="601"/>
      <c r="V19" s="599"/>
      <c r="W19" s="599"/>
      <c r="X19" s="599"/>
      <c r="Y19" s="599"/>
      <c r="Z19" s="599"/>
      <c r="AA19" s="599"/>
    </row>
    <row r="20" spans="1:27" ht="14.4">
      <c r="A20" s="127" t="s">
        <v>170</v>
      </c>
      <c r="B20" s="127" t="str">
        <f t="shared" si="2"/>
        <v>100-10-101</v>
      </c>
      <c r="C20" s="127" t="str">
        <f t="shared" si="3"/>
        <v>50620</v>
      </c>
      <c r="D20" s="570" t="s">
        <v>696</v>
      </c>
      <c r="E20" s="396" t="s">
        <v>321</v>
      </c>
      <c r="F20" s="414">
        <v>41860</v>
      </c>
      <c r="G20" s="414">
        <v>41860</v>
      </c>
      <c r="H20" s="571">
        <v>1901.32</v>
      </c>
      <c r="I20" s="414">
        <v>32941.49</v>
      </c>
      <c r="J20" s="571">
        <v>8918.51</v>
      </c>
      <c r="K20" s="572">
        <v>21.31</v>
      </c>
      <c r="L20" s="588"/>
      <c r="M20" s="589"/>
      <c r="N20" s="567"/>
      <c r="P20" s="599"/>
      <c r="Q20" s="600"/>
      <c r="R20" s="599"/>
      <c r="S20" s="599"/>
      <c r="T20" s="599"/>
      <c r="U20" s="601"/>
      <c r="V20" s="599"/>
      <c r="W20" s="599"/>
      <c r="X20" s="599"/>
      <c r="Y20" s="599"/>
      <c r="Z20" s="599"/>
      <c r="AA20" s="599"/>
    </row>
    <row r="21" spans="1:27" ht="14.4">
      <c r="A21" s="127" t="s">
        <v>170</v>
      </c>
      <c r="B21" s="127" t="str">
        <f t="shared" si="2"/>
        <v>100-10-101</v>
      </c>
      <c r="C21" s="127" t="str">
        <f t="shared" si="3"/>
        <v>50630</v>
      </c>
      <c r="D21" s="570" t="s">
        <v>807</v>
      </c>
      <c r="E21" s="396" t="s">
        <v>322</v>
      </c>
      <c r="F21" s="414">
        <v>592</v>
      </c>
      <c r="G21" s="414">
        <v>592</v>
      </c>
      <c r="H21" s="571">
        <v>0</v>
      </c>
      <c r="I21" s="414">
        <v>591.51</v>
      </c>
      <c r="J21" s="571">
        <v>0.49</v>
      </c>
      <c r="K21" s="572">
        <v>0.08</v>
      </c>
      <c r="L21" s="588"/>
      <c r="M21" s="589"/>
      <c r="N21" s="567"/>
      <c r="P21" s="599"/>
      <c r="Q21" s="600"/>
      <c r="R21" s="599"/>
      <c r="S21" s="599"/>
      <c r="T21" s="599"/>
      <c r="U21" s="601"/>
      <c r="V21" s="599"/>
      <c r="W21" s="599"/>
      <c r="X21" s="599"/>
      <c r="Y21" s="599"/>
      <c r="Z21" s="599"/>
      <c r="AA21" s="599"/>
    </row>
    <row r="22" spans="1:27" ht="14.4">
      <c r="A22" s="127" t="s">
        <v>170</v>
      </c>
      <c r="B22" s="127" t="str">
        <f t="shared" si="2"/>
        <v>100-10-101</v>
      </c>
      <c r="C22" s="127" t="str">
        <f t="shared" si="3"/>
        <v>50650</v>
      </c>
      <c r="D22" s="570" t="s">
        <v>714</v>
      </c>
      <c r="E22" s="396" t="s">
        <v>323</v>
      </c>
      <c r="F22" s="573">
        <v>68525</v>
      </c>
      <c r="G22" s="573">
        <v>68525</v>
      </c>
      <c r="H22" s="574">
        <v>1671.76</v>
      </c>
      <c r="I22" s="573">
        <v>51925.53</v>
      </c>
      <c r="J22" s="574">
        <v>16599.47</v>
      </c>
      <c r="K22" s="575">
        <v>24.22</v>
      </c>
      <c r="L22" s="588"/>
      <c r="M22" s="589"/>
      <c r="N22" s="567"/>
      <c r="P22" s="599"/>
      <c r="Q22" s="600"/>
      <c r="R22" s="599"/>
      <c r="S22" s="599"/>
      <c r="T22" s="599"/>
      <c r="U22" s="601"/>
      <c r="V22" s="599"/>
      <c r="W22" s="599"/>
      <c r="X22" s="599"/>
      <c r="Y22" s="599"/>
      <c r="Z22" s="599"/>
      <c r="AA22" s="599"/>
    </row>
    <row r="23" spans="1:27" ht="14.4">
      <c r="A23" s="127" t="s">
        <v>170</v>
      </c>
      <c r="B23" s="127" t="str">
        <f t="shared" si="2"/>
        <v xml:space="preserve">Category: </v>
      </c>
      <c r="C23" s="127" t="str">
        <f t="shared" si="3"/>
        <v>0 - P</v>
      </c>
      <c r="D23" s="569" t="s">
        <v>1123</v>
      </c>
      <c r="E23" s="569"/>
      <c r="F23" s="576">
        <v>545408</v>
      </c>
      <c r="G23" s="576">
        <v>545408</v>
      </c>
      <c r="H23" s="577">
        <v>14251.6</v>
      </c>
      <c r="I23" s="576">
        <v>401295.71</v>
      </c>
      <c r="J23" s="577">
        <v>144112.29</v>
      </c>
      <c r="K23" s="578">
        <v>0.26422841249119899</v>
      </c>
      <c r="L23" s="590"/>
      <c r="M23" s="591"/>
      <c r="N23" s="567"/>
      <c r="P23" s="599"/>
      <c r="Q23" s="600"/>
      <c r="R23" s="599"/>
      <c r="S23" s="599"/>
      <c r="T23" s="599"/>
      <c r="U23" s="601"/>
      <c r="V23" s="599"/>
      <c r="W23" s="599"/>
      <c r="X23" s="599"/>
      <c r="Y23" s="599"/>
      <c r="Z23" s="599"/>
      <c r="AA23" s="599"/>
    </row>
    <row r="24" spans="1:27">
      <c r="A24" s="127" t="s">
        <v>170</v>
      </c>
      <c r="B24" s="127" t="str">
        <f t="shared" si="2"/>
        <v/>
      </c>
      <c r="C24" s="127" t="str">
        <f t="shared" si="3"/>
        <v/>
      </c>
      <c r="F24" s="398"/>
      <c r="G24" s="398"/>
      <c r="H24" s="398"/>
      <c r="I24" s="398"/>
      <c r="J24" s="398"/>
      <c r="K24" s="398"/>
      <c r="L24"/>
      <c r="N24" s="567"/>
      <c r="P24" s="599"/>
      <c r="Q24" s="600"/>
      <c r="R24" s="599"/>
      <c r="S24" s="599"/>
      <c r="T24" s="599"/>
      <c r="U24" s="601"/>
      <c r="V24" s="599"/>
      <c r="W24" s="599"/>
      <c r="X24" s="599"/>
      <c r="Y24" s="599"/>
      <c r="Z24" s="599"/>
      <c r="AA24" s="599"/>
    </row>
    <row r="25" spans="1:27" ht="14.4">
      <c r="A25" s="127" t="s">
        <v>170</v>
      </c>
      <c r="B25" s="127" t="str">
        <f t="shared" si="2"/>
        <v xml:space="preserve">Division: </v>
      </c>
      <c r="C25" s="127" t="str">
        <f t="shared" si="3"/>
        <v xml:space="preserve">01 - </v>
      </c>
      <c r="D25" s="569" t="s">
        <v>1124</v>
      </c>
      <c r="E25" s="569"/>
      <c r="F25" s="576">
        <v>545408</v>
      </c>
      <c r="G25" s="576">
        <v>545408</v>
      </c>
      <c r="H25" s="577">
        <v>14251.6</v>
      </c>
      <c r="I25" s="576">
        <v>401295.71</v>
      </c>
      <c r="J25" s="577">
        <v>144112.29</v>
      </c>
      <c r="K25" s="578">
        <v>0.26422841249119899</v>
      </c>
      <c r="L25" s="590"/>
      <c r="M25" s="591"/>
      <c r="N25" s="567"/>
      <c r="P25" s="599"/>
      <c r="Q25" s="600"/>
      <c r="R25" s="599"/>
      <c r="S25" s="599"/>
      <c r="T25" s="599"/>
      <c r="U25" s="601"/>
      <c r="V25" s="599"/>
      <c r="W25" s="599"/>
      <c r="X25" s="599"/>
      <c r="Y25" s="599"/>
      <c r="Z25" s="599"/>
      <c r="AA25" s="599"/>
    </row>
    <row r="26" spans="1:27">
      <c r="A26" s="127" t="s">
        <v>170</v>
      </c>
      <c r="B26" s="127" t="str">
        <f t="shared" si="2"/>
        <v/>
      </c>
      <c r="C26" s="127" t="str">
        <f t="shared" si="3"/>
        <v/>
      </c>
      <c r="L26"/>
      <c r="N26" s="567"/>
      <c r="P26" s="599"/>
      <c r="Q26" s="600"/>
      <c r="R26" s="599"/>
      <c r="S26" s="599"/>
      <c r="T26" s="599"/>
      <c r="U26" s="601"/>
      <c r="V26" s="599"/>
      <c r="W26" s="599"/>
      <c r="X26" s="599"/>
      <c r="Y26" s="599"/>
      <c r="Z26" s="599"/>
      <c r="AA26" s="599"/>
    </row>
    <row r="27" spans="1:27">
      <c r="A27" s="127" t="s">
        <v>170</v>
      </c>
      <c r="B27" s="127" t="str">
        <f t="shared" si="2"/>
        <v/>
      </c>
      <c r="C27" s="127" t="str">
        <f t="shared" si="3"/>
        <v/>
      </c>
      <c r="E27" s="569"/>
      <c r="F27" s="569"/>
      <c r="G27" s="569"/>
      <c r="H27" s="569"/>
      <c r="I27" s="569"/>
      <c r="J27" s="569"/>
      <c r="K27" s="569"/>
      <c r="L27" s="587"/>
      <c r="M27" s="587"/>
      <c r="N27" s="567"/>
      <c r="P27" s="599"/>
      <c r="Q27" s="600"/>
      <c r="R27" s="599"/>
      <c r="S27" s="599"/>
      <c r="T27" s="599"/>
      <c r="U27" s="601"/>
      <c r="V27" s="599"/>
      <c r="W27" s="599"/>
      <c r="X27" s="599"/>
      <c r="Y27" s="599"/>
      <c r="Z27" s="599"/>
      <c r="AA27" s="599"/>
    </row>
    <row r="28" spans="1:27">
      <c r="A28" s="127" t="s">
        <v>170</v>
      </c>
      <c r="B28" s="127" t="str">
        <f t="shared" si="2"/>
        <v/>
      </c>
      <c r="C28" s="127" t="str">
        <f t="shared" si="3"/>
        <v/>
      </c>
      <c r="E28" s="569"/>
      <c r="F28" s="569"/>
      <c r="G28" s="569"/>
      <c r="H28" s="569"/>
      <c r="I28" s="569"/>
      <c r="J28" s="569"/>
      <c r="K28" s="569"/>
      <c r="L28" s="587"/>
      <c r="M28" s="587"/>
      <c r="N28" s="567"/>
      <c r="P28" s="599"/>
      <c r="Q28" s="600"/>
      <c r="R28" s="599"/>
      <c r="S28" s="599"/>
      <c r="T28" s="599"/>
      <c r="U28" s="601"/>
      <c r="V28" s="599"/>
      <c r="W28" s="599"/>
      <c r="X28" s="599"/>
      <c r="Y28" s="599"/>
      <c r="Z28" s="599"/>
      <c r="AA28" s="599"/>
    </row>
    <row r="29" spans="1:27" ht="14.4">
      <c r="A29" s="127" t="s">
        <v>170</v>
      </c>
      <c r="B29" s="127" t="str">
        <f t="shared" si="2"/>
        <v>100-10-102</v>
      </c>
      <c r="C29" s="127" t="str">
        <f t="shared" si="3"/>
        <v>50109</v>
      </c>
      <c r="D29" s="570" t="s">
        <v>808</v>
      </c>
      <c r="E29" s="396" t="s">
        <v>12</v>
      </c>
      <c r="F29" s="414">
        <v>1600</v>
      </c>
      <c r="G29" s="414">
        <v>1600</v>
      </c>
      <c r="H29" s="571">
        <v>0</v>
      </c>
      <c r="I29" s="414">
        <v>0</v>
      </c>
      <c r="J29" s="571">
        <v>1600</v>
      </c>
      <c r="K29" s="572">
        <v>100</v>
      </c>
      <c r="L29" s="588"/>
      <c r="M29" s="589"/>
      <c r="N29" s="567"/>
      <c r="P29" s="599"/>
      <c r="Q29" s="600"/>
      <c r="R29" s="599"/>
      <c r="S29" s="599"/>
      <c r="T29" s="599"/>
      <c r="U29" s="601"/>
      <c r="V29" s="599"/>
      <c r="W29" s="599"/>
      <c r="X29" s="599"/>
      <c r="Y29" s="599"/>
      <c r="Z29" s="599"/>
      <c r="AA29" s="599"/>
    </row>
    <row r="30" spans="1:27" ht="14.4">
      <c r="A30" s="127" t="s">
        <v>170</v>
      </c>
      <c r="B30" s="127" t="str">
        <f t="shared" si="2"/>
        <v>100-10-102</v>
      </c>
      <c r="C30" s="127" t="str">
        <f t="shared" si="3"/>
        <v>50610</v>
      </c>
      <c r="D30" s="570" t="s">
        <v>809</v>
      </c>
      <c r="E30" s="396" t="s">
        <v>320</v>
      </c>
      <c r="F30" s="414">
        <v>130</v>
      </c>
      <c r="G30" s="414">
        <v>130</v>
      </c>
      <c r="H30" s="571">
        <v>0</v>
      </c>
      <c r="I30" s="414">
        <v>0</v>
      </c>
      <c r="J30" s="571">
        <v>130</v>
      </c>
      <c r="K30" s="572">
        <v>100</v>
      </c>
      <c r="L30" s="588"/>
      <c r="M30" s="589"/>
      <c r="N30" s="567"/>
      <c r="P30" s="599"/>
      <c r="Q30" s="600"/>
      <c r="R30" s="599"/>
      <c r="S30" s="599"/>
      <c r="T30" s="599"/>
      <c r="U30" s="601"/>
      <c r="V30" s="599"/>
      <c r="W30" s="599"/>
      <c r="X30" s="599"/>
      <c r="Y30" s="599"/>
      <c r="Z30" s="599"/>
      <c r="AA30" s="599"/>
    </row>
    <row r="31" spans="1:27" ht="14.4">
      <c r="A31" s="127" t="s">
        <v>170</v>
      </c>
      <c r="B31" s="127" t="str">
        <f t="shared" si="2"/>
        <v>100-10-102</v>
      </c>
      <c r="C31" s="127" t="str">
        <f t="shared" si="3"/>
        <v>50620</v>
      </c>
      <c r="D31" s="570" t="s">
        <v>810</v>
      </c>
      <c r="E31" s="396" t="s">
        <v>321</v>
      </c>
      <c r="F31" s="414">
        <v>3</v>
      </c>
      <c r="G31" s="414">
        <v>3</v>
      </c>
      <c r="H31" s="571">
        <v>0</v>
      </c>
      <c r="I31" s="414">
        <v>0</v>
      </c>
      <c r="J31" s="571">
        <v>3</v>
      </c>
      <c r="K31" s="572">
        <v>100</v>
      </c>
      <c r="L31" s="588"/>
      <c r="M31" s="589"/>
      <c r="N31" s="567"/>
      <c r="P31" s="599"/>
      <c r="Q31" s="600"/>
      <c r="R31" s="599"/>
      <c r="S31" s="599"/>
      <c r="T31" s="599"/>
      <c r="U31" s="601"/>
      <c r="V31" s="599"/>
      <c r="W31" s="599"/>
      <c r="X31" s="599"/>
      <c r="Y31" s="599"/>
      <c r="Z31" s="599"/>
      <c r="AA31" s="599"/>
    </row>
    <row r="32" spans="1:27" ht="14.4">
      <c r="A32" s="127" t="s">
        <v>170</v>
      </c>
      <c r="B32" s="127" t="str">
        <f t="shared" si="2"/>
        <v>100-10-102</v>
      </c>
      <c r="C32" s="127" t="str">
        <f t="shared" si="3"/>
        <v>50630</v>
      </c>
      <c r="D32" s="570" t="s">
        <v>811</v>
      </c>
      <c r="E32" s="396" t="s">
        <v>322</v>
      </c>
      <c r="F32" s="414">
        <v>24</v>
      </c>
      <c r="G32" s="414">
        <v>24</v>
      </c>
      <c r="H32" s="571">
        <v>0</v>
      </c>
      <c r="I32" s="414">
        <v>23.98</v>
      </c>
      <c r="J32" s="571">
        <v>0.02</v>
      </c>
      <c r="K32" s="572">
        <v>0.08</v>
      </c>
      <c r="L32" s="588"/>
      <c r="M32" s="589"/>
      <c r="N32" s="567"/>
      <c r="P32" s="599"/>
      <c r="Q32" s="600"/>
      <c r="R32" s="599"/>
      <c r="S32" s="599"/>
      <c r="T32" s="599"/>
      <c r="U32" s="601"/>
      <c r="V32" s="599"/>
      <c r="W32" s="599"/>
      <c r="X32" s="599"/>
      <c r="Y32" s="599"/>
      <c r="Z32" s="599"/>
      <c r="AA32" s="599"/>
    </row>
    <row r="33" spans="1:27" ht="14.4">
      <c r="A33" s="127" t="s">
        <v>170</v>
      </c>
      <c r="B33" s="127" t="str">
        <f t="shared" si="2"/>
        <v>100-10-102</v>
      </c>
      <c r="C33" s="127" t="str">
        <f t="shared" si="3"/>
        <v>50650</v>
      </c>
      <c r="D33" s="570" t="s">
        <v>812</v>
      </c>
      <c r="E33" s="396" t="s">
        <v>323</v>
      </c>
      <c r="F33" s="573">
        <v>265</v>
      </c>
      <c r="G33" s="573">
        <v>265</v>
      </c>
      <c r="H33" s="574">
        <v>0</v>
      </c>
      <c r="I33" s="573">
        <v>0</v>
      </c>
      <c r="J33" s="574">
        <v>265</v>
      </c>
      <c r="K33" s="575">
        <v>100</v>
      </c>
      <c r="L33" s="588"/>
      <c r="M33" s="589"/>
      <c r="N33" s="567"/>
      <c r="P33" s="599"/>
      <c r="Q33" s="600"/>
      <c r="R33" s="599"/>
      <c r="S33" s="599"/>
      <c r="T33" s="599"/>
      <c r="U33" s="601"/>
      <c r="V33" s="599"/>
      <c r="W33" s="599"/>
      <c r="X33" s="599"/>
      <c r="Y33" s="599"/>
      <c r="Z33" s="599"/>
      <c r="AA33" s="599"/>
    </row>
    <row r="34" spans="1:27" ht="14.4">
      <c r="A34" s="127" t="s">
        <v>170</v>
      </c>
      <c r="B34" s="127" t="str">
        <f t="shared" si="2"/>
        <v xml:space="preserve">Category: </v>
      </c>
      <c r="C34" s="127" t="str">
        <f t="shared" si="3"/>
        <v>0 - P</v>
      </c>
      <c r="D34" s="569" t="s">
        <v>1123</v>
      </c>
      <c r="E34" s="569"/>
      <c r="F34" s="576">
        <v>2022</v>
      </c>
      <c r="G34" s="576">
        <v>2022</v>
      </c>
      <c r="H34" s="577">
        <v>0</v>
      </c>
      <c r="I34" s="576">
        <v>23.98</v>
      </c>
      <c r="J34" s="577">
        <v>1998.02</v>
      </c>
      <c r="K34" s="578">
        <v>0.98814045499505399</v>
      </c>
      <c r="L34" s="590"/>
      <c r="M34" s="591"/>
      <c r="N34" s="567"/>
      <c r="P34" s="599"/>
      <c r="Q34" s="600"/>
      <c r="R34" s="599"/>
      <c r="S34" s="599"/>
      <c r="T34" s="599"/>
      <c r="U34" s="601"/>
      <c r="V34" s="599"/>
      <c r="W34" s="599"/>
      <c r="X34" s="599"/>
      <c r="Y34" s="599"/>
      <c r="Z34" s="599"/>
      <c r="AA34" s="599"/>
    </row>
    <row r="35" spans="1:27">
      <c r="A35" s="127" t="s">
        <v>170</v>
      </c>
      <c r="B35" s="127" t="str">
        <f t="shared" si="2"/>
        <v/>
      </c>
      <c r="C35" s="127" t="str">
        <f t="shared" si="3"/>
        <v/>
      </c>
      <c r="F35" s="398"/>
      <c r="G35" s="398"/>
      <c r="H35" s="398"/>
      <c r="I35" s="398"/>
      <c r="J35" s="398"/>
      <c r="K35" s="398"/>
      <c r="L35"/>
      <c r="N35" s="567"/>
      <c r="P35" s="599"/>
      <c r="Q35" s="600"/>
      <c r="R35" s="599"/>
      <c r="S35" s="599"/>
      <c r="T35" s="599"/>
      <c r="U35" s="601"/>
      <c r="V35" s="599"/>
      <c r="W35" s="599"/>
      <c r="X35" s="599"/>
      <c r="Y35" s="599"/>
      <c r="Z35" s="599"/>
      <c r="AA35" s="599"/>
    </row>
    <row r="36" spans="1:27" ht="14.4">
      <c r="A36" s="127" t="s">
        <v>170</v>
      </c>
      <c r="B36" s="127" t="str">
        <f t="shared" si="2"/>
        <v xml:space="preserve">Division: </v>
      </c>
      <c r="C36" s="127" t="str">
        <f t="shared" si="3"/>
        <v xml:space="preserve">02 - </v>
      </c>
      <c r="D36" s="569" t="s">
        <v>1125</v>
      </c>
      <c r="E36" s="569"/>
      <c r="F36" s="576">
        <v>2022</v>
      </c>
      <c r="G36" s="576">
        <v>2022</v>
      </c>
      <c r="H36" s="577">
        <v>0</v>
      </c>
      <c r="I36" s="576">
        <v>23.98</v>
      </c>
      <c r="J36" s="577">
        <v>1998.02</v>
      </c>
      <c r="K36" s="578">
        <v>0.98814045499505399</v>
      </c>
      <c r="L36" s="590"/>
      <c r="M36" s="591"/>
      <c r="N36" s="567"/>
      <c r="P36" s="599"/>
      <c r="Q36" s="600"/>
      <c r="R36" s="599"/>
      <c r="S36" s="599"/>
      <c r="T36" s="599"/>
      <c r="U36" s="601"/>
      <c r="V36" s="599"/>
      <c r="W36" s="599"/>
      <c r="X36" s="599"/>
      <c r="Y36" s="599"/>
      <c r="Z36" s="599"/>
      <c r="AA36" s="599"/>
    </row>
    <row r="37" spans="1:27">
      <c r="A37" s="127" t="s">
        <v>170</v>
      </c>
      <c r="B37" s="127" t="str">
        <f t="shared" si="2"/>
        <v/>
      </c>
      <c r="C37" s="127" t="str">
        <f t="shared" si="3"/>
        <v/>
      </c>
      <c r="L37"/>
      <c r="N37" s="567"/>
      <c r="P37" s="599"/>
      <c r="Q37" s="600"/>
      <c r="R37" s="599"/>
      <c r="S37" s="599"/>
      <c r="T37" s="599"/>
      <c r="U37" s="601"/>
      <c r="V37" s="599"/>
      <c r="W37" s="599"/>
      <c r="X37" s="599"/>
      <c r="Y37" s="599"/>
      <c r="Z37" s="599"/>
      <c r="AA37" s="599"/>
    </row>
    <row r="38" spans="1:27">
      <c r="A38" s="127" t="s">
        <v>170</v>
      </c>
      <c r="B38" s="127" t="str">
        <f t="shared" si="2"/>
        <v/>
      </c>
      <c r="C38" s="127" t="str">
        <f t="shared" si="3"/>
        <v/>
      </c>
      <c r="E38" s="569"/>
      <c r="F38" s="569"/>
      <c r="G38" s="569"/>
      <c r="H38" s="569"/>
      <c r="I38" s="569"/>
      <c r="J38" s="569"/>
      <c r="K38" s="569"/>
      <c r="L38" s="587"/>
      <c r="M38" s="587"/>
      <c r="N38" s="567"/>
      <c r="P38" s="599"/>
      <c r="Q38" s="600"/>
      <c r="R38" s="599"/>
      <c r="S38" s="599"/>
      <c r="T38" s="599"/>
      <c r="U38" s="601"/>
      <c r="V38" s="599"/>
      <c r="W38" s="599"/>
      <c r="X38" s="599"/>
      <c r="Y38" s="599"/>
      <c r="Z38" s="599"/>
      <c r="AA38" s="599"/>
    </row>
    <row r="39" spans="1:27">
      <c r="A39" s="127" t="s">
        <v>170</v>
      </c>
      <c r="B39" s="127" t="str">
        <f t="shared" si="2"/>
        <v/>
      </c>
      <c r="C39" s="127" t="str">
        <f t="shared" si="3"/>
        <v/>
      </c>
      <c r="E39" s="569"/>
      <c r="F39" s="569"/>
      <c r="G39" s="569"/>
      <c r="H39" s="569"/>
      <c r="I39" s="569"/>
      <c r="J39" s="569"/>
      <c r="K39" s="569"/>
      <c r="L39" s="587"/>
      <c r="M39" s="587"/>
      <c r="N39" s="567"/>
      <c r="P39" s="599"/>
      <c r="Q39" s="600"/>
      <c r="R39" s="599"/>
      <c r="S39" s="599"/>
      <c r="T39" s="599"/>
      <c r="U39" s="601"/>
      <c r="V39" s="599"/>
      <c r="W39" s="599"/>
      <c r="X39" s="599"/>
      <c r="Y39" s="599"/>
      <c r="Z39" s="599"/>
      <c r="AA39" s="599"/>
    </row>
    <row r="40" spans="1:27" ht="14.4">
      <c r="A40" s="127" t="s">
        <v>170</v>
      </c>
      <c r="B40" s="127" t="str">
        <f t="shared" si="2"/>
        <v>100-10-103</v>
      </c>
      <c r="C40" s="127" t="str">
        <f t="shared" si="3"/>
        <v>50101</v>
      </c>
      <c r="D40" s="570" t="s">
        <v>582</v>
      </c>
      <c r="E40" s="396" t="s">
        <v>316</v>
      </c>
      <c r="F40" s="414">
        <v>176278</v>
      </c>
      <c r="G40" s="414">
        <v>176278</v>
      </c>
      <c r="H40" s="571">
        <v>13556.44</v>
      </c>
      <c r="I40" s="414">
        <v>168601.63</v>
      </c>
      <c r="J40" s="571">
        <v>7676.37</v>
      </c>
      <c r="K40" s="572">
        <v>4.3499999999999996</v>
      </c>
      <c r="L40" s="588"/>
      <c r="M40" s="589"/>
      <c r="N40" s="567"/>
      <c r="P40" s="599"/>
      <c r="Q40" s="600"/>
      <c r="R40" s="599"/>
      <c r="S40" s="599"/>
      <c r="T40" s="599"/>
      <c r="U40" s="601"/>
      <c r="V40" s="599"/>
      <c r="W40" s="599"/>
      <c r="X40" s="599"/>
      <c r="Y40" s="599"/>
      <c r="Z40" s="599"/>
      <c r="AA40" s="599"/>
    </row>
    <row r="41" spans="1:27" ht="14.4">
      <c r="A41" s="127" t="s">
        <v>170</v>
      </c>
      <c r="B41" s="127" t="str">
        <f t="shared" si="2"/>
        <v>100-10-103</v>
      </c>
      <c r="C41" s="127" t="str">
        <f t="shared" si="3"/>
        <v>50111</v>
      </c>
      <c r="D41" s="570" t="s">
        <v>583</v>
      </c>
      <c r="E41" s="396" t="s">
        <v>318</v>
      </c>
      <c r="F41" s="414">
        <v>1197</v>
      </c>
      <c r="G41" s="414">
        <v>1197</v>
      </c>
      <c r="H41" s="571">
        <v>0</v>
      </c>
      <c r="I41" s="414">
        <v>655</v>
      </c>
      <c r="J41" s="571">
        <v>542</v>
      </c>
      <c r="K41" s="572">
        <v>45.28</v>
      </c>
      <c r="L41" s="588"/>
      <c r="M41" s="589"/>
      <c r="N41" s="567"/>
      <c r="P41" s="599"/>
      <c r="Q41" s="600"/>
      <c r="R41" s="599"/>
      <c r="S41" s="599"/>
      <c r="T41" s="599"/>
      <c r="U41" s="601"/>
      <c r="V41" s="599"/>
      <c r="W41" s="599"/>
      <c r="X41" s="599"/>
      <c r="Y41" s="599"/>
      <c r="Z41" s="599"/>
      <c r="AA41" s="599"/>
    </row>
    <row r="42" spans="1:27" ht="14.4">
      <c r="A42" s="127" t="s">
        <v>170</v>
      </c>
      <c r="B42" s="127" t="str">
        <f t="shared" si="2"/>
        <v>100-10-103</v>
      </c>
      <c r="C42" s="127" t="str">
        <f t="shared" si="3"/>
        <v>50610</v>
      </c>
      <c r="D42" s="570" t="s">
        <v>813</v>
      </c>
      <c r="E42" s="396" t="s">
        <v>320</v>
      </c>
      <c r="F42" s="414">
        <v>13670</v>
      </c>
      <c r="G42" s="414">
        <v>13670</v>
      </c>
      <c r="H42" s="571">
        <v>964.08</v>
      </c>
      <c r="I42" s="414">
        <v>12117.39</v>
      </c>
      <c r="J42" s="571">
        <v>1552.61</v>
      </c>
      <c r="K42" s="572">
        <v>11.36</v>
      </c>
      <c r="L42" s="588"/>
      <c r="M42" s="589"/>
      <c r="N42" s="567"/>
      <c r="P42" s="599"/>
      <c r="Q42" s="600"/>
      <c r="R42" s="599"/>
      <c r="S42" s="599"/>
      <c r="T42" s="599"/>
      <c r="U42" s="601"/>
      <c r="V42" s="599"/>
      <c r="W42" s="599"/>
      <c r="X42" s="599"/>
      <c r="Y42" s="599"/>
      <c r="Z42" s="599"/>
      <c r="AA42" s="599"/>
    </row>
    <row r="43" spans="1:27" ht="14.4">
      <c r="A43" s="127" t="s">
        <v>170</v>
      </c>
      <c r="B43" s="127" t="str">
        <f t="shared" si="2"/>
        <v>100-10-103</v>
      </c>
      <c r="C43" s="127" t="str">
        <f t="shared" si="3"/>
        <v>50620</v>
      </c>
      <c r="D43" s="570" t="s">
        <v>722</v>
      </c>
      <c r="E43" s="396" t="s">
        <v>321</v>
      </c>
      <c r="F43" s="414">
        <v>31331</v>
      </c>
      <c r="G43" s="414">
        <v>31331</v>
      </c>
      <c r="H43" s="571">
        <v>2654.4</v>
      </c>
      <c r="I43" s="414">
        <v>30418.83</v>
      </c>
      <c r="J43" s="571">
        <v>912.17</v>
      </c>
      <c r="K43" s="572">
        <v>2.91</v>
      </c>
      <c r="L43" s="588"/>
      <c r="M43" s="589"/>
      <c r="N43" s="567"/>
      <c r="P43" s="599"/>
      <c r="Q43" s="600"/>
      <c r="R43" s="599"/>
      <c r="S43" s="599"/>
      <c r="T43" s="599"/>
      <c r="U43" s="601"/>
      <c r="V43" s="599"/>
      <c r="W43" s="599"/>
      <c r="X43" s="599"/>
      <c r="Y43" s="599"/>
      <c r="Z43" s="599"/>
      <c r="AA43" s="599"/>
    </row>
    <row r="44" spans="1:27" ht="14.4">
      <c r="A44" s="127" t="s">
        <v>170</v>
      </c>
      <c r="B44" s="127" t="str">
        <f t="shared" si="2"/>
        <v>100-10-103</v>
      </c>
      <c r="C44" s="127" t="str">
        <f t="shared" si="3"/>
        <v>50630</v>
      </c>
      <c r="D44" s="570" t="s">
        <v>814</v>
      </c>
      <c r="E44" s="396" t="s">
        <v>322</v>
      </c>
      <c r="F44" s="414">
        <v>255</v>
      </c>
      <c r="G44" s="414">
        <v>255</v>
      </c>
      <c r="H44" s="571">
        <v>0</v>
      </c>
      <c r="I44" s="414">
        <v>254.79</v>
      </c>
      <c r="J44" s="571">
        <v>0.21</v>
      </c>
      <c r="K44" s="572">
        <v>0.08</v>
      </c>
      <c r="L44" s="588"/>
      <c r="M44" s="589"/>
      <c r="N44" s="567"/>
      <c r="P44" s="599"/>
      <c r="Q44" s="600"/>
      <c r="R44" s="599"/>
      <c r="S44" s="599"/>
      <c r="T44" s="599"/>
      <c r="U44" s="601"/>
      <c r="V44" s="599"/>
      <c r="W44" s="599"/>
      <c r="X44" s="599"/>
      <c r="Y44" s="599"/>
      <c r="Z44" s="599"/>
      <c r="AA44" s="599"/>
    </row>
    <row r="45" spans="1:27" ht="14.4">
      <c r="A45" s="127" t="s">
        <v>170</v>
      </c>
      <c r="B45" s="127" t="str">
        <f t="shared" si="2"/>
        <v>100-10-103</v>
      </c>
      <c r="C45" s="127" t="str">
        <f t="shared" si="3"/>
        <v>50650</v>
      </c>
      <c r="D45" s="570" t="s">
        <v>739</v>
      </c>
      <c r="E45" s="396" t="s">
        <v>323</v>
      </c>
      <c r="F45" s="573">
        <v>29526</v>
      </c>
      <c r="G45" s="573">
        <v>29526</v>
      </c>
      <c r="H45" s="574">
        <v>2273.1999999999998</v>
      </c>
      <c r="I45" s="573">
        <v>28168.75</v>
      </c>
      <c r="J45" s="574">
        <v>1357.25</v>
      </c>
      <c r="K45" s="575">
        <v>4.5999999999999996</v>
      </c>
      <c r="L45" s="588"/>
      <c r="M45" s="589"/>
      <c r="N45" s="567"/>
      <c r="P45" s="599"/>
      <c r="Q45" s="600"/>
      <c r="R45" s="599"/>
      <c r="S45" s="599"/>
      <c r="T45" s="599"/>
      <c r="U45" s="601"/>
      <c r="V45" s="599"/>
      <c r="W45" s="599"/>
      <c r="X45" s="599"/>
      <c r="Y45" s="599"/>
      <c r="Z45" s="599"/>
      <c r="AA45" s="599"/>
    </row>
    <row r="46" spans="1:27" ht="14.4">
      <c r="A46" s="127" t="s">
        <v>170</v>
      </c>
      <c r="B46" s="127" t="str">
        <f t="shared" si="2"/>
        <v xml:space="preserve">Category: </v>
      </c>
      <c r="C46" s="127" t="str">
        <f t="shared" si="3"/>
        <v>0 - P</v>
      </c>
      <c r="D46" s="569" t="s">
        <v>1123</v>
      </c>
      <c r="E46" s="569"/>
      <c r="F46" s="576">
        <v>252257</v>
      </c>
      <c r="G46" s="576">
        <v>252257</v>
      </c>
      <c r="H46" s="577">
        <v>19448.12</v>
      </c>
      <c r="I46" s="576">
        <v>240216.39</v>
      </c>
      <c r="J46" s="577">
        <v>12040.61</v>
      </c>
      <c r="K46" s="578">
        <v>4.7731519838894503E-2</v>
      </c>
      <c r="L46" s="590"/>
      <c r="M46" s="591"/>
      <c r="N46" s="567"/>
      <c r="P46" s="599"/>
      <c r="Q46" s="600"/>
      <c r="R46" s="599"/>
      <c r="S46" s="599"/>
      <c r="T46" s="599"/>
      <c r="U46" s="601"/>
      <c r="V46" s="599"/>
      <c r="W46" s="599"/>
      <c r="X46" s="599"/>
      <c r="Y46" s="599"/>
      <c r="Z46" s="599"/>
      <c r="AA46" s="599"/>
    </row>
    <row r="47" spans="1:27">
      <c r="A47" s="127" t="s">
        <v>170</v>
      </c>
      <c r="B47" s="127" t="str">
        <f t="shared" si="2"/>
        <v/>
      </c>
      <c r="C47" s="127" t="str">
        <f t="shared" si="3"/>
        <v/>
      </c>
      <c r="F47" s="398"/>
      <c r="G47" s="398"/>
      <c r="H47" s="398"/>
      <c r="I47" s="398"/>
      <c r="J47" s="398"/>
      <c r="K47" s="398"/>
      <c r="L47"/>
      <c r="N47" s="567"/>
      <c r="P47" s="599"/>
      <c r="Q47" s="600"/>
      <c r="R47" s="599"/>
      <c r="S47" s="599"/>
      <c r="T47" s="599"/>
      <c r="U47" s="601"/>
      <c r="V47" s="599"/>
      <c r="W47" s="599"/>
      <c r="X47" s="599"/>
      <c r="Y47" s="599"/>
      <c r="Z47" s="599"/>
      <c r="AA47" s="599"/>
    </row>
    <row r="48" spans="1:27" ht="14.4">
      <c r="A48" s="127" t="s">
        <v>170</v>
      </c>
      <c r="B48" s="127" t="str">
        <f t="shared" si="2"/>
        <v xml:space="preserve">Division: </v>
      </c>
      <c r="C48" s="127" t="str">
        <f t="shared" si="3"/>
        <v xml:space="preserve">03 - </v>
      </c>
      <c r="D48" s="569" t="s">
        <v>1126</v>
      </c>
      <c r="E48" s="569"/>
      <c r="F48" s="576">
        <v>252257</v>
      </c>
      <c r="G48" s="576">
        <v>252257</v>
      </c>
      <c r="H48" s="577">
        <v>19448.12</v>
      </c>
      <c r="I48" s="576">
        <v>240216.39</v>
      </c>
      <c r="J48" s="577">
        <v>12040.61</v>
      </c>
      <c r="K48" s="578">
        <v>4.7731519838894503E-2</v>
      </c>
      <c r="L48" s="590"/>
      <c r="M48" s="591"/>
      <c r="N48" s="567"/>
      <c r="P48" s="599"/>
      <c r="Q48" s="600"/>
      <c r="R48" s="599"/>
      <c r="S48" s="599"/>
      <c r="T48" s="599"/>
      <c r="U48" s="601"/>
      <c r="V48" s="599"/>
      <c r="W48" s="599"/>
      <c r="X48" s="599"/>
      <c r="Y48" s="599"/>
      <c r="Z48" s="599"/>
      <c r="AA48" s="599"/>
    </row>
    <row r="49" spans="1:27">
      <c r="A49" s="127" t="s">
        <v>170</v>
      </c>
      <c r="B49" s="127" t="str">
        <f t="shared" si="2"/>
        <v/>
      </c>
      <c r="C49" s="127" t="str">
        <f t="shared" si="3"/>
        <v/>
      </c>
      <c r="L49"/>
      <c r="N49" s="567"/>
      <c r="P49" s="599"/>
      <c r="Q49" s="600"/>
      <c r="R49" s="599"/>
      <c r="S49" s="599"/>
      <c r="T49" s="599"/>
      <c r="U49" s="601"/>
      <c r="V49" s="599"/>
      <c r="W49" s="599"/>
      <c r="X49" s="599"/>
      <c r="Y49" s="599"/>
      <c r="Z49" s="599"/>
      <c r="AA49" s="599"/>
    </row>
    <row r="50" spans="1:27">
      <c r="A50" s="127" t="s">
        <v>170</v>
      </c>
      <c r="B50" s="127" t="str">
        <f t="shared" si="2"/>
        <v/>
      </c>
      <c r="C50" s="127" t="str">
        <f t="shared" si="3"/>
        <v/>
      </c>
      <c r="E50" s="569"/>
      <c r="F50" s="569"/>
      <c r="G50" s="569"/>
      <c r="H50" s="569"/>
      <c r="I50" s="569"/>
      <c r="J50" s="569"/>
      <c r="K50" s="569"/>
      <c r="L50" s="587"/>
      <c r="M50" s="587"/>
      <c r="N50" s="567"/>
      <c r="P50" s="599"/>
      <c r="Q50" s="600"/>
      <c r="R50" s="599"/>
      <c r="S50" s="599"/>
      <c r="T50" s="599"/>
      <c r="U50" s="601"/>
      <c r="V50" s="599"/>
      <c r="W50" s="599"/>
      <c r="X50" s="599"/>
      <c r="Y50" s="599"/>
      <c r="Z50" s="599"/>
      <c r="AA50" s="599"/>
    </row>
    <row r="51" spans="1:27">
      <c r="A51" s="127" t="s">
        <v>170</v>
      </c>
      <c r="B51" s="127" t="str">
        <f t="shared" si="2"/>
        <v/>
      </c>
      <c r="C51" s="127" t="str">
        <f t="shared" si="3"/>
        <v/>
      </c>
      <c r="E51" s="569"/>
      <c r="F51" s="569"/>
      <c r="G51" s="569"/>
      <c r="H51" s="569"/>
      <c r="I51" s="569"/>
      <c r="J51" s="569"/>
      <c r="K51" s="569"/>
      <c r="L51" s="587"/>
      <c r="M51" s="587"/>
      <c r="N51" s="567"/>
      <c r="P51" s="599"/>
      <c r="Q51" s="600"/>
      <c r="R51" s="599"/>
      <c r="S51" s="599"/>
      <c r="T51" s="599"/>
      <c r="U51" s="601"/>
      <c r="V51" s="599"/>
      <c r="W51" s="599"/>
      <c r="X51" s="599"/>
      <c r="Y51" s="599"/>
      <c r="Z51" s="599"/>
      <c r="AA51" s="599"/>
    </row>
    <row r="52" spans="1:27" ht="14.4">
      <c r="A52" s="127" t="s">
        <v>170</v>
      </c>
      <c r="B52" s="127" t="str">
        <f t="shared" si="2"/>
        <v>100-10-104</v>
      </c>
      <c r="C52" s="127" t="str">
        <f t="shared" si="3"/>
        <v>50101</v>
      </c>
      <c r="D52" s="570" t="s">
        <v>559</v>
      </c>
      <c r="E52" s="396" t="s">
        <v>316</v>
      </c>
      <c r="F52" s="414">
        <v>165724</v>
      </c>
      <c r="G52" s="414">
        <v>165724</v>
      </c>
      <c r="H52" s="571">
        <v>12721.7</v>
      </c>
      <c r="I52" s="414">
        <v>126616.04</v>
      </c>
      <c r="J52" s="571">
        <v>39107.96</v>
      </c>
      <c r="K52" s="572">
        <v>23.6</v>
      </c>
      <c r="L52" s="588"/>
      <c r="M52" s="589"/>
      <c r="N52" s="567"/>
      <c r="P52" s="599"/>
      <c r="Q52" s="600"/>
      <c r="R52" s="599"/>
      <c r="S52" s="599"/>
      <c r="T52" s="599"/>
      <c r="U52" s="601"/>
      <c r="V52" s="599"/>
      <c r="W52" s="599"/>
      <c r="X52" s="599"/>
      <c r="Y52" s="599"/>
      <c r="Z52" s="599"/>
      <c r="AA52" s="599"/>
    </row>
    <row r="53" spans="1:27" ht="14.4">
      <c r="A53" s="127" t="s">
        <v>170</v>
      </c>
      <c r="B53" s="127" t="str">
        <f t="shared" si="2"/>
        <v>100-10-104</v>
      </c>
      <c r="C53" s="127" t="str">
        <f t="shared" si="3"/>
        <v>50111</v>
      </c>
      <c r="D53" s="570" t="s">
        <v>815</v>
      </c>
      <c r="E53" s="396" t="s">
        <v>318</v>
      </c>
      <c r="F53" s="414">
        <v>830</v>
      </c>
      <c r="G53" s="414">
        <v>830</v>
      </c>
      <c r="H53" s="571">
        <v>0</v>
      </c>
      <c r="I53" s="414">
        <v>820</v>
      </c>
      <c r="J53" s="571">
        <v>10</v>
      </c>
      <c r="K53" s="572">
        <v>1.2</v>
      </c>
      <c r="L53" s="588"/>
      <c r="M53" s="589"/>
      <c r="N53" s="567"/>
      <c r="P53" s="599"/>
      <c r="Q53" s="600"/>
      <c r="R53" s="599"/>
      <c r="S53" s="599"/>
      <c r="T53" s="599"/>
      <c r="U53" s="601"/>
      <c r="V53" s="599"/>
      <c r="W53" s="599"/>
      <c r="X53" s="599"/>
      <c r="Y53" s="599"/>
      <c r="Z53" s="599"/>
      <c r="AA53" s="599"/>
    </row>
    <row r="54" spans="1:27" ht="14.4">
      <c r="A54" s="127" t="s">
        <v>170</v>
      </c>
      <c r="B54" s="127" t="str">
        <f t="shared" si="2"/>
        <v>100-10-104</v>
      </c>
      <c r="C54" s="127" t="str">
        <f t="shared" si="3"/>
        <v>50610</v>
      </c>
      <c r="D54" s="570" t="s">
        <v>816</v>
      </c>
      <c r="E54" s="396" t="s">
        <v>320</v>
      </c>
      <c r="F54" s="414">
        <v>12920</v>
      </c>
      <c r="G54" s="414">
        <v>12920</v>
      </c>
      <c r="H54" s="571">
        <v>892.75</v>
      </c>
      <c r="I54" s="414">
        <v>8808.39</v>
      </c>
      <c r="J54" s="571">
        <v>4111.6099999999997</v>
      </c>
      <c r="K54" s="572">
        <v>31.82</v>
      </c>
      <c r="L54" s="588"/>
      <c r="M54" s="589"/>
      <c r="N54" s="567"/>
      <c r="P54" s="599"/>
      <c r="Q54" s="600"/>
      <c r="R54" s="599"/>
      <c r="S54" s="599"/>
      <c r="T54" s="599"/>
      <c r="U54" s="601"/>
      <c r="V54" s="599"/>
      <c r="W54" s="599"/>
      <c r="X54" s="599"/>
      <c r="Y54" s="599"/>
      <c r="Z54" s="599"/>
      <c r="AA54" s="599"/>
    </row>
    <row r="55" spans="1:27" ht="14.4">
      <c r="A55" s="127" t="s">
        <v>170</v>
      </c>
      <c r="B55" s="127" t="str">
        <f t="shared" si="2"/>
        <v>100-10-104</v>
      </c>
      <c r="C55" s="127" t="str">
        <f t="shared" si="3"/>
        <v>50620</v>
      </c>
      <c r="D55" s="570" t="s">
        <v>681</v>
      </c>
      <c r="E55" s="396" t="s">
        <v>321</v>
      </c>
      <c r="F55" s="414">
        <v>32569</v>
      </c>
      <c r="G55" s="414">
        <v>32569</v>
      </c>
      <c r="H55" s="571">
        <v>1823.36</v>
      </c>
      <c r="I55" s="414">
        <v>24142.03</v>
      </c>
      <c r="J55" s="571">
        <v>8426.9699999999993</v>
      </c>
      <c r="K55" s="572">
        <v>25.87</v>
      </c>
      <c r="L55" s="588"/>
      <c r="M55" s="589"/>
      <c r="N55" s="567"/>
      <c r="P55" s="599"/>
      <c r="Q55" s="600"/>
      <c r="R55" s="599"/>
      <c r="S55" s="599"/>
      <c r="T55" s="599"/>
      <c r="U55" s="601"/>
      <c r="V55" s="599"/>
      <c r="W55" s="599"/>
      <c r="X55" s="599"/>
      <c r="Y55" s="599"/>
      <c r="Z55" s="599"/>
      <c r="AA55" s="599"/>
    </row>
    <row r="56" spans="1:27" ht="14.4">
      <c r="A56" s="127" t="s">
        <v>170</v>
      </c>
      <c r="B56" s="127" t="str">
        <f t="shared" si="2"/>
        <v>100-10-104</v>
      </c>
      <c r="C56" s="127" t="str">
        <f t="shared" si="3"/>
        <v>50630</v>
      </c>
      <c r="D56" s="570" t="s">
        <v>817</v>
      </c>
      <c r="E56" s="396" t="s">
        <v>322</v>
      </c>
      <c r="F56" s="414">
        <v>241</v>
      </c>
      <c r="G56" s="414">
        <v>241</v>
      </c>
      <c r="H56" s="571">
        <v>0</v>
      </c>
      <c r="I56" s="414">
        <v>240.81</v>
      </c>
      <c r="J56" s="571">
        <v>0.19</v>
      </c>
      <c r="K56" s="572">
        <v>0.08</v>
      </c>
      <c r="L56" s="588"/>
      <c r="M56" s="589"/>
      <c r="N56" s="567"/>
      <c r="P56" s="599"/>
      <c r="Q56" s="600"/>
      <c r="R56" s="599"/>
      <c r="S56" s="599"/>
      <c r="T56" s="599"/>
      <c r="U56" s="601"/>
      <c r="V56" s="599"/>
      <c r="W56" s="599"/>
      <c r="X56" s="599"/>
      <c r="Y56" s="599"/>
      <c r="Z56" s="599"/>
      <c r="AA56" s="599"/>
    </row>
    <row r="57" spans="1:27" ht="14.4">
      <c r="A57" s="127" t="s">
        <v>170</v>
      </c>
      <c r="B57" s="127" t="str">
        <f t="shared" si="2"/>
        <v>100-10-104</v>
      </c>
      <c r="C57" s="127" t="str">
        <f t="shared" si="3"/>
        <v>50650</v>
      </c>
      <c r="D57" s="570" t="s">
        <v>691</v>
      </c>
      <c r="E57" s="396" t="s">
        <v>323</v>
      </c>
      <c r="F57" s="573">
        <v>27920</v>
      </c>
      <c r="G57" s="573">
        <v>27920</v>
      </c>
      <c r="H57" s="574">
        <v>2149.88</v>
      </c>
      <c r="I57" s="573">
        <v>21330.17</v>
      </c>
      <c r="J57" s="574">
        <v>6589.83</v>
      </c>
      <c r="K57" s="575">
        <v>23.6</v>
      </c>
      <c r="L57" s="588"/>
      <c r="M57" s="589"/>
      <c r="N57" s="567"/>
      <c r="P57" s="599"/>
      <c r="Q57" s="600"/>
      <c r="R57" s="599"/>
      <c r="S57" s="599"/>
      <c r="T57" s="599"/>
      <c r="U57" s="601"/>
      <c r="V57" s="599"/>
      <c r="W57" s="599"/>
      <c r="X57" s="599"/>
      <c r="Y57" s="599"/>
      <c r="Z57" s="599"/>
      <c r="AA57" s="599"/>
    </row>
    <row r="58" spans="1:27" ht="14.4">
      <c r="A58" s="127" t="s">
        <v>170</v>
      </c>
      <c r="B58" s="127" t="str">
        <f t="shared" si="2"/>
        <v xml:space="preserve">Category: </v>
      </c>
      <c r="C58" s="127" t="str">
        <f t="shared" si="3"/>
        <v>0 - P</v>
      </c>
      <c r="D58" s="569" t="s">
        <v>1123</v>
      </c>
      <c r="E58" s="569"/>
      <c r="F58" s="576">
        <v>240204</v>
      </c>
      <c r="G58" s="576">
        <v>240204</v>
      </c>
      <c r="H58" s="577">
        <v>17587.689999999999</v>
      </c>
      <c r="I58" s="576">
        <v>181957.44</v>
      </c>
      <c r="J58" s="577">
        <v>58246.559999999998</v>
      </c>
      <c r="K58" s="578">
        <v>0.24248788529749701</v>
      </c>
      <c r="L58" s="590"/>
      <c r="M58" s="591"/>
      <c r="N58" s="567"/>
      <c r="P58" s="599"/>
      <c r="Q58" s="600"/>
      <c r="R58" s="599"/>
      <c r="S58" s="599"/>
      <c r="T58" s="599"/>
      <c r="U58" s="601"/>
      <c r="V58" s="599"/>
      <c r="W58" s="599"/>
      <c r="X58" s="599"/>
      <c r="Y58" s="599"/>
      <c r="Z58" s="599"/>
      <c r="AA58" s="599"/>
    </row>
    <row r="59" spans="1:27">
      <c r="A59" s="127" t="s">
        <v>170</v>
      </c>
      <c r="B59" s="127" t="str">
        <f t="shared" si="2"/>
        <v/>
      </c>
      <c r="C59" s="127" t="str">
        <f t="shared" si="3"/>
        <v/>
      </c>
      <c r="F59" s="398"/>
      <c r="G59" s="398"/>
      <c r="H59" s="398"/>
      <c r="I59" s="398"/>
      <c r="J59" s="398"/>
      <c r="K59" s="398"/>
      <c r="L59"/>
      <c r="N59" s="567"/>
      <c r="P59" s="599"/>
      <c r="Q59" s="600"/>
      <c r="R59" s="599"/>
      <c r="S59" s="599"/>
      <c r="T59" s="599"/>
      <c r="U59" s="601"/>
      <c r="V59" s="599"/>
      <c r="W59" s="599"/>
      <c r="X59" s="599"/>
      <c r="Y59" s="599"/>
      <c r="Z59" s="599"/>
      <c r="AA59" s="599"/>
    </row>
    <row r="60" spans="1:27" ht="14.4">
      <c r="A60" s="127" t="s">
        <v>170</v>
      </c>
      <c r="B60" s="127" t="str">
        <f t="shared" si="2"/>
        <v xml:space="preserve">Division: </v>
      </c>
      <c r="C60" s="127" t="str">
        <f t="shared" si="3"/>
        <v xml:space="preserve">04 - </v>
      </c>
      <c r="D60" s="569" t="s">
        <v>1127</v>
      </c>
      <c r="E60" s="569"/>
      <c r="F60" s="576">
        <v>240204</v>
      </c>
      <c r="G60" s="576">
        <v>240204</v>
      </c>
      <c r="H60" s="577">
        <v>17587.689999999999</v>
      </c>
      <c r="I60" s="576">
        <v>181957.44</v>
      </c>
      <c r="J60" s="577">
        <v>58246.559999999998</v>
      </c>
      <c r="K60" s="578">
        <v>0.24248788529749701</v>
      </c>
      <c r="L60" s="590"/>
      <c r="M60" s="591"/>
      <c r="N60" s="567"/>
      <c r="P60" s="599"/>
      <c r="Q60" s="600"/>
      <c r="R60" s="599"/>
      <c r="S60" s="599"/>
      <c r="T60" s="599"/>
      <c r="U60" s="601"/>
      <c r="V60" s="599"/>
      <c r="W60" s="599"/>
      <c r="X60" s="599"/>
      <c r="Y60" s="599"/>
      <c r="Z60" s="599"/>
      <c r="AA60" s="599"/>
    </row>
    <row r="61" spans="1:27">
      <c r="A61" s="127" t="s">
        <v>170</v>
      </c>
      <c r="B61" s="127" t="str">
        <f t="shared" si="2"/>
        <v/>
      </c>
      <c r="C61" s="127" t="str">
        <f t="shared" si="3"/>
        <v/>
      </c>
      <c r="L61"/>
      <c r="N61" s="567"/>
      <c r="P61" s="599"/>
      <c r="Q61" s="600"/>
      <c r="R61" s="599"/>
      <c r="S61" s="599"/>
      <c r="T61" s="599"/>
      <c r="U61" s="601"/>
      <c r="V61" s="599"/>
      <c r="W61" s="599"/>
      <c r="X61" s="599"/>
      <c r="Y61" s="599"/>
      <c r="Z61" s="599"/>
      <c r="AA61" s="599"/>
    </row>
    <row r="62" spans="1:27">
      <c r="A62" s="127" t="s">
        <v>170</v>
      </c>
      <c r="B62" s="127" t="str">
        <f t="shared" si="2"/>
        <v/>
      </c>
      <c r="C62" s="127" t="str">
        <f t="shared" si="3"/>
        <v/>
      </c>
      <c r="E62" s="569"/>
      <c r="F62" s="569"/>
      <c r="G62" s="569"/>
      <c r="H62" s="569"/>
      <c r="I62" s="569"/>
      <c r="J62" s="569"/>
      <c r="K62" s="569"/>
      <c r="L62" s="587"/>
      <c r="M62" s="587"/>
      <c r="N62" s="567"/>
      <c r="P62" s="599"/>
      <c r="Q62" s="600"/>
      <c r="R62" s="599"/>
      <c r="S62" s="599"/>
      <c r="T62" s="599"/>
      <c r="U62" s="601"/>
      <c r="V62" s="599"/>
      <c r="W62" s="599"/>
      <c r="X62" s="599"/>
      <c r="Y62" s="599"/>
      <c r="Z62" s="599"/>
      <c r="AA62" s="599"/>
    </row>
    <row r="63" spans="1:27">
      <c r="A63" s="127" t="s">
        <v>170</v>
      </c>
      <c r="B63" s="127" t="str">
        <f t="shared" si="2"/>
        <v/>
      </c>
      <c r="C63" s="127" t="str">
        <f t="shared" si="3"/>
        <v/>
      </c>
      <c r="E63" s="569"/>
      <c r="F63" s="569"/>
      <c r="G63" s="569"/>
      <c r="H63" s="569"/>
      <c r="I63" s="569"/>
      <c r="J63" s="569"/>
      <c r="K63" s="569"/>
      <c r="L63" s="587"/>
      <c r="M63" s="587"/>
      <c r="N63" s="567"/>
      <c r="P63" s="599"/>
      <c r="Q63" s="600"/>
      <c r="R63" s="599"/>
      <c r="S63" s="599"/>
      <c r="T63" s="599"/>
      <c r="U63" s="601"/>
      <c r="V63" s="599"/>
      <c r="W63" s="599"/>
      <c r="X63" s="599"/>
      <c r="Y63" s="599"/>
      <c r="Z63" s="599"/>
      <c r="AA63" s="599"/>
    </row>
    <row r="64" spans="1:27" ht="14.4">
      <c r="A64" s="127" t="s">
        <v>170</v>
      </c>
      <c r="B64" s="127" t="str">
        <f t="shared" si="2"/>
        <v>100-10-105</v>
      </c>
      <c r="C64" s="127" t="str">
        <f t="shared" si="3"/>
        <v>50109</v>
      </c>
      <c r="D64" s="570" t="s">
        <v>818</v>
      </c>
      <c r="E64" s="396" t="s">
        <v>12</v>
      </c>
      <c r="F64" s="414">
        <v>18340</v>
      </c>
      <c r="G64" s="414">
        <v>18340</v>
      </c>
      <c r="H64" s="571">
        <v>0</v>
      </c>
      <c r="I64" s="414">
        <v>0</v>
      </c>
      <c r="J64" s="571">
        <v>18340</v>
      </c>
      <c r="K64" s="572">
        <v>100</v>
      </c>
      <c r="L64" s="588"/>
      <c r="M64" s="589"/>
      <c r="N64" s="567"/>
      <c r="P64" s="599"/>
      <c r="Q64" s="600"/>
      <c r="R64" s="599"/>
      <c r="S64" s="599"/>
      <c r="T64" s="599"/>
      <c r="U64" s="601"/>
      <c r="V64" s="599"/>
      <c r="W64" s="599"/>
      <c r="X64" s="599"/>
      <c r="Y64" s="599"/>
      <c r="Z64" s="599"/>
      <c r="AA64" s="599"/>
    </row>
    <row r="65" spans="1:27" ht="14.4">
      <c r="A65" s="127" t="s">
        <v>170</v>
      </c>
      <c r="B65" s="127" t="str">
        <f t="shared" si="2"/>
        <v>100-10-105</v>
      </c>
      <c r="C65" s="127" t="str">
        <f t="shared" si="3"/>
        <v>50610</v>
      </c>
      <c r="D65" s="570" t="s">
        <v>819</v>
      </c>
      <c r="E65" s="396" t="s">
        <v>320</v>
      </c>
      <c r="F65" s="414">
        <v>1410</v>
      </c>
      <c r="G65" s="414">
        <v>1410</v>
      </c>
      <c r="H65" s="571">
        <v>0</v>
      </c>
      <c r="I65" s="414">
        <v>0</v>
      </c>
      <c r="J65" s="571">
        <v>1410</v>
      </c>
      <c r="K65" s="572">
        <v>100</v>
      </c>
      <c r="L65" s="588"/>
      <c r="M65" s="589"/>
      <c r="N65" s="567"/>
      <c r="P65" s="599"/>
      <c r="Q65" s="600"/>
      <c r="R65" s="599"/>
      <c r="S65" s="599"/>
      <c r="T65" s="599"/>
      <c r="U65" s="601"/>
      <c r="V65" s="599"/>
      <c r="W65" s="599"/>
      <c r="X65" s="599"/>
      <c r="Y65" s="599"/>
      <c r="Z65" s="599"/>
      <c r="AA65" s="599"/>
    </row>
    <row r="66" spans="1:27" ht="14.4">
      <c r="A66" s="127" t="s">
        <v>170</v>
      </c>
      <c r="B66" s="127" t="str">
        <f t="shared" si="2"/>
        <v>100-10-105</v>
      </c>
      <c r="C66" s="127" t="str">
        <f t="shared" si="3"/>
        <v>50620</v>
      </c>
      <c r="D66" s="570" t="s">
        <v>820</v>
      </c>
      <c r="E66" s="396" t="s">
        <v>321</v>
      </c>
      <c r="F66" s="414">
        <v>33</v>
      </c>
      <c r="G66" s="414">
        <v>33</v>
      </c>
      <c r="H66" s="571">
        <v>0</v>
      </c>
      <c r="I66" s="414">
        <v>0</v>
      </c>
      <c r="J66" s="571">
        <v>33</v>
      </c>
      <c r="K66" s="572">
        <v>100</v>
      </c>
      <c r="L66" s="588"/>
      <c r="M66" s="589"/>
      <c r="N66" s="567"/>
      <c r="P66" s="599"/>
      <c r="Q66" s="600"/>
      <c r="R66" s="599"/>
      <c r="S66" s="599"/>
      <c r="T66" s="599"/>
      <c r="U66" s="601"/>
      <c r="V66" s="599"/>
      <c r="W66" s="599"/>
      <c r="X66" s="599"/>
      <c r="Y66" s="599"/>
      <c r="Z66" s="599"/>
      <c r="AA66" s="599"/>
    </row>
    <row r="67" spans="1:27" ht="14.4">
      <c r="A67" s="127" t="s">
        <v>170</v>
      </c>
      <c r="B67" s="127" t="str">
        <f t="shared" si="2"/>
        <v>100-10-105</v>
      </c>
      <c r="C67" s="127" t="str">
        <f t="shared" si="3"/>
        <v>50630</v>
      </c>
      <c r="D67" s="570" t="s">
        <v>821</v>
      </c>
      <c r="E67" s="396" t="s">
        <v>322</v>
      </c>
      <c r="F67" s="414">
        <v>278</v>
      </c>
      <c r="G67" s="414">
        <v>278</v>
      </c>
      <c r="H67" s="571">
        <v>0</v>
      </c>
      <c r="I67" s="414">
        <v>277.77</v>
      </c>
      <c r="J67" s="571">
        <v>0.23</v>
      </c>
      <c r="K67" s="572">
        <v>0.08</v>
      </c>
      <c r="L67" s="588"/>
      <c r="M67" s="589"/>
      <c r="N67" s="567"/>
      <c r="P67" s="599"/>
      <c r="Q67" s="600"/>
      <c r="R67" s="599"/>
      <c r="S67" s="599"/>
      <c r="T67" s="599"/>
      <c r="U67" s="601"/>
      <c r="V67" s="599"/>
      <c r="W67" s="599"/>
      <c r="X67" s="599"/>
      <c r="Y67" s="599"/>
      <c r="Z67" s="599"/>
      <c r="AA67" s="599"/>
    </row>
    <row r="68" spans="1:27" ht="14.4">
      <c r="A68" s="127" t="s">
        <v>170</v>
      </c>
      <c r="B68" s="127" t="str">
        <f t="shared" si="2"/>
        <v/>
      </c>
      <c r="C68" s="127" t="str">
        <f t="shared" si="3"/>
        <v/>
      </c>
      <c r="D68" s="579"/>
      <c r="E68" s="579"/>
      <c r="F68" s="579"/>
      <c r="G68" s="579"/>
      <c r="H68" s="579"/>
      <c r="I68" s="579"/>
      <c r="J68" s="579"/>
      <c r="K68" s="579"/>
      <c r="L68" s="592"/>
      <c r="M68" s="592"/>
      <c r="N68" s="567"/>
      <c r="P68" s="599"/>
      <c r="Q68" s="600"/>
      <c r="R68" s="599"/>
      <c r="S68" s="599"/>
      <c r="T68" s="599"/>
      <c r="U68" s="601"/>
      <c r="V68" s="599"/>
      <c r="W68" s="599"/>
      <c r="X68" s="599"/>
      <c r="Y68" s="599"/>
      <c r="Z68" s="599"/>
      <c r="AA68" s="599"/>
    </row>
    <row r="69" spans="1:27" ht="16.2" thickBot="1">
      <c r="A69" s="127" t="s">
        <v>170</v>
      </c>
      <c r="B69" s="127" t="str">
        <f t="shared" ref="B69:B132" si="4">LEFT(D69,10)</f>
        <v xml:space="preserve">9/25/2024 </v>
      </c>
      <c r="C69" s="127" t="str">
        <f t="shared" ref="C69:C132" si="5">MID(D69,12,5)</f>
        <v>:13:1</v>
      </c>
      <c r="D69" s="439" t="s">
        <v>2991</v>
      </c>
      <c r="E69" s="439"/>
      <c r="F69" s="440"/>
      <c r="G69" s="440"/>
      <c r="H69" s="440"/>
      <c r="I69" s="440"/>
      <c r="J69" s="439"/>
      <c r="K69" s="439"/>
      <c r="L69" s="593"/>
      <c r="N69" s="567"/>
      <c r="P69" s="599"/>
      <c r="Q69" s="600"/>
      <c r="R69" s="599"/>
      <c r="S69" s="599"/>
      <c r="T69" s="599"/>
      <c r="U69" s="601"/>
      <c r="V69" s="599"/>
      <c r="W69" s="599"/>
      <c r="X69" s="599"/>
      <c r="Y69" s="599"/>
      <c r="Z69" s="599"/>
      <c r="AA69" s="599"/>
    </row>
    <row r="70" spans="1:27">
      <c r="A70" s="127" t="s">
        <v>170</v>
      </c>
      <c r="B70" s="127" t="str">
        <f t="shared" si="4"/>
        <v>Budget Rep</v>
      </c>
      <c r="C70" s="127" t="str">
        <f t="shared" si="5"/>
        <v>rt</v>
      </c>
      <c r="D70" s="441" t="s">
        <v>1122</v>
      </c>
      <c r="E70" s="441"/>
      <c r="F70" s="441"/>
      <c r="G70" s="442"/>
      <c r="H70" s="441"/>
      <c r="I70" s="441"/>
      <c r="J70" s="441"/>
      <c r="K70" s="441"/>
      <c r="L70" s="594"/>
      <c r="M70" s="594"/>
      <c r="N70" s="567"/>
      <c r="P70" s="599"/>
      <c r="Q70" s="600"/>
      <c r="R70" s="599"/>
      <c r="S70" s="599"/>
      <c r="T70" s="599"/>
      <c r="U70" s="601"/>
      <c r="V70" s="599"/>
      <c r="W70" s="599"/>
      <c r="X70" s="599"/>
      <c r="Y70" s="599"/>
      <c r="Z70" s="599"/>
      <c r="AA70" s="599"/>
    </row>
    <row r="71" spans="1:27" ht="15.75" customHeight="1">
      <c r="A71" s="127" t="s">
        <v>170</v>
      </c>
      <c r="B71" s="127" t="str">
        <f t="shared" si="4"/>
        <v/>
      </c>
      <c r="C71" s="127" t="str">
        <f t="shared" si="5"/>
        <v/>
      </c>
      <c r="L71"/>
      <c r="N71" s="567"/>
      <c r="P71" s="599"/>
      <c r="Q71" s="600"/>
      <c r="R71" s="599"/>
      <c r="S71" s="599"/>
      <c r="T71" s="599"/>
      <c r="U71" s="601"/>
      <c r="V71" s="599"/>
      <c r="W71" s="599"/>
      <c r="X71" s="599"/>
      <c r="Y71" s="599"/>
      <c r="Z71" s="599"/>
      <c r="AA71" s="599"/>
    </row>
    <row r="72" spans="1:27" ht="34.5" customHeight="1">
      <c r="A72" s="127" t="s">
        <v>170</v>
      </c>
      <c r="B72" s="127" t="str">
        <f t="shared" si="4"/>
        <v/>
      </c>
      <c r="C72" s="127" t="str">
        <f t="shared" si="5"/>
        <v/>
      </c>
      <c r="J72" s="413" t="s">
        <v>1098</v>
      </c>
      <c r="L72"/>
      <c r="N72" s="567"/>
      <c r="P72" s="599"/>
      <c r="Q72" s="600"/>
      <c r="R72" s="599"/>
      <c r="S72" s="599"/>
      <c r="T72" s="599"/>
      <c r="U72" s="601"/>
      <c r="V72" s="599"/>
      <c r="W72" s="599"/>
      <c r="X72" s="599"/>
      <c r="Y72" s="599"/>
      <c r="Z72" s="599"/>
      <c r="AA72" s="599"/>
    </row>
    <row r="73" spans="1:27" ht="21.6">
      <c r="A73" s="127" t="s">
        <v>170</v>
      </c>
      <c r="B73" s="127" t="str">
        <f t="shared" si="4"/>
        <v/>
      </c>
      <c r="C73" s="127" t="str">
        <f t="shared" si="5"/>
        <v/>
      </c>
      <c r="F73" s="413" t="s">
        <v>1099</v>
      </c>
      <c r="G73" s="413" t="s">
        <v>1100</v>
      </c>
      <c r="H73" s="568" t="s">
        <v>1101</v>
      </c>
      <c r="I73" s="413" t="s">
        <v>1102</v>
      </c>
      <c r="J73" s="413"/>
      <c r="K73" s="568" t="s">
        <v>1103</v>
      </c>
      <c r="L73" s="586"/>
      <c r="M73" s="540"/>
      <c r="N73" s="567"/>
      <c r="P73" s="599"/>
      <c r="Q73" s="600"/>
      <c r="R73" s="599"/>
      <c r="S73" s="599"/>
      <c r="T73" s="599"/>
      <c r="U73" s="601"/>
      <c r="V73" s="599"/>
      <c r="W73" s="599"/>
      <c r="X73" s="599"/>
      <c r="Y73" s="599"/>
      <c r="Z73" s="599"/>
      <c r="AA73" s="599"/>
    </row>
    <row r="74" spans="1:27">
      <c r="A74" s="127" t="s">
        <v>170</v>
      </c>
      <c r="B74" s="127" t="str">
        <f t="shared" si="4"/>
        <v/>
      </c>
      <c r="C74" s="127" t="str">
        <f t="shared" si="5"/>
        <v/>
      </c>
      <c r="L74"/>
      <c r="N74" s="567"/>
      <c r="P74" s="599"/>
      <c r="Q74" s="600"/>
      <c r="R74" s="599"/>
      <c r="S74" s="599"/>
      <c r="T74" s="599"/>
      <c r="U74" s="601"/>
      <c r="V74" s="599"/>
      <c r="W74" s="599"/>
      <c r="X74" s="599"/>
      <c r="Y74" s="599"/>
      <c r="Z74" s="599"/>
      <c r="AA74" s="599"/>
    </row>
    <row r="75" spans="1:27" ht="14.4">
      <c r="A75" s="127" t="s">
        <v>170</v>
      </c>
      <c r="B75" s="127" t="str">
        <f t="shared" si="4"/>
        <v>100-10-105</v>
      </c>
      <c r="C75" s="127" t="str">
        <f t="shared" si="5"/>
        <v>50650</v>
      </c>
      <c r="D75" s="570" t="s">
        <v>822</v>
      </c>
      <c r="E75" s="396" t="s">
        <v>323</v>
      </c>
      <c r="F75" s="573">
        <v>3033</v>
      </c>
      <c r="G75" s="573">
        <v>3033</v>
      </c>
      <c r="H75" s="574">
        <v>0</v>
      </c>
      <c r="I75" s="573">
        <v>0</v>
      </c>
      <c r="J75" s="574">
        <v>3033</v>
      </c>
      <c r="K75" s="575">
        <v>100</v>
      </c>
      <c r="L75" s="588"/>
      <c r="M75" s="589"/>
      <c r="N75" s="567"/>
      <c r="P75" s="599"/>
      <c r="Q75" s="600"/>
      <c r="R75" s="599"/>
      <c r="S75" s="599"/>
      <c r="T75" s="599"/>
      <c r="U75" s="601"/>
      <c r="V75" s="599"/>
      <c r="W75" s="599"/>
      <c r="X75" s="599"/>
      <c r="Y75" s="599"/>
      <c r="Z75" s="599"/>
      <c r="AA75" s="599"/>
    </row>
    <row r="76" spans="1:27" ht="14.4">
      <c r="A76" s="127" t="s">
        <v>170</v>
      </c>
      <c r="B76" s="127" t="str">
        <f t="shared" si="4"/>
        <v xml:space="preserve">Category: </v>
      </c>
      <c r="C76" s="127" t="str">
        <f t="shared" si="5"/>
        <v>0 - P</v>
      </c>
      <c r="D76" s="569" t="s">
        <v>1123</v>
      </c>
      <c r="E76" s="569"/>
      <c r="F76" s="576">
        <v>23094</v>
      </c>
      <c r="G76" s="576">
        <v>23094</v>
      </c>
      <c r="H76" s="577">
        <v>0</v>
      </c>
      <c r="I76" s="576">
        <v>277.77</v>
      </c>
      <c r="J76" s="577">
        <v>22816.23</v>
      </c>
      <c r="K76" s="578">
        <v>0.98797220057157698</v>
      </c>
      <c r="L76" s="590"/>
      <c r="M76" s="591"/>
      <c r="N76" s="567"/>
      <c r="P76" s="599"/>
      <c r="Q76" s="600"/>
      <c r="R76" s="599"/>
      <c r="S76" s="599"/>
      <c r="T76" s="599"/>
      <c r="U76" s="601"/>
      <c r="V76" s="599"/>
      <c r="W76" s="599"/>
      <c r="X76" s="599"/>
      <c r="Y76" s="599"/>
      <c r="Z76" s="599"/>
      <c r="AA76" s="599"/>
    </row>
    <row r="77" spans="1:27">
      <c r="A77" s="127" t="s">
        <v>170</v>
      </c>
      <c r="B77" s="127" t="str">
        <f t="shared" si="4"/>
        <v/>
      </c>
      <c r="C77" s="127" t="str">
        <f t="shared" si="5"/>
        <v/>
      </c>
      <c r="F77" s="398"/>
      <c r="G77" s="398"/>
      <c r="H77" s="398"/>
      <c r="I77" s="398"/>
      <c r="J77" s="398"/>
      <c r="K77" s="398"/>
      <c r="L77"/>
      <c r="N77" s="567"/>
      <c r="P77" s="599"/>
      <c r="Q77" s="600"/>
      <c r="R77" s="599"/>
      <c r="S77" s="599"/>
      <c r="T77" s="599"/>
      <c r="U77" s="601"/>
      <c r="V77" s="599"/>
      <c r="W77" s="599"/>
      <c r="X77" s="599"/>
      <c r="Y77" s="599"/>
      <c r="Z77" s="599"/>
      <c r="AA77" s="599"/>
    </row>
    <row r="78" spans="1:27" ht="14.4">
      <c r="A78" s="127" t="s">
        <v>170</v>
      </c>
      <c r="B78" s="127" t="str">
        <f t="shared" si="4"/>
        <v xml:space="preserve">Division: </v>
      </c>
      <c r="C78" s="127" t="str">
        <f t="shared" si="5"/>
        <v xml:space="preserve">05 - </v>
      </c>
      <c r="D78" s="569" t="s">
        <v>1128</v>
      </c>
      <c r="E78" s="569"/>
      <c r="F78" s="576">
        <v>23094</v>
      </c>
      <c r="G78" s="576">
        <v>23094</v>
      </c>
      <c r="H78" s="577">
        <v>0</v>
      </c>
      <c r="I78" s="576">
        <v>277.77</v>
      </c>
      <c r="J78" s="577">
        <v>22816.23</v>
      </c>
      <c r="K78" s="578">
        <v>0.98797220057157698</v>
      </c>
      <c r="L78" s="590"/>
      <c r="M78" s="591"/>
      <c r="N78" s="567"/>
      <c r="P78" s="599"/>
      <c r="Q78" s="600"/>
      <c r="R78" s="599"/>
      <c r="S78" s="599"/>
      <c r="T78" s="599"/>
      <c r="U78" s="601"/>
      <c r="V78" s="599"/>
      <c r="W78" s="599"/>
      <c r="X78" s="599"/>
      <c r="Y78" s="599"/>
      <c r="Z78" s="599"/>
      <c r="AA78" s="599"/>
    </row>
    <row r="79" spans="1:27">
      <c r="A79" s="127" t="s">
        <v>170</v>
      </c>
      <c r="B79" s="127" t="str">
        <f t="shared" si="4"/>
        <v/>
      </c>
      <c r="C79" s="127" t="str">
        <f t="shared" si="5"/>
        <v/>
      </c>
      <c r="F79" s="398"/>
      <c r="G79" s="398"/>
      <c r="H79" s="398"/>
      <c r="I79" s="398"/>
      <c r="J79" s="398"/>
      <c r="K79" s="398"/>
      <c r="L79"/>
      <c r="N79" s="567"/>
      <c r="P79" s="599"/>
      <c r="Q79" s="600"/>
      <c r="R79" s="599"/>
      <c r="S79" s="599"/>
      <c r="T79" s="599"/>
      <c r="U79" s="601"/>
      <c r="V79" s="599"/>
      <c r="W79" s="599"/>
      <c r="X79" s="599"/>
      <c r="Y79" s="599"/>
      <c r="Z79" s="599"/>
      <c r="AA79" s="599"/>
    </row>
    <row r="80" spans="1:27" ht="14.4">
      <c r="A80" s="127" t="s">
        <v>170</v>
      </c>
      <c r="B80" s="127" t="str">
        <f t="shared" si="4"/>
        <v>Department</v>
      </c>
      <c r="C80" s="127" t="str">
        <f t="shared" si="5"/>
        <v xml:space="preserve"> 10 -</v>
      </c>
      <c r="D80" s="569" t="s">
        <v>1129</v>
      </c>
      <c r="E80" s="569"/>
      <c r="F80" s="576">
        <v>1062985</v>
      </c>
      <c r="G80" s="576">
        <v>1062985</v>
      </c>
      <c r="H80" s="577">
        <v>51287.41</v>
      </c>
      <c r="I80" s="576">
        <v>823771.29</v>
      </c>
      <c r="J80" s="577">
        <v>239213.71</v>
      </c>
      <c r="K80" s="578">
        <v>0.22503959133948301</v>
      </c>
      <c r="L80" s="590"/>
      <c r="M80" s="591"/>
      <c r="N80" s="567"/>
      <c r="P80" s="599"/>
      <c r="Q80" s="600"/>
      <c r="R80" s="599"/>
      <c r="S80" s="599"/>
      <c r="T80" s="599"/>
      <c r="U80" s="601"/>
      <c r="V80" s="599"/>
      <c r="W80" s="599"/>
      <c r="X80" s="599"/>
      <c r="Y80" s="599"/>
      <c r="Z80" s="599"/>
      <c r="AA80" s="599"/>
    </row>
    <row r="81" spans="1:27">
      <c r="A81" s="127" t="s">
        <v>170</v>
      </c>
      <c r="B81" s="127" t="str">
        <f t="shared" si="4"/>
        <v/>
      </c>
      <c r="C81" s="127" t="str">
        <f t="shared" si="5"/>
        <v/>
      </c>
      <c r="L81"/>
      <c r="N81" s="567"/>
      <c r="P81" s="599"/>
      <c r="Q81" s="600"/>
      <c r="R81" s="599"/>
      <c r="S81" s="599"/>
      <c r="T81" s="599"/>
      <c r="U81" s="601"/>
      <c r="V81" s="599"/>
      <c r="W81" s="599"/>
      <c r="X81" s="599"/>
      <c r="Y81" s="599"/>
      <c r="Z81" s="599"/>
      <c r="AA81" s="599"/>
    </row>
    <row r="82" spans="1:27">
      <c r="A82" s="127" t="s">
        <v>170</v>
      </c>
      <c r="B82" s="127" t="str">
        <f t="shared" si="4"/>
        <v/>
      </c>
      <c r="C82" s="127" t="str">
        <f t="shared" si="5"/>
        <v/>
      </c>
      <c r="E82" s="569"/>
      <c r="F82" s="569"/>
      <c r="G82" s="569"/>
      <c r="H82" s="569"/>
      <c r="I82" s="569"/>
      <c r="J82" s="569"/>
      <c r="K82" s="569"/>
      <c r="L82" s="587"/>
      <c r="M82" s="587"/>
      <c r="N82" s="567"/>
      <c r="P82" s="599"/>
      <c r="Q82" s="600"/>
      <c r="R82" s="599"/>
      <c r="S82" s="599"/>
      <c r="T82" s="599"/>
      <c r="U82" s="601"/>
      <c r="V82" s="599"/>
      <c r="W82" s="599"/>
      <c r="X82" s="599"/>
      <c r="Y82" s="599"/>
      <c r="Z82" s="599"/>
      <c r="AA82" s="599"/>
    </row>
    <row r="83" spans="1:27">
      <c r="A83" s="127" t="s">
        <v>170</v>
      </c>
      <c r="B83" s="127" t="str">
        <f t="shared" si="4"/>
        <v/>
      </c>
      <c r="C83" s="127" t="str">
        <f t="shared" si="5"/>
        <v/>
      </c>
      <c r="E83" s="569"/>
      <c r="F83" s="569"/>
      <c r="G83" s="569"/>
      <c r="H83" s="569"/>
      <c r="I83" s="569"/>
      <c r="J83" s="569"/>
      <c r="K83" s="569"/>
      <c r="L83" s="587"/>
      <c r="M83" s="587"/>
      <c r="N83" s="567"/>
      <c r="P83" s="599"/>
      <c r="Q83" s="600"/>
      <c r="R83" s="599"/>
      <c r="S83" s="599"/>
      <c r="T83" s="599"/>
      <c r="U83" s="601"/>
      <c r="V83" s="599"/>
      <c r="W83" s="599"/>
      <c r="X83" s="599"/>
      <c r="Y83" s="599"/>
      <c r="Z83" s="599"/>
      <c r="AA83" s="599"/>
    </row>
    <row r="84" spans="1:27">
      <c r="A84" s="127" t="s">
        <v>170</v>
      </c>
      <c r="B84" s="127" t="str">
        <f t="shared" si="4"/>
        <v/>
      </c>
      <c r="C84" s="127" t="str">
        <f t="shared" si="5"/>
        <v/>
      </c>
      <c r="E84" s="569"/>
      <c r="F84" s="569"/>
      <c r="G84" s="569"/>
      <c r="H84" s="569"/>
      <c r="I84" s="569"/>
      <c r="J84" s="569"/>
      <c r="K84" s="569"/>
      <c r="L84" s="587"/>
      <c r="M84" s="587"/>
      <c r="N84" s="567"/>
      <c r="P84" s="599"/>
      <c r="Q84" s="600"/>
      <c r="R84" s="599"/>
      <c r="S84" s="599"/>
      <c r="T84" s="599"/>
      <c r="U84" s="601"/>
      <c r="V84" s="599"/>
      <c r="W84" s="599"/>
      <c r="X84" s="599"/>
      <c r="Y84" s="599"/>
      <c r="Z84" s="599"/>
      <c r="AA84" s="599"/>
    </row>
    <row r="85" spans="1:27" ht="14.4">
      <c r="A85" s="127" t="s">
        <v>170</v>
      </c>
      <c r="B85" s="127" t="str">
        <f t="shared" si="4"/>
        <v>100-11-111</v>
      </c>
      <c r="C85" s="127" t="str">
        <f t="shared" si="5"/>
        <v>50101</v>
      </c>
      <c r="D85" s="570" t="s">
        <v>564</v>
      </c>
      <c r="E85" s="396" t="s">
        <v>316</v>
      </c>
      <c r="F85" s="414">
        <v>90928</v>
      </c>
      <c r="G85" s="414">
        <v>90928</v>
      </c>
      <c r="H85" s="571">
        <v>6996.46</v>
      </c>
      <c r="I85" s="414">
        <v>87190.89</v>
      </c>
      <c r="J85" s="571">
        <v>3737.11</v>
      </c>
      <c r="K85" s="572">
        <v>4.1100000000000003</v>
      </c>
      <c r="L85" s="588"/>
      <c r="M85" s="589"/>
      <c r="N85" s="567"/>
      <c r="P85" s="599"/>
      <c r="Q85" s="600"/>
      <c r="R85" s="599"/>
      <c r="S85" s="599"/>
      <c r="T85" s="599"/>
      <c r="U85" s="601"/>
      <c r="V85" s="599"/>
      <c r="W85" s="599"/>
      <c r="X85" s="599"/>
      <c r="Y85" s="599"/>
      <c r="Z85" s="599"/>
      <c r="AA85" s="599"/>
    </row>
    <row r="86" spans="1:27" ht="14.4">
      <c r="A86" s="127" t="s">
        <v>170</v>
      </c>
      <c r="B86" s="127" t="str">
        <f t="shared" si="4"/>
        <v>100-11-111</v>
      </c>
      <c r="C86" s="127" t="str">
        <f t="shared" si="5"/>
        <v>50102</v>
      </c>
      <c r="D86" s="570" t="s">
        <v>624</v>
      </c>
      <c r="E86" s="396" t="s">
        <v>317</v>
      </c>
      <c r="F86" s="414">
        <v>85259</v>
      </c>
      <c r="G86" s="414">
        <v>85259</v>
      </c>
      <c r="H86" s="571">
        <v>6571.21</v>
      </c>
      <c r="I86" s="414">
        <v>81938.78</v>
      </c>
      <c r="J86" s="571">
        <v>3320.22</v>
      </c>
      <c r="K86" s="572">
        <v>3.89</v>
      </c>
      <c r="L86" s="588"/>
      <c r="M86" s="589"/>
      <c r="N86" s="567"/>
      <c r="P86" s="599"/>
      <c r="Q86" s="600"/>
      <c r="R86" s="599"/>
      <c r="S86" s="599"/>
      <c r="T86" s="599"/>
      <c r="U86" s="601"/>
      <c r="V86" s="599"/>
      <c r="W86" s="599"/>
      <c r="X86" s="599"/>
      <c r="Y86" s="599"/>
      <c r="Z86" s="599"/>
      <c r="AA86" s="599"/>
    </row>
    <row r="87" spans="1:27" ht="14.4">
      <c r="A87" s="127" t="s">
        <v>170</v>
      </c>
      <c r="B87" s="127" t="str">
        <f t="shared" si="4"/>
        <v>100-11-111</v>
      </c>
      <c r="C87" s="127" t="str">
        <f t="shared" si="5"/>
        <v>50109</v>
      </c>
      <c r="D87" s="570" t="s">
        <v>625</v>
      </c>
      <c r="E87" s="396" t="s">
        <v>12</v>
      </c>
      <c r="F87" s="414">
        <v>3000</v>
      </c>
      <c r="G87" s="414">
        <v>3000</v>
      </c>
      <c r="H87" s="571">
        <v>76.08</v>
      </c>
      <c r="I87" s="414">
        <v>873.34</v>
      </c>
      <c r="J87" s="571">
        <v>2126.66</v>
      </c>
      <c r="K87" s="572">
        <v>70.89</v>
      </c>
      <c r="L87" s="588"/>
      <c r="M87" s="589"/>
      <c r="N87" s="567"/>
      <c r="P87" s="599"/>
      <c r="Q87" s="600"/>
      <c r="R87" s="599"/>
      <c r="S87" s="599"/>
      <c r="T87" s="599"/>
      <c r="U87" s="601"/>
      <c r="V87" s="599"/>
      <c r="W87" s="599"/>
      <c r="X87" s="599"/>
      <c r="Y87" s="599"/>
      <c r="Z87" s="599"/>
      <c r="AA87" s="599"/>
    </row>
    <row r="88" spans="1:27" ht="14.4">
      <c r="A88" s="127" t="s">
        <v>170</v>
      </c>
      <c r="B88" s="127" t="str">
        <f t="shared" si="4"/>
        <v>100-11-111</v>
      </c>
      <c r="C88" s="127" t="str">
        <f t="shared" si="5"/>
        <v>50111</v>
      </c>
      <c r="D88" s="570" t="s">
        <v>623</v>
      </c>
      <c r="E88" s="396" t="s">
        <v>318</v>
      </c>
      <c r="F88" s="414">
        <v>2044</v>
      </c>
      <c r="G88" s="414">
        <v>2044</v>
      </c>
      <c r="H88" s="571">
        <v>0</v>
      </c>
      <c r="I88" s="414">
        <v>2015</v>
      </c>
      <c r="J88" s="571">
        <v>29</v>
      </c>
      <c r="K88" s="572">
        <v>1.42</v>
      </c>
      <c r="L88" s="588"/>
      <c r="M88" s="589"/>
      <c r="N88" s="567"/>
      <c r="P88" s="599"/>
      <c r="Q88" s="600"/>
      <c r="R88" s="599"/>
      <c r="S88" s="599"/>
      <c r="T88" s="599"/>
      <c r="U88" s="601"/>
      <c r="V88" s="599"/>
      <c r="W88" s="599"/>
      <c r="X88" s="599"/>
      <c r="Y88" s="599"/>
      <c r="Z88" s="599"/>
      <c r="AA88" s="599"/>
    </row>
    <row r="89" spans="1:27" ht="14.4">
      <c r="A89" s="127" t="s">
        <v>170</v>
      </c>
      <c r="B89" s="127" t="str">
        <f t="shared" si="4"/>
        <v>100-11-111</v>
      </c>
      <c r="C89" s="127" t="str">
        <f t="shared" si="5"/>
        <v>50610</v>
      </c>
      <c r="D89" s="570" t="s">
        <v>823</v>
      </c>
      <c r="E89" s="396" t="s">
        <v>320</v>
      </c>
      <c r="F89" s="414">
        <v>14120</v>
      </c>
      <c r="G89" s="414">
        <v>14120</v>
      </c>
      <c r="H89" s="571">
        <v>1014.59</v>
      </c>
      <c r="I89" s="414">
        <v>12854.27</v>
      </c>
      <c r="J89" s="571">
        <v>1265.73</v>
      </c>
      <c r="K89" s="572">
        <v>8.9600000000000009</v>
      </c>
      <c r="L89" s="588"/>
      <c r="M89" s="589"/>
      <c r="N89" s="567"/>
      <c r="P89" s="599"/>
      <c r="Q89" s="600"/>
      <c r="R89" s="599"/>
      <c r="S89" s="599"/>
      <c r="T89" s="599"/>
      <c r="U89" s="601"/>
      <c r="V89" s="599"/>
      <c r="W89" s="599"/>
      <c r="X89" s="599"/>
      <c r="Y89" s="599"/>
      <c r="Z89" s="599"/>
      <c r="AA89" s="599"/>
    </row>
    <row r="90" spans="1:27" ht="14.4">
      <c r="A90" s="127" t="s">
        <v>170</v>
      </c>
      <c r="B90" s="127" t="str">
        <f t="shared" si="4"/>
        <v>100-11-111</v>
      </c>
      <c r="C90" s="127" t="str">
        <f t="shared" si="5"/>
        <v>50620</v>
      </c>
      <c r="D90" s="570" t="s">
        <v>716</v>
      </c>
      <c r="E90" s="396" t="s">
        <v>321</v>
      </c>
      <c r="F90" s="414">
        <v>33003</v>
      </c>
      <c r="G90" s="414">
        <v>33003</v>
      </c>
      <c r="H90" s="571">
        <v>2820.54</v>
      </c>
      <c r="I90" s="414">
        <v>32323.39</v>
      </c>
      <c r="J90" s="571">
        <v>679.61</v>
      </c>
      <c r="K90" s="572">
        <v>2.06</v>
      </c>
      <c r="L90" s="588"/>
      <c r="M90" s="589"/>
      <c r="N90" s="567"/>
      <c r="P90" s="599"/>
      <c r="Q90" s="600"/>
      <c r="R90" s="599"/>
      <c r="S90" s="599"/>
      <c r="T90" s="599"/>
      <c r="U90" s="601"/>
      <c r="V90" s="599"/>
      <c r="W90" s="599"/>
      <c r="X90" s="599"/>
      <c r="Y90" s="599"/>
      <c r="Z90" s="599"/>
      <c r="AA90" s="599"/>
    </row>
    <row r="91" spans="1:27" ht="14.4">
      <c r="A91" s="127" t="s">
        <v>170</v>
      </c>
      <c r="B91" s="127" t="str">
        <f t="shared" si="4"/>
        <v>100-11-111</v>
      </c>
      <c r="C91" s="127" t="str">
        <f t="shared" si="5"/>
        <v>50630</v>
      </c>
      <c r="D91" s="570" t="s">
        <v>824</v>
      </c>
      <c r="E91" s="396" t="s">
        <v>322</v>
      </c>
      <c r="F91" s="414">
        <v>3545</v>
      </c>
      <c r="G91" s="414">
        <v>3545</v>
      </c>
      <c r="H91" s="571">
        <v>0</v>
      </c>
      <c r="I91" s="414">
        <v>3542.11</v>
      </c>
      <c r="J91" s="571">
        <v>2.89</v>
      </c>
      <c r="K91" s="572">
        <v>0.08</v>
      </c>
      <c r="L91" s="588"/>
      <c r="M91" s="589"/>
      <c r="N91" s="567"/>
      <c r="P91" s="599"/>
      <c r="Q91" s="600"/>
      <c r="R91" s="599"/>
      <c r="S91" s="599"/>
      <c r="T91" s="599"/>
      <c r="U91" s="601"/>
      <c r="V91" s="599"/>
      <c r="W91" s="599"/>
      <c r="X91" s="599"/>
      <c r="Y91" s="599"/>
      <c r="Z91" s="599"/>
      <c r="AA91" s="599"/>
    </row>
    <row r="92" spans="1:27" ht="14.4">
      <c r="A92" s="127" t="s">
        <v>170</v>
      </c>
      <c r="B92" s="127" t="str">
        <f t="shared" si="4"/>
        <v>100-11-111</v>
      </c>
      <c r="C92" s="127" t="str">
        <f t="shared" si="5"/>
        <v>50650</v>
      </c>
      <c r="D92" s="570" t="s">
        <v>675</v>
      </c>
      <c r="E92" s="396" t="s">
        <v>323</v>
      </c>
      <c r="F92" s="573">
        <v>30489</v>
      </c>
      <c r="G92" s="573">
        <v>30489</v>
      </c>
      <c r="H92" s="574">
        <v>2314.42</v>
      </c>
      <c r="I92" s="573">
        <v>28974.22</v>
      </c>
      <c r="J92" s="574">
        <v>1514.78</v>
      </c>
      <c r="K92" s="575">
        <v>4.97</v>
      </c>
      <c r="L92" s="588"/>
      <c r="M92" s="589"/>
      <c r="N92" s="567"/>
      <c r="P92" s="599"/>
      <c r="Q92" s="600"/>
      <c r="R92" s="599"/>
      <c r="S92" s="599"/>
      <c r="T92" s="599"/>
      <c r="U92" s="601"/>
      <c r="V92" s="599"/>
      <c r="W92" s="599"/>
      <c r="X92" s="599"/>
      <c r="Y92" s="599"/>
      <c r="Z92" s="599"/>
      <c r="AA92" s="599"/>
    </row>
    <row r="93" spans="1:27" ht="14.4">
      <c r="A93" s="127" t="s">
        <v>170</v>
      </c>
      <c r="B93" s="127" t="str">
        <f t="shared" si="4"/>
        <v xml:space="preserve">Category: </v>
      </c>
      <c r="C93" s="127" t="str">
        <f t="shared" si="5"/>
        <v>0 - P</v>
      </c>
      <c r="D93" s="569" t="s">
        <v>1123</v>
      </c>
      <c r="E93" s="569"/>
      <c r="F93" s="576">
        <v>262388</v>
      </c>
      <c r="G93" s="576">
        <v>262388</v>
      </c>
      <c r="H93" s="577">
        <v>19793.3</v>
      </c>
      <c r="I93" s="576">
        <v>249712</v>
      </c>
      <c r="J93" s="577">
        <v>12676</v>
      </c>
      <c r="K93" s="578">
        <v>4.8310136134274401E-2</v>
      </c>
      <c r="L93" s="590"/>
      <c r="M93" s="591"/>
      <c r="N93" s="567"/>
      <c r="P93" s="599"/>
      <c r="Q93" s="600"/>
      <c r="R93" s="599"/>
      <c r="S93" s="599"/>
      <c r="T93" s="599"/>
      <c r="U93" s="601"/>
      <c r="V93" s="599"/>
      <c r="W93" s="599"/>
      <c r="X93" s="599"/>
      <c r="Y93" s="599"/>
      <c r="Z93" s="599"/>
      <c r="AA93" s="599"/>
    </row>
    <row r="94" spans="1:27">
      <c r="A94" s="127" t="s">
        <v>170</v>
      </c>
      <c r="B94" s="127" t="str">
        <f t="shared" si="4"/>
        <v/>
      </c>
      <c r="C94" s="127" t="str">
        <f t="shared" si="5"/>
        <v/>
      </c>
      <c r="F94" s="398"/>
      <c r="G94" s="398"/>
      <c r="H94" s="398"/>
      <c r="I94" s="398"/>
      <c r="J94" s="398"/>
      <c r="K94" s="398"/>
      <c r="L94"/>
      <c r="N94" s="567"/>
      <c r="P94" s="599"/>
      <c r="Q94" s="600"/>
      <c r="R94" s="599"/>
      <c r="S94" s="599"/>
      <c r="T94" s="599"/>
      <c r="U94" s="601"/>
      <c r="V94" s="599"/>
      <c r="W94" s="599"/>
      <c r="X94" s="599"/>
      <c r="Y94" s="599"/>
      <c r="Z94" s="599"/>
      <c r="AA94" s="599"/>
    </row>
    <row r="95" spans="1:27" ht="14.4">
      <c r="A95" s="127" t="s">
        <v>170</v>
      </c>
      <c r="B95" s="127" t="str">
        <f t="shared" si="4"/>
        <v xml:space="preserve">Division: </v>
      </c>
      <c r="C95" s="127" t="str">
        <f t="shared" si="5"/>
        <v xml:space="preserve">11 - </v>
      </c>
      <c r="D95" s="569" t="s">
        <v>1130</v>
      </c>
      <c r="E95" s="569"/>
      <c r="F95" s="576">
        <v>262388</v>
      </c>
      <c r="G95" s="576">
        <v>262388</v>
      </c>
      <c r="H95" s="577">
        <v>19793.3</v>
      </c>
      <c r="I95" s="576">
        <v>249712</v>
      </c>
      <c r="J95" s="577">
        <v>12676</v>
      </c>
      <c r="K95" s="578">
        <v>4.8310136134274401E-2</v>
      </c>
      <c r="L95" s="590"/>
      <c r="M95" s="591"/>
      <c r="N95" s="567"/>
      <c r="P95" s="599"/>
      <c r="Q95" s="600"/>
      <c r="R95" s="599"/>
      <c r="S95" s="599"/>
      <c r="T95" s="599"/>
      <c r="U95" s="601"/>
      <c r="V95" s="599"/>
      <c r="W95" s="599"/>
      <c r="X95" s="599"/>
      <c r="Y95" s="599"/>
      <c r="Z95" s="599"/>
      <c r="AA95" s="599"/>
    </row>
    <row r="96" spans="1:27">
      <c r="A96" s="127" t="s">
        <v>170</v>
      </c>
      <c r="B96" s="127" t="str">
        <f t="shared" si="4"/>
        <v/>
      </c>
      <c r="C96" s="127" t="str">
        <f t="shared" si="5"/>
        <v/>
      </c>
      <c r="F96" s="398"/>
      <c r="G96" s="398"/>
      <c r="H96" s="398"/>
      <c r="I96" s="398"/>
      <c r="J96" s="398"/>
      <c r="K96" s="398"/>
      <c r="L96"/>
      <c r="N96" s="567"/>
      <c r="P96" s="599"/>
      <c r="Q96" s="600"/>
      <c r="R96" s="599"/>
      <c r="S96" s="599"/>
      <c r="T96" s="599"/>
      <c r="U96" s="601"/>
      <c r="V96" s="599"/>
      <c r="W96" s="599"/>
      <c r="X96" s="599"/>
      <c r="Y96" s="599"/>
      <c r="Z96" s="599"/>
      <c r="AA96" s="599"/>
    </row>
    <row r="97" spans="1:27" ht="14.4">
      <c r="A97" s="127" t="s">
        <v>170</v>
      </c>
      <c r="B97" s="127" t="str">
        <f t="shared" si="4"/>
        <v>Department</v>
      </c>
      <c r="C97" s="127" t="str">
        <f t="shared" si="5"/>
        <v xml:space="preserve"> 11 -</v>
      </c>
      <c r="D97" s="569" t="s">
        <v>1131</v>
      </c>
      <c r="E97" s="569"/>
      <c r="F97" s="576">
        <v>262388</v>
      </c>
      <c r="G97" s="576">
        <v>262388</v>
      </c>
      <c r="H97" s="577">
        <v>19793.3</v>
      </c>
      <c r="I97" s="576">
        <v>249712</v>
      </c>
      <c r="J97" s="577">
        <v>12676</v>
      </c>
      <c r="K97" s="578">
        <v>4.8310136134274401E-2</v>
      </c>
      <c r="L97" s="590"/>
      <c r="M97" s="591"/>
      <c r="N97" s="567"/>
      <c r="P97" s="599"/>
      <c r="Q97" s="600"/>
      <c r="R97" s="599"/>
      <c r="S97" s="599"/>
      <c r="T97" s="599"/>
      <c r="U97" s="601"/>
      <c r="V97" s="599"/>
      <c r="W97" s="599"/>
      <c r="X97" s="599"/>
      <c r="Y97" s="599"/>
      <c r="Z97" s="599"/>
      <c r="AA97" s="599"/>
    </row>
    <row r="98" spans="1:27">
      <c r="A98" s="127" t="s">
        <v>170</v>
      </c>
      <c r="B98" s="127" t="str">
        <f t="shared" si="4"/>
        <v/>
      </c>
      <c r="C98" s="127" t="str">
        <f t="shared" si="5"/>
        <v/>
      </c>
      <c r="L98"/>
      <c r="N98" s="567"/>
      <c r="P98" s="599"/>
      <c r="Q98" s="600"/>
      <c r="R98" s="599"/>
      <c r="S98" s="599"/>
      <c r="T98" s="599"/>
      <c r="U98" s="601"/>
      <c r="V98" s="599"/>
      <c r="W98" s="599"/>
      <c r="X98" s="599"/>
      <c r="Y98" s="599"/>
      <c r="Z98" s="599"/>
      <c r="AA98" s="599"/>
    </row>
    <row r="99" spans="1:27">
      <c r="A99" s="127" t="s">
        <v>170</v>
      </c>
      <c r="B99" s="127" t="str">
        <f t="shared" si="4"/>
        <v/>
      </c>
      <c r="C99" s="127" t="str">
        <f t="shared" si="5"/>
        <v/>
      </c>
      <c r="E99" s="569"/>
      <c r="F99" s="569"/>
      <c r="G99" s="569"/>
      <c r="H99" s="569"/>
      <c r="I99" s="569"/>
      <c r="J99" s="569"/>
      <c r="K99" s="569"/>
      <c r="L99" s="587"/>
      <c r="M99" s="587"/>
      <c r="N99" s="567"/>
      <c r="P99" s="599"/>
      <c r="Q99" s="600"/>
      <c r="R99" s="599"/>
      <c r="S99" s="599"/>
      <c r="T99" s="599"/>
      <c r="U99" s="601"/>
      <c r="V99" s="599"/>
      <c r="W99" s="599"/>
      <c r="X99" s="599"/>
      <c r="Y99" s="599"/>
      <c r="Z99" s="599"/>
      <c r="AA99" s="599"/>
    </row>
    <row r="100" spans="1:27">
      <c r="A100" s="127" t="s">
        <v>170</v>
      </c>
      <c r="B100" s="127" t="str">
        <f t="shared" si="4"/>
        <v/>
      </c>
      <c r="C100" s="127" t="str">
        <f t="shared" si="5"/>
        <v/>
      </c>
      <c r="E100" s="569"/>
      <c r="F100" s="569"/>
      <c r="G100" s="569"/>
      <c r="H100" s="569"/>
      <c r="I100" s="569"/>
      <c r="J100" s="569"/>
      <c r="K100" s="569"/>
      <c r="L100" s="587"/>
      <c r="M100" s="587"/>
      <c r="N100" s="567"/>
      <c r="P100" s="599"/>
      <c r="Q100" s="600"/>
      <c r="R100" s="599"/>
      <c r="S100" s="599"/>
      <c r="T100" s="599"/>
      <c r="U100" s="601"/>
      <c r="V100" s="599"/>
      <c r="W100" s="599"/>
      <c r="X100" s="599"/>
      <c r="Y100" s="599"/>
      <c r="Z100" s="599"/>
      <c r="AA100" s="599"/>
    </row>
    <row r="101" spans="1:27">
      <c r="A101" s="127" t="s">
        <v>170</v>
      </c>
      <c r="B101" s="127" t="str">
        <f t="shared" si="4"/>
        <v/>
      </c>
      <c r="C101" s="127" t="str">
        <f t="shared" si="5"/>
        <v/>
      </c>
      <c r="E101" s="569"/>
      <c r="F101" s="569"/>
      <c r="G101" s="569"/>
      <c r="H101" s="569"/>
      <c r="I101" s="569"/>
      <c r="J101" s="569"/>
      <c r="K101" s="569"/>
      <c r="L101" s="587"/>
      <c r="M101" s="587"/>
      <c r="N101" s="567"/>
      <c r="P101" s="599"/>
      <c r="Q101" s="600"/>
      <c r="R101" s="599"/>
      <c r="S101" s="599"/>
      <c r="T101" s="599"/>
      <c r="U101" s="601"/>
      <c r="V101" s="599"/>
      <c r="W101" s="599"/>
      <c r="X101" s="599"/>
      <c r="Y101" s="599"/>
      <c r="Z101" s="599"/>
      <c r="AA101" s="599"/>
    </row>
    <row r="102" spans="1:27" ht="14.4">
      <c r="A102" s="127" t="s">
        <v>170</v>
      </c>
      <c r="B102" s="127" t="str">
        <f t="shared" si="4"/>
        <v>100-13-131</v>
      </c>
      <c r="C102" s="127" t="str">
        <f t="shared" si="5"/>
        <v>50101</v>
      </c>
      <c r="D102" s="570" t="s">
        <v>558</v>
      </c>
      <c r="E102" s="396" t="s">
        <v>316</v>
      </c>
      <c r="F102" s="414">
        <v>570486</v>
      </c>
      <c r="G102" s="414">
        <v>570486</v>
      </c>
      <c r="H102" s="571">
        <v>46890.63</v>
      </c>
      <c r="I102" s="414">
        <v>568102.14</v>
      </c>
      <c r="J102" s="571">
        <v>2383.86</v>
      </c>
      <c r="K102" s="572">
        <v>0.42</v>
      </c>
      <c r="L102" s="588"/>
      <c r="M102" s="589"/>
      <c r="N102" s="567"/>
      <c r="P102" s="599"/>
      <c r="Q102" s="600"/>
      <c r="R102" s="599"/>
      <c r="S102" s="599"/>
      <c r="T102" s="599"/>
      <c r="U102" s="601"/>
      <c r="V102" s="599"/>
      <c r="W102" s="599"/>
      <c r="X102" s="599"/>
      <c r="Y102" s="599"/>
      <c r="Z102" s="599"/>
      <c r="AA102" s="599"/>
    </row>
    <row r="103" spans="1:27" ht="14.4">
      <c r="A103" s="127" t="s">
        <v>170</v>
      </c>
      <c r="B103" s="127" t="str">
        <f t="shared" si="4"/>
        <v>100-13-131</v>
      </c>
      <c r="C103" s="127" t="str">
        <f t="shared" si="5"/>
        <v>50102</v>
      </c>
      <c r="D103" s="570" t="s">
        <v>617</v>
      </c>
      <c r="E103" s="396" t="s">
        <v>317</v>
      </c>
      <c r="F103" s="414">
        <v>47487</v>
      </c>
      <c r="G103" s="414">
        <v>47487</v>
      </c>
      <c r="H103" s="571">
        <v>3652.8</v>
      </c>
      <c r="I103" s="414">
        <v>45513.94</v>
      </c>
      <c r="J103" s="571">
        <v>1973.06</v>
      </c>
      <c r="K103" s="572">
        <v>4.1500000000000004</v>
      </c>
      <c r="L103" s="588"/>
      <c r="M103" s="589"/>
      <c r="N103" s="567"/>
      <c r="P103" s="599"/>
      <c r="Q103" s="600"/>
      <c r="R103" s="599"/>
      <c r="S103" s="599"/>
      <c r="T103" s="599"/>
      <c r="U103" s="601"/>
      <c r="V103" s="599"/>
      <c r="W103" s="599"/>
      <c r="X103" s="599"/>
      <c r="Y103" s="599"/>
      <c r="Z103" s="599"/>
      <c r="AA103" s="599"/>
    </row>
    <row r="104" spans="1:27" ht="14.4">
      <c r="A104" s="127" t="s">
        <v>170</v>
      </c>
      <c r="B104" s="127" t="str">
        <f t="shared" si="4"/>
        <v>100-13-131</v>
      </c>
      <c r="C104" s="127" t="str">
        <f t="shared" si="5"/>
        <v>50109</v>
      </c>
      <c r="D104" s="570" t="s">
        <v>618</v>
      </c>
      <c r="E104" s="396" t="s">
        <v>12</v>
      </c>
      <c r="F104" s="414">
        <v>3500</v>
      </c>
      <c r="G104" s="414">
        <v>3500</v>
      </c>
      <c r="H104" s="571">
        <v>0</v>
      </c>
      <c r="I104" s="414">
        <v>255</v>
      </c>
      <c r="J104" s="571">
        <v>3245</v>
      </c>
      <c r="K104" s="572">
        <v>92.71</v>
      </c>
      <c r="L104" s="588"/>
      <c r="M104" s="589"/>
      <c r="N104" s="567"/>
      <c r="P104" s="599"/>
      <c r="Q104" s="600"/>
      <c r="R104" s="599"/>
      <c r="S104" s="599"/>
      <c r="T104" s="599"/>
      <c r="U104" s="601"/>
      <c r="V104" s="599"/>
      <c r="W104" s="599"/>
      <c r="X104" s="599"/>
      <c r="Y104" s="599"/>
      <c r="Z104" s="599"/>
      <c r="AA104" s="599"/>
    </row>
    <row r="105" spans="1:27" ht="14.4">
      <c r="A105" s="127" t="s">
        <v>170</v>
      </c>
      <c r="B105" s="127" t="str">
        <f t="shared" si="4"/>
        <v>100-13-131</v>
      </c>
      <c r="C105" s="127" t="str">
        <f t="shared" si="5"/>
        <v>50111</v>
      </c>
      <c r="D105" s="570" t="s">
        <v>619</v>
      </c>
      <c r="E105" s="396" t="s">
        <v>318</v>
      </c>
      <c r="F105" s="414">
        <v>4124</v>
      </c>
      <c r="G105" s="414">
        <v>4124</v>
      </c>
      <c r="H105" s="571">
        <v>0</v>
      </c>
      <c r="I105" s="414">
        <v>3800</v>
      </c>
      <c r="J105" s="571">
        <v>324</v>
      </c>
      <c r="K105" s="572">
        <v>7.86</v>
      </c>
      <c r="L105" s="588"/>
      <c r="M105" s="589"/>
      <c r="N105" s="567"/>
      <c r="P105" s="599"/>
      <c r="Q105" s="600"/>
      <c r="R105" s="599"/>
      <c r="S105" s="599"/>
      <c r="T105" s="599"/>
      <c r="U105" s="601"/>
      <c r="V105" s="599"/>
      <c r="W105" s="599"/>
      <c r="X105" s="599"/>
      <c r="Y105" s="599"/>
      <c r="Z105" s="599"/>
      <c r="AA105" s="599"/>
    </row>
    <row r="106" spans="1:27" ht="14.4">
      <c r="A106" s="127" t="s">
        <v>170</v>
      </c>
      <c r="B106" s="127" t="str">
        <f t="shared" si="4"/>
        <v>100-13-131</v>
      </c>
      <c r="C106" s="127" t="str">
        <f t="shared" si="5"/>
        <v>50610</v>
      </c>
      <c r="D106" s="570" t="s">
        <v>825</v>
      </c>
      <c r="E106" s="396" t="s">
        <v>320</v>
      </c>
      <c r="F106" s="414">
        <v>46520</v>
      </c>
      <c r="G106" s="414">
        <v>46520</v>
      </c>
      <c r="H106" s="571">
        <v>3740.2</v>
      </c>
      <c r="I106" s="414">
        <v>45699.46</v>
      </c>
      <c r="J106" s="571">
        <v>820.54</v>
      </c>
      <c r="K106" s="572">
        <v>1.76</v>
      </c>
      <c r="L106" s="588"/>
      <c r="M106" s="589"/>
      <c r="N106" s="567"/>
      <c r="P106" s="599"/>
      <c r="Q106" s="600"/>
      <c r="R106" s="599"/>
      <c r="S106" s="599"/>
      <c r="T106" s="599"/>
      <c r="U106" s="601"/>
      <c r="V106" s="599"/>
      <c r="W106" s="599"/>
      <c r="X106" s="599"/>
      <c r="Y106" s="599"/>
      <c r="Z106" s="599"/>
      <c r="AA106" s="599"/>
    </row>
    <row r="107" spans="1:27" ht="14.4">
      <c r="A107" s="127" t="s">
        <v>170</v>
      </c>
      <c r="B107" s="127" t="str">
        <f t="shared" si="4"/>
        <v>100-13-131</v>
      </c>
      <c r="C107" s="127" t="str">
        <f t="shared" si="5"/>
        <v>50620</v>
      </c>
      <c r="D107" s="570" t="s">
        <v>678</v>
      </c>
      <c r="E107" s="396" t="s">
        <v>321</v>
      </c>
      <c r="F107" s="414">
        <v>112611</v>
      </c>
      <c r="G107" s="414">
        <v>112611</v>
      </c>
      <c r="H107" s="571">
        <v>9571.93</v>
      </c>
      <c r="I107" s="414">
        <v>109347.23</v>
      </c>
      <c r="J107" s="571">
        <v>3263.77</v>
      </c>
      <c r="K107" s="572">
        <v>2.9</v>
      </c>
      <c r="L107" s="588"/>
      <c r="M107" s="589"/>
      <c r="N107" s="567"/>
      <c r="P107" s="599"/>
      <c r="Q107" s="600"/>
      <c r="R107" s="599"/>
      <c r="S107" s="599"/>
      <c r="T107" s="599"/>
      <c r="U107" s="601"/>
      <c r="V107" s="599"/>
      <c r="W107" s="599"/>
      <c r="X107" s="599"/>
      <c r="Y107" s="599"/>
      <c r="Z107" s="599"/>
      <c r="AA107" s="599"/>
    </row>
    <row r="108" spans="1:27" ht="14.4">
      <c r="A108" s="127" t="s">
        <v>170</v>
      </c>
      <c r="B108" s="127" t="str">
        <f t="shared" si="4"/>
        <v>100-13-131</v>
      </c>
      <c r="C108" s="127" t="str">
        <f t="shared" si="5"/>
        <v>50630</v>
      </c>
      <c r="D108" s="570" t="s">
        <v>826</v>
      </c>
      <c r="E108" s="396" t="s">
        <v>322</v>
      </c>
      <c r="F108" s="414">
        <v>897</v>
      </c>
      <c r="G108" s="414">
        <v>897</v>
      </c>
      <c r="H108" s="571">
        <v>0</v>
      </c>
      <c r="I108" s="414">
        <v>896.26</v>
      </c>
      <c r="J108" s="571">
        <v>0.74</v>
      </c>
      <c r="K108" s="572">
        <v>0.08</v>
      </c>
      <c r="L108" s="588"/>
      <c r="M108" s="589"/>
      <c r="N108" s="567"/>
      <c r="P108" s="599"/>
      <c r="Q108" s="600"/>
      <c r="R108" s="599"/>
      <c r="S108" s="599"/>
      <c r="T108" s="599"/>
      <c r="U108" s="601"/>
      <c r="V108" s="599"/>
      <c r="W108" s="599"/>
      <c r="X108" s="599"/>
      <c r="Y108" s="599"/>
      <c r="Z108" s="599"/>
      <c r="AA108" s="599"/>
    </row>
    <row r="109" spans="1:27" ht="14.4">
      <c r="A109" s="127" t="s">
        <v>170</v>
      </c>
      <c r="B109" s="127" t="str">
        <f t="shared" si="4"/>
        <v>100-13-131</v>
      </c>
      <c r="C109" s="127" t="str">
        <f t="shared" si="5"/>
        <v>50650</v>
      </c>
      <c r="D109" s="570" t="s">
        <v>690</v>
      </c>
      <c r="E109" s="396" t="s">
        <v>323</v>
      </c>
      <c r="F109" s="573">
        <v>103816</v>
      </c>
      <c r="G109" s="573">
        <v>103816</v>
      </c>
      <c r="H109" s="574">
        <v>8554.7999999999993</v>
      </c>
      <c r="I109" s="573">
        <v>103235.96</v>
      </c>
      <c r="J109" s="574">
        <v>580.04</v>
      </c>
      <c r="K109" s="575">
        <v>0.56000000000000005</v>
      </c>
      <c r="L109" s="588"/>
      <c r="M109" s="589"/>
      <c r="N109" s="567"/>
      <c r="P109" s="599"/>
      <c r="Q109" s="600"/>
      <c r="R109" s="599"/>
      <c r="S109" s="599"/>
      <c r="T109" s="599"/>
      <c r="U109" s="601"/>
      <c r="V109" s="599"/>
      <c r="W109" s="599"/>
      <c r="X109" s="599"/>
      <c r="Y109" s="599"/>
      <c r="Z109" s="599"/>
      <c r="AA109" s="599"/>
    </row>
    <row r="110" spans="1:27" ht="14.4">
      <c r="A110" s="127" t="s">
        <v>170</v>
      </c>
      <c r="B110" s="127" t="str">
        <f t="shared" si="4"/>
        <v xml:space="preserve">Category: </v>
      </c>
      <c r="C110" s="127" t="str">
        <f t="shared" si="5"/>
        <v>0 - P</v>
      </c>
      <c r="D110" s="569" t="s">
        <v>1123</v>
      </c>
      <c r="E110" s="569"/>
      <c r="F110" s="576">
        <v>889441</v>
      </c>
      <c r="G110" s="576">
        <v>889441</v>
      </c>
      <c r="H110" s="577">
        <v>72410.36</v>
      </c>
      <c r="I110" s="576">
        <v>876849.99</v>
      </c>
      <c r="J110" s="577">
        <v>12591.01</v>
      </c>
      <c r="K110" s="578">
        <v>1.4156093546395999E-2</v>
      </c>
      <c r="L110" s="590"/>
      <c r="M110" s="591"/>
      <c r="N110" s="567"/>
      <c r="P110" s="599"/>
      <c r="Q110" s="600"/>
      <c r="R110" s="599"/>
      <c r="S110" s="599"/>
      <c r="T110" s="599"/>
      <c r="U110" s="601"/>
      <c r="V110" s="599"/>
      <c r="W110" s="599"/>
      <c r="X110" s="599"/>
      <c r="Y110" s="599"/>
      <c r="Z110" s="599"/>
      <c r="AA110" s="599"/>
    </row>
    <row r="111" spans="1:27">
      <c r="A111" s="127" t="s">
        <v>170</v>
      </c>
      <c r="B111" s="127" t="str">
        <f t="shared" si="4"/>
        <v/>
      </c>
      <c r="C111" s="127" t="str">
        <f t="shared" si="5"/>
        <v/>
      </c>
      <c r="F111" s="398"/>
      <c r="G111" s="398"/>
      <c r="H111" s="398"/>
      <c r="I111" s="398"/>
      <c r="J111" s="398"/>
      <c r="K111" s="398"/>
      <c r="L111"/>
      <c r="N111" s="567"/>
      <c r="P111" s="599"/>
      <c r="Q111" s="600"/>
      <c r="R111" s="599"/>
      <c r="S111" s="599"/>
      <c r="T111" s="599"/>
      <c r="U111" s="601"/>
      <c r="V111" s="599"/>
      <c r="W111" s="599"/>
      <c r="X111" s="599"/>
      <c r="Y111" s="599"/>
      <c r="Z111" s="599"/>
      <c r="AA111" s="599"/>
    </row>
    <row r="112" spans="1:27" ht="14.4">
      <c r="A112" s="127" t="s">
        <v>170</v>
      </c>
      <c r="B112" s="127" t="str">
        <f t="shared" si="4"/>
        <v xml:space="preserve">Division: </v>
      </c>
      <c r="C112" s="127" t="str">
        <f t="shared" si="5"/>
        <v xml:space="preserve">31 - </v>
      </c>
      <c r="D112" s="569" t="s">
        <v>1132</v>
      </c>
      <c r="E112" s="569"/>
      <c r="F112" s="576">
        <v>889441</v>
      </c>
      <c r="G112" s="576">
        <v>889441</v>
      </c>
      <c r="H112" s="577">
        <v>72410.36</v>
      </c>
      <c r="I112" s="576">
        <v>876849.99</v>
      </c>
      <c r="J112" s="577">
        <v>12591.01</v>
      </c>
      <c r="K112" s="578">
        <v>1.4156093546395999E-2</v>
      </c>
      <c r="L112" s="590"/>
      <c r="M112" s="591"/>
      <c r="N112" s="567"/>
      <c r="P112" s="599"/>
      <c r="Q112" s="600"/>
      <c r="R112" s="599"/>
      <c r="S112" s="599"/>
      <c r="T112" s="599"/>
      <c r="U112" s="601"/>
      <c r="V112" s="599"/>
      <c r="W112" s="599"/>
      <c r="X112" s="599"/>
      <c r="Y112" s="599"/>
      <c r="Z112" s="599"/>
      <c r="AA112" s="599"/>
    </row>
    <row r="113" spans="1:27">
      <c r="A113" s="127" t="s">
        <v>170</v>
      </c>
      <c r="B113" s="127" t="str">
        <f t="shared" si="4"/>
        <v/>
      </c>
      <c r="C113" s="127" t="str">
        <f t="shared" si="5"/>
        <v/>
      </c>
      <c r="F113" s="398"/>
      <c r="G113" s="398"/>
      <c r="H113" s="398"/>
      <c r="I113" s="398"/>
      <c r="J113" s="398"/>
      <c r="K113" s="398"/>
      <c r="L113"/>
      <c r="N113" s="567"/>
      <c r="P113" s="599"/>
      <c r="Q113" s="600"/>
      <c r="R113" s="599"/>
      <c r="S113" s="599"/>
      <c r="T113" s="599"/>
      <c r="U113" s="601"/>
      <c r="V113" s="599"/>
      <c r="W113" s="599"/>
      <c r="X113" s="599"/>
      <c r="Y113" s="599"/>
      <c r="Z113" s="599"/>
      <c r="AA113" s="599"/>
    </row>
    <row r="114" spans="1:27" ht="14.4">
      <c r="A114" s="127" t="s">
        <v>170</v>
      </c>
      <c r="B114" s="127" t="str">
        <f t="shared" si="4"/>
        <v>Department</v>
      </c>
      <c r="C114" s="127" t="str">
        <f t="shared" si="5"/>
        <v xml:space="preserve"> 13 -</v>
      </c>
      <c r="D114" s="569" t="s">
        <v>1133</v>
      </c>
      <c r="E114" s="569"/>
      <c r="F114" s="576">
        <v>889441</v>
      </c>
      <c r="G114" s="576">
        <v>889441</v>
      </c>
      <c r="H114" s="577">
        <v>72410.36</v>
      </c>
      <c r="I114" s="576">
        <v>876849.99</v>
      </c>
      <c r="J114" s="577">
        <v>12591.01</v>
      </c>
      <c r="K114" s="578">
        <v>1.4156093546395999E-2</v>
      </c>
      <c r="L114" s="590"/>
      <c r="M114" s="591"/>
      <c r="N114" s="567"/>
      <c r="P114" s="599"/>
      <c r="Q114" s="600"/>
      <c r="R114" s="599"/>
      <c r="S114" s="599"/>
      <c r="T114" s="599"/>
      <c r="U114" s="601"/>
      <c r="V114" s="599"/>
      <c r="W114" s="599"/>
      <c r="X114" s="599"/>
      <c r="Y114" s="599"/>
      <c r="Z114" s="599"/>
      <c r="AA114" s="599"/>
    </row>
    <row r="115" spans="1:27">
      <c r="A115" s="127" t="s">
        <v>170</v>
      </c>
      <c r="B115" s="127" t="str">
        <f t="shared" si="4"/>
        <v/>
      </c>
      <c r="C115" s="127" t="str">
        <f t="shared" si="5"/>
        <v/>
      </c>
      <c r="L115"/>
      <c r="N115" s="567"/>
      <c r="P115" s="599"/>
      <c r="Q115" s="600"/>
      <c r="R115" s="599"/>
      <c r="S115" s="599"/>
      <c r="T115" s="599"/>
      <c r="U115" s="601"/>
      <c r="V115" s="599"/>
      <c r="W115" s="599"/>
      <c r="X115" s="599"/>
      <c r="Y115" s="599"/>
      <c r="Z115" s="599"/>
      <c r="AA115" s="599"/>
    </row>
    <row r="116" spans="1:27">
      <c r="A116" s="127" t="s">
        <v>170</v>
      </c>
      <c r="B116" s="127" t="str">
        <f t="shared" si="4"/>
        <v/>
      </c>
      <c r="C116" s="127" t="str">
        <f t="shared" si="5"/>
        <v/>
      </c>
      <c r="E116" s="569"/>
      <c r="F116" s="569"/>
      <c r="G116" s="569"/>
      <c r="H116" s="569"/>
      <c r="I116" s="569"/>
      <c r="J116" s="569"/>
      <c r="K116" s="569"/>
      <c r="L116" s="587"/>
      <c r="M116" s="587"/>
      <c r="N116" s="567"/>
      <c r="P116" s="599"/>
      <c r="Q116" s="600"/>
      <c r="R116" s="599"/>
      <c r="S116" s="599"/>
      <c r="T116" s="599"/>
      <c r="U116" s="601"/>
      <c r="V116" s="599"/>
      <c r="W116" s="599"/>
      <c r="X116" s="599"/>
      <c r="Y116" s="599"/>
      <c r="Z116" s="599"/>
      <c r="AA116" s="599"/>
    </row>
    <row r="117" spans="1:27">
      <c r="A117" s="127" t="s">
        <v>170</v>
      </c>
      <c r="B117" s="127" t="str">
        <f t="shared" si="4"/>
        <v/>
      </c>
      <c r="C117" s="127" t="str">
        <f t="shared" si="5"/>
        <v/>
      </c>
      <c r="E117" s="569"/>
      <c r="F117" s="569"/>
      <c r="G117" s="569"/>
      <c r="H117" s="569"/>
      <c r="I117" s="569"/>
      <c r="J117" s="569"/>
      <c r="K117" s="569"/>
      <c r="L117" s="587"/>
      <c r="M117" s="587"/>
      <c r="N117" s="567"/>
      <c r="P117" s="599"/>
      <c r="Q117" s="600"/>
      <c r="R117" s="599"/>
      <c r="S117" s="599"/>
      <c r="T117" s="599"/>
      <c r="U117" s="601"/>
      <c r="V117" s="599"/>
      <c r="W117" s="599"/>
      <c r="X117" s="599"/>
      <c r="Y117" s="599"/>
      <c r="Z117" s="599"/>
      <c r="AA117" s="599"/>
    </row>
    <row r="118" spans="1:27">
      <c r="A118" s="127" t="s">
        <v>170</v>
      </c>
      <c r="B118" s="127" t="str">
        <f t="shared" si="4"/>
        <v/>
      </c>
      <c r="C118" s="127" t="str">
        <f t="shared" si="5"/>
        <v/>
      </c>
      <c r="E118" s="569"/>
      <c r="F118" s="569"/>
      <c r="G118" s="569"/>
      <c r="H118" s="569"/>
      <c r="I118" s="569"/>
      <c r="J118" s="569"/>
      <c r="K118" s="569"/>
      <c r="L118" s="587"/>
      <c r="M118" s="587"/>
      <c r="N118" s="567"/>
      <c r="P118" s="599"/>
      <c r="Q118" s="600"/>
      <c r="R118" s="599"/>
      <c r="S118" s="599"/>
      <c r="T118" s="599"/>
      <c r="U118" s="601"/>
      <c r="V118" s="599"/>
      <c r="W118" s="599"/>
      <c r="X118" s="599"/>
      <c r="Y118" s="599"/>
      <c r="Z118" s="599"/>
      <c r="AA118" s="599"/>
    </row>
    <row r="119" spans="1:27" ht="14.4">
      <c r="A119" s="127" t="s">
        <v>170</v>
      </c>
      <c r="B119" s="127" t="str">
        <f t="shared" si="4"/>
        <v>100-14-141</v>
      </c>
      <c r="C119" s="127" t="str">
        <f t="shared" si="5"/>
        <v>50101</v>
      </c>
      <c r="D119" s="570" t="s">
        <v>635</v>
      </c>
      <c r="E119" s="396" t="s">
        <v>316</v>
      </c>
      <c r="F119" s="414">
        <v>184445</v>
      </c>
      <c r="G119" s="414">
        <v>184445</v>
      </c>
      <c r="H119" s="571">
        <v>13686.94</v>
      </c>
      <c r="I119" s="414">
        <v>165752.57</v>
      </c>
      <c r="J119" s="571">
        <v>18692.43</v>
      </c>
      <c r="K119" s="572">
        <v>10.130000000000001</v>
      </c>
      <c r="L119" s="588"/>
      <c r="M119" s="589"/>
      <c r="N119" s="567"/>
      <c r="P119" s="599"/>
      <c r="Q119" s="600"/>
      <c r="R119" s="599"/>
      <c r="S119" s="599"/>
      <c r="T119" s="599"/>
      <c r="U119" s="601"/>
      <c r="V119" s="599"/>
      <c r="W119" s="599"/>
      <c r="X119" s="599"/>
      <c r="Y119" s="599"/>
      <c r="Z119" s="599"/>
      <c r="AA119" s="599"/>
    </row>
    <row r="120" spans="1:27" ht="14.4">
      <c r="A120" s="127" t="s">
        <v>170</v>
      </c>
      <c r="B120" s="127" t="str">
        <f t="shared" si="4"/>
        <v>100-14-141</v>
      </c>
      <c r="C120" s="127" t="str">
        <f t="shared" si="5"/>
        <v>50111</v>
      </c>
      <c r="D120" s="570" t="s">
        <v>827</v>
      </c>
      <c r="E120" s="396" t="s">
        <v>318</v>
      </c>
      <c r="F120" s="414">
        <v>564</v>
      </c>
      <c r="G120" s="414">
        <v>564</v>
      </c>
      <c r="H120" s="571">
        <v>0</v>
      </c>
      <c r="I120" s="414">
        <v>555</v>
      </c>
      <c r="J120" s="571">
        <v>9</v>
      </c>
      <c r="K120" s="572">
        <v>1.6</v>
      </c>
      <c r="L120" s="588"/>
      <c r="M120" s="589"/>
      <c r="N120" s="567"/>
      <c r="P120" s="599"/>
      <c r="Q120" s="600"/>
      <c r="R120" s="599"/>
      <c r="S120" s="599"/>
      <c r="T120" s="599"/>
      <c r="U120" s="601"/>
      <c r="V120" s="599"/>
      <c r="W120" s="599"/>
      <c r="X120" s="599"/>
      <c r="Y120" s="599"/>
      <c r="Z120" s="599"/>
      <c r="AA120" s="599"/>
    </row>
    <row r="121" spans="1:27" ht="14.4">
      <c r="A121" s="127" t="s">
        <v>170</v>
      </c>
      <c r="B121" s="127" t="str">
        <f t="shared" si="4"/>
        <v>100-14-141</v>
      </c>
      <c r="C121" s="127" t="str">
        <f t="shared" si="5"/>
        <v>50120</v>
      </c>
      <c r="D121" s="570" t="s">
        <v>721</v>
      </c>
      <c r="E121" s="396" t="s">
        <v>319</v>
      </c>
      <c r="F121" s="414">
        <v>4800</v>
      </c>
      <c r="G121" s="414">
        <v>4800</v>
      </c>
      <c r="H121" s="571">
        <v>400</v>
      </c>
      <c r="I121" s="414">
        <v>4584</v>
      </c>
      <c r="J121" s="571">
        <v>216</v>
      </c>
      <c r="K121" s="572">
        <v>4.5</v>
      </c>
      <c r="L121" s="588"/>
      <c r="M121" s="589"/>
      <c r="N121" s="567"/>
      <c r="P121" s="599"/>
      <c r="Q121" s="600"/>
      <c r="R121" s="599"/>
      <c r="S121" s="599"/>
      <c r="T121" s="599"/>
      <c r="U121" s="601"/>
      <c r="V121" s="599"/>
      <c r="W121" s="599"/>
      <c r="X121" s="599"/>
      <c r="Y121" s="599"/>
      <c r="Z121" s="599"/>
      <c r="AA121" s="599"/>
    </row>
    <row r="122" spans="1:27" ht="14.4">
      <c r="A122" s="127" t="s">
        <v>170</v>
      </c>
      <c r="B122" s="127" t="str">
        <f t="shared" si="4"/>
        <v>100-14-141</v>
      </c>
      <c r="C122" s="127" t="str">
        <f t="shared" si="5"/>
        <v>50610</v>
      </c>
      <c r="D122" s="570" t="s">
        <v>828</v>
      </c>
      <c r="E122" s="396" t="s">
        <v>320</v>
      </c>
      <c r="F122" s="414">
        <v>15900</v>
      </c>
      <c r="G122" s="414">
        <v>15900</v>
      </c>
      <c r="H122" s="571">
        <v>1010.81</v>
      </c>
      <c r="I122" s="414">
        <v>12072.49</v>
      </c>
      <c r="J122" s="571">
        <v>3827.51</v>
      </c>
      <c r="K122" s="572">
        <v>24.07</v>
      </c>
      <c r="L122" s="588"/>
      <c r="M122" s="589"/>
      <c r="N122" s="567"/>
      <c r="P122" s="599"/>
      <c r="Q122" s="600"/>
      <c r="R122" s="599"/>
      <c r="S122" s="599"/>
      <c r="T122" s="599"/>
      <c r="U122" s="601"/>
      <c r="V122" s="599"/>
      <c r="W122" s="599"/>
      <c r="X122" s="599"/>
      <c r="Y122" s="599"/>
      <c r="Z122" s="599"/>
      <c r="AA122" s="599"/>
    </row>
    <row r="123" spans="1:27" ht="14.4">
      <c r="A123" s="127" t="s">
        <v>170</v>
      </c>
      <c r="B123" s="127" t="str">
        <f t="shared" si="4"/>
        <v>100-14-141</v>
      </c>
      <c r="C123" s="127" t="str">
        <f t="shared" si="5"/>
        <v>50620</v>
      </c>
      <c r="D123" s="570" t="s">
        <v>715</v>
      </c>
      <c r="E123" s="396" t="s">
        <v>321</v>
      </c>
      <c r="F123" s="414">
        <v>42798</v>
      </c>
      <c r="G123" s="414">
        <v>42798</v>
      </c>
      <c r="H123" s="571">
        <v>2654.28</v>
      </c>
      <c r="I123" s="414">
        <v>35113.19</v>
      </c>
      <c r="J123" s="571">
        <v>7684.81</v>
      </c>
      <c r="K123" s="572">
        <v>17.96</v>
      </c>
      <c r="L123" s="588"/>
      <c r="M123" s="589"/>
      <c r="N123" s="567"/>
      <c r="P123" s="599"/>
      <c r="Q123" s="600"/>
      <c r="R123" s="599"/>
      <c r="S123" s="599"/>
      <c r="T123" s="599"/>
      <c r="U123" s="601"/>
      <c r="V123" s="599"/>
      <c r="W123" s="599"/>
      <c r="X123" s="599"/>
      <c r="Y123" s="599"/>
      <c r="Z123" s="599"/>
      <c r="AA123" s="599"/>
    </row>
    <row r="124" spans="1:27" ht="14.4">
      <c r="A124" s="127" t="s">
        <v>170</v>
      </c>
      <c r="B124" s="127" t="str">
        <f t="shared" si="4"/>
        <v>100-14-141</v>
      </c>
      <c r="C124" s="127" t="str">
        <f t="shared" si="5"/>
        <v>50630</v>
      </c>
      <c r="D124" s="570" t="s">
        <v>829</v>
      </c>
      <c r="E124" s="396" t="s">
        <v>322</v>
      </c>
      <c r="F124" s="414">
        <v>297</v>
      </c>
      <c r="G124" s="414">
        <v>297</v>
      </c>
      <c r="H124" s="571">
        <v>0</v>
      </c>
      <c r="I124" s="414">
        <v>296.76</v>
      </c>
      <c r="J124" s="571">
        <v>0.24</v>
      </c>
      <c r="K124" s="572">
        <v>0.08</v>
      </c>
      <c r="L124" s="588"/>
      <c r="M124" s="589"/>
      <c r="N124" s="567"/>
      <c r="P124" s="599"/>
      <c r="Q124" s="600"/>
      <c r="R124" s="599"/>
      <c r="S124" s="599"/>
      <c r="T124" s="599"/>
      <c r="U124" s="601"/>
      <c r="V124" s="599"/>
      <c r="W124" s="599"/>
      <c r="X124" s="599"/>
      <c r="Y124" s="599"/>
      <c r="Z124" s="599"/>
      <c r="AA124" s="599"/>
    </row>
    <row r="125" spans="1:27" ht="14.4">
      <c r="A125" s="127" t="s">
        <v>170</v>
      </c>
      <c r="B125" s="127" t="str">
        <f t="shared" si="4"/>
        <v>100-14-141</v>
      </c>
      <c r="C125" s="127" t="str">
        <f t="shared" si="5"/>
        <v>50650</v>
      </c>
      <c r="D125" s="570" t="s">
        <v>677</v>
      </c>
      <c r="E125" s="396" t="s">
        <v>323</v>
      </c>
      <c r="F125" s="573">
        <v>31767</v>
      </c>
      <c r="G125" s="573">
        <v>31767</v>
      </c>
      <c r="H125" s="574">
        <v>2377.48</v>
      </c>
      <c r="I125" s="573">
        <v>28606.63</v>
      </c>
      <c r="J125" s="574">
        <v>3160.37</v>
      </c>
      <c r="K125" s="575">
        <v>9.9499999999999993</v>
      </c>
      <c r="L125" s="588"/>
      <c r="M125" s="589"/>
      <c r="N125" s="567"/>
      <c r="P125" s="599"/>
      <c r="Q125" s="600"/>
      <c r="R125" s="599"/>
      <c r="S125" s="599"/>
      <c r="T125" s="599"/>
      <c r="U125" s="601"/>
      <c r="V125" s="599"/>
      <c r="W125" s="599"/>
      <c r="X125" s="599"/>
      <c r="Y125" s="599"/>
      <c r="Z125" s="599"/>
      <c r="AA125" s="599"/>
    </row>
    <row r="126" spans="1:27" ht="14.4">
      <c r="A126" s="127" t="s">
        <v>170</v>
      </c>
      <c r="B126" s="127" t="str">
        <f t="shared" si="4"/>
        <v xml:space="preserve">Category: </v>
      </c>
      <c r="C126" s="127" t="str">
        <f t="shared" si="5"/>
        <v>0 - P</v>
      </c>
      <c r="D126" s="569" t="s">
        <v>1123</v>
      </c>
      <c r="E126" s="569"/>
      <c r="F126" s="576">
        <v>280571</v>
      </c>
      <c r="G126" s="576">
        <v>280571</v>
      </c>
      <c r="H126" s="577">
        <v>20129.509999999998</v>
      </c>
      <c r="I126" s="576">
        <v>246980.64</v>
      </c>
      <c r="J126" s="577">
        <v>33590.36</v>
      </c>
      <c r="K126" s="578">
        <v>0.11972142523639299</v>
      </c>
      <c r="L126" s="590"/>
      <c r="M126" s="591"/>
      <c r="N126" s="567"/>
      <c r="P126" s="599"/>
      <c r="Q126" s="600"/>
      <c r="R126" s="599"/>
      <c r="S126" s="599"/>
      <c r="T126" s="599"/>
      <c r="U126" s="601"/>
      <c r="V126" s="599"/>
      <c r="W126" s="599"/>
      <c r="X126" s="599"/>
      <c r="Y126" s="599"/>
      <c r="Z126" s="599"/>
      <c r="AA126" s="599"/>
    </row>
    <row r="127" spans="1:27">
      <c r="A127" s="127" t="s">
        <v>170</v>
      </c>
      <c r="B127" s="127" t="str">
        <f t="shared" si="4"/>
        <v/>
      </c>
      <c r="C127" s="127" t="str">
        <f t="shared" si="5"/>
        <v/>
      </c>
      <c r="F127" s="398"/>
      <c r="G127" s="398"/>
      <c r="H127" s="398"/>
      <c r="I127" s="398"/>
      <c r="J127" s="398"/>
      <c r="K127" s="398"/>
      <c r="L127"/>
      <c r="N127" s="567"/>
      <c r="P127" s="599"/>
      <c r="Q127" s="600"/>
      <c r="R127" s="599"/>
      <c r="S127" s="599"/>
      <c r="T127" s="599"/>
      <c r="U127" s="601"/>
      <c r="V127" s="599"/>
      <c r="W127" s="599"/>
      <c r="X127" s="599"/>
      <c r="Y127" s="599"/>
      <c r="Z127" s="599"/>
      <c r="AA127" s="599"/>
    </row>
    <row r="128" spans="1:27" ht="14.4">
      <c r="A128" s="127" t="s">
        <v>170</v>
      </c>
      <c r="B128" s="127" t="str">
        <f t="shared" si="4"/>
        <v xml:space="preserve">Division: </v>
      </c>
      <c r="C128" s="127" t="str">
        <f t="shared" si="5"/>
        <v xml:space="preserve">41 - </v>
      </c>
      <c r="D128" s="569" t="s">
        <v>1134</v>
      </c>
      <c r="E128" s="569"/>
      <c r="F128" s="576">
        <v>280571</v>
      </c>
      <c r="G128" s="576">
        <v>280571</v>
      </c>
      <c r="H128" s="577">
        <v>20129.509999999998</v>
      </c>
      <c r="I128" s="576">
        <v>246980.64</v>
      </c>
      <c r="J128" s="577">
        <v>33590.36</v>
      </c>
      <c r="K128" s="578">
        <v>0.11972142523639299</v>
      </c>
      <c r="L128" s="590"/>
      <c r="M128" s="591"/>
      <c r="N128" s="567"/>
      <c r="P128" s="599"/>
      <c r="Q128" s="600"/>
      <c r="R128" s="599"/>
      <c r="S128" s="599"/>
      <c r="T128" s="599"/>
      <c r="U128" s="601"/>
      <c r="V128" s="599"/>
      <c r="W128" s="599"/>
      <c r="X128" s="599"/>
      <c r="Y128" s="599"/>
      <c r="Z128" s="599"/>
      <c r="AA128" s="599"/>
    </row>
    <row r="129" spans="1:27">
      <c r="A129" s="127" t="s">
        <v>170</v>
      </c>
      <c r="B129" s="127" t="str">
        <f t="shared" si="4"/>
        <v/>
      </c>
      <c r="C129" s="127" t="str">
        <f t="shared" si="5"/>
        <v/>
      </c>
      <c r="F129" s="398"/>
      <c r="G129" s="398"/>
      <c r="H129" s="398"/>
      <c r="I129" s="398"/>
      <c r="J129" s="398"/>
      <c r="K129" s="398"/>
      <c r="L129"/>
      <c r="N129" s="567"/>
      <c r="P129" s="599"/>
      <c r="Q129" s="600"/>
      <c r="R129" s="599"/>
      <c r="S129" s="599"/>
      <c r="T129" s="599"/>
      <c r="U129" s="601"/>
      <c r="V129" s="599"/>
      <c r="W129" s="599"/>
      <c r="X129" s="599"/>
      <c r="Y129" s="599"/>
      <c r="Z129" s="599"/>
      <c r="AA129" s="599"/>
    </row>
    <row r="130" spans="1:27" ht="14.4">
      <c r="A130" s="127" t="s">
        <v>170</v>
      </c>
      <c r="B130" s="127" t="str">
        <f t="shared" si="4"/>
        <v>Department</v>
      </c>
      <c r="C130" s="127" t="str">
        <f t="shared" si="5"/>
        <v xml:space="preserve"> 14 -</v>
      </c>
      <c r="D130" s="569" t="s">
        <v>1135</v>
      </c>
      <c r="E130" s="569"/>
      <c r="F130" s="576">
        <v>280571</v>
      </c>
      <c r="G130" s="576">
        <v>280571</v>
      </c>
      <c r="H130" s="577">
        <v>20129.509999999998</v>
      </c>
      <c r="I130" s="576">
        <v>246980.64</v>
      </c>
      <c r="J130" s="577">
        <v>33590.36</v>
      </c>
      <c r="K130" s="578">
        <v>0.11972142523639299</v>
      </c>
      <c r="L130" s="590"/>
      <c r="M130" s="591"/>
      <c r="N130" s="567"/>
      <c r="P130" s="599"/>
      <c r="Q130" s="600"/>
      <c r="R130" s="599"/>
      <c r="S130" s="599"/>
      <c r="T130" s="599"/>
      <c r="U130" s="601"/>
      <c r="V130" s="599"/>
      <c r="W130" s="599"/>
      <c r="X130" s="599"/>
      <c r="Y130" s="599"/>
      <c r="Z130" s="599"/>
      <c r="AA130" s="599"/>
    </row>
    <row r="131" spans="1:27">
      <c r="A131" s="127" t="s">
        <v>170</v>
      </c>
      <c r="B131" s="127" t="str">
        <f t="shared" si="4"/>
        <v/>
      </c>
      <c r="C131" s="127" t="str">
        <f t="shared" si="5"/>
        <v/>
      </c>
      <c r="L131"/>
      <c r="N131" s="567"/>
      <c r="P131" s="599"/>
      <c r="Q131" s="600"/>
      <c r="R131" s="599"/>
      <c r="S131" s="599"/>
      <c r="T131" s="599"/>
      <c r="U131" s="601"/>
      <c r="V131" s="599"/>
      <c r="W131" s="599"/>
      <c r="X131" s="599"/>
      <c r="Y131" s="599"/>
      <c r="Z131" s="599"/>
      <c r="AA131" s="599"/>
    </row>
    <row r="132" spans="1:27">
      <c r="A132" s="127" t="s">
        <v>170</v>
      </c>
      <c r="B132" s="127" t="str">
        <f t="shared" si="4"/>
        <v/>
      </c>
      <c r="C132" s="127" t="str">
        <f t="shared" si="5"/>
        <v/>
      </c>
      <c r="E132" s="569"/>
      <c r="F132" s="569"/>
      <c r="G132" s="569"/>
      <c r="H132" s="569"/>
      <c r="I132" s="569"/>
      <c r="J132" s="569"/>
      <c r="K132" s="569"/>
      <c r="L132" s="587"/>
      <c r="M132" s="587"/>
      <c r="N132" s="567"/>
      <c r="P132" s="599"/>
      <c r="Q132" s="600"/>
      <c r="R132" s="599"/>
      <c r="S132" s="599"/>
      <c r="T132" s="599"/>
      <c r="U132" s="601"/>
      <c r="V132" s="599"/>
      <c r="W132" s="599"/>
      <c r="X132" s="599"/>
      <c r="Y132" s="599"/>
      <c r="Z132" s="599"/>
      <c r="AA132" s="599"/>
    </row>
    <row r="133" spans="1:27">
      <c r="A133" s="127" t="s">
        <v>170</v>
      </c>
      <c r="B133" s="127" t="str">
        <f t="shared" ref="B133:B196" si="6">LEFT(D133,10)</f>
        <v/>
      </c>
      <c r="C133" s="127" t="str">
        <f t="shared" ref="C133:C196" si="7">MID(D133,12,5)</f>
        <v/>
      </c>
      <c r="E133" s="569"/>
      <c r="F133" s="569"/>
      <c r="G133" s="569"/>
      <c r="H133" s="569"/>
      <c r="I133" s="569"/>
      <c r="J133" s="569"/>
      <c r="K133" s="569"/>
      <c r="L133" s="587"/>
      <c r="M133" s="587"/>
      <c r="N133" s="567"/>
      <c r="P133" s="599"/>
      <c r="Q133" s="600"/>
      <c r="R133" s="599"/>
      <c r="S133" s="599"/>
      <c r="T133" s="599"/>
      <c r="U133" s="601"/>
      <c r="V133" s="599"/>
      <c r="W133" s="599"/>
      <c r="X133" s="599"/>
      <c r="Y133" s="599"/>
      <c r="Z133" s="599"/>
      <c r="AA133" s="599"/>
    </row>
    <row r="134" spans="1:27">
      <c r="A134" s="127" t="s">
        <v>170</v>
      </c>
      <c r="B134" s="127" t="str">
        <f t="shared" si="6"/>
        <v/>
      </c>
      <c r="C134" s="127" t="str">
        <f t="shared" si="7"/>
        <v/>
      </c>
      <c r="E134" s="569"/>
      <c r="F134" s="569"/>
      <c r="G134" s="569"/>
      <c r="H134" s="569"/>
      <c r="I134" s="569"/>
      <c r="J134" s="569"/>
      <c r="K134" s="569"/>
      <c r="L134" s="587"/>
      <c r="M134" s="587"/>
      <c r="N134" s="567"/>
      <c r="P134" s="599"/>
      <c r="Q134" s="600"/>
      <c r="R134" s="599"/>
      <c r="S134" s="599"/>
      <c r="T134" s="599"/>
      <c r="U134" s="601"/>
      <c r="V134" s="599"/>
      <c r="W134" s="599"/>
      <c r="X134" s="599"/>
      <c r="Y134" s="599"/>
      <c r="Z134" s="599"/>
      <c r="AA134" s="599"/>
    </row>
    <row r="135" spans="1:27" ht="14.4">
      <c r="A135" s="127" t="s">
        <v>170</v>
      </c>
      <c r="B135" s="127" t="str">
        <f t="shared" si="6"/>
        <v>100-17-171</v>
      </c>
      <c r="C135" s="127" t="str">
        <f t="shared" si="7"/>
        <v>50101</v>
      </c>
      <c r="D135" s="570" t="s">
        <v>532</v>
      </c>
      <c r="E135" s="396" t="s">
        <v>316</v>
      </c>
      <c r="F135" s="414">
        <v>307483</v>
      </c>
      <c r="G135" s="414">
        <v>307483</v>
      </c>
      <c r="H135" s="571">
        <v>23655.040000000001</v>
      </c>
      <c r="I135" s="414">
        <v>294741.8</v>
      </c>
      <c r="J135" s="571">
        <v>12741.2</v>
      </c>
      <c r="K135" s="572">
        <v>4.1399999999999997</v>
      </c>
      <c r="L135" s="588"/>
      <c r="M135" s="589"/>
      <c r="N135" s="567"/>
      <c r="P135" s="599"/>
      <c r="Q135" s="600"/>
      <c r="R135" s="599"/>
      <c r="S135" s="599"/>
      <c r="T135" s="599"/>
      <c r="U135" s="601"/>
      <c r="V135" s="599"/>
      <c r="W135" s="599"/>
      <c r="X135" s="599"/>
      <c r="Y135" s="599"/>
      <c r="Z135" s="599"/>
      <c r="AA135" s="599"/>
    </row>
    <row r="136" spans="1:27" ht="14.4">
      <c r="A136" s="127" t="s">
        <v>170</v>
      </c>
      <c r="B136" s="127" t="str">
        <f t="shared" si="6"/>
        <v>100-17-171</v>
      </c>
      <c r="C136" s="127" t="str">
        <f t="shared" si="7"/>
        <v>50102</v>
      </c>
      <c r="D136" s="570" t="s">
        <v>2477</v>
      </c>
      <c r="E136" s="396" t="s">
        <v>317</v>
      </c>
      <c r="F136" s="414">
        <v>43203</v>
      </c>
      <c r="G136" s="414">
        <v>43203</v>
      </c>
      <c r="H136" s="571">
        <v>3227.2</v>
      </c>
      <c r="I136" s="414">
        <v>40205.919999999998</v>
      </c>
      <c r="J136" s="571">
        <v>2997.08</v>
      </c>
      <c r="K136" s="572">
        <v>6.94</v>
      </c>
      <c r="L136" s="588"/>
      <c r="M136" s="589"/>
      <c r="N136" s="567"/>
      <c r="P136" s="599"/>
      <c r="Q136" s="600"/>
      <c r="R136" s="599"/>
      <c r="S136" s="599"/>
      <c r="T136" s="599"/>
      <c r="U136" s="601"/>
      <c r="V136" s="599"/>
      <c r="W136" s="599"/>
      <c r="X136" s="599"/>
      <c r="Y136" s="599"/>
      <c r="Z136" s="599"/>
      <c r="AA136" s="599"/>
    </row>
    <row r="137" spans="1:27" ht="14.4">
      <c r="A137" s="127" t="s">
        <v>170</v>
      </c>
      <c r="B137" s="127" t="str">
        <f t="shared" si="6"/>
        <v>100-17-171</v>
      </c>
      <c r="C137" s="127" t="str">
        <f t="shared" si="7"/>
        <v>50109</v>
      </c>
      <c r="D137" s="570" t="s">
        <v>622</v>
      </c>
      <c r="E137" s="396" t="s">
        <v>12</v>
      </c>
      <c r="F137" s="414">
        <v>500</v>
      </c>
      <c r="G137" s="414">
        <v>500</v>
      </c>
      <c r="H137" s="571">
        <v>0</v>
      </c>
      <c r="I137" s="414">
        <v>0</v>
      </c>
      <c r="J137" s="571">
        <v>500</v>
      </c>
      <c r="K137" s="572">
        <v>100</v>
      </c>
      <c r="L137" s="588"/>
      <c r="M137" s="589"/>
      <c r="N137" s="567"/>
      <c r="P137" s="599"/>
      <c r="Q137" s="600"/>
      <c r="R137" s="599"/>
      <c r="S137" s="599"/>
      <c r="T137" s="599"/>
      <c r="U137" s="601"/>
      <c r="V137" s="599"/>
      <c r="W137" s="599"/>
      <c r="X137" s="599"/>
      <c r="Y137" s="599"/>
      <c r="Z137" s="599"/>
      <c r="AA137" s="599"/>
    </row>
    <row r="138" spans="1:27" ht="14.4">
      <c r="A138" s="127" t="s">
        <v>170</v>
      </c>
      <c r="B138" s="127" t="str">
        <f t="shared" si="6"/>
        <v>100-17-171</v>
      </c>
      <c r="C138" s="127" t="str">
        <f t="shared" si="7"/>
        <v>50111</v>
      </c>
      <c r="D138" s="570" t="s">
        <v>621</v>
      </c>
      <c r="E138" s="396" t="s">
        <v>318</v>
      </c>
      <c r="F138" s="414">
        <v>1511</v>
      </c>
      <c r="G138" s="414">
        <v>1511</v>
      </c>
      <c r="H138" s="571">
        <v>0</v>
      </c>
      <c r="I138" s="414">
        <v>1425</v>
      </c>
      <c r="J138" s="571">
        <v>86</v>
      </c>
      <c r="K138" s="572">
        <v>5.69</v>
      </c>
      <c r="L138" s="588"/>
      <c r="M138" s="589"/>
      <c r="N138" s="567"/>
      <c r="P138" s="599"/>
      <c r="Q138" s="600"/>
      <c r="R138" s="599"/>
      <c r="S138" s="599"/>
      <c r="T138" s="599"/>
      <c r="U138" s="601"/>
      <c r="V138" s="599"/>
      <c r="W138" s="599"/>
      <c r="X138" s="599"/>
      <c r="Y138" s="599"/>
      <c r="Z138" s="599"/>
      <c r="AA138" s="599"/>
    </row>
    <row r="139" spans="1:27" ht="14.4">
      <c r="A139" s="127" t="s">
        <v>170</v>
      </c>
      <c r="B139" s="127" t="str">
        <f t="shared" si="6"/>
        <v>100-17-171</v>
      </c>
      <c r="C139" s="127" t="str">
        <f t="shared" si="7"/>
        <v>50610</v>
      </c>
      <c r="D139" s="570" t="s">
        <v>830</v>
      </c>
      <c r="E139" s="396" t="s">
        <v>320</v>
      </c>
      <c r="F139" s="414">
        <v>29290</v>
      </c>
      <c r="G139" s="414">
        <v>29290</v>
      </c>
      <c r="H139" s="571">
        <v>2047.05</v>
      </c>
      <c r="I139" s="414">
        <v>26357.31</v>
      </c>
      <c r="J139" s="571">
        <v>2932.69</v>
      </c>
      <c r="K139" s="572">
        <v>10.01</v>
      </c>
      <c r="L139" s="588"/>
      <c r="M139" s="589"/>
      <c r="N139" s="567"/>
      <c r="P139" s="599"/>
      <c r="Q139" s="600"/>
      <c r="R139" s="599"/>
      <c r="S139" s="599"/>
      <c r="T139" s="599"/>
      <c r="U139" s="601"/>
      <c r="V139" s="599"/>
      <c r="W139" s="599"/>
      <c r="X139" s="599"/>
      <c r="Y139" s="599"/>
      <c r="Z139" s="599"/>
      <c r="AA139" s="599"/>
    </row>
    <row r="140" spans="1:27" ht="14.4">
      <c r="A140" s="127" t="s">
        <v>170</v>
      </c>
      <c r="B140" s="127" t="str">
        <f t="shared" si="6"/>
        <v>100-17-171</v>
      </c>
      <c r="C140" s="127" t="str">
        <f t="shared" si="7"/>
        <v>50620</v>
      </c>
      <c r="D140" s="570" t="s">
        <v>663</v>
      </c>
      <c r="E140" s="396" t="s">
        <v>321</v>
      </c>
      <c r="F140" s="414">
        <v>79672</v>
      </c>
      <c r="G140" s="414">
        <v>79672</v>
      </c>
      <c r="H140" s="571">
        <v>7165.9</v>
      </c>
      <c r="I140" s="414">
        <v>82121.210000000006</v>
      </c>
      <c r="J140" s="571">
        <v>-2449.21</v>
      </c>
      <c r="K140" s="572">
        <v>-3.07</v>
      </c>
      <c r="L140" s="588"/>
      <c r="M140" s="589"/>
      <c r="N140" s="567"/>
      <c r="P140" s="599"/>
      <c r="Q140" s="600"/>
      <c r="R140" s="599"/>
      <c r="S140" s="599"/>
      <c r="T140" s="599"/>
      <c r="U140" s="601"/>
      <c r="V140" s="599"/>
      <c r="W140" s="599"/>
      <c r="X140" s="599"/>
      <c r="Y140" s="599"/>
      <c r="Z140" s="599"/>
      <c r="AA140" s="599"/>
    </row>
    <row r="141" spans="1:27">
      <c r="A141" s="127" t="s">
        <v>170</v>
      </c>
      <c r="B141" s="127" t="str">
        <f t="shared" si="6"/>
        <v/>
      </c>
      <c r="C141" s="127" t="str">
        <f t="shared" si="7"/>
        <v/>
      </c>
      <c r="L141"/>
      <c r="N141" s="567"/>
      <c r="P141" s="599"/>
      <c r="Q141" s="600"/>
      <c r="R141" s="599"/>
      <c r="S141" s="599"/>
      <c r="T141" s="599"/>
      <c r="U141" s="601"/>
      <c r="V141" s="599"/>
      <c r="W141" s="599"/>
      <c r="X141" s="599"/>
      <c r="Y141" s="599"/>
      <c r="Z141" s="599"/>
      <c r="AA141" s="599"/>
    </row>
    <row r="142" spans="1:27" ht="14.4">
      <c r="A142" s="127" t="s">
        <v>170</v>
      </c>
      <c r="B142" s="127" t="str">
        <f t="shared" si="6"/>
        <v/>
      </c>
      <c r="C142" s="127" t="str">
        <f t="shared" si="7"/>
        <v/>
      </c>
      <c r="D142" s="579"/>
      <c r="E142" s="579"/>
      <c r="F142" s="579"/>
      <c r="G142" s="579"/>
      <c r="H142" s="579"/>
      <c r="I142" s="579"/>
      <c r="J142" s="579"/>
      <c r="K142" s="579"/>
      <c r="L142" s="592"/>
      <c r="M142" s="592"/>
      <c r="N142" s="567"/>
      <c r="P142" s="599"/>
      <c r="Q142" s="600"/>
      <c r="R142" s="599"/>
      <c r="S142" s="599"/>
      <c r="T142" s="599"/>
      <c r="U142" s="601"/>
      <c r="V142" s="599"/>
      <c r="W142" s="599"/>
      <c r="X142" s="599"/>
      <c r="Y142" s="599"/>
      <c r="Z142" s="599"/>
      <c r="AA142" s="599"/>
    </row>
    <row r="143" spans="1:27" ht="16.2" thickBot="1">
      <c r="A143" s="127" t="s">
        <v>170</v>
      </c>
      <c r="B143" s="127" t="str">
        <f t="shared" si="6"/>
        <v xml:space="preserve">9/25/2024 </v>
      </c>
      <c r="C143" s="127" t="str">
        <f t="shared" si="7"/>
        <v>:13:1</v>
      </c>
      <c r="D143" s="439" t="s">
        <v>2991</v>
      </c>
      <c r="E143" s="439"/>
      <c r="F143" s="440"/>
      <c r="G143" s="440"/>
      <c r="H143" s="440"/>
      <c r="I143" s="440"/>
      <c r="J143" s="439"/>
      <c r="K143" s="439"/>
      <c r="L143" s="593"/>
      <c r="N143" s="567"/>
      <c r="P143" s="599"/>
      <c r="Q143" s="600"/>
      <c r="R143" s="599"/>
      <c r="S143" s="599"/>
      <c r="T143" s="599"/>
      <c r="U143" s="601"/>
      <c r="V143" s="599"/>
      <c r="W143" s="599"/>
      <c r="X143" s="599"/>
      <c r="Y143" s="599"/>
      <c r="Z143" s="599"/>
      <c r="AA143" s="599"/>
    </row>
    <row r="144" spans="1:27">
      <c r="A144" s="127" t="s">
        <v>170</v>
      </c>
      <c r="B144" s="127" t="str">
        <f t="shared" si="6"/>
        <v>Budget Rep</v>
      </c>
      <c r="C144" s="127" t="str">
        <f t="shared" si="7"/>
        <v>rt</v>
      </c>
      <c r="D144" s="441" t="s">
        <v>1122</v>
      </c>
      <c r="E144" s="441"/>
      <c r="F144" s="441"/>
      <c r="G144" s="442"/>
      <c r="H144" s="441"/>
      <c r="I144" s="441"/>
      <c r="J144" s="441"/>
      <c r="K144" s="441"/>
      <c r="L144" s="594"/>
      <c r="M144" s="594"/>
      <c r="N144" s="567"/>
      <c r="P144" s="599"/>
      <c r="Q144" s="600"/>
      <c r="R144" s="599"/>
      <c r="S144" s="599"/>
      <c r="T144" s="599"/>
      <c r="U144" s="601"/>
      <c r="V144" s="599"/>
      <c r="W144" s="599"/>
      <c r="X144" s="599"/>
      <c r="Y144" s="599"/>
      <c r="Z144" s="599"/>
      <c r="AA144" s="599"/>
    </row>
    <row r="145" spans="1:27" ht="15.75" customHeight="1">
      <c r="A145" s="127" t="s">
        <v>170</v>
      </c>
      <c r="B145" s="127" t="str">
        <f t="shared" si="6"/>
        <v/>
      </c>
      <c r="C145" s="127" t="str">
        <f t="shared" si="7"/>
        <v/>
      </c>
      <c r="L145"/>
      <c r="N145" s="567"/>
      <c r="P145" s="599"/>
      <c r="Q145" s="600"/>
      <c r="R145" s="599"/>
      <c r="S145" s="599"/>
      <c r="T145" s="599"/>
      <c r="U145" s="601"/>
      <c r="V145" s="599"/>
      <c r="W145" s="599"/>
      <c r="X145" s="599"/>
      <c r="Y145" s="599"/>
      <c r="Z145" s="599"/>
      <c r="AA145" s="599"/>
    </row>
    <row r="146" spans="1:27" ht="34.5" customHeight="1">
      <c r="A146" s="127" t="s">
        <v>170</v>
      </c>
      <c r="B146" s="127" t="str">
        <f t="shared" si="6"/>
        <v/>
      </c>
      <c r="C146" s="127" t="str">
        <f t="shared" si="7"/>
        <v/>
      </c>
      <c r="J146" s="413" t="s">
        <v>1098</v>
      </c>
      <c r="L146"/>
      <c r="N146" s="567"/>
      <c r="P146" s="599"/>
      <c r="Q146" s="600"/>
      <c r="R146" s="599"/>
      <c r="S146" s="599"/>
      <c r="T146" s="599"/>
      <c r="U146" s="601"/>
      <c r="V146" s="599"/>
      <c r="W146" s="599"/>
      <c r="X146" s="599"/>
      <c r="Y146" s="599"/>
      <c r="Z146" s="599"/>
      <c r="AA146" s="599"/>
    </row>
    <row r="147" spans="1:27" ht="21.6">
      <c r="A147" s="127" t="s">
        <v>170</v>
      </c>
      <c r="B147" s="127" t="str">
        <f t="shared" si="6"/>
        <v/>
      </c>
      <c r="C147" s="127" t="str">
        <f t="shared" si="7"/>
        <v/>
      </c>
      <c r="F147" s="413" t="s">
        <v>1099</v>
      </c>
      <c r="G147" s="413" t="s">
        <v>1100</v>
      </c>
      <c r="H147" s="568" t="s">
        <v>1101</v>
      </c>
      <c r="I147" s="413" t="s">
        <v>1102</v>
      </c>
      <c r="J147" s="413"/>
      <c r="K147" s="568" t="s">
        <v>1103</v>
      </c>
      <c r="L147" s="586"/>
      <c r="M147" s="540"/>
      <c r="N147" s="567"/>
      <c r="P147" s="599"/>
      <c r="Q147" s="600"/>
      <c r="R147" s="599"/>
      <c r="S147" s="599"/>
      <c r="T147" s="599"/>
      <c r="U147" s="601"/>
      <c r="V147" s="599"/>
      <c r="W147" s="599"/>
      <c r="X147" s="599"/>
      <c r="Y147" s="599"/>
      <c r="Z147" s="599"/>
      <c r="AA147" s="599"/>
    </row>
    <row r="148" spans="1:27">
      <c r="A148" s="127" t="s">
        <v>170</v>
      </c>
      <c r="B148" s="127" t="str">
        <f t="shared" si="6"/>
        <v/>
      </c>
      <c r="C148" s="127" t="str">
        <f t="shared" si="7"/>
        <v/>
      </c>
      <c r="L148"/>
      <c r="N148" s="567"/>
      <c r="P148" s="599"/>
      <c r="Q148" s="600"/>
      <c r="R148" s="599"/>
      <c r="S148" s="599"/>
      <c r="T148" s="599"/>
      <c r="U148" s="601"/>
      <c r="V148" s="599"/>
      <c r="W148" s="599"/>
      <c r="X148" s="599"/>
      <c r="Y148" s="599"/>
      <c r="Z148" s="599"/>
      <c r="AA148" s="599"/>
    </row>
    <row r="149" spans="1:27" ht="14.4">
      <c r="A149" s="127" t="s">
        <v>170</v>
      </c>
      <c r="B149" s="127" t="str">
        <f t="shared" si="6"/>
        <v>100-17-171</v>
      </c>
      <c r="C149" s="127" t="str">
        <f t="shared" si="7"/>
        <v>50630</v>
      </c>
      <c r="D149" s="570" t="s">
        <v>831</v>
      </c>
      <c r="E149" s="396" t="s">
        <v>322</v>
      </c>
      <c r="F149" s="414">
        <v>548</v>
      </c>
      <c r="G149" s="414">
        <v>548</v>
      </c>
      <c r="H149" s="571">
        <v>0</v>
      </c>
      <c r="I149" s="414">
        <v>547.54999999999995</v>
      </c>
      <c r="J149" s="571">
        <v>0.45</v>
      </c>
      <c r="K149" s="572">
        <v>0.08</v>
      </c>
      <c r="L149" s="588"/>
      <c r="M149" s="589"/>
      <c r="N149" s="567"/>
      <c r="P149" s="599"/>
      <c r="Q149" s="600"/>
      <c r="R149" s="599"/>
      <c r="S149" s="599"/>
      <c r="T149" s="599"/>
      <c r="U149" s="601"/>
      <c r="V149" s="599"/>
      <c r="W149" s="599"/>
      <c r="X149" s="599"/>
      <c r="Y149" s="599"/>
      <c r="Z149" s="599"/>
      <c r="AA149" s="599"/>
    </row>
    <row r="150" spans="1:27" ht="14.4">
      <c r="A150" s="127" t="s">
        <v>170</v>
      </c>
      <c r="B150" s="127" t="str">
        <f t="shared" si="6"/>
        <v>100-17-171</v>
      </c>
      <c r="C150" s="127" t="str">
        <f t="shared" si="7"/>
        <v>50650</v>
      </c>
      <c r="D150" s="570" t="s">
        <v>694</v>
      </c>
      <c r="E150" s="396" t="s">
        <v>323</v>
      </c>
      <c r="F150" s="573">
        <v>58741</v>
      </c>
      <c r="G150" s="573">
        <v>58741</v>
      </c>
      <c r="H150" s="574">
        <v>4517.12</v>
      </c>
      <c r="I150" s="573">
        <v>56089.25</v>
      </c>
      <c r="J150" s="574">
        <v>2651.75</v>
      </c>
      <c r="K150" s="575">
        <v>4.51</v>
      </c>
      <c r="L150" s="588"/>
      <c r="M150" s="589"/>
      <c r="N150" s="567"/>
      <c r="P150" s="599"/>
      <c r="Q150" s="600"/>
      <c r="R150" s="599"/>
      <c r="S150" s="599"/>
      <c r="T150" s="599"/>
      <c r="U150" s="601"/>
      <c r="V150" s="599"/>
      <c r="W150" s="599"/>
      <c r="X150" s="599"/>
      <c r="Y150" s="599"/>
      <c r="Z150" s="599"/>
      <c r="AA150" s="599"/>
    </row>
    <row r="151" spans="1:27" ht="14.4">
      <c r="A151" s="127" t="s">
        <v>170</v>
      </c>
      <c r="B151" s="127" t="str">
        <f t="shared" si="6"/>
        <v xml:space="preserve">Category: </v>
      </c>
      <c r="C151" s="127" t="str">
        <f t="shared" si="7"/>
        <v>0 - P</v>
      </c>
      <c r="D151" s="569" t="s">
        <v>1123</v>
      </c>
      <c r="E151" s="569"/>
      <c r="F151" s="576">
        <v>520948</v>
      </c>
      <c r="G151" s="576">
        <v>520948</v>
      </c>
      <c r="H151" s="577">
        <v>40612.31</v>
      </c>
      <c r="I151" s="576">
        <v>501488.04</v>
      </c>
      <c r="J151" s="577">
        <v>19459.96</v>
      </c>
      <c r="K151" s="578">
        <v>3.73548991454042E-2</v>
      </c>
      <c r="L151" s="590"/>
      <c r="M151" s="591"/>
      <c r="N151" s="567"/>
      <c r="P151" s="599"/>
      <c r="Q151" s="600"/>
      <c r="R151" s="599"/>
      <c r="S151" s="599"/>
      <c r="T151" s="599"/>
      <c r="U151" s="601"/>
      <c r="V151" s="599"/>
      <c r="W151" s="599"/>
      <c r="X151" s="599"/>
      <c r="Y151" s="599"/>
      <c r="Z151" s="599"/>
      <c r="AA151" s="599"/>
    </row>
    <row r="152" spans="1:27">
      <c r="A152" s="127" t="s">
        <v>170</v>
      </c>
      <c r="B152" s="127" t="str">
        <f t="shared" si="6"/>
        <v/>
      </c>
      <c r="C152" s="127" t="str">
        <f t="shared" si="7"/>
        <v/>
      </c>
      <c r="F152" s="398"/>
      <c r="G152" s="398"/>
      <c r="H152" s="398"/>
      <c r="I152" s="398"/>
      <c r="J152" s="398"/>
      <c r="K152" s="398"/>
      <c r="L152"/>
      <c r="N152" s="567"/>
      <c r="P152" s="599"/>
      <c r="Q152" s="600"/>
      <c r="R152" s="599"/>
      <c r="S152" s="599"/>
      <c r="T152" s="599"/>
      <c r="U152" s="601"/>
      <c r="V152" s="599"/>
      <c r="W152" s="599"/>
      <c r="X152" s="599"/>
      <c r="Y152" s="599"/>
      <c r="Z152" s="599"/>
      <c r="AA152" s="599"/>
    </row>
    <row r="153" spans="1:27" ht="14.4">
      <c r="A153" s="127" t="s">
        <v>170</v>
      </c>
      <c r="B153" s="127" t="str">
        <f t="shared" si="6"/>
        <v xml:space="preserve">Division: </v>
      </c>
      <c r="C153" s="127" t="str">
        <f t="shared" si="7"/>
        <v xml:space="preserve">71 - </v>
      </c>
      <c r="D153" s="569" t="s">
        <v>1136</v>
      </c>
      <c r="E153" s="569"/>
      <c r="F153" s="576">
        <v>520948</v>
      </c>
      <c r="G153" s="576">
        <v>520948</v>
      </c>
      <c r="H153" s="577">
        <v>40612.31</v>
      </c>
      <c r="I153" s="576">
        <v>501488.04</v>
      </c>
      <c r="J153" s="577">
        <v>19459.96</v>
      </c>
      <c r="K153" s="578">
        <v>3.73548991454042E-2</v>
      </c>
      <c r="L153" s="590"/>
      <c r="M153" s="591"/>
      <c r="N153" s="567"/>
      <c r="P153" s="599"/>
      <c r="Q153" s="600"/>
      <c r="R153" s="599"/>
      <c r="S153" s="599"/>
      <c r="T153" s="599"/>
      <c r="U153" s="601"/>
      <c r="V153" s="599"/>
      <c r="W153" s="599"/>
      <c r="X153" s="599"/>
      <c r="Y153" s="599"/>
      <c r="Z153" s="599"/>
      <c r="AA153" s="599"/>
    </row>
    <row r="154" spans="1:27">
      <c r="A154" s="127" t="s">
        <v>170</v>
      </c>
      <c r="B154" s="127" t="str">
        <f t="shared" si="6"/>
        <v/>
      </c>
      <c r="C154" s="127" t="str">
        <f t="shared" si="7"/>
        <v/>
      </c>
      <c r="F154" s="398"/>
      <c r="G154" s="398"/>
      <c r="H154" s="398"/>
      <c r="I154" s="398"/>
      <c r="J154" s="398"/>
      <c r="K154" s="398"/>
      <c r="L154"/>
      <c r="N154" s="567"/>
      <c r="P154" s="599"/>
      <c r="Q154" s="600"/>
      <c r="R154" s="599"/>
      <c r="S154" s="599"/>
      <c r="T154" s="599"/>
      <c r="U154" s="601"/>
      <c r="V154" s="599"/>
      <c r="W154" s="599"/>
      <c r="X154" s="599"/>
      <c r="Y154" s="599"/>
      <c r="Z154" s="599"/>
      <c r="AA154" s="599"/>
    </row>
    <row r="155" spans="1:27" ht="14.4">
      <c r="A155" s="127" t="s">
        <v>170</v>
      </c>
      <c r="B155" s="127" t="str">
        <f t="shared" si="6"/>
        <v>Department</v>
      </c>
      <c r="C155" s="127" t="str">
        <f t="shared" si="7"/>
        <v xml:space="preserve"> 17 -</v>
      </c>
      <c r="D155" s="569" t="s">
        <v>1137</v>
      </c>
      <c r="E155" s="569"/>
      <c r="F155" s="576">
        <v>520948</v>
      </c>
      <c r="G155" s="576">
        <v>520948</v>
      </c>
      <c r="H155" s="577">
        <v>40612.31</v>
      </c>
      <c r="I155" s="576">
        <v>501488.04</v>
      </c>
      <c r="J155" s="577">
        <v>19459.96</v>
      </c>
      <c r="K155" s="578">
        <v>3.73548991454042E-2</v>
      </c>
      <c r="L155" s="590"/>
      <c r="M155" s="591"/>
      <c r="N155" s="567"/>
      <c r="P155" s="599"/>
      <c r="Q155" s="600"/>
      <c r="R155" s="599"/>
      <c r="S155" s="599"/>
      <c r="T155" s="599"/>
      <c r="U155" s="601"/>
      <c r="V155" s="599"/>
      <c r="W155" s="599"/>
      <c r="X155" s="599"/>
      <c r="Y155" s="599"/>
      <c r="Z155" s="599"/>
      <c r="AA155" s="599"/>
    </row>
    <row r="156" spans="1:27">
      <c r="A156" s="127" t="s">
        <v>170</v>
      </c>
      <c r="B156" s="127" t="str">
        <f t="shared" si="6"/>
        <v/>
      </c>
      <c r="C156" s="127" t="str">
        <f t="shared" si="7"/>
        <v/>
      </c>
      <c r="L156"/>
      <c r="N156" s="567"/>
      <c r="P156" s="599"/>
      <c r="Q156" s="600"/>
      <c r="R156" s="599"/>
      <c r="S156" s="599"/>
      <c r="T156" s="599"/>
      <c r="U156" s="601"/>
      <c r="V156" s="599"/>
      <c r="W156" s="599"/>
      <c r="X156" s="599"/>
      <c r="Y156" s="599"/>
      <c r="Z156" s="599"/>
      <c r="AA156" s="599"/>
    </row>
    <row r="157" spans="1:27">
      <c r="A157" s="127" t="s">
        <v>170</v>
      </c>
      <c r="B157" s="127" t="str">
        <f t="shared" si="6"/>
        <v/>
      </c>
      <c r="C157" s="127" t="str">
        <f t="shared" si="7"/>
        <v/>
      </c>
      <c r="E157" s="569"/>
      <c r="F157" s="569"/>
      <c r="G157" s="569"/>
      <c r="H157" s="569"/>
      <c r="I157" s="569"/>
      <c r="J157" s="569"/>
      <c r="K157" s="569"/>
      <c r="L157" s="587"/>
      <c r="M157" s="587"/>
      <c r="N157" s="567"/>
      <c r="P157" s="599"/>
      <c r="Q157" s="600"/>
      <c r="R157" s="599"/>
      <c r="S157" s="599"/>
      <c r="T157" s="599"/>
      <c r="U157" s="601"/>
      <c r="V157" s="599"/>
      <c r="W157" s="599"/>
      <c r="X157" s="599"/>
      <c r="Y157" s="599"/>
      <c r="Z157" s="599"/>
      <c r="AA157" s="599"/>
    </row>
    <row r="158" spans="1:27">
      <c r="A158" s="127" t="s">
        <v>170</v>
      </c>
      <c r="B158" s="127" t="str">
        <f t="shared" si="6"/>
        <v/>
      </c>
      <c r="C158" s="127" t="str">
        <f t="shared" si="7"/>
        <v/>
      </c>
      <c r="E158" s="569"/>
      <c r="F158" s="569"/>
      <c r="G158" s="569"/>
      <c r="H158" s="569"/>
      <c r="I158" s="569"/>
      <c r="J158" s="569"/>
      <c r="K158" s="569"/>
      <c r="L158" s="587"/>
      <c r="M158" s="587"/>
      <c r="N158" s="567"/>
      <c r="P158" s="599"/>
      <c r="Q158" s="600"/>
      <c r="R158" s="599"/>
      <c r="S158" s="599"/>
      <c r="T158" s="599"/>
      <c r="U158" s="601"/>
      <c r="V158" s="599"/>
      <c r="W158" s="599"/>
      <c r="X158" s="599"/>
      <c r="Y158" s="599"/>
      <c r="Z158" s="599"/>
      <c r="AA158" s="599"/>
    </row>
    <row r="159" spans="1:27">
      <c r="A159" s="127" t="s">
        <v>170</v>
      </c>
      <c r="B159" s="127" t="str">
        <f t="shared" si="6"/>
        <v/>
      </c>
      <c r="C159" s="127" t="str">
        <f t="shared" si="7"/>
        <v/>
      </c>
      <c r="E159" s="569"/>
      <c r="F159" s="569"/>
      <c r="G159" s="569"/>
      <c r="H159" s="569"/>
      <c r="I159" s="569"/>
      <c r="J159" s="569"/>
      <c r="K159" s="569"/>
      <c r="L159" s="587"/>
      <c r="M159" s="587"/>
      <c r="N159" s="567"/>
      <c r="P159" s="599"/>
      <c r="Q159" s="600"/>
      <c r="R159" s="599"/>
      <c r="S159" s="599"/>
      <c r="T159" s="599"/>
      <c r="U159" s="601"/>
      <c r="V159" s="599"/>
      <c r="W159" s="599"/>
      <c r="X159" s="599"/>
      <c r="Y159" s="599"/>
      <c r="Z159" s="599"/>
      <c r="AA159" s="599"/>
    </row>
    <row r="160" spans="1:27" ht="14.4">
      <c r="A160" s="127" t="s">
        <v>170</v>
      </c>
      <c r="B160" s="127" t="str">
        <f t="shared" si="6"/>
        <v>100-20-201</v>
      </c>
      <c r="C160" s="127" t="str">
        <f t="shared" si="7"/>
        <v>50101</v>
      </c>
      <c r="D160" s="570" t="s">
        <v>587</v>
      </c>
      <c r="E160" s="396" t="s">
        <v>316</v>
      </c>
      <c r="F160" s="414">
        <v>333214</v>
      </c>
      <c r="G160" s="414">
        <v>333214</v>
      </c>
      <c r="H160" s="571">
        <v>13784.62</v>
      </c>
      <c r="I160" s="414">
        <v>222017.39</v>
      </c>
      <c r="J160" s="571">
        <v>111196.61</v>
      </c>
      <c r="K160" s="572">
        <v>33.369999999999997</v>
      </c>
      <c r="L160" s="588"/>
      <c r="M160" s="589"/>
      <c r="N160" s="567"/>
      <c r="P160" s="599"/>
      <c r="Q160" s="600"/>
      <c r="R160" s="599"/>
      <c r="S160" s="599"/>
      <c r="T160" s="599"/>
      <c r="U160" s="601"/>
      <c r="V160" s="599"/>
      <c r="W160" s="599"/>
      <c r="X160" s="599"/>
      <c r="Y160" s="599"/>
      <c r="Z160" s="599"/>
      <c r="AA160" s="599"/>
    </row>
    <row r="161" spans="1:27" ht="14.4">
      <c r="A161" s="127" t="s">
        <v>170</v>
      </c>
      <c r="B161" s="127" t="str">
        <f t="shared" si="6"/>
        <v>100-20-201</v>
      </c>
      <c r="C161" s="127" t="str">
        <f t="shared" si="7"/>
        <v>50102</v>
      </c>
      <c r="D161" s="570" t="s">
        <v>632</v>
      </c>
      <c r="E161" s="396" t="s">
        <v>317</v>
      </c>
      <c r="F161" s="414">
        <v>43203</v>
      </c>
      <c r="G161" s="414">
        <v>43203</v>
      </c>
      <c r="H161" s="571">
        <v>3225.6</v>
      </c>
      <c r="I161" s="414">
        <v>36267.839999999997</v>
      </c>
      <c r="J161" s="571">
        <v>6935.16</v>
      </c>
      <c r="K161" s="572">
        <v>16.05</v>
      </c>
      <c r="L161" s="588"/>
      <c r="M161" s="589"/>
      <c r="N161" s="567"/>
      <c r="P161" s="599"/>
      <c r="Q161" s="600"/>
      <c r="R161" s="599"/>
      <c r="S161" s="599"/>
      <c r="T161" s="599"/>
      <c r="U161" s="601"/>
      <c r="V161" s="599"/>
      <c r="W161" s="599"/>
      <c r="X161" s="599"/>
      <c r="Y161" s="599"/>
      <c r="Z161" s="599"/>
      <c r="AA161" s="599"/>
    </row>
    <row r="162" spans="1:27" ht="14.4">
      <c r="A162" s="127" t="s">
        <v>170</v>
      </c>
      <c r="B162" s="127" t="str">
        <f t="shared" si="6"/>
        <v>100-20-201</v>
      </c>
      <c r="C162" s="127" t="str">
        <f t="shared" si="7"/>
        <v>50109</v>
      </c>
      <c r="D162" s="570" t="s">
        <v>633</v>
      </c>
      <c r="E162" s="396" t="s">
        <v>12</v>
      </c>
      <c r="F162" s="414">
        <v>0</v>
      </c>
      <c r="G162" s="414">
        <v>0</v>
      </c>
      <c r="H162" s="571">
        <v>0</v>
      </c>
      <c r="I162" s="414">
        <v>181.44</v>
      </c>
      <c r="J162" s="571">
        <v>-181.44</v>
      </c>
      <c r="K162" s="572">
        <v>0</v>
      </c>
      <c r="L162" s="588"/>
      <c r="M162" s="589"/>
      <c r="N162" s="567"/>
      <c r="P162" s="599"/>
      <c r="Q162" s="600"/>
      <c r="R162" s="599"/>
      <c r="S162" s="599"/>
      <c r="T162" s="599"/>
      <c r="U162" s="601"/>
      <c r="V162" s="599"/>
      <c r="W162" s="599"/>
      <c r="X162" s="599"/>
      <c r="Y162" s="599"/>
      <c r="Z162" s="599"/>
      <c r="AA162" s="599"/>
    </row>
    <row r="163" spans="1:27" ht="14.4">
      <c r="A163" s="127" t="s">
        <v>170</v>
      </c>
      <c r="B163" s="127" t="str">
        <f t="shared" si="6"/>
        <v>100-20-201</v>
      </c>
      <c r="C163" s="127" t="str">
        <f t="shared" si="7"/>
        <v>50111</v>
      </c>
      <c r="D163" s="570" t="s">
        <v>634</v>
      </c>
      <c r="E163" s="396" t="s">
        <v>318</v>
      </c>
      <c r="F163" s="414">
        <v>740</v>
      </c>
      <c r="G163" s="414">
        <v>740</v>
      </c>
      <c r="H163" s="571">
        <v>0</v>
      </c>
      <c r="I163" s="414">
        <v>660</v>
      </c>
      <c r="J163" s="571">
        <v>80</v>
      </c>
      <c r="K163" s="572">
        <v>10.81</v>
      </c>
      <c r="L163" s="588"/>
      <c r="M163" s="589"/>
      <c r="N163" s="567"/>
      <c r="P163" s="599"/>
      <c r="Q163" s="600"/>
      <c r="R163" s="599"/>
      <c r="S163" s="599"/>
      <c r="T163" s="599"/>
      <c r="U163" s="601"/>
      <c r="V163" s="599"/>
      <c r="W163" s="599"/>
      <c r="X163" s="599"/>
      <c r="Y163" s="599"/>
      <c r="Z163" s="599"/>
      <c r="AA163" s="599"/>
    </row>
    <row r="164" spans="1:27" ht="14.4">
      <c r="A164" s="127" t="s">
        <v>170</v>
      </c>
      <c r="B164" s="127" t="str">
        <f t="shared" si="6"/>
        <v>100-20-201</v>
      </c>
      <c r="C164" s="127" t="str">
        <f t="shared" si="7"/>
        <v>50120</v>
      </c>
      <c r="D164" s="570" t="s">
        <v>659</v>
      </c>
      <c r="E164" s="396" t="s">
        <v>319</v>
      </c>
      <c r="F164" s="414">
        <v>4800</v>
      </c>
      <c r="G164" s="414">
        <v>4800</v>
      </c>
      <c r="H164" s="571">
        <v>400</v>
      </c>
      <c r="I164" s="414">
        <v>4584</v>
      </c>
      <c r="J164" s="571">
        <v>216</v>
      </c>
      <c r="K164" s="572">
        <v>4.5</v>
      </c>
      <c r="L164" s="588"/>
      <c r="M164" s="589"/>
      <c r="N164" s="567"/>
      <c r="P164" s="599"/>
      <c r="Q164" s="600"/>
      <c r="R164" s="599"/>
      <c r="S164" s="599"/>
      <c r="T164" s="599"/>
      <c r="U164" s="601"/>
      <c r="V164" s="599"/>
      <c r="W164" s="599"/>
      <c r="X164" s="599"/>
      <c r="Y164" s="599"/>
      <c r="Z164" s="599"/>
      <c r="AA164" s="599"/>
    </row>
    <row r="165" spans="1:27" ht="14.4">
      <c r="A165" s="127" t="s">
        <v>170</v>
      </c>
      <c r="B165" s="127" t="str">
        <f t="shared" si="6"/>
        <v>100-20-201</v>
      </c>
      <c r="C165" s="127" t="str">
        <f t="shared" si="7"/>
        <v>50610</v>
      </c>
      <c r="D165" s="570" t="s">
        <v>832</v>
      </c>
      <c r="E165" s="396" t="s">
        <v>320</v>
      </c>
      <c r="F165" s="414">
        <v>29340</v>
      </c>
      <c r="G165" s="414">
        <v>29340</v>
      </c>
      <c r="H165" s="571">
        <v>1292.4000000000001</v>
      </c>
      <c r="I165" s="414">
        <v>19689.759999999998</v>
      </c>
      <c r="J165" s="571">
        <v>9650.24</v>
      </c>
      <c r="K165" s="572">
        <v>32.89</v>
      </c>
      <c r="L165" s="588"/>
      <c r="M165" s="589"/>
      <c r="N165" s="567"/>
      <c r="P165" s="599"/>
      <c r="Q165" s="600"/>
      <c r="R165" s="599"/>
      <c r="S165" s="599"/>
      <c r="T165" s="599"/>
      <c r="U165" s="601"/>
      <c r="V165" s="599"/>
      <c r="W165" s="599"/>
      <c r="X165" s="599"/>
      <c r="Y165" s="599"/>
      <c r="Z165" s="599"/>
      <c r="AA165" s="599"/>
    </row>
    <row r="166" spans="1:27" ht="14.4">
      <c r="A166" s="127" t="s">
        <v>170</v>
      </c>
      <c r="B166" s="127" t="str">
        <f t="shared" si="6"/>
        <v>100-20-201</v>
      </c>
      <c r="C166" s="127" t="str">
        <f t="shared" si="7"/>
        <v>50620</v>
      </c>
      <c r="D166" s="570" t="s">
        <v>717</v>
      </c>
      <c r="E166" s="396" t="s">
        <v>321</v>
      </c>
      <c r="F166" s="414">
        <v>57301</v>
      </c>
      <c r="G166" s="414">
        <v>57301</v>
      </c>
      <c r="H166" s="571">
        <v>2362.06</v>
      </c>
      <c r="I166" s="414">
        <v>35141.199999999997</v>
      </c>
      <c r="J166" s="571">
        <v>22159.8</v>
      </c>
      <c r="K166" s="572">
        <v>38.67</v>
      </c>
      <c r="L166" s="588"/>
      <c r="M166" s="589"/>
      <c r="N166" s="567"/>
      <c r="P166" s="599"/>
      <c r="Q166" s="600"/>
      <c r="R166" s="599"/>
      <c r="S166" s="599"/>
      <c r="T166" s="599"/>
      <c r="U166" s="601"/>
      <c r="V166" s="599"/>
      <c r="W166" s="599"/>
      <c r="X166" s="599"/>
      <c r="Y166" s="599"/>
      <c r="Z166" s="599"/>
      <c r="AA166" s="599"/>
    </row>
    <row r="167" spans="1:27" ht="14.4">
      <c r="A167" s="127" t="s">
        <v>170</v>
      </c>
      <c r="B167" s="127" t="str">
        <f t="shared" si="6"/>
        <v>100-20-201</v>
      </c>
      <c r="C167" s="127" t="str">
        <f t="shared" si="7"/>
        <v>50630</v>
      </c>
      <c r="D167" s="570" t="s">
        <v>833</v>
      </c>
      <c r="E167" s="396" t="s">
        <v>322</v>
      </c>
      <c r="F167" s="414">
        <v>547</v>
      </c>
      <c r="G167" s="414">
        <v>547</v>
      </c>
      <c r="H167" s="571">
        <v>0</v>
      </c>
      <c r="I167" s="414">
        <v>546.54999999999995</v>
      </c>
      <c r="J167" s="571">
        <v>0.45</v>
      </c>
      <c r="K167" s="572">
        <v>0.08</v>
      </c>
      <c r="L167" s="588"/>
      <c r="M167" s="589"/>
      <c r="N167" s="567"/>
      <c r="P167" s="599"/>
      <c r="Q167" s="600"/>
      <c r="R167" s="599"/>
      <c r="S167" s="599"/>
      <c r="T167" s="599"/>
      <c r="U167" s="601"/>
      <c r="V167" s="599"/>
      <c r="W167" s="599"/>
      <c r="X167" s="599"/>
      <c r="Y167" s="599"/>
      <c r="Z167" s="599"/>
      <c r="AA167" s="599"/>
    </row>
    <row r="168" spans="1:27" ht="14.4">
      <c r="A168" s="127" t="s">
        <v>170</v>
      </c>
      <c r="B168" s="127" t="str">
        <f t="shared" si="6"/>
        <v>100-20-201</v>
      </c>
      <c r="C168" s="127" t="str">
        <f t="shared" si="7"/>
        <v>50650</v>
      </c>
      <c r="D168" s="570" t="s">
        <v>742</v>
      </c>
      <c r="E168" s="396" t="s">
        <v>323</v>
      </c>
      <c r="F168" s="573">
        <v>63347</v>
      </c>
      <c r="G168" s="573">
        <v>63347</v>
      </c>
      <c r="H168" s="574">
        <v>2915.6</v>
      </c>
      <c r="I168" s="573">
        <v>43811.69</v>
      </c>
      <c r="J168" s="574">
        <v>19535.310000000001</v>
      </c>
      <c r="K168" s="575">
        <v>30.84</v>
      </c>
      <c r="L168" s="588"/>
      <c r="M168" s="589"/>
      <c r="N168" s="567"/>
      <c r="P168" s="599"/>
      <c r="Q168" s="600"/>
      <c r="R168" s="599"/>
      <c r="S168" s="599"/>
      <c r="T168" s="599"/>
      <c r="U168" s="601"/>
      <c r="V168" s="599"/>
      <c r="W168" s="599"/>
      <c r="X168" s="599"/>
      <c r="Y168" s="599"/>
      <c r="Z168" s="599"/>
      <c r="AA168" s="599"/>
    </row>
    <row r="169" spans="1:27" ht="14.4">
      <c r="A169" s="127" t="s">
        <v>170</v>
      </c>
      <c r="B169" s="127" t="str">
        <f t="shared" si="6"/>
        <v xml:space="preserve">Category: </v>
      </c>
      <c r="C169" s="127" t="str">
        <f t="shared" si="7"/>
        <v>0 - P</v>
      </c>
      <c r="D169" s="569" t="s">
        <v>1123</v>
      </c>
      <c r="E169" s="569"/>
      <c r="F169" s="576">
        <v>532492</v>
      </c>
      <c r="G169" s="576">
        <v>532492</v>
      </c>
      <c r="H169" s="577">
        <v>23980.28</v>
      </c>
      <c r="I169" s="576">
        <v>362899.87</v>
      </c>
      <c r="J169" s="577">
        <v>169592.13</v>
      </c>
      <c r="K169" s="578">
        <v>0.31848765803054302</v>
      </c>
      <c r="L169" s="590"/>
      <c r="M169" s="591"/>
      <c r="N169" s="567"/>
      <c r="P169" s="599"/>
      <c r="Q169" s="600"/>
      <c r="R169" s="599"/>
      <c r="S169" s="599"/>
      <c r="T169" s="599"/>
      <c r="U169" s="601"/>
      <c r="V169" s="599"/>
      <c r="W169" s="599"/>
      <c r="X169" s="599"/>
      <c r="Y169" s="599"/>
      <c r="Z169" s="599"/>
      <c r="AA169" s="599"/>
    </row>
    <row r="170" spans="1:27">
      <c r="A170" s="127" t="s">
        <v>170</v>
      </c>
      <c r="B170" s="127" t="str">
        <f t="shared" si="6"/>
        <v/>
      </c>
      <c r="C170" s="127" t="str">
        <f t="shared" si="7"/>
        <v/>
      </c>
      <c r="F170" s="398"/>
      <c r="G170" s="398"/>
      <c r="H170" s="398"/>
      <c r="I170" s="398"/>
      <c r="J170" s="398"/>
      <c r="K170" s="398"/>
      <c r="L170"/>
      <c r="N170" s="567"/>
      <c r="P170" s="599"/>
      <c r="Q170" s="600"/>
      <c r="R170" s="599"/>
      <c r="S170" s="599"/>
      <c r="T170" s="599"/>
      <c r="U170" s="601"/>
      <c r="V170" s="599"/>
      <c r="W170" s="599"/>
      <c r="X170" s="599"/>
      <c r="Y170" s="599"/>
      <c r="Z170" s="599"/>
      <c r="AA170" s="599"/>
    </row>
    <row r="171" spans="1:27" ht="14.4">
      <c r="A171" s="127" t="s">
        <v>170</v>
      </c>
      <c r="B171" s="127" t="str">
        <f t="shared" si="6"/>
        <v xml:space="preserve">Division: </v>
      </c>
      <c r="C171" s="127" t="str">
        <f t="shared" si="7"/>
        <v xml:space="preserve">01 - </v>
      </c>
      <c r="D171" s="569" t="s">
        <v>1138</v>
      </c>
      <c r="E171" s="569"/>
      <c r="F171" s="576">
        <v>532492</v>
      </c>
      <c r="G171" s="576">
        <v>532492</v>
      </c>
      <c r="H171" s="577">
        <v>23980.28</v>
      </c>
      <c r="I171" s="576">
        <v>362899.87</v>
      </c>
      <c r="J171" s="577">
        <v>169592.13</v>
      </c>
      <c r="K171" s="578">
        <v>0.31848765803054302</v>
      </c>
      <c r="L171" s="590"/>
      <c r="M171" s="591"/>
      <c r="N171" s="567"/>
      <c r="P171" s="599"/>
      <c r="Q171" s="600"/>
      <c r="R171" s="599"/>
      <c r="S171" s="599"/>
      <c r="T171" s="599"/>
      <c r="U171" s="601"/>
      <c r="V171" s="599"/>
      <c r="W171" s="599"/>
      <c r="X171" s="599"/>
      <c r="Y171" s="599"/>
      <c r="Z171" s="599"/>
      <c r="AA171" s="599"/>
    </row>
    <row r="172" spans="1:27">
      <c r="A172" s="127" t="s">
        <v>170</v>
      </c>
      <c r="B172" s="127" t="str">
        <f t="shared" si="6"/>
        <v/>
      </c>
      <c r="C172" s="127" t="str">
        <f t="shared" si="7"/>
        <v/>
      </c>
      <c r="L172"/>
      <c r="N172" s="567"/>
      <c r="P172" s="599"/>
      <c r="Q172" s="600"/>
      <c r="R172" s="599"/>
      <c r="S172" s="599"/>
      <c r="T172" s="599"/>
      <c r="U172" s="601"/>
      <c r="V172" s="599"/>
      <c r="W172" s="599"/>
      <c r="X172" s="599"/>
      <c r="Y172" s="599"/>
      <c r="Z172" s="599"/>
      <c r="AA172" s="599"/>
    </row>
    <row r="173" spans="1:27">
      <c r="A173" s="127" t="s">
        <v>170</v>
      </c>
      <c r="B173" s="127" t="str">
        <f t="shared" si="6"/>
        <v/>
      </c>
      <c r="C173" s="127" t="str">
        <f t="shared" si="7"/>
        <v/>
      </c>
      <c r="E173" s="569"/>
      <c r="F173" s="569"/>
      <c r="G173" s="569"/>
      <c r="H173" s="569"/>
      <c r="I173" s="569"/>
      <c r="J173" s="569"/>
      <c r="K173" s="569"/>
      <c r="L173" s="587"/>
      <c r="M173" s="587"/>
      <c r="N173" s="567"/>
      <c r="P173" s="599"/>
      <c r="Q173" s="600"/>
      <c r="R173" s="599"/>
      <c r="S173" s="599"/>
      <c r="T173" s="599"/>
      <c r="U173" s="601"/>
      <c r="V173" s="599"/>
      <c r="W173" s="599"/>
      <c r="X173" s="599"/>
      <c r="Y173" s="599"/>
      <c r="Z173" s="599"/>
      <c r="AA173" s="599"/>
    </row>
    <row r="174" spans="1:27">
      <c r="A174" s="127" t="s">
        <v>170</v>
      </c>
      <c r="B174" s="127" t="str">
        <f t="shared" si="6"/>
        <v/>
      </c>
      <c r="C174" s="127" t="str">
        <f t="shared" si="7"/>
        <v/>
      </c>
      <c r="E174" s="569"/>
      <c r="F174" s="569"/>
      <c r="G174" s="569"/>
      <c r="H174" s="569"/>
      <c r="I174" s="569"/>
      <c r="J174" s="569"/>
      <c r="K174" s="569"/>
      <c r="L174" s="587"/>
      <c r="M174" s="587"/>
      <c r="N174" s="567"/>
      <c r="P174" s="599"/>
      <c r="Q174" s="600"/>
      <c r="R174" s="599"/>
      <c r="S174" s="599"/>
      <c r="T174" s="599"/>
      <c r="U174" s="601"/>
      <c r="V174" s="599"/>
      <c r="W174" s="599"/>
      <c r="X174" s="599"/>
      <c r="Y174" s="599"/>
      <c r="Z174" s="599"/>
      <c r="AA174" s="599"/>
    </row>
    <row r="175" spans="1:27" ht="14.4">
      <c r="A175" s="127" t="s">
        <v>170</v>
      </c>
      <c r="B175" s="127" t="str">
        <f t="shared" si="6"/>
        <v>100-20-204</v>
      </c>
      <c r="C175" s="127" t="str">
        <f t="shared" si="7"/>
        <v>50101</v>
      </c>
      <c r="D175" s="570" t="s">
        <v>560</v>
      </c>
      <c r="E175" s="396" t="s">
        <v>316</v>
      </c>
      <c r="F175" s="414">
        <v>59829</v>
      </c>
      <c r="G175" s="414">
        <v>59829</v>
      </c>
      <c r="H175" s="571">
        <v>4602.1000000000004</v>
      </c>
      <c r="I175" s="414">
        <v>57342.17</v>
      </c>
      <c r="J175" s="571">
        <v>2486.83</v>
      </c>
      <c r="K175" s="572">
        <v>4.16</v>
      </c>
      <c r="L175" s="588"/>
      <c r="M175" s="589"/>
      <c r="N175" s="567"/>
      <c r="P175" s="599"/>
      <c r="Q175" s="600"/>
      <c r="R175" s="599"/>
      <c r="S175" s="599"/>
      <c r="T175" s="599"/>
      <c r="U175" s="601"/>
      <c r="V175" s="599"/>
      <c r="W175" s="599"/>
      <c r="X175" s="599"/>
      <c r="Y175" s="599"/>
      <c r="Z175" s="599"/>
      <c r="AA175" s="599"/>
    </row>
    <row r="176" spans="1:27" ht="14.4">
      <c r="A176" s="127" t="s">
        <v>170</v>
      </c>
      <c r="B176" s="127" t="str">
        <f t="shared" si="6"/>
        <v>100-20-204</v>
      </c>
      <c r="C176" s="127" t="str">
        <f t="shared" si="7"/>
        <v>50102</v>
      </c>
      <c r="D176" s="570" t="s">
        <v>615</v>
      </c>
      <c r="E176" s="396" t="s">
        <v>317</v>
      </c>
      <c r="F176" s="414">
        <v>178279</v>
      </c>
      <c r="G176" s="414">
        <v>178279</v>
      </c>
      <c r="H176" s="571">
        <v>13616.62</v>
      </c>
      <c r="I176" s="414">
        <v>170817.47</v>
      </c>
      <c r="J176" s="571">
        <v>7461.53</v>
      </c>
      <c r="K176" s="572">
        <v>4.1900000000000004</v>
      </c>
      <c r="L176" s="588"/>
      <c r="M176" s="589"/>
      <c r="N176" s="567"/>
      <c r="P176" s="599"/>
      <c r="Q176" s="600"/>
      <c r="R176" s="599"/>
      <c r="S176" s="599"/>
      <c r="T176" s="599"/>
      <c r="U176" s="601"/>
      <c r="V176" s="599"/>
      <c r="W176" s="599"/>
      <c r="X176" s="599"/>
      <c r="Y176" s="599"/>
      <c r="Z176" s="599"/>
      <c r="AA176" s="599"/>
    </row>
    <row r="177" spans="1:27" ht="14.4">
      <c r="A177" s="127" t="s">
        <v>170</v>
      </c>
      <c r="B177" s="127" t="str">
        <f t="shared" si="6"/>
        <v>100-20-204</v>
      </c>
      <c r="C177" s="127" t="str">
        <f t="shared" si="7"/>
        <v>50109</v>
      </c>
      <c r="D177" s="570" t="s">
        <v>616</v>
      </c>
      <c r="E177" s="396" t="s">
        <v>12</v>
      </c>
      <c r="F177" s="414">
        <v>2782</v>
      </c>
      <c r="G177" s="414">
        <v>2782</v>
      </c>
      <c r="H177" s="571">
        <v>77.22</v>
      </c>
      <c r="I177" s="414">
        <v>1117.53</v>
      </c>
      <c r="J177" s="571">
        <v>1664.47</v>
      </c>
      <c r="K177" s="572">
        <v>59.83</v>
      </c>
      <c r="L177" s="588"/>
      <c r="M177" s="589"/>
      <c r="N177" s="567"/>
      <c r="P177" s="599"/>
      <c r="Q177" s="600"/>
      <c r="R177" s="599"/>
      <c r="S177" s="599"/>
      <c r="T177" s="599"/>
      <c r="U177" s="601"/>
      <c r="V177" s="599"/>
      <c r="W177" s="599"/>
      <c r="X177" s="599"/>
      <c r="Y177" s="599"/>
      <c r="Z177" s="599"/>
      <c r="AA177" s="599"/>
    </row>
    <row r="178" spans="1:27" ht="14.4">
      <c r="A178" s="127" t="s">
        <v>170</v>
      </c>
      <c r="B178" s="127" t="str">
        <f t="shared" si="6"/>
        <v>100-20-204</v>
      </c>
      <c r="C178" s="127" t="str">
        <f t="shared" si="7"/>
        <v>50111</v>
      </c>
      <c r="D178" s="570" t="s">
        <v>614</v>
      </c>
      <c r="E178" s="396" t="s">
        <v>318</v>
      </c>
      <c r="F178" s="414">
        <v>1068</v>
      </c>
      <c r="G178" s="414">
        <v>1068</v>
      </c>
      <c r="H178" s="571">
        <v>0</v>
      </c>
      <c r="I178" s="414">
        <v>1050</v>
      </c>
      <c r="J178" s="571">
        <v>18</v>
      </c>
      <c r="K178" s="572">
        <v>1.69</v>
      </c>
      <c r="L178" s="588"/>
      <c r="M178" s="589"/>
      <c r="N178" s="567"/>
      <c r="P178" s="599"/>
      <c r="Q178" s="600"/>
      <c r="R178" s="599"/>
      <c r="S178" s="599"/>
      <c r="T178" s="599"/>
      <c r="U178" s="601"/>
      <c r="V178" s="599"/>
      <c r="W178" s="599"/>
      <c r="X178" s="599"/>
      <c r="Y178" s="599"/>
      <c r="Z178" s="599"/>
      <c r="AA178" s="599"/>
    </row>
    <row r="179" spans="1:27" ht="14.4">
      <c r="A179" s="127" t="s">
        <v>170</v>
      </c>
      <c r="B179" s="127" t="str">
        <f t="shared" si="6"/>
        <v>100-20-204</v>
      </c>
      <c r="C179" s="127" t="str">
        <f t="shared" si="7"/>
        <v>50610</v>
      </c>
      <c r="D179" s="570" t="s">
        <v>834</v>
      </c>
      <c r="E179" s="396" t="s">
        <v>320</v>
      </c>
      <c r="F179" s="414">
        <v>18600</v>
      </c>
      <c r="G179" s="414">
        <v>18600</v>
      </c>
      <c r="H179" s="571">
        <v>1360.59</v>
      </c>
      <c r="I179" s="414">
        <v>17169.669999999998</v>
      </c>
      <c r="J179" s="571">
        <v>1430.33</v>
      </c>
      <c r="K179" s="572">
        <v>7.69</v>
      </c>
      <c r="L179" s="588"/>
      <c r="M179" s="589"/>
      <c r="N179" s="567"/>
      <c r="P179" s="599"/>
      <c r="Q179" s="600"/>
      <c r="R179" s="599"/>
      <c r="S179" s="599"/>
      <c r="T179" s="599"/>
      <c r="U179" s="601"/>
      <c r="V179" s="599"/>
      <c r="W179" s="599"/>
      <c r="X179" s="599"/>
      <c r="Y179" s="599"/>
      <c r="Z179" s="599"/>
      <c r="AA179" s="599"/>
    </row>
    <row r="180" spans="1:27" ht="14.4">
      <c r="A180" s="127" t="s">
        <v>170</v>
      </c>
      <c r="B180" s="127" t="str">
        <f t="shared" si="6"/>
        <v>100-20-204</v>
      </c>
      <c r="C180" s="127" t="str">
        <f t="shared" si="7"/>
        <v>50620</v>
      </c>
      <c r="D180" s="570" t="s">
        <v>695</v>
      </c>
      <c r="E180" s="396" t="s">
        <v>321</v>
      </c>
      <c r="F180" s="414">
        <v>62837</v>
      </c>
      <c r="G180" s="414">
        <v>62837</v>
      </c>
      <c r="H180" s="571">
        <v>4522.28</v>
      </c>
      <c r="I180" s="414">
        <v>51825.33</v>
      </c>
      <c r="J180" s="571">
        <v>11011.67</v>
      </c>
      <c r="K180" s="572">
        <v>17.52</v>
      </c>
      <c r="L180" s="588"/>
      <c r="M180" s="589"/>
      <c r="N180" s="567"/>
      <c r="P180" s="599"/>
      <c r="Q180" s="600"/>
      <c r="R180" s="599"/>
      <c r="S180" s="599"/>
      <c r="T180" s="599"/>
      <c r="U180" s="601"/>
      <c r="V180" s="599"/>
      <c r="W180" s="599"/>
      <c r="X180" s="599"/>
      <c r="Y180" s="599"/>
      <c r="Z180" s="599"/>
      <c r="AA180" s="599"/>
    </row>
    <row r="181" spans="1:27" ht="14.4">
      <c r="A181" s="127" t="s">
        <v>170</v>
      </c>
      <c r="B181" s="127" t="str">
        <f t="shared" si="6"/>
        <v>100-20-204</v>
      </c>
      <c r="C181" s="127" t="str">
        <f t="shared" si="7"/>
        <v>50630</v>
      </c>
      <c r="D181" s="570" t="s">
        <v>835</v>
      </c>
      <c r="E181" s="396" t="s">
        <v>322</v>
      </c>
      <c r="F181" s="414">
        <v>427</v>
      </c>
      <c r="G181" s="414">
        <v>427</v>
      </c>
      <c r="H181" s="571">
        <v>0</v>
      </c>
      <c r="I181" s="414">
        <v>426.65</v>
      </c>
      <c r="J181" s="571">
        <v>0.35</v>
      </c>
      <c r="K181" s="572">
        <v>0.08</v>
      </c>
      <c r="L181" s="588"/>
      <c r="M181" s="589"/>
      <c r="N181" s="567"/>
      <c r="P181" s="599"/>
      <c r="Q181" s="600"/>
      <c r="R181" s="599"/>
      <c r="S181" s="599"/>
      <c r="T181" s="599"/>
      <c r="U181" s="601"/>
      <c r="V181" s="599"/>
      <c r="W181" s="599"/>
      <c r="X181" s="599"/>
      <c r="Y181" s="599"/>
      <c r="Z181" s="599"/>
      <c r="AA181" s="599"/>
    </row>
    <row r="182" spans="1:27" ht="14.4">
      <c r="A182" s="127" t="s">
        <v>170</v>
      </c>
      <c r="B182" s="127" t="str">
        <f t="shared" si="6"/>
        <v>100-20-204</v>
      </c>
      <c r="C182" s="127" t="str">
        <f t="shared" si="7"/>
        <v>50650</v>
      </c>
      <c r="D182" s="570" t="s">
        <v>727</v>
      </c>
      <c r="E182" s="396" t="s">
        <v>323</v>
      </c>
      <c r="F182" s="573">
        <v>40122</v>
      </c>
      <c r="G182" s="573">
        <v>40122</v>
      </c>
      <c r="H182" s="574">
        <v>3059.94</v>
      </c>
      <c r="I182" s="573">
        <v>38215.53</v>
      </c>
      <c r="J182" s="574">
        <v>1906.47</v>
      </c>
      <c r="K182" s="575">
        <v>4.75</v>
      </c>
      <c r="L182" s="588"/>
      <c r="M182" s="589"/>
      <c r="N182" s="567"/>
      <c r="P182" s="599"/>
      <c r="Q182" s="600"/>
      <c r="R182" s="599"/>
      <c r="S182" s="599"/>
      <c r="T182" s="599"/>
      <c r="U182" s="601"/>
      <c r="V182" s="599"/>
      <c r="W182" s="599"/>
      <c r="X182" s="599"/>
      <c r="Y182" s="599"/>
      <c r="Z182" s="599"/>
      <c r="AA182" s="599"/>
    </row>
    <row r="183" spans="1:27" ht="14.4">
      <c r="A183" s="127" t="s">
        <v>170</v>
      </c>
      <c r="B183" s="127" t="str">
        <f t="shared" si="6"/>
        <v xml:space="preserve">Category: </v>
      </c>
      <c r="C183" s="127" t="str">
        <f t="shared" si="7"/>
        <v>0 - P</v>
      </c>
      <c r="D183" s="569" t="s">
        <v>1123</v>
      </c>
      <c r="E183" s="569"/>
      <c r="F183" s="576">
        <v>363944</v>
      </c>
      <c r="G183" s="576">
        <v>363944</v>
      </c>
      <c r="H183" s="577">
        <v>27238.75</v>
      </c>
      <c r="I183" s="576">
        <v>337964.35</v>
      </c>
      <c r="J183" s="577">
        <v>25979.65</v>
      </c>
      <c r="K183" s="578">
        <v>7.1383646934693207E-2</v>
      </c>
      <c r="L183" s="590"/>
      <c r="M183" s="591"/>
      <c r="N183" s="567"/>
      <c r="P183" s="599"/>
      <c r="Q183" s="600"/>
      <c r="R183" s="599"/>
      <c r="S183" s="599"/>
      <c r="T183" s="599"/>
      <c r="U183" s="601"/>
      <c r="V183" s="599"/>
      <c r="W183" s="599"/>
      <c r="X183" s="599"/>
      <c r="Y183" s="599"/>
      <c r="Z183" s="599"/>
      <c r="AA183" s="599"/>
    </row>
    <row r="184" spans="1:27">
      <c r="A184" s="127" t="s">
        <v>170</v>
      </c>
      <c r="B184" s="127" t="str">
        <f t="shared" si="6"/>
        <v/>
      </c>
      <c r="C184" s="127" t="str">
        <f t="shared" si="7"/>
        <v/>
      </c>
      <c r="F184" s="398"/>
      <c r="G184" s="398"/>
      <c r="H184" s="398"/>
      <c r="I184" s="398"/>
      <c r="J184" s="398"/>
      <c r="K184" s="398"/>
      <c r="L184"/>
      <c r="N184" s="567"/>
      <c r="P184" s="599"/>
      <c r="Q184" s="600"/>
      <c r="R184" s="599"/>
      <c r="S184" s="599"/>
      <c r="T184" s="599"/>
      <c r="U184" s="601"/>
      <c r="V184" s="599"/>
      <c r="W184" s="599"/>
      <c r="X184" s="599"/>
      <c r="Y184" s="599"/>
      <c r="Z184" s="599"/>
      <c r="AA184" s="599"/>
    </row>
    <row r="185" spans="1:27" ht="14.4">
      <c r="A185" s="127" t="s">
        <v>170</v>
      </c>
      <c r="B185" s="127" t="str">
        <f t="shared" si="6"/>
        <v xml:space="preserve">Division: </v>
      </c>
      <c r="C185" s="127" t="str">
        <f t="shared" si="7"/>
        <v xml:space="preserve">04 - </v>
      </c>
      <c r="D185" s="569" t="s">
        <v>1139</v>
      </c>
      <c r="E185" s="569"/>
      <c r="F185" s="576">
        <v>363944</v>
      </c>
      <c r="G185" s="576">
        <v>363944</v>
      </c>
      <c r="H185" s="577">
        <v>27238.75</v>
      </c>
      <c r="I185" s="576">
        <v>337964.35</v>
      </c>
      <c r="J185" s="577">
        <v>25979.65</v>
      </c>
      <c r="K185" s="578">
        <v>7.1383646934693207E-2</v>
      </c>
      <c r="L185" s="590"/>
      <c r="M185" s="591"/>
      <c r="N185" s="567"/>
      <c r="P185" s="599"/>
      <c r="Q185" s="600"/>
      <c r="R185" s="599"/>
      <c r="S185" s="599"/>
      <c r="T185" s="599"/>
      <c r="U185" s="601"/>
      <c r="V185" s="599"/>
      <c r="W185" s="599"/>
      <c r="X185" s="599"/>
      <c r="Y185" s="599"/>
      <c r="Z185" s="599"/>
      <c r="AA185" s="599"/>
    </row>
    <row r="186" spans="1:27">
      <c r="A186" s="127" t="s">
        <v>170</v>
      </c>
      <c r="B186" s="127" t="str">
        <f t="shared" si="6"/>
        <v/>
      </c>
      <c r="C186" s="127" t="str">
        <f t="shared" si="7"/>
        <v/>
      </c>
      <c r="L186"/>
      <c r="N186" s="567"/>
      <c r="P186" s="599"/>
      <c r="Q186" s="600"/>
      <c r="R186" s="599"/>
      <c r="S186" s="599"/>
      <c r="T186" s="599"/>
      <c r="U186" s="601"/>
      <c r="V186" s="599"/>
      <c r="W186" s="599"/>
      <c r="X186" s="599"/>
      <c r="Y186" s="599"/>
      <c r="Z186" s="599"/>
      <c r="AA186" s="599"/>
    </row>
    <row r="187" spans="1:27">
      <c r="A187" s="127" t="s">
        <v>170</v>
      </c>
      <c r="B187" s="127" t="str">
        <f t="shared" si="6"/>
        <v/>
      </c>
      <c r="C187" s="127" t="str">
        <f t="shared" si="7"/>
        <v/>
      </c>
      <c r="E187" s="569"/>
      <c r="F187" s="569"/>
      <c r="G187" s="569"/>
      <c r="H187" s="569"/>
      <c r="I187" s="569"/>
      <c r="J187" s="569"/>
      <c r="K187" s="569"/>
      <c r="L187" s="587"/>
      <c r="M187" s="587"/>
      <c r="N187" s="567"/>
      <c r="P187" s="599"/>
      <c r="Q187" s="600"/>
      <c r="R187" s="599"/>
      <c r="S187" s="599"/>
      <c r="T187" s="599"/>
      <c r="U187" s="601"/>
      <c r="V187" s="599"/>
      <c r="W187" s="599"/>
      <c r="X187" s="599"/>
      <c r="Y187" s="599"/>
      <c r="Z187" s="599"/>
      <c r="AA187" s="599"/>
    </row>
    <row r="188" spans="1:27">
      <c r="A188" s="127" t="s">
        <v>170</v>
      </c>
      <c r="B188" s="127" t="str">
        <f t="shared" si="6"/>
        <v/>
      </c>
      <c r="C188" s="127" t="str">
        <f t="shared" si="7"/>
        <v/>
      </c>
      <c r="E188" s="569"/>
      <c r="F188" s="569"/>
      <c r="G188" s="569"/>
      <c r="H188" s="569"/>
      <c r="I188" s="569"/>
      <c r="J188" s="569"/>
      <c r="K188" s="569"/>
      <c r="L188" s="587"/>
      <c r="M188" s="587"/>
      <c r="N188" s="567"/>
      <c r="P188" s="599"/>
      <c r="Q188" s="600"/>
      <c r="R188" s="599"/>
      <c r="S188" s="599"/>
      <c r="T188" s="599"/>
      <c r="U188" s="601"/>
      <c r="V188" s="599"/>
      <c r="W188" s="599"/>
      <c r="X188" s="599"/>
      <c r="Y188" s="599"/>
      <c r="Z188" s="599"/>
      <c r="AA188" s="599"/>
    </row>
    <row r="189" spans="1:27" ht="14.4">
      <c r="A189" s="127" t="s">
        <v>170</v>
      </c>
      <c r="B189" s="127" t="str">
        <f t="shared" si="6"/>
        <v>100-20-208</v>
      </c>
      <c r="C189" s="127" t="str">
        <f t="shared" si="7"/>
        <v>50101</v>
      </c>
      <c r="D189" s="570" t="s">
        <v>553</v>
      </c>
      <c r="E189" s="396" t="s">
        <v>316</v>
      </c>
      <c r="F189" s="414">
        <v>81016</v>
      </c>
      <c r="G189" s="414">
        <v>81016</v>
      </c>
      <c r="H189" s="571">
        <v>6234.08</v>
      </c>
      <c r="I189" s="414">
        <v>77676.639999999999</v>
      </c>
      <c r="J189" s="571">
        <v>3339.36</v>
      </c>
      <c r="K189" s="572">
        <v>4.12</v>
      </c>
      <c r="L189" s="588"/>
      <c r="M189" s="589"/>
      <c r="N189" s="567"/>
      <c r="P189" s="599"/>
      <c r="Q189" s="600"/>
      <c r="R189" s="599"/>
      <c r="S189" s="599"/>
      <c r="T189" s="599"/>
      <c r="U189" s="601"/>
      <c r="V189" s="599"/>
      <c r="W189" s="599"/>
      <c r="X189" s="599"/>
      <c r="Y189" s="599"/>
      <c r="Z189" s="599"/>
      <c r="AA189" s="599"/>
    </row>
    <row r="190" spans="1:27" ht="14.4">
      <c r="A190" s="127" t="s">
        <v>170</v>
      </c>
      <c r="B190" s="127" t="str">
        <f t="shared" si="6"/>
        <v>100-20-208</v>
      </c>
      <c r="C190" s="127" t="str">
        <f t="shared" si="7"/>
        <v>50102</v>
      </c>
      <c r="D190" s="570" t="s">
        <v>547</v>
      </c>
      <c r="E190" s="396" t="s">
        <v>317</v>
      </c>
      <c r="F190" s="414">
        <v>110335</v>
      </c>
      <c r="G190" s="414">
        <v>110335</v>
      </c>
      <c r="H190" s="571">
        <v>8493.5</v>
      </c>
      <c r="I190" s="414">
        <v>105892.76</v>
      </c>
      <c r="J190" s="571">
        <v>4442.24</v>
      </c>
      <c r="K190" s="572">
        <v>4.03</v>
      </c>
      <c r="L190" s="588"/>
      <c r="M190" s="589"/>
      <c r="N190" s="567"/>
      <c r="P190" s="599"/>
      <c r="Q190" s="600"/>
      <c r="R190" s="599"/>
      <c r="S190" s="599"/>
      <c r="T190" s="599"/>
      <c r="U190" s="601"/>
      <c r="V190" s="599"/>
      <c r="W190" s="599"/>
      <c r="X190" s="599"/>
      <c r="Y190" s="599"/>
      <c r="Z190" s="599"/>
      <c r="AA190" s="599"/>
    </row>
    <row r="191" spans="1:27" ht="14.4">
      <c r="A191" s="127" t="s">
        <v>170</v>
      </c>
      <c r="B191" s="127" t="str">
        <f t="shared" si="6"/>
        <v>100-20-208</v>
      </c>
      <c r="C191" s="127" t="str">
        <f t="shared" si="7"/>
        <v>50109</v>
      </c>
      <c r="D191" s="570" t="s">
        <v>548</v>
      </c>
      <c r="E191" s="396" t="s">
        <v>12</v>
      </c>
      <c r="F191" s="414">
        <v>8344</v>
      </c>
      <c r="G191" s="414">
        <v>8344</v>
      </c>
      <c r="H191" s="571">
        <v>62.15</v>
      </c>
      <c r="I191" s="414">
        <v>1089.3</v>
      </c>
      <c r="J191" s="571">
        <v>7254.7</v>
      </c>
      <c r="K191" s="572">
        <v>86.95</v>
      </c>
      <c r="L191" s="588"/>
      <c r="M191" s="589"/>
      <c r="N191" s="567"/>
      <c r="P191" s="599"/>
      <c r="Q191" s="600"/>
      <c r="R191" s="599"/>
      <c r="S191" s="599"/>
      <c r="T191" s="599"/>
      <c r="U191" s="601"/>
      <c r="V191" s="599"/>
      <c r="W191" s="599"/>
      <c r="X191" s="599"/>
      <c r="Y191" s="599"/>
      <c r="Z191" s="599"/>
      <c r="AA191" s="599"/>
    </row>
    <row r="192" spans="1:27" ht="14.4">
      <c r="A192" s="127" t="s">
        <v>170</v>
      </c>
      <c r="B192" s="127" t="str">
        <f t="shared" si="6"/>
        <v>100-20-208</v>
      </c>
      <c r="C192" s="127" t="str">
        <f t="shared" si="7"/>
        <v>50111</v>
      </c>
      <c r="D192" s="570" t="s">
        <v>549</v>
      </c>
      <c r="E192" s="396" t="s">
        <v>318</v>
      </c>
      <c r="F192" s="414">
        <v>3064</v>
      </c>
      <c r="G192" s="414">
        <v>3064</v>
      </c>
      <c r="H192" s="571">
        <v>0</v>
      </c>
      <c r="I192" s="414">
        <v>3020</v>
      </c>
      <c r="J192" s="571">
        <v>44</v>
      </c>
      <c r="K192" s="572">
        <v>1.44</v>
      </c>
      <c r="L192" s="588"/>
      <c r="M192" s="589"/>
      <c r="N192" s="567"/>
      <c r="P192" s="599"/>
      <c r="Q192" s="600"/>
      <c r="R192" s="599"/>
      <c r="S192" s="599"/>
      <c r="T192" s="599"/>
      <c r="U192" s="601"/>
      <c r="V192" s="599"/>
      <c r="W192" s="599"/>
      <c r="X192" s="599"/>
      <c r="Y192" s="599"/>
      <c r="Z192" s="599"/>
      <c r="AA192" s="599"/>
    </row>
    <row r="193" spans="1:27" ht="14.4">
      <c r="A193" s="127" t="s">
        <v>170</v>
      </c>
      <c r="B193" s="127" t="str">
        <f t="shared" si="6"/>
        <v>100-20-208</v>
      </c>
      <c r="C193" s="127" t="str">
        <f t="shared" si="7"/>
        <v>50610</v>
      </c>
      <c r="D193" s="570" t="s">
        <v>836</v>
      </c>
      <c r="E193" s="396" t="s">
        <v>320</v>
      </c>
      <c r="F193" s="414">
        <v>15670</v>
      </c>
      <c r="G193" s="414">
        <v>15670</v>
      </c>
      <c r="H193" s="571">
        <v>1020.09</v>
      </c>
      <c r="I193" s="414">
        <v>13098.81</v>
      </c>
      <c r="J193" s="571">
        <v>2571.19</v>
      </c>
      <c r="K193" s="572">
        <v>16.41</v>
      </c>
      <c r="L193" s="588"/>
      <c r="M193" s="589"/>
      <c r="N193" s="567"/>
      <c r="P193" s="599"/>
      <c r="Q193" s="600"/>
      <c r="R193" s="599"/>
      <c r="S193" s="599"/>
      <c r="T193" s="599"/>
      <c r="U193" s="601"/>
      <c r="V193" s="599"/>
      <c r="W193" s="599"/>
      <c r="X193" s="599"/>
      <c r="Y193" s="599"/>
      <c r="Z193" s="599"/>
      <c r="AA193" s="599"/>
    </row>
    <row r="194" spans="1:27" ht="14.4">
      <c r="A194" s="127" t="s">
        <v>170</v>
      </c>
      <c r="B194" s="127" t="str">
        <f t="shared" si="6"/>
        <v>100-20-208</v>
      </c>
      <c r="C194" s="127" t="str">
        <f t="shared" si="7"/>
        <v>50620</v>
      </c>
      <c r="D194" s="570" t="s">
        <v>682</v>
      </c>
      <c r="E194" s="396" t="s">
        <v>321</v>
      </c>
      <c r="F194" s="414">
        <v>44238</v>
      </c>
      <c r="G194" s="414">
        <v>44238</v>
      </c>
      <c r="H194" s="571">
        <v>3808.08</v>
      </c>
      <c r="I194" s="414">
        <v>43640.6</v>
      </c>
      <c r="J194" s="571">
        <v>597.4</v>
      </c>
      <c r="K194" s="572">
        <v>1.35</v>
      </c>
      <c r="L194" s="588"/>
      <c r="M194" s="589"/>
      <c r="N194" s="567"/>
      <c r="P194" s="599"/>
      <c r="Q194" s="600"/>
      <c r="R194" s="599"/>
      <c r="S194" s="599"/>
      <c r="T194" s="599"/>
      <c r="U194" s="601"/>
      <c r="V194" s="599"/>
      <c r="W194" s="599"/>
      <c r="X194" s="599"/>
      <c r="Y194" s="599"/>
      <c r="Z194" s="599"/>
      <c r="AA194" s="599"/>
    </row>
    <row r="195" spans="1:27" ht="14.4">
      <c r="A195" s="127" t="s">
        <v>170</v>
      </c>
      <c r="B195" s="127" t="str">
        <f t="shared" si="6"/>
        <v>100-20-208</v>
      </c>
      <c r="C195" s="127" t="str">
        <f t="shared" si="7"/>
        <v>50630</v>
      </c>
      <c r="D195" s="570" t="s">
        <v>837</v>
      </c>
      <c r="E195" s="396" t="s">
        <v>322</v>
      </c>
      <c r="F195" s="414">
        <v>621</v>
      </c>
      <c r="G195" s="414">
        <v>621</v>
      </c>
      <c r="H195" s="571">
        <v>0</v>
      </c>
      <c r="I195" s="414">
        <v>620.5</v>
      </c>
      <c r="J195" s="571">
        <v>0.5</v>
      </c>
      <c r="K195" s="572">
        <v>0.08</v>
      </c>
      <c r="L195" s="588"/>
      <c r="M195" s="589"/>
      <c r="N195" s="567"/>
      <c r="P195" s="599"/>
      <c r="Q195" s="600"/>
      <c r="R195" s="599"/>
      <c r="S195" s="599"/>
      <c r="T195" s="599"/>
      <c r="U195" s="601"/>
      <c r="V195" s="599"/>
      <c r="W195" s="599"/>
      <c r="X195" s="599"/>
      <c r="Y195" s="599"/>
      <c r="Z195" s="599"/>
      <c r="AA195" s="599"/>
    </row>
    <row r="196" spans="1:27" ht="14.4">
      <c r="A196" s="127" t="s">
        <v>170</v>
      </c>
      <c r="B196" s="127" t="str">
        <f t="shared" si="6"/>
        <v>100-20-208</v>
      </c>
      <c r="C196" s="127" t="str">
        <f t="shared" si="7"/>
        <v>50650</v>
      </c>
      <c r="D196" s="570" t="s">
        <v>750</v>
      </c>
      <c r="E196" s="396" t="s">
        <v>323</v>
      </c>
      <c r="F196" s="573">
        <v>33842</v>
      </c>
      <c r="G196" s="573">
        <v>33842</v>
      </c>
      <c r="H196" s="574">
        <v>2487.9499999999998</v>
      </c>
      <c r="I196" s="573">
        <v>31335.59</v>
      </c>
      <c r="J196" s="574">
        <v>2506.41</v>
      </c>
      <c r="K196" s="575">
        <v>7.41</v>
      </c>
      <c r="L196" s="588"/>
      <c r="M196" s="589"/>
      <c r="N196" s="567"/>
      <c r="P196" s="599"/>
      <c r="Q196" s="600"/>
      <c r="R196" s="599"/>
      <c r="S196" s="599"/>
      <c r="T196" s="599"/>
      <c r="U196" s="601"/>
      <c r="V196" s="599"/>
      <c r="W196" s="599"/>
      <c r="X196" s="599"/>
      <c r="Y196" s="599"/>
      <c r="Z196" s="599"/>
      <c r="AA196" s="599"/>
    </row>
    <row r="197" spans="1:27" ht="14.4">
      <c r="A197" s="127" t="s">
        <v>170</v>
      </c>
      <c r="B197" s="127" t="str">
        <f t="shared" ref="B197:B260" si="8">LEFT(D197,10)</f>
        <v xml:space="preserve">Category: </v>
      </c>
      <c r="C197" s="127" t="str">
        <f t="shared" ref="C197:C260" si="9">MID(D197,12,5)</f>
        <v>0 - P</v>
      </c>
      <c r="D197" s="569" t="s">
        <v>1123</v>
      </c>
      <c r="E197" s="569"/>
      <c r="F197" s="576">
        <v>297130</v>
      </c>
      <c r="G197" s="576">
        <v>297130</v>
      </c>
      <c r="H197" s="577">
        <v>22105.85</v>
      </c>
      <c r="I197" s="576">
        <v>276374.2</v>
      </c>
      <c r="J197" s="577">
        <v>20755.8</v>
      </c>
      <c r="K197" s="578">
        <v>6.9854272540638807E-2</v>
      </c>
      <c r="L197" s="590"/>
      <c r="M197" s="591"/>
      <c r="N197" s="567"/>
      <c r="P197" s="599"/>
      <c r="Q197" s="600"/>
      <c r="R197" s="599"/>
      <c r="S197" s="599"/>
      <c r="T197" s="599"/>
      <c r="U197" s="601"/>
      <c r="V197" s="599"/>
      <c r="W197" s="599"/>
      <c r="X197" s="599"/>
      <c r="Y197" s="599"/>
      <c r="Z197" s="599"/>
      <c r="AA197" s="599"/>
    </row>
    <row r="198" spans="1:27">
      <c r="A198" s="127" t="s">
        <v>170</v>
      </c>
      <c r="B198" s="127" t="str">
        <f t="shared" si="8"/>
        <v/>
      </c>
      <c r="C198" s="127" t="str">
        <f t="shared" si="9"/>
        <v/>
      </c>
      <c r="F198" s="398"/>
      <c r="G198" s="398"/>
      <c r="H198" s="398"/>
      <c r="I198" s="398"/>
      <c r="J198" s="398"/>
      <c r="K198" s="398"/>
      <c r="L198"/>
      <c r="N198" s="567"/>
      <c r="P198" s="599"/>
      <c r="Q198" s="600"/>
      <c r="R198" s="599"/>
      <c r="S198" s="599"/>
      <c r="T198" s="599"/>
      <c r="U198" s="601"/>
      <c r="V198" s="599"/>
      <c r="W198" s="599"/>
      <c r="X198" s="599"/>
      <c r="Y198" s="599"/>
      <c r="Z198" s="599"/>
      <c r="AA198" s="599"/>
    </row>
    <row r="199" spans="1:27" ht="14.4">
      <c r="A199" s="127" t="s">
        <v>170</v>
      </c>
      <c r="B199" s="127" t="str">
        <f t="shared" si="8"/>
        <v xml:space="preserve">Division: </v>
      </c>
      <c r="C199" s="127" t="str">
        <f t="shared" si="9"/>
        <v xml:space="preserve">08 - </v>
      </c>
      <c r="D199" s="569" t="s">
        <v>1140</v>
      </c>
      <c r="E199" s="569"/>
      <c r="F199" s="576">
        <v>297130</v>
      </c>
      <c r="G199" s="576">
        <v>297130</v>
      </c>
      <c r="H199" s="577">
        <v>22105.85</v>
      </c>
      <c r="I199" s="576">
        <v>276374.2</v>
      </c>
      <c r="J199" s="577">
        <v>20755.8</v>
      </c>
      <c r="K199" s="578">
        <v>6.9854272540638807E-2</v>
      </c>
      <c r="L199" s="590"/>
      <c r="M199" s="591"/>
      <c r="N199" s="567"/>
      <c r="P199" s="599"/>
      <c r="Q199" s="600"/>
      <c r="R199" s="599"/>
      <c r="S199" s="599"/>
      <c r="T199" s="599"/>
      <c r="U199" s="601"/>
      <c r="V199" s="599"/>
      <c r="W199" s="599"/>
      <c r="X199" s="599"/>
      <c r="Y199" s="599"/>
      <c r="Z199" s="599"/>
      <c r="AA199" s="599"/>
    </row>
    <row r="200" spans="1:27">
      <c r="A200" s="127" t="s">
        <v>170</v>
      </c>
      <c r="B200" s="127" t="str">
        <f t="shared" si="8"/>
        <v/>
      </c>
      <c r="C200" s="127" t="str">
        <f t="shared" si="9"/>
        <v/>
      </c>
      <c r="F200" s="398"/>
      <c r="G200" s="398"/>
      <c r="H200" s="398"/>
      <c r="I200" s="398"/>
      <c r="J200" s="398"/>
      <c r="K200" s="398"/>
      <c r="L200"/>
      <c r="N200" s="567"/>
      <c r="P200" s="599"/>
      <c r="Q200" s="600"/>
      <c r="R200" s="599"/>
      <c r="S200" s="599"/>
      <c r="T200" s="599"/>
      <c r="U200" s="601"/>
      <c r="V200" s="599"/>
      <c r="W200" s="599"/>
      <c r="X200" s="599"/>
      <c r="Y200" s="599"/>
      <c r="Z200" s="599"/>
      <c r="AA200" s="599"/>
    </row>
    <row r="201" spans="1:27" ht="14.4">
      <c r="A201" s="127" t="s">
        <v>170</v>
      </c>
      <c r="B201" s="127" t="str">
        <f t="shared" si="8"/>
        <v>Department</v>
      </c>
      <c r="C201" s="127" t="str">
        <f t="shared" si="9"/>
        <v xml:space="preserve"> 20 -</v>
      </c>
      <c r="D201" s="569" t="s">
        <v>1141</v>
      </c>
      <c r="E201" s="569"/>
      <c r="F201" s="576">
        <v>1193566</v>
      </c>
      <c r="G201" s="576">
        <v>1193566</v>
      </c>
      <c r="H201" s="577">
        <v>73324.88</v>
      </c>
      <c r="I201" s="576">
        <v>977238.42</v>
      </c>
      <c r="J201" s="577">
        <v>216327.58</v>
      </c>
      <c r="K201" s="578">
        <v>0.18124475730709499</v>
      </c>
      <c r="L201" s="590"/>
      <c r="M201" s="591"/>
      <c r="N201" s="567"/>
      <c r="P201" s="599"/>
      <c r="Q201" s="600"/>
      <c r="R201" s="599"/>
      <c r="S201" s="599"/>
      <c r="T201" s="599"/>
      <c r="U201" s="601"/>
      <c r="V201" s="599"/>
      <c r="W201" s="599"/>
      <c r="X201" s="599"/>
      <c r="Y201" s="599"/>
      <c r="Z201" s="599"/>
      <c r="AA201" s="599"/>
    </row>
    <row r="202" spans="1:27">
      <c r="A202" s="127" t="s">
        <v>170</v>
      </c>
      <c r="B202" s="127" t="str">
        <f t="shared" si="8"/>
        <v/>
      </c>
      <c r="C202" s="127" t="str">
        <f t="shared" si="9"/>
        <v/>
      </c>
      <c r="L202"/>
      <c r="N202" s="567"/>
      <c r="P202" s="599"/>
      <c r="Q202" s="600"/>
      <c r="R202" s="599"/>
      <c r="S202" s="599"/>
      <c r="T202" s="599"/>
      <c r="U202" s="601"/>
      <c r="V202" s="599"/>
      <c r="W202" s="599"/>
      <c r="X202" s="599"/>
      <c r="Y202" s="599"/>
      <c r="Z202" s="599"/>
      <c r="AA202" s="599"/>
    </row>
    <row r="203" spans="1:27">
      <c r="A203" s="127" t="s">
        <v>170</v>
      </c>
      <c r="B203" s="127" t="str">
        <f t="shared" si="8"/>
        <v/>
      </c>
      <c r="C203" s="127" t="str">
        <f t="shared" si="9"/>
        <v/>
      </c>
      <c r="E203" s="569"/>
      <c r="F203" s="569"/>
      <c r="G203" s="569"/>
      <c r="H203" s="569"/>
      <c r="I203" s="569"/>
      <c r="J203" s="569"/>
      <c r="K203" s="569"/>
      <c r="L203" s="587"/>
      <c r="M203" s="587"/>
      <c r="N203" s="567"/>
      <c r="P203" s="599"/>
      <c r="Q203" s="600"/>
      <c r="R203" s="599"/>
      <c r="S203" s="599"/>
      <c r="T203" s="599"/>
      <c r="U203" s="601"/>
      <c r="V203" s="599"/>
      <c r="W203" s="599"/>
      <c r="X203" s="599"/>
      <c r="Y203" s="599"/>
      <c r="Z203" s="599"/>
      <c r="AA203" s="599"/>
    </row>
    <row r="204" spans="1:27">
      <c r="A204" s="127" t="s">
        <v>170</v>
      </c>
      <c r="B204" s="127" t="str">
        <f t="shared" si="8"/>
        <v/>
      </c>
      <c r="C204" s="127" t="str">
        <f t="shared" si="9"/>
        <v/>
      </c>
      <c r="E204" s="569"/>
      <c r="F204" s="569"/>
      <c r="G204" s="569"/>
      <c r="H204" s="569"/>
      <c r="I204" s="569"/>
      <c r="J204" s="569"/>
      <c r="K204" s="569"/>
      <c r="L204" s="587"/>
      <c r="M204" s="587"/>
      <c r="N204" s="567"/>
      <c r="P204" s="599"/>
      <c r="Q204" s="600"/>
      <c r="R204" s="599"/>
      <c r="S204" s="599"/>
      <c r="T204" s="599"/>
      <c r="U204" s="601"/>
      <c r="V204" s="599"/>
      <c r="W204" s="599"/>
      <c r="X204" s="599"/>
      <c r="Y204" s="599"/>
      <c r="Z204" s="599"/>
      <c r="AA204" s="599"/>
    </row>
    <row r="205" spans="1:27">
      <c r="A205" s="127" t="s">
        <v>170</v>
      </c>
      <c r="B205" s="127" t="str">
        <f t="shared" si="8"/>
        <v/>
      </c>
      <c r="C205" s="127" t="str">
        <f t="shared" si="9"/>
        <v/>
      </c>
      <c r="E205" s="569"/>
      <c r="F205" s="569"/>
      <c r="G205" s="569"/>
      <c r="H205" s="569"/>
      <c r="I205" s="569"/>
      <c r="J205" s="569"/>
      <c r="K205" s="569"/>
      <c r="L205" s="587"/>
      <c r="M205" s="587"/>
      <c r="N205" s="567"/>
      <c r="P205" s="599"/>
      <c r="Q205" s="600"/>
      <c r="R205" s="599"/>
      <c r="S205" s="599"/>
      <c r="T205" s="599"/>
      <c r="U205" s="601"/>
      <c r="V205" s="599"/>
      <c r="W205" s="599"/>
      <c r="X205" s="599"/>
      <c r="Y205" s="599"/>
      <c r="Z205" s="599"/>
      <c r="AA205" s="599"/>
    </row>
    <row r="206" spans="1:27" ht="14.4">
      <c r="A206" s="127" t="s">
        <v>170</v>
      </c>
      <c r="B206" s="127" t="str">
        <f t="shared" si="8"/>
        <v>100-30-301</v>
      </c>
      <c r="C206" s="127" t="str">
        <f t="shared" si="9"/>
        <v>50101</v>
      </c>
      <c r="D206" s="570" t="s">
        <v>588</v>
      </c>
      <c r="E206" s="396" t="s">
        <v>316</v>
      </c>
      <c r="F206" s="414">
        <v>291275</v>
      </c>
      <c r="G206" s="414">
        <v>291275</v>
      </c>
      <c r="H206" s="571">
        <v>22834.66</v>
      </c>
      <c r="I206" s="414">
        <v>282851.67</v>
      </c>
      <c r="J206" s="571">
        <v>8423.33</v>
      </c>
      <c r="K206" s="572">
        <v>2.89</v>
      </c>
      <c r="L206" s="588"/>
      <c r="M206" s="589"/>
      <c r="N206" s="567"/>
      <c r="P206" s="599"/>
      <c r="Q206" s="600"/>
      <c r="R206" s="599"/>
      <c r="S206" s="599"/>
      <c r="T206" s="599"/>
      <c r="U206" s="601"/>
      <c r="V206" s="599"/>
      <c r="W206" s="599"/>
      <c r="X206" s="599"/>
      <c r="Y206" s="599"/>
      <c r="Z206" s="599"/>
      <c r="AA206" s="599"/>
    </row>
    <row r="207" spans="1:27" ht="14.4">
      <c r="A207" s="127" t="s">
        <v>170</v>
      </c>
      <c r="B207" s="127" t="str">
        <f t="shared" si="8"/>
        <v>100-30-301</v>
      </c>
      <c r="C207" s="127" t="str">
        <f t="shared" si="9"/>
        <v>50102</v>
      </c>
      <c r="D207" s="570" t="s">
        <v>577</v>
      </c>
      <c r="E207" s="396" t="s">
        <v>317</v>
      </c>
      <c r="F207" s="414">
        <v>98412</v>
      </c>
      <c r="G207" s="414">
        <v>98412</v>
      </c>
      <c r="H207" s="571">
        <v>4732.5600000000004</v>
      </c>
      <c r="I207" s="414">
        <v>83121.69</v>
      </c>
      <c r="J207" s="571">
        <v>15290.31</v>
      </c>
      <c r="K207" s="572">
        <v>15.54</v>
      </c>
      <c r="L207" s="588"/>
      <c r="M207" s="589"/>
      <c r="N207" s="567"/>
      <c r="P207" s="599"/>
      <c r="Q207" s="600"/>
      <c r="R207" s="599"/>
      <c r="S207" s="599"/>
      <c r="T207" s="599"/>
      <c r="U207" s="601"/>
      <c r="V207" s="599"/>
      <c r="W207" s="599"/>
      <c r="X207" s="599"/>
      <c r="Y207" s="599"/>
      <c r="Z207" s="599"/>
      <c r="AA207" s="599"/>
    </row>
    <row r="208" spans="1:27" ht="14.4">
      <c r="A208" s="127" t="s">
        <v>170</v>
      </c>
      <c r="B208" s="127" t="str">
        <f t="shared" si="8"/>
        <v>100-30-301</v>
      </c>
      <c r="C208" s="127" t="str">
        <f t="shared" si="9"/>
        <v>50109</v>
      </c>
      <c r="D208" s="570" t="s">
        <v>579</v>
      </c>
      <c r="E208" s="396" t="s">
        <v>12</v>
      </c>
      <c r="F208" s="414">
        <v>2500</v>
      </c>
      <c r="G208" s="414">
        <v>2500</v>
      </c>
      <c r="H208" s="571">
        <v>0</v>
      </c>
      <c r="I208" s="414">
        <v>1466.5</v>
      </c>
      <c r="J208" s="571">
        <v>1033.5</v>
      </c>
      <c r="K208" s="572">
        <v>41.34</v>
      </c>
      <c r="L208" s="588"/>
      <c r="M208" s="589"/>
      <c r="N208" s="567"/>
      <c r="P208" s="599"/>
      <c r="Q208" s="600"/>
      <c r="R208" s="599"/>
      <c r="S208" s="599"/>
      <c r="T208" s="599"/>
      <c r="U208" s="601"/>
      <c r="V208" s="599"/>
      <c r="W208" s="599"/>
      <c r="X208" s="599"/>
      <c r="Y208" s="599"/>
      <c r="Z208" s="599"/>
      <c r="AA208" s="599"/>
    </row>
    <row r="209" spans="1:27" ht="14.4">
      <c r="A209" s="127" t="s">
        <v>170</v>
      </c>
      <c r="B209" s="127" t="str">
        <f t="shared" si="8"/>
        <v>100-30-301</v>
      </c>
      <c r="C209" s="127" t="str">
        <f t="shared" si="9"/>
        <v>50111</v>
      </c>
      <c r="D209" s="570" t="s">
        <v>578</v>
      </c>
      <c r="E209" s="396" t="s">
        <v>318</v>
      </c>
      <c r="F209" s="414">
        <v>2968</v>
      </c>
      <c r="G209" s="414">
        <v>2968</v>
      </c>
      <c r="H209" s="571">
        <v>0</v>
      </c>
      <c r="I209" s="414">
        <v>2926.5</v>
      </c>
      <c r="J209" s="571">
        <v>41.5</v>
      </c>
      <c r="K209" s="572">
        <v>1.4</v>
      </c>
      <c r="L209" s="588"/>
      <c r="M209" s="589"/>
      <c r="N209" s="567"/>
      <c r="P209" s="599"/>
      <c r="Q209" s="600"/>
      <c r="R209" s="599"/>
      <c r="S209" s="599"/>
      <c r="T209" s="599"/>
      <c r="U209" s="601"/>
      <c r="V209" s="599"/>
      <c r="W209" s="599"/>
      <c r="X209" s="599"/>
      <c r="Y209" s="599"/>
      <c r="Z209" s="599"/>
      <c r="AA209" s="599"/>
    </row>
    <row r="210" spans="1:27" ht="14.4">
      <c r="A210" s="127" t="s">
        <v>170</v>
      </c>
      <c r="B210" s="127" t="str">
        <f t="shared" si="8"/>
        <v>100-30-301</v>
      </c>
      <c r="C210" s="127" t="str">
        <f t="shared" si="9"/>
        <v>50115</v>
      </c>
      <c r="D210" s="570" t="s">
        <v>589</v>
      </c>
      <c r="E210" s="396" t="s">
        <v>325</v>
      </c>
      <c r="F210" s="414">
        <v>3280</v>
      </c>
      <c r="G210" s="414">
        <v>3280</v>
      </c>
      <c r="H210" s="571">
        <v>200</v>
      </c>
      <c r="I210" s="414">
        <v>2292</v>
      </c>
      <c r="J210" s="571">
        <v>988</v>
      </c>
      <c r="K210" s="572">
        <v>30.12</v>
      </c>
      <c r="L210" s="588"/>
      <c r="M210" s="589"/>
      <c r="N210" s="567"/>
      <c r="P210" s="599"/>
      <c r="Q210" s="600"/>
      <c r="R210" s="599"/>
      <c r="S210" s="599"/>
      <c r="T210" s="599"/>
      <c r="U210" s="601"/>
      <c r="V210" s="599"/>
      <c r="W210" s="599"/>
      <c r="X210" s="599"/>
      <c r="Y210" s="599"/>
      <c r="Z210" s="599"/>
      <c r="AA210" s="599"/>
    </row>
    <row r="211" spans="1:27" ht="14.4">
      <c r="A211" s="127" t="s">
        <v>170</v>
      </c>
      <c r="B211" s="127" t="str">
        <f t="shared" si="8"/>
        <v>100-30-301</v>
      </c>
      <c r="C211" s="127" t="str">
        <f t="shared" si="9"/>
        <v>50610</v>
      </c>
      <c r="D211" s="570" t="s">
        <v>838</v>
      </c>
      <c r="E211" s="396" t="s">
        <v>320</v>
      </c>
      <c r="F211" s="414">
        <v>27558</v>
      </c>
      <c r="G211" s="414">
        <v>27558</v>
      </c>
      <c r="H211" s="571">
        <v>1954.57</v>
      </c>
      <c r="I211" s="414">
        <v>26572.76</v>
      </c>
      <c r="J211" s="571">
        <v>985.24</v>
      </c>
      <c r="K211" s="572">
        <v>3.58</v>
      </c>
      <c r="L211" s="588"/>
      <c r="M211" s="589"/>
      <c r="N211" s="567"/>
      <c r="P211" s="599"/>
      <c r="Q211" s="600"/>
      <c r="R211" s="599"/>
      <c r="S211" s="599"/>
      <c r="T211" s="599"/>
      <c r="U211" s="601"/>
      <c r="V211" s="599"/>
      <c r="W211" s="599"/>
      <c r="X211" s="599"/>
      <c r="Y211" s="599"/>
      <c r="Z211" s="599"/>
      <c r="AA211" s="599"/>
    </row>
    <row r="212" spans="1:27" ht="14.4">
      <c r="A212" s="127" t="s">
        <v>170</v>
      </c>
      <c r="B212" s="127" t="str">
        <f t="shared" si="8"/>
        <v>100-30-301</v>
      </c>
      <c r="C212" s="127" t="str">
        <f t="shared" si="9"/>
        <v>50620</v>
      </c>
      <c r="D212" s="570" t="s">
        <v>723</v>
      </c>
      <c r="E212" s="396" t="s">
        <v>321</v>
      </c>
      <c r="F212" s="414">
        <v>58614</v>
      </c>
      <c r="G212" s="414">
        <v>58614</v>
      </c>
      <c r="H212" s="571">
        <v>4953.76</v>
      </c>
      <c r="I212" s="414">
        <v>57144.77</v>
      </c>
      <c r="J212" s="571">
        <v>1469.23</v>
      </c>
      <c r="K212" s="572">
        <v>2.5099999999999998</v>
      </c>
      <c r="L212" s="588"/>
      <c r="M212" s="589"/>
      <c r="N212" s="567"/>
      <c r="P212" s="599"/>
      <c r="Q212" s="600"/>
      <c r="R212" s="599"/>
      <c r="S212" s="599"/>
      <c r="T212" s="599"/>
      <c r="U212" s="601"/>
      <c r="V212" s="599"/>
      <c r="W212" s="599"/>
      <c r="X212" s="599"/>
      <c r="Y212" s="599"/>
      <c r="Z212" s="599"/>
      <c r="AA212" s="599"/>
    </row>
    <row r="213" spans="1:27" ht="14.4">
      <c r="A213" s="127" t="s">
        <v>170</v>
      </c>
      <c r="B213" s="127" t="str">
        <f t="shared" si="8"/>
        <v>100-30-301</v>
      </c>
      <c r="C213" s="127" t="str">
        <f t="shared" si="9"/>
        <v>50630</v>
      </c>
      <c r="D213" s="570" t="s">
        <v>839</v>
      </c>
      <c r="E213" s="396" t="s">
        <v>322</v>
      </c>
      <c r="F213" s="414">
        <v>5287</v>
      </c>
      <c r="G213" s="414">
        <v>5287</v>
      </c>
      <c r="H213" s="571">
        <v>0</v>
      </c>
      <c r="I213" s="414">
        <v>5282.68</v>
      </c>
      <c r="J213" s="571">
        <v>4.32</v>
      </c>
      <c r="K213" s="572">
        <v>0.08</v>
      </c>
      <c r="L213" s="588"/>
      <c r="M213" s="589"/>
      <c r="N213" s="567"/>
      <c r="P213" s="599"/>
      <c r="Q213" s="600"/>
      <c r="R213" s="599"/>
      <c r="S213" s="599"/>
      <c r="T213" s="599"/>
      <c r="U213" s="601"/>
      <c r="V213" s="599"/>
      <c r="W213" s="599"/>
      <c r="X213" s="599"/>
      <c r="Y213" s="599"/>
      <c r="Z213" s="599"/>
      <c r="AA213" s="599"/>
    </row>
    <row r="214" spans="1:27">
      <c r="A214" s="127" t="s">
        <v>170</v>
      </c>
      <c r="B214" s="127" t="str">
        <f t="shared" si="8"/>
        <v/>
      </c>
      <c r="C214" s="127" t="str">
        <f t="shared" si="9"/>
        <v/>
      </c>
      <c r="L214"/>
      <c r="N214" s="567"/>
      <c r="P214" s="599"/>
      <c r="Q214" s="600"/>
      <c r="R214" s="599"/>
      <c r="S214" s="599"/>
      <c r="T214" s="599"/>
      <c r="U214" s="601"/>
      <c r="V214" s="599"/>
      <c r="W214" s="599"/>
      <c r="X214" s="599"/>
      <c r="Y214" s="599"/>
      <c r="Z214" s="599"/>
      <c r="AA214" s="599"/>
    </row>
    <row r="215" spans="1:27" ht="14.4">
      <c r="A215" s="127" t="s">
        <v>170</v>
      </c>
      <c r="B215" s="127" t="str">
        <f t="shared" si="8"/>
        <v/>
      </c>
      <c r="C215" s="127" t="str">
        <f t="shared" si="9"/>
        <v/>
      </c>
      <c r="D215" s="579"/>
      <c r="E215" s="579"/>
      <c r="F215" s="579"/>
      <c r="G215" s="579"/>
      <c r="H215" s="579"/>
      <c r="I215" s="579"/>
      <c r="J215" s="579"/>
      <c r="K215" s="579"/>
      <c r="L215" s="592"/>
      <c r="M215" s="592"/>
      <c r="N215" s="567"/>
      <c r="P215" s="599"/>
      <c r="Q215" s="600"/>
      <c r="R215" s="599"/>
      <c r="S215" s="599"/>
      <c r="T215" s="599"/>
      <c r="U215" s="601"/>
      <c r="V215" s="599"/>
      <c r="W215" s="599"/>
      <c r="X215" s="599"/>
      <c r="Y215" s="599"/>
      <c r="Z215" s="599"/>
      <c r="AA215" s="599"/>
    </row>
    <row r="216" spans="1:27" ht="16.2" thickBot="1">
      <c r="A216" s="127" t="s">
        <v>170</v>
      </c>
      <c r="B216" s="127" t="str">
        <f t="shared" si="8"/>
        <v xml:space="preserve">9/25/2024 </v>
      </c>
      <c r="C216" s="127" t="str">
        <f t="shared" si="9"/>
        <v>:13:1</v>
      </c>
      <c r="D216" s="439" t="s">
        <v>2991</v>
      </c>
      <c r="E216" s="439"/>
      <c r="F216" s="440"/>
      <c r="G216" s="440"/>
      <c r="H216" s="440"/>
      <c r="I216" s="440"/>
      <c r="J216" s="439"/>
      <c r="K216" s="439"/>
      <c r="L216" s="593"/>
      <c r="N216" s="567"/>
      <c r="P216" s="599"/>
      <c r="Q216" s="600"/>
      <c r="R216" s="599"/>
      <c r="S216" s="599"/>
      <c r="T216" s="599"/>
      <c r="U216" s="601"/>
      <c r="V216" s="599"/>
      <c r="W216" s="599"/>
      <c r="X216" s="599"/>
      <c r="Y216" s="599"/>
      <c r="Z216" s="599"/>
      <c r="AA216" s="599"/>
    </row>
    <row r="217" spans="1:27">
      <c r="A217" s="127" t="s">
        <v>170</v>
      </c>
      <c r="B217" s="127" t="str">
        <f t="shared" si="8"/>
        <v>Budget Rep</v>
      </c>
      <c r="C217" s="127" t="str">
        <f t="shared" si="9"/>
        <v>rt</v>
      </c>
      <c r="D217" s="441" t="s">
        <v>1122</v>
      </c>
      <c r="E217" s="441"/>
      <c r="F217" s="441"/>
      <c r="G217" s="442"/>
      <c r="H217" s="441"/>
      <c r="I217" s="441"/>
      <c r="J217" s="441"/>
      <c r="K217" s="441"/>
      <c r="L217" s="594"/>
      <c r="M217" s="594"/>
      <c r="N217" s="567"/>
      <c r="P217" s="599"/>
      <c r="Q217" s="600"/>
      <c r="R217" s="599"/>
      <c r="S217" s="599"/>
      <c r="T217" s="599"/>
      <c r="U217" s="601"/>
      <c r="V217" s="599"/>
      <c r="W217" s="599"/>
      <c r="X217" s="599"/>
      <c r="Y217" s="599"/>
      <c r="Z217" s="599"/>
      <c r="AA217" s="599"/>
    </row>
    <row r="218" spans="1:27" ht="15.75" customHeight="1">
      <c r="A218" s="127" t="s">
        <v>170</v>
      </c>
      <c r="B218" s="127" t="str">
        <f t="shared" si="8"/>
        <v/>
      </c>
      <c r="C218" s="127" t="str">
        <f t="shared" si="9"/>
        <v/>
      </c>
      <c r="L218"/>
      <c r="N218" s="567"/>
      <c r="P218" s="599"/>
      <c r="Q218" s="600"/>
      <c r="R218" s="599"/>
      <c r="S218" s="599"/>
      <c r="T218" s="599"/>
      <c r="U218" s="601"/>
      <c r="V218" s="599"/>
      <c r="W218" s="599"/>
      <c r="X218" s="599"/>
      <c r="Y218" s="599"/>
      <c r="Z218" s="599"/>
      <c r="AA218" s="599"/>
    </row>
    <row r="219" spans="1:27" ht="34.5" customHeight="1">
      <c r="A219" s="127" t="s">
        <v>170</v>
      </c>
      <c r="B219" s="127" t="str">
        <f t="shared" si="8"/>
        <v/>
      </c>
      <c r="C219" s="127" t="str">
        <f t="shared" si="9"/>
        <v/>
      </c>
      <c r="J219" s="413" t="s">
        <v>1098</v>
      </c>
      <c r="L219"/>
      <c r="N219" s="567"/>
      <c r="P219" s="599"/>
      <c r="Q219" s="600"/>
      <c r="R219" s="599"/>
      <c r="S219" s="599"/>
      <c r="T219" s="599"/>
      <c r="U219" s="601"/>
      <c r="V219" s="599"/>
      <c r="W219" s="599"/>
      <c r="X219" s="599"/>
      <c r="Y219" s="599"/>
      <c r="Z219" s="599"/>
      <c r="AA219" s="599"/>
    </row>
    <row r="220" spans="1:27" ht="21.6">
      <c r="A220" s="127" t="s">
        <v>170</v>
      </c>
      <c r="B220" s="127" t="str">
        <f t="shared" si="8"/>
        <v/>
      </c>
      <c r="C220" s="127" t="str">
        <f t="shared" si="9"/>
        <v/>
      </c>
      <c r="F220" s="413" t="s">
        <v>1099</v>
      </c>
      <c r="G220" s="413" t="s">
        <v>1100</v>
      </c>
      <c r="H220" s="568" t="s">
        <v>1101</v>
      </c>
      <c r="I220" s="413" t="s">
        <v>1102</v>
      </c>
      <c r="J220" s="413"/>
      <c r="K220" s="568" t="s">
        <v>1103</v>
      </c>
      <c r="L220" s="586"/>
      <c r="M220" s="540"/>
      <c r="N220" s="567"/>
      <c r="P220" s="599"/>
      <c r="Q220" s="600"/>
      <c r="R220" s="599"/>
      <c r="S220" s="599"/>
      <c r="T220" s="599"/>
      <c r="U220" s="601"/>
      <c r="V220" s="599"/>
      <c r="W220" s="599"/>
      <c r="X220" s="599"/>
      <c r="Y220" s="599"/>
      <c r="Z220" s="599"/>
      <c r="AA220" s="599"/>
    </row>
    <row r="221" spans="1:27">
      <c r="A221" s="127" t="s">
        <v>170</v>
      </c>
      <c r="B221" s="127" t="str">
        <f t="shared" si="8"/>
        <v/>
      </c>
      <c r="C221" s="127" t="str">
        <f t="shared" si="9"/>
        <v/>
      </c>
      <c r="L221"/>
      <c r="N221" s="567"/>
      <c r="P221" s="599"/>
      <c r="Q221" s="600"/>
      <c r="R221" s="599"/>
      <c r="S221" s="599"/>
      <c r="T221" s="599"/>
      <c r="U221" s="601"/>
      <c r="V221" s="599"/>
      <c r="W221" s="599"/>
      <c r="X221" s="599"/>
      <c r="Y221" s="599"/>
      <c r="Z221" s="599"/>
      <c r="AA221" s="599"/>
    </row>
    <row r="222" spans="1:27" ht="14.4">
      <c r="A222" s="127" t="s">
        <v>170</v>
      </c>
      <c r="B222" s="127" t="str">
        <f t="shared" si="8"/>
        <v>100-30-301</v>
      </c>
      <c r="C222" s="127" t="str">
        <f t="shared" si="9"/>
        <v>50650</v>
      </c>
      <c r="D222" s="570" t="s">
        <v>745</v>
      </c>
      <c r="E222" s="396" t="s">
        <v>323</v>
      </c>
      <c r="F222" s="573">
        <v>66283</v>
      </c>
      <c r="G222" s="573">
        <v>66283</v>
      </c>
      <c r="H222" s="574">
        <v>4660.47</v>
      </c>
      <c r="I222" s="573">
        <v>62020.04</v>
      </c>
      <c r="J222" s="574">
        <v>4262.96</v>
      </c>
      <c r="K222" s="575">
        <v>6.43</v>
      </c>
      <c r="L222" s="588"/>
      <c r="M222" s="589"/>
      <c r="N222" s="567"/>
      <c r="P222" s="599"/>
      <c r="Q222" s="600"/>
      <c r="R222" s="599"/>
      <c r="S222" s="599"/>
      <c r="T222" s="599"/>
      <c r="U222" s="601"/>
      <c r="V222" s="599"/>
      <c r="W222" s="599"/>
      <c r="X222" s="599"/>
      <c r="Y222" s="599"/>
      <c r="Z222" s="599"/>
      <c r="AA222" s="599"/>
    </row>
    <row r="223" spans="1:27" ht="14.4">
      <c r="A223" s="127" t="s">
        <v>170</v>
      </c>
      <c r="B223" s="127" t="str">
        <f t="shared" si="8"/>
        <v xml:space="preserve">Category: </v>
      </c>
      <c r="C223" s="127" t="str">
        <f t="shared" si="9"/>
        <v>0 - P</v>
      </c>
      <c r="D223" s="569" t="s">
        <v>1123</v>
      </c>
      <c r="E223" s="569"/>
      <c r="F223" s="576">
        <v>556177</v>
      </c>
      <c r="G223" s="576">
        <v>556177</v>
      </c>
      <c r="H223" s="577">
        <v>39336.019999999997</v>
      </c>
      <c r="I223" s="576">
        <v>523678.61</v>
      </c>
      <c r="J223" s="577">
        <v>32498.39</v>
      </c>
      <c r="K223" s="578">
        <v>5.8431740255350403E-2</v>
      </c>
      <c r="L223" s="590"/>
      <c r="M223" s="591"/>
      <c r="N223" s="567"/>
      <c r="P223" s="599"/>
      <c r="Q223" s="600"/>
      <c r="R223" s="599"/>
      <c r="S223" s="599"/>
      <c r="T223" s="599"/>
      <c r="U223" s="601"/>
      <c r="V223" s="599"/>
      <c r="W223" s="599"/>
      <c r="X223" s="599"/>
      <c r="Y223" s="599"/>
      <c r="Z223" s="599"/>
      <c r="AA223" s="599"/>
    </row>
    <row r="224" spans="1:27">
      <c r="A224" s="127" t="s">
        <v>170</v>
      </c>
      <c r="B224" s="127" t="str">
        <f t="shared" si="8"/>
        <v/>
      </c>
      <c r="C224" s="127" t="str">
        <f t="shared" si="9"/>
        <v/>
      </c>
      <c r="F224" s="398"/>
      <c r="G224" s="398"/>
      <c r="H224" s="398"/>
      <c r="I224" s="398"/>
      <c r="J224" s="398"/>
      <c r="K224" s="398"/>
      <c r="L224"/>
      <c r="N224" s="567"/>
      <c r="P224" s="599"/>
      <c r="Q224" s="600"/>
      <c r="R224" s="599"/>
      <c r="S224" s="599"/>
      <c r="T224" s="599"/>
      <c r="U224" s="601"/>
      <c r="V224" s="599"/>
      <c r="W224" s="599"/>
      <c r="X224" s="599"/>
      <c r="Y224" s="599"/>
      <c r="Z224" s="599"/>
      <c r="AA224" s="599"/>
    </row>
    <row r="225" spans="1:27" ht="14.4">
      <c r="A225" s="127" t="s">
        <v>170</v>
      </c>
      <c r="B225" s="127" t="str">
        <f t="shared" si="8"/>
        <v xml:space="preserve">Division: </v>
      </c>
      <c r="C225" s="127" t="str">
        <f t="shared" si="9"/>
        <v xml:space="preserve">01 - </v>
      </c>
      <c r="D225" s="569" t="s">
        <v>1142</v>
      </c>
      <c r="E225" s="569"/>
      <c r="F225" s="576">
        <v>556177</v>
      </c>
      <c r="G225" s="576">
        <v>556177</v>
      </c>
      <c r="H225" s="577">
        <v>39336.019999999997</v>
      </c>
      <c r="I225" s="576">
        <v>523678.61</v>
      </c>
      <c r="J225" s="577">
        <v>32498.39</v>
      </c>
      <c r="K225" s="578">
        <v>5.8431740255350403E-2</v>
      </c>
      <c r="L225" s="590"/>
      <c r="M225" s="591"/>
      <c r="N225" s="567"/>
      <c r="P225" s="599"/>
      <c r="Q225" s="600"/>
      <c r="R225" s="599"/>
      <c r="S225" s="599"/>
      <c r="T225" s="599"/>
      <c r="U225" s="601"/>
      <c r="V225" s="599"/>
      <c r="W225" s="599"/>
      <c r="X225" s="599"/>
      <c r="Y225" s="599"/>
      <c r="Z225" s="599"/>
      <c r="AA225" s="599"/>
    </row>
    <row r="226" spans="1:27">
      <c r="A226" s="127" t="s">
        <v>170</v>
      </c>
      <c r="B226" s="127" t="str">
        <f t="shared" si="8"/>
        <v/>
      </c>
      <c r="C226" s="127" t="str">
        <f t="shared" si="9"/>
        <v/>
      </c>
      <c r="L226"/>
      <c r="N226" s="567"/>
      <c r="P226" s="599"/>
      <c r="Q226" s="600"/>
      <c r="R226" s="599"/>
      <c r="S226" s="599"/>
      <c r="T226" s="599"/>
      <c r="U226" s="601"/>
      <c r="V226" s="599"/>
      <c r="W226" s="599"/>
      <c r="X226" s="599"/>
      <c r="Y226" s="599"/>
      <c r="Z226" s="599"/>
      <c r="AA226" s="599"/>
    </row>
    <row r="227" spans="1:27">
      <c r="A227" s="127" t="s">
        <v>170</v>
      </c>
      <c r="B227" s="127" t="str">
        <f t="shared" si="8"/>
        <v/>
      </c>
      <c r="C227" s="127" t="str">
        <f t="shared" si="9"/>
        <v/>
      </c>
      <c r="E227" s="569"/>
      <c r="F227" s="569"/>
      <c r="G227" s="569"/>
      <c r="H227" s="569"/>
      <c r="I227" s="569"/>
      <c r="J227" s="569"/>
      <c r="K227" s="569"/>
      <c r="L227" s="587"/>
      <c r="M227" s="587"/>
      <c r="N227" s="567"/>
      <c r="P227" s="599"/>
      <c r="Q227" s="600"/>
      <c r="R227" s="599"/>
      <c r="S227" s="599"/>
      <c r="T227" s="599"/>
      <c r="U227" s="601"/>
      <c r="V227" s="599"/>
      <c r="W227" s="599"/>
      <c r="X227" s="599"/>
      <c r="Y227" s="599"/>
      <c r="Z227" s="599"/>
      <c r="AA227" s="599"/>
    </row>
    <row r="228" spans="1:27">
      <c r="A228" s="127" t="s">
        <v>170</v>
      </c>
      <c r="B228" s="127" t="str">
        <f t="shared" si="8"/>
        <v/>
      </c>
      <c r="C228" s="127" t="str">
        <f t="shared" si="9"/>
        <v/>
      </c>
      <c r="E228" s="569"/>
      <c r="F228" s="569"/>
      <c r="G228" s="569"/>
      <c r="H228" s="569"/>
      <c r="I228" s="569"/>
      <c r="J228" s="569"/>
      <c r="K228" s="569"/>
      <c r="L228" s="587"/>
      <c r="M228" s="587"/>
      <c r="N228" s="567"/>
      <c r="P228" s="599"/>
      <c r="Q228" s="600"/>
      <c r="R228" s="599"/>
      <c r="S228" s="599"/>
      <c r="T228" s="599"/>
      <c r="U228" s="601"/>
      <c r="V228" s="599"/>
      <c r="W228" s="599"/>
      <c r="X228" s="599"/>
      <c r="Y228" s="599"/>
      <c r="Z228" s="599"/>
      <c r="AA228" s="599"/>
    </row>
    <row r="229" spans="1:27" ht="14.4">
      <c r="A229" s="127" t="s">
        <v>170</v>
      </c>
      <c r="B229" s="127" t="str">
        <f t="shared" si="8"/>
        <v>100-30-302</v>
      </c>
      <c r="C229" s="127" t="str">
        <f t="shared" si="9"/>
        <v>50101</v>
      </c>
      <c r="D229" s="570" t="s">
        <v>840</v>
      </c>
      <c r="E229" s="396" t="s">
        <v>316</v>
      </c>
      <c r="F229" s="414">
        <v>128378</v>
      </c>
      <c r="G229" s="414">
        <v>128378</v>
      </c>
      <c r="H229" s="571">
        <v>10076.92</v>
      </c>
      <c r="I229" s="414">
        <v>104572.68</v>
      </c>
      <c r="J229" s="571">
        <v>23805.32</v>
      </c>
      <c r="K229" s="572">
        <v>18.54</v>
      </c>
      <c r="L229" s="588"/>
      <c r="M229" s="589"/>
      <c r="N229" s="567"/>
      <c r="P229" s="599"/>
      <c r="Q229" s="600"/>
      <c r="R229" s="599"/>
      <c r="S229" s="599"/>
      <c r="T229" s="599"/>
      <c r="U229" s="601"/>
      <c r="V229" s="599"/>
      <c r="W229" s="599"/>
      <c r="X229" s="599"/>
      <c r="Y229" s="599"/>
      <c r="Z229" s="599"/>
      <c r="AA229" s="599"/>
    </row>
    <row r="230" spans="1:27" ht="14.4">
      <c r="A230" s="127" t="s">
        <v>170</v>
      </c>
      <c r="B230" s="127" t="str">
        <f t="shared" si="8"/>
        <v>100-30-302</v>
      </c>
      <c r="C230" s="127" t="str">
        <f t="shared" si="9"/>
        <v>50102</v>
      </c>
      <c r="D230" s="570" t="s">
        <v>514</v>
      </c>
      <c r="E230" s="396" t="s">
        <v>317</v>
      </c>
      <c r="F230" s="414">
        <v>4316767</v>
      </c>
      <c r="G230" s="414">
        <v>4316767</v>
      </c>
      <c r="H230" s="571">
        <v>366794.76</v>
      </c>
      <c r="I230" s="414">
        <v>4154268.78</v>
      </c>
      <c r="J230" s="571">
        <v>162498.22</v>
      </c>
      <c r="K230" s="572">
        <v>3.76</v>
      </c>
      <c r="L230" s="588"/>
      <c r="M230" s="589"/>
      <c r="N230" s="567"/>
      <c r="P230" s="599"/>
      <c r="Q230" s="600"/>
      <c r="R230" s="599"/>
      <c r="S230" s="599"/>
      <c r="T230" s="599"/>
      <c r="U230" s="601"/>
      <c r="V230" s="599"/>
      <c r="W230" s="599"/>
      <c r="X230" s="599"/>
      <c r="Y230" s="599"/>
      <c r="Z230" s="599"/>
      <c r="AA230" s="599"/>
    </row>
    <row r="231" spans="1:27" ht="14.4">
      <c r="A231" s="127" t="s">
        <v>170</v>
      </c>
      <c r="B231" s="127" t="str">
        <f t="shared" si="8"/>
        <v>100-30-302</v>
      </c>
      <c r="C231" s="127" t="str">
        <f t="shared" si="9"/>
        <v>50109</v>
      </c>
      <c r="D231" s="570" t="s">
        <v>515</v>
      </c>
      <c r="E231" s="396" t="s">
        <v>12</v>
      </c>
      <c r="F231" s="414">
        <v>198518</v>
      </c>
      <c r="G231" s="414">
        <v>198518</v>
      </c>
      <c r="H231" s="571">
        <v>31055.03</v>
      </c>
      <c r="I231" s="414">
        <v>331698.39</v>
      </c>
      <c r="J231" s="571">
        <v>-133180.39000000001</v>
      </c>
      <c r="K231" s="572">
        <v>-67.09</v>
      </c>
      <c r="L231" s="588"/>
      <c r="M231" s="589"/>
      <c r="N231" s="567"/>
      <c r="P231" s="599"/>
      <c r="Q231" s="600"/>
      <c r="R231" s="599"/>
      <c r="S231" s="599"/>
      <c r="T231" s="599"/>
      <c r="U231" s="601"/>
      <c r="V231" s="599"/>
      <c r="W231" s="599"/>
      <c r="X231" s="599"/>
      <c r="Y231" s="599"/>
      <c r="Z231" s="599"/>
      <c r="AA231" s="599"/>
    </row>
    <row r="232" spans="1:27" ht="14.4">
      <c r="A232" s="127" t="s">
        <v>170</v>
      </c>
      <c r="B232" s="127" t="str">
        <f t="shared" si="8"/>
        <v>100-30-302</v>
      </c>
      <c r="C232" s="127" t="str">
        <f t="shared" si="9"/>
        <v>50111</v>
      </c>
      <c r="D232" s="570" t="s">
        <v>513</v>
      </c>
      <c r="E232" s="396" t="s">
        <v>318</v>
      </c>
      <c r="F232" s="414">
        <v>28591</v>
      </c>
      <c r="G232" s="414">
        <v>28591</v>
      </c>
      <c r="H232" s="571">
        <v>0</v>
      </c>
      <c r="I232" s="414">
        <v>27000</v>
      </c>
      <c r="J232" s="571">
        <v>1591</v>
      </c>
      <c r="K232" s="572">
        <v>5.56</v>
      </c>
      <c r="L232" s="588"/>
      <c r="M232" s="589"/>
      <c r="N232" s="567"/>
      <c r="P232" s="599"/>
      <c r="Q232" s="600"/>
      <c r="R232" s="599"/>
      <c r="S232" s="599"/>
      <c r="T232" s="599"/>
      <c r="U232" s="601"/>
      <c r="V232" s="599"/>
      <c r="W232" s="599"/>
      <c r="X232" s="599"/>
      <c r="Y232" s="599"/>
      <c r="Z232" s="599"/>
      <c r="AA232" s="599"/>
    </row>
    <row r="233" spans="1:27" ht="14.4">
      <c r="A233" s="127" t="s">
        <v>170</v>
      </c>
      <c r="B233" s="127" t="str">
        <f t="shared" si="8"/>
        <v>100-30-302</v>
      </c>
      <c r="C233" s="127" t="str">
        <f t="shared" si="9"/>
        <v>50115</v>
      </c>
      <c r="D233" s="570" t="s">
        <v>516</v>
      </c>
      <c r="E233" s="396" t="s">
        <v>325</v>
      </c>
      <c r="F233" s="414">
        <v>34200</v>
      </c>
      <c r="G233" s="414">
        <v>34200</v>
      </c>
      <c r="H233" s="571">
        <v>2575</v>
      </c>
      <c r="I233" s="414">
        <v>30176.5</v>
      </c>
      <c r="J233" s="571">
        <v>4023.5</v>
      </c>
      <c r="K233" s="572">
        <v>11.76</v>
      </c>
      <c r="L233" s="588"/>
      <c r="M233" s="589"/>
      <c r="N233" s="567"/>
      <c r="P233" s="599"/>
      <c r="Q233" s="600"/>
      <c r="R233" s="599"/>
      <c r="S233" s="599"/>
      <c r="T233" s="599"/>
      <c r="U233" s="601"/>
      <c r="V233" s="599"/>
      <c r="W233" s="599"/>
      <c r="X233" s="599"/>
      <c r="Y233" s="599"/>
      <c r="Z233" s="599"/>
      <c r="AA233" s="599"/>
    </row>
    <row r="234" spans="1:27" ht="14.4">
      <c r="A234" s="127" t="s">
        <v>170</v>
      </c>
      <c r="B234" s="127" t="str">
        <f t="shared" si="8"/>
        <v>100-30-302</v>
      </c>
      <c r="C234" s="127" t="str">
        <f t="shared" si="9"/>
        <v>50610</v>
      </c>
      <c r="D234" s="570" t="s">
        <v>841</v>
      </c>
      <c r="E234" s="396" t="s">
        <v>320</v>
      </c>
      <c r="F234" s="414">
        <v>348570</v>
      </c>
      <c r="G234" s="414">
        <v>348570</v>
      </c>
      <c r="H234" s="571">
        <v>29929.74</v>
      </c>
      <c r="I234" s="414">
        <v>340108.08</v>
      </c>
      <c r="J234" s="571">
        <v>8461.92</v>
      </c>
      <c r="K234" s="572">
        <v>2.4300000000000002</v>
      </c>
      <c r="L234" s="588"/>
      <c r="M234" s="589"/>
      <c r="N234" s="567"/>
      <c r="P234" s="599"/>
      <c r="Q234" s="600"/>
      <c r="R234" s="599"/>
      <c r="S234" s="599"/>
      <c r="T234" s="599"/>
      <c r="U234" s="601"/>
      <c r="V234" s="599"/>
      <c r="W234" s="599"/>
      <c r="X234" s="599"/>
      <c r="Y234" s="599"/>
      <c r="Z234" s="599"/>
      <c r="AA234" s="599"/>
    </row>
    <row r="235" spans="1:27" ht="14.4">
      <c r="A235" s="127" t="s">
        <v>170</v>
      </c>
      <c r="B235" s="127" t="str">
        <f t="shared" si="8"/>
        <v>100-30-302</v>
      </c>
      <c r="C235" s="127" t="str">
        <f t="shared" si="9"/>
        <v>50620</v>
      </c>
      <c r="D235" s="570" t="s">
        <v>676</v>
      </c>
      <c r="E235" s="396" t="s">
        <v>321</v>
      </c>
      <c r="F235" s="414">
        <v>738721</v>
      </c>
      <c r="G235" s="414">
        <v>738721</v>
      </c>
      <c r="H235" s="571">
        <v>63154.51</v>
      </c>
      <c r="I235" s="414">
        <v>707007.87</v>
      </c>
      <c r="J235" s="571">
        <v>31713.13</v>
      </c>
      <c r="K235" s="572">
        <v>4.29</v>
      </c>
      <c r="L235" s="588"/>
      <c r="M235" s="589"/>
      <c r="N235" s="567"/>
      <c r="P235" s="599"/>
      <c r="Q235" s="600"/>
      <c r="R235" s="599"/>
      <c r="S235" s="599"/>
      <c r="T235" s="599"/>
      <c r="U235" s="601"/>
      <c r="V235" s="599"/>
      <c r="W235" s="599"/>
      <c r="X235" s="599"/>
      <c r="Y235" s="599"/>
      <c r="Z235" s="599"/>
      <c r="AA235" s="599"/>
    </row>
    <row r="236" spans="1:27" ht="14.4">
      <c r="A236" s="127" t="s">
        <v>170</v>
      </c>
      <c r="B236" s="127" t="str">
        <f t="shared" si="8"/>
        <v>100-30-302</v>
      </c>
      <c r="C236" s="127" t="str">
        <f t="shared" si="9"/>
        <v>50630</v>
      </c>
      <c r="D236" s="570" t="s">
        <v>842</v>
      </c>
      <c r="E236" s="396" t="s">
        <v>322</v>
      </c>
      <c r="F236" s="414">
        <v>73460</v>
      </c>
      <c r="G236" s="414">
        <v>73460</v>
      </c>
      <c r="H236" s="571">
        <v>0</v>
      </c>
      <c r="I236" s="414">
        <v>73399.98</v>
      </c>
      <c r="J236" s="571">
        <v>60.02</v>
      </c>
      <c r="K236" s="572">
        <v>0.08</v>
      </c>
      <c r="L236" s="588"/>
      <c r="M236" s="589"/>
      <c r="N236" s="567"/>
      <c r="P236" s="599"/>
      <c r="Q236" s="600"/>
      <c r="R236" s="599"/>
      <c r="S236" s="599"/>
      <c r="T236" s="599"/>
      <c r="U236" s="601"/>
      <c r="V236" s="599"/>
      <c r="W236" s="599"/>
      <c r="X236" s="599"/>
      <c r="Y236" s="599"/>
      <c r="Z236" s="599"/>
      <c r="AA236" s="599"/>
    </row>
    <row r="237" spans="1:27" ht="14.4">
      <c r="A237" s="127" t="s">
        <v>170</v>
      </c>
      <c r="B237" s="127" t="str">
        <f t="shared" si="8"/>
        <v>100-30-302</v>
      </c>
      <c r="C237" s="127" t="str">
        <f t="shared" si="9"/>
        <v>50650</v>
      </c>
      <c r="D237" s="570" t="s">
        <v>748</v>
      </c>
      <c r="E237" s="396" t="s">
        <v>323</v>
      </c>
      <c r="F237" s="573">
        <v>779847</v>
      </c>
      <c r="G237" s="573">
        <v>779847</v>
      </c>
      <c r="H237" s="574">
        <v>68536.479999999996</v>
      </c>
      <c r="I237" s="573">
        <v>770545.39</v>
      </c>
      <c r="J237" s="574">
        <v>9301.61</v>
      </c>
      <c r="K237" s="575">
        <v>1.19</v>
      </c>
      <c r="L237" s="588"/>
      <c r="M237" s="589"/>
      <c r="N237" s="567"/>
      <c r="P237" s="599"/>
      <c r="Q237" s="600"/>
      <c r="R237" s="599"/>
      <c r="S237" s="599"/>
      <c r="T237" s="599"/>
      <c r="U237" s="601"/>
      <c r="V237" s="599"/>
      <c r="W237" s="599"/>
      <c r="X237" s="599"/>
      <c r="Y237" s="599"/>
      <c r="Z237" s="599"/>
      <c r="AA237" s="599"/>
    </row>
    <row r="238" spans="1:27" ht="14.4">
      <c r="A238" s="127" t="s">
        <v>170</v>
      </c>
      <c r="B238" s="127" t="str">
        <f t="shared" si="8"/>
        <v xml:space="preserve">Category: </v>
      </c>
      <c r="C238" s="127" t="str">
        <f t="shared" si="9"/>
        <v>0 - P</v>
      </c>
      <c r="D238" s="569" t="s">
        <v>1123</v>
      </c>
      <c r="E238" s="569"/>
      <c r="F238" s="576">
        <v>6647052</v>
      </c>
      <c r="G238" s="576">
        <v>6647052</v>
      </c>
      <c r="H238" s="577">
        <v>572122.43999999994</v>
      </c>
      <c r="I238" s="576">
        <v>6538777.6699999999</v>
      </c>
      <c r="J238" s="577">
        <v>108274.33</v>
      </c>
      <c r="K238" s="578">
        <v>1.62890752171038E-2</v>
      </c>
      <c r="L238" s="590"/>
      <c r="M238" s="591"/>
      <c r="N238" s="567"/>
      <c r="P238" s="599"/>
      <c r="Q238" s="600"/>
      <c r="R238" s="599"/>
      <c r="S238" s="599"/>
      <c r="T238" s="599"/>
      <c r="U238" s="601"/>
      <c r="V238" s="599"/>
      <c r="W238" s="599"/>
      <c r="X238" s="599"/>
      <c r="Y238" s="599"/>
      <c r="Z238" s="599"/>
      <c r="AA238" s="599"/>
    </row>
    <row r="239" spans="1:27">
      <c r="A239" s="127" t="s">
        <v>170</v>
      </c>
      <c r="B239" s="127" t="str">
        <f t="shared" si="8"/>
        <v/>
      </c>
      <c r="C239" s="127" t="str">
        <f t="shared" si="9"/>
        <v/>
      </c>
      <c r="F239" s="398"/>
      <c r="G239" s="398"/>
      <c r="H239" s="398"/>
      <c r="I239" s="398"/>
      <c r="J239" s="398"/>
      <c r="K239" s="398"/>
      <c r="L239"/>
      <c r="N239" s="567"/>
      <c r="P239" s="599"/>
      <c r="Q239" s="600"/>
      <c r="R239" s="599"/>
      <c r="S239" s="599"/>
      <c r="T239" s="599"/>
      <c r="U239" s="601"/>
      <c r="V239" s="599"/>
      <c r="W239" s="599"/>
      <c r="X239" s="599"/>
      <c r="Y239" s="599"/>
      <c r="Z239" s="599"/>
      <c r="AA239" s="599"/>
    </row>
    <row r="240" spans="1:27" ht="14.4">
      <c r="A240" s="127" t="s">
        <v>170</v>
      </c>
      <c r="B240" s="127" t="str">
        <f t="shared" si="8"/>
        <v xml:space="preserve">Division: </v>
      </c>
      <c r="C240" s="127" t="str">
        <f t="shared" si="9"/>
        <v xml:space="preserve">02 - </v>
      </c>
      <c r="D240" s="569" t="s">
        <v>1143</v>
      </c>
      <c r="E240" s="569"/>
      <c r="F240" s="576">
        <v>6647052</v>
      </c>
      <c r="G240" s="576">
        <v>6647052</v>
      </c>
      <c r="H240" s="577">
        <v>572122.43999999994</v>
      </c>
      <c r="I240" s="576">
        <v>6538777.6699999999</v>
      </c>
      <c r="J240" s="577">
        <v>108274.33</v>
      </c>
      <c r="K240" s="578">
        <v>1.62890752171038E-2</v>
      </c>
      <c r="L240" s="590"/>
      <c r="M240" s="591"/>
      <c r="N240" s="567"/>
      <c r="P240" s="599"/>
      <c r="Q240" s="600"/>
      <c r="R240" s="599"/>
      <c r="S240" s="599"/>
      <c r="T240" s="599"/>
      <c r="U240" s="601"/>
      <c r="V240" s="599"/>
      <c r="W240" s="599"/>
      <c r="X240" s="599"/>
      <c r="Y240" s="599"/>
      <c r="Z240" s="599"/>
      <c r="AA240" s="599"/>
    </row>
    <row r="241" spans="1:27">
      <c r="A241" s="127" t="s">
        <v>170</v>
      </c>
      <c r="B241" s="127" t="str">
        <f t="shared" si="8"/>
        <v/>
      </c>
      <c r="C241" s="127" t="str">
        <f t="shared" si="9"/>
        <v/>
      </c>
      <c r="L241"/>
      <c r="N241" s="567"/>
      <c r="P241" s="599"/>
      <c r="Q241" s="600"/>
      <c r="R241" s="599"/>
      <c r="S241" s="599"/>
      <c r="T241" s="599"/>
      <c r="U241" s="601"/>
      <c r="V241" s="599"/>
      <c r="W241" s="599"/>
      <c r="X241" s="599"/>
      <c r="Y241" s="599"/>
      <c r="Z241" s="599"/>
      <c r="AA241" s="599"/>
    </row>
    <row r="242" spans="1:27">
      <c r="A242" s="127" t="s">
        <v>170</v>
      </c>
      <c r="B242" s="127" t="str">
        <f t="shared" si="8"/>
        <v/>
      </c>
      <c r="C242" s="127" t="str">
        <f t="shared" si="9"/>
        <v/>
      </c>
      <c r="E242" s="569"/>
      <c r="F242" s="569"/>
      <c r="G242" s="569"/>
      <c r="H242" s="569"/>
      <c r="I242" s="569"/>
      <c r="J242" s="569"/>
      <c r="K242" s="569"/>
      <c r="L242" s="587"/>
      <c r="M242" s="587"/>
      <c r="N242" s="567"/>
      <c r="P242" s="599"/>
      <c r="Q242" s="600"/>
      <c r="R242" s="599"/>
      <c r="S242" s="599"/>
      <c r="T242" s="599"/>
      <c r="U242" s="601"/>
      <c r="V242" s="599"/>
      <c r="W242" s="599"/>
      <c r="X242" s="599"/>
      <c r="Y242" s="599"/>
      <c r="Z242" s="599"/>
      <c r="AA242" s="599"/>
    </row>
    <row r="243" spans="1:27">
      <c r="A243" s="127" t="s">
        <v>170</v>
      </c>
      <c r="B243" s="127" t="str">
        <f t="shared" si="8"/>
        <v/>
      </c>
      <c r="C243" s="127" t="str">
        <f t="shared" si="9"/>
        <v/>
      </c>
      <c r="E243" s="569"/>
      <c r="F243" s="569"/>
      <c r="G243" s="569"/>
      <c r="H243" s="569"/>
      <c r="I243" s="569"/>
      <c r="J243" s="569"/>
      <c r="K243" s="569"/>
      <c r="L243" s="587"/>
      <c r="M243" s="587"/>
      <c r="N243" s="567"/>
      <c r="P243" s="599"/>
      <c r="Q243" s="600"/>
      <c r="R243" s="599"/>
      <c r="S243" s="599"/>
      <c r="T243" s="599"/>
      <c r="U243" s="601"/>
      <c r="V243" s="599"/>
      <c r="W243" s="599"/>
      <c r="X243" s="599"/>
      <c r="Y243" s="599"/>
      <c r="Z243" s="599"/>
      <c r="AA243" s="599"/>
    </row>
    <row r="244" spans="1:27" ht="14.4">
      <c r="A244" s="127" t="s">
        <v>170</v>
      </c>
      <c r="B244" s="127" t="str">
        <f t="shared" si="8"/>
        <v>100-30-303</v>
      </c>
      <c r="C244" s="127" t="str">
        <f t="shared" si="9"/>
        <v>50101</v>
      </c>
      <c r="D244" s="570" t="s">
        <v>557</v>
      </c>
      <c r="E244" s="396" t="s">
        <v>316</v>
      </c>
      <c r="F244" s="414">
        <v>171476</v>
      </c>
      <c r="G244" s="414">
        <v>171476</v>
      </c>
      <c r="H244" s="571">
        <v>7532.32</v>
      </c>
      <c r="I244" s="414">
        <v>143216.5</v>
      </c>
      <c r="J244" s="571">
        <v>28259.5</v>
      </c>
      <c r="K244" s="572">
        <v>16.48</v>
      </c>
      <c r="L244" s="588"/>
      <c r="M244" s="589"/>
      <c r="N244" s="567"/>
      <c r="P244" s="599"/>
      <c r="Q244" s="600"/>
      <c r="R244" s="599"/>
      <c r="S244" s="599"/>
      <c r="T244" s="599"/>
      <c r="U244" s="601"/>
      <c r="V244" s="599"/>
      <c r="W244" s="599"/>
      <c r="X244" s="599"/>
      <c r="Y244" s="599"/>
      <c r="Z244" s="599"/>
      <c r="AA244" s="599"/>
    </row>
    <row r="245" spans="1:27" ht="14.4">
      <c r="A245" s="127" t="s">
        <v>170</v>
      </c>
      <c r="B245" s="127" t="str">
        <f t="shared" si="8"/>
        <v>100-30-303</v>
      </c>
      <c r="C245" s="127" t="str">
        <f t="shared" si="9"/>
        <v>50102</v>
      </c>
      <c r="D245" s="570" t="s">
        <v>493</v>
      </c>
      <c r="E245" s="396" t="s">
        <v>317</v>
      </c>
      <c r="F245" s="414">
        <v>1343714</v>
      </c>
      <c r="G245" s="414">
        <v>1343714</v>
      </c>
      <c r="H245" s="571">
        <v>84921.25</v>
      </c>
      <c r="I245" s="414">
        <v>1142233.48</v>
      </c>
      <c r="J245" s="571">
        <v>201480.52</v>
      </c>
      <c r="K245" s="572">
        <v>14.99</v>
      </c>
      <c r="L245" s="588"/>
      <c r="M245" s="589"/>
      <c r="N245" s="567"/>
      <c r="P245" s="599"/>
      <c r="Q245" s="600"/>
      <c r="R245" s="599"/>
      <c r="S245" s="599"/>
      <c r="T245" s="599"/>
      <c r="U245" s="601"/>
      <c r="V245" s="599"/>
      <c r="W245" s="599"/>
      <c r="X245" s="599"/>
      <c r="Y245" s="599"/>
      <c r="Z245" s="599"/>
      <c r="AA245" s="599"/>
    </row>
    <row r="246" spans="1:27" ht="14.4">
      <c r="A246" s="127" t="s">
        <v>170</v>
      </c>
      <c r="B246" s="127" t="str">
        <f t="shared" si="8"/>
        <v>100-30-303</v>
      </c>
      <c r="C246" s="127" t="str">
        <f t="shared" si="9"/>
        <v>50109</v>
      </c>
      <c r="D246" s="570" t="s">
        <v>494</v>
      </c>
      <c r="E246" s="396" t="s">
        <v>12</v>
      </c>
      <c r="F246" s="414">
        <v>101942</v>
      </c>
      <c r="G246" s="414">
        <v>101942</v>
      </c>
      <c r="H246" s="571">
        <v>37404.769999999997</v>
      </c>
      <c r="I246" s="414">
        <v>332130.84999999998</v>
      </c>
      <c r="J246" s="571">
        <v>-230188.85</v>
      </c>
      <c r="K246" s="572">
        <v>-225.8</v>
      </c>
      <c r="L246" s="588"/>
      <c r="M246" s="589"/>
      <c r="N246" s="567"/>
      <c r="P246" s="599"/>
      <c r="Q246" s="600"/>
      <c r="R246" s="599"/>
      <c r="S246" s="599"/>
      <c r="T246" s="599"/>
      <c r="U246" s="601"/>
      <c r="V246" s="599"/>
      <c r="W246" s="599"/>
      <c r="X246" s="599"/>
      <c r="Y246" s="599"/>
      <c r="Z246" s="599"/>
      <c r="AA246" s="599"/>
    </row>
    <row r="247" spans="1:27" ht="14.4">
      <c r="A247" s="127" t="s">
        <v>170</v>
      </c>
      <c r="B247" s="127" t="str">
        <f t="shared" si="8"/>
        <v>100-30-303</v>
      </c>
      <c r="C247" s="127" t="str">
        <f t="shared" si="9"/>
        <v>50111</v>
      </c>
      <c r="D247" s="570" t="s">
        <v>534</v>
      </c>
      <c r="E247" s="396" t="s">
        <v>318</v>
      </c>
      <c r="F247" s="414">
        <v>12621</v>
      </c>
      <c r="G247" s="414">
        <v>12621</v>
      </c>
      <c r="H247" s="571">
        <v>0</v>
      </c>
      <c r="I247" s="414">
        <v>12540</v>
      </c>
      <c r="J247" s="571">
        <v>81</v>
      </c>
      <c r="K247" s="572">
        <v>0.64</v>
      </c>
      <c r="L247" s="588"/>
      <c r="M247" s="589"/>
      <c r="N247" s="567"/>
      <c r="P247" s="599"/>
      <c r="Q247" s="600"/>
      <c r="R247" s="599"/>
      <c r="S247" s="599"/>
      <c r="T247" s="599"/>
      <c r="U247" s="601"/>
      <c r="V247" s="599"/>
      <c r="W247" s="599"/>
      <c r="X247" s="599"/>
      <c r="Y247" s="599"/>
      <c r="Z247" s="599"/>
      <c r="AA247" s="599"/>
    </row>
    <row r="248" spans="1:27" ht="14.4">
      <c r="A248" s="127" t="s">
        <v>170</v>
      </c>
      <c r="B248" s="127" t="str">
        <f t="shared" si="8"/>
        <v>100-30-303</v>
      </c>
      <c r="C248" s="127" t="str">
        <f t="shared" si="9"/>
        <v>50115</v>
      </c>
      <c r="D248" s="570" t="s">
        <v>535</v>
      </c>
      <c r="E248" s="396" t="s">
        <v>325</v>
      </c>
      <c r="F248" s="414">
        <v>97602</v>
      </c>
      <c r="G248" s="414">
        <v>97602</v>
      </c>
      <c r="H248" s="571">
        <v>6358.46</v>
      </c>
      <c r="I248" s="414">
        <v>79660.7</v>
      </c>
      <c r="J248" s="571">
        <v>17941.3</v>
      </c>
      <c r="K248" s="572">
        <v>18.38</v>
      </c>
      <c r="L248" s="588"/>
      <c r="M248" s="589"/>
      <c r="N248" s="567"/>
      <c r="P248" s="599"/>
      <c r="Q248" s="600"/>
      <c r="R248" s="599"/>
      <c r="S248" s="599"/>
      <c r="T248" s="599"/>
      <c r="U248" s="601"/>
      <c r="V248" s="599"/>
      <c r="W248" s="599"/>
      <c r="X248" s="599"/>
      <c r="Y248" s="599"/>
      <c r="Z248" s="599"/>
      <c r="AA248" s="599"/>
    </row>
    <row r="249" spans="1:27" ht="14.4">
      <c r="A249" s="127" t="s">
        <v>170</v>
      </c>
      <c r="B249" s="127" t="str">
        <f t="shared" si="8"/>
        <v>100-30-303</v>
      </c>
      <c r="C249" s="127" t="str">
        <f t="shared" si="9"/>
        <v>50610</v>
      </c>
      <c r="D249" s="570" t="s">
        <v>843</v>
      </c>
      <c r="E249" s="396" t="s">
        <v>320</v>
      </c>
      <c r="F249" s="414">
        <v>132360</v>
      </c>
      <c r="G249" s="414">
        <v>132360</v>
      </c>
      <c r="H249" s="571">
        <v>10064.42</v>
      </c>
      <c r="I249" s="414">
        <v>127034.82</v>
      </c>
      <c r="J249" s="571">
        <v>5325.18</v>
      </c>
      <c r="K249" s="572">
        <v>4.0199999999999996</v>
      </c>
      <c r="L249" s="588"/>
      <c r="M249" s="589"/>
      <c r="N249" s="567"/>
      <c r="P249" s="599"/>
      <c r="Q249" s="600"/>
      <c r="R249" s="599"/>
      <c r="S249" s="599"/>
      <c r="T249" s="599"/>
      <c r="U249" s="601"/>
      <c r="V249" s="599"/>
      <c r="W249" s="599"/>
      <c r="X249" s="599"/>
      <c r="Y249" s="599"/>
      <c r="Z249" s="599"/>
      <c r="AA249" s="599"/>
    </row>
    <row r="250" spans="1:27" ht="14.4">
      <c r="A250" s="127" t="s">
        <v>170</v>
      </c>
      <c r="B250" s="127" t="str">
        <f t="shared" si="8"/>
        <v>100-30-303</v>
      </c>
      <c r="C250" s="127" t="str">
        <f t="shared" si="9"/>
        <v>50620</v>
      </c>
      <c r="D250" s="570" t="s">
        <v>733</v>
      </c>
      <c r="E250" s="396" t="s">
        <v>321</v>
      </c>
      <c r="F250" s="414">
        <v>285654</v>
      </c>
      <c r="G250" s="414">
        <v>285654</v>
      </c>
      <c r="H250" s="571">
        <v>18214.849999999999</v>
      </c>
      <c r="I250" s="414">
        <v>215250.15</v>
      </c>
      <c r="J250" s="571">
        <v>70403.850000000006</v>
      </c>
      <c r="K250" s="572">
        <v>24.65</v>
      </c>
      <c r="L250" s="588"/>
      <c r="M250" s="589"/>
      <c r="N250" s="567"/>
      <c r="P250" s="599"/>
      <c r="Q250" s="600"/>
      <c r="R250" s="599"/>
      <c r="S250" s="599"/>
      <c r="T250" s="599"/>
      <c r="U250" s="601"/>
      <c r="V250" s="599"/>
      <c r="W250" s="599"/>
      <c r="X250" s="599"/>
      <c r="Y250" s="599"/>
      <c r="Z250" s="599"/>
      <c r="AA250" s="599"/>
    </row>
    <row r="251" spans="1:27" ht="14.4">
      <c r="A251" s="127" t="s">
        <v>170</v>
      </c>
      <c r="B251" s="127" t="str">
        <f t="shared" si="8"/>
        <v>100-30-303</v>
      </c>
      <c r="C251" s="127" t="str">
        <f t="shared" si="9"/>
        <v>50630</v>
      </c>
      <c r="D251" s="570" t="s">
        <v>844</v>
      </c>
      <c r="E251" s="396" t="s">
        <v>322</v>
      </c>
      <c r="F251" s="414">
        <v>6256</v>
      </c>
      <c r="G251" s="414">
        <v>6256</v>
      </c>
      <c r="H251" s="571">
        <v>0</v>
      </c>
      <c r="I251" s="414">
        <v>6250.89</v>
      </c>
      <c r="J251" s="571">
        <v>5.1100000000000003</v>
      </c>
      <c r="K251" s="572">
        <v>0.08</v>
      </c>
      <c r="L251" s="588"/>
      <c r="M251" s="589"/>
      <c r="N251" s="567"/>
      <c r="P251" s="599"/>
      <c r="Q251" s="600"/>
      <c r="R251" s="599"/>
      <c r="S251" s="599"/>
      <c r="T251" s="599"/>
      <c r="U251" s="601"/>
      <c r="V251" s="599"/>
      <c r="W251" s="599"/>
      <c r="X251" s="599"/>
      <c r="Y251" s="599"/>
      <c r="Z251" s="599"/>
      <c r="AA251" s="599"/>
    </row>
    <row r="252" spans="1:27" ht="14.4">
      <c r="A252" s="127" t="s">
        <v>170</v>
      </c>
      <c r="B252" s="127" t="str">
        <f t="shared" si="8"/>
        <v>100-30-303</v>
      </c>
      <c r="C252" s="127" t="str">
        <f t="shared" si="9"/>
        <v>50650</v>
      </c>
      <c r="D252" s="570" t="s">
        <v>669</v>
      </c>
      <c r="E252" s="396" t="s">
        <v>323</v>
      </c>
      <c r="F252" s="573">
        <v>285876</v>
      </c>
      <c r="G252" s="573">
        <v>285876</v>
      </c>
      <c r="H252" s="574">
        <v>22720.66</v>
      </c>
      <c r="I252" s="573">
        <v>282264.71000000002</v>
      </c>
      <c r="J252" s="574">
        <v>3611.29</v>
      </c>
      <c r="K252" s="575">
        <v>1.26</v>
      </c>
      <c r="L252" s="588"/>
      <c r="M252" s="589"/>
      <c r="N252" s="567"/>
      <c r="P252" s="599"/>
      <c r="Q252" s="600"/>
      <c r="R252" s="599"/>
      <c r="S252" s="599"/>
      <c r="T252" s="599"/>
      <c r="U252" s="601"/>
      <c r="V252" s="599"/>
      <c r="W252" s="599"/>
      <c r="X252" s="599"/>
      <c r="Y252" s="599"/>
      <c r="Z252" s="599"/>
      <c r="AA252" s="599"/>
    </row>
    <row r="253" spans="1:27" ht="14.4">
      <c r="A253" s="127" t="s">
        <v>170</v>
      </c>
      <c r="B253" s="127" t="str">
        <f t="shared" si="8"/>
        <v xml:space="preserve">Category: </v>
      </c>
      <c r="C253" s="127" t="str">
        <f t="shared" si="9"/>
        <v>0 - P</v>
      </c>
      <c r="D253" s="569" t="s">
        <v>1123</v>
      </c>
      <c r="E253" s="569"/>
      <c r="F253" s="576">
        <v>2437501</v>
      </c>
      <c r="G253" s="576">
        <v>2437501</v>
      </c>
      <c r="H253" s="577">
        <v>187216.73</v>
      </c>
      <c r="I253" s="576">
        <v>2340582.1</v>
      </c>
      <c r="J253" s="577">
        <v>96918.9</v>
      </c>
      <c r="K253" s="578">
        <v>3.9761583687555398E-2</v>
      </c>
      <c r="L253" s="590"/>
      <c r="M253" s="591"/>
      <c r="N253" s="567"/>
      <c r="P253" s="599"/>
      <c r="Q253" s="600"/>
      <c r="R253" s="599"/>
      <c r="S253" s="599"/>
      <c r="T253" s="599"/>
      <c r="U253" s="601"/>
      <c r="V253" s="599"/>
      <c r="W253" s="599"/>
      <c r="X253" s="599"/>
      <c r="Y253" s="599"/>
      <c r="Z253" s="599"/>
      <c r="AA253" s="599"/>
    </row>
    <row r="254" spans="1:27">
      <c r="A254" s="127" t="s">
        <v>170</v>
      </c>
      <c r="B254" s="127" t="str">
        <f>LEFT(D254,10)</f>
        <v/>
      </c>
      <c r="C254" s="127" t="str">
        <f t="shared" si="9"/>
        <v/>
      </c>
      <c r="F254" s="398"/>
      <c r="G254" s="398"/>
      <c r="H254" s="398"/>
      <c r="I254" s="398"/>
      <c r="J254" s="398"/>
      <c r="K254" s="398"/>
      <c r="L254"/>
      <c r="N254" s="567"/>
      <c r="P254" s="599"/>
      <c r="Q254" s="600"/>
      <c r="R254" s="599"/>
      <c r="S254" s="599"/>
      <c r="T254" s="599"/>
      <c r="U254" s="601"/>
      <c r="V254" s="599"/>
      <c r="W254" s="599"/>
      <c r="X254" s="599"/>
      <c r="Y254" s="599"/>
      <c r="Z254" s="599"/>
      <c r="AA254" s="599"/>
    </row>
    <row r="255" spans="1:27" ht="14.4">
      <c r="A255" s="127" t="s">
        <v>170</v>
      </c>
      <c r="B255" s="127" t="str">
        <f t="shared" si="8"/>
        <v xml:space="preserve">Division: </v>
      </c>
      <c r="C255" s="127" t="str">
        <f t="shared" si="9"/>
        <v xml:space="preserve">03 - </v>
      </c>
      <c r="D255" s="569" t="s">
        <v>1144</v>
      </c>
      <c r="E255" s="569"/>
      <c r="F255" s="576">
        <v>2437501</v>
      </c>
      <c r="G255" s="576">
        <v>2437501</v>
      </c>
      <c r="H255" s="577">
        <v>187216.73</v>
      </c>
      <c r="I255" s="576">
        <v>2340582.1</v>
      </c>
      <c r="J255" s="577">
        <v>96918.9</v>
      </c>
      <c r="K255" s="578">
        <v>3.9761583687555398E-2</v>
      </c>
      <c r="L255" s="590"/>
      <c r="M255" s="591"/>
      <c r="N255" s="567"/>
      <c r="P255" s="599"/>
      <c r="Q255" s="600"/>
      <c r="R255" s="599"/>
      <c r="S255" s="599"/>
      <c r="T255" s="599"/>
      <c r="U255" s="601"/>
      <c r="V255" s="599"/>
      <c r="W255" s="599"/>
      <c r="X255" s="599"/>
      <c r="Y255" s="599"/>
      <c r="Z255" s="599"/>
      <c r="AA255" s="599"/>
    </row>
    <row r="256" spans="1:27">
      <c r="A256" s="127" t="s">
        <v>170</v>
      </c>
      <c r="B256" s="127" t="str">
        <f t="shared" si="8"/>
        <v/>
      </c>
      <c r="C256" s="127" t="str">
        <f t="shared" si="9"/>
        <v/>
      </c>
      <c r="L256"/>
      <c r="N256" s="567"/>
      <c r="P256" s="599"/>
      <c r="Q256" s="600"/>
      <c r="R256" s="599"/>
      <c r="S256" s="599"/>
      <c r="T256" s="599"/>
      <c r="U256" s="601"/>
      <c r="V256" s="599"/>
      <c r="W256" s="599"/>
      <c r="X256" s="599"/>
      <c r="Y256" s="599"/>
      <c r="Z256" s="599"/>
      <c r="AA256" s="599"/>
    </row>
    <row r="257" spans="1:27">
      <c r="A257" s="127" t="s">
        <v>170</v>
      </c>
      <c r="B257" s="127" t="str">
        <f t="shared" si="8"/>
        <v/>
      </c>
      <c r="C257" s="127" t="str">
        <f t="shared" si="9"/>
        <v/>
      </c>
      <c r="E257" s="569"/>
      <c r="F257" s="569"/>
      <c r="G257" s="569"/>
      <c r="H257" s="569"/>
      <c r="I257" s="569"/>
      <c r="J257" s="569"/>
      <c r="K257" s="569"/>
      <c r="L257" s="587"/>
      <c r="M257" s="587"/>
      <c r="N257" s="567"/>
      <c r="P257" s="599"/>
      <c r="Q257" s="600"/>
      <c r="R257" s="599"/>
      <c r="S257" s="599"/>
      <c r="T257" s="599"/>
      <c r="U257" s="601"/>
      <c r="V257" s="599"/>
      <c r="W257" s="599"/>
      <c r="X257" s="599"/>
      <c r="Y257" s="599"/>
      <c r="Z257" s="599"/>
      <c r="AA257" s="599"/>
    </row>
    <row r="258" spans="1:27">
      <c r="A258" s="127" t="s">
        <v>170</v>
      </c>
      <c r="B258" s="127" t="str">
        <f t="shared" si="8"/>
        <v/>
      </c>
      <c r="C258" s="127" t="str">
        <f t="shared" si="9"/>
        <v/>
      </c>
      <c r="E258" s="569"/>
      <c r="F258" s="569"/>
      <c r="G258" s="569"/>
      <c r="H258" s="569"/>
      <c r="I258" s="569"/>
      <c r="J258" s="569"/>
      <c r="K258" s="569"/>
      <c r="L258" s="587"/>
      <c r="M258" s="587"/>
      <c r="N258" s="567"/>
      <c r="P258" s="599"/>
      <c r="Q258" s="600"/>
      <c r="R258" s="599"/>
      <c r="S258" s="599"/>
      <c r="T258" s="599"/>
      <c r="U258" s="601"/>
      <c r="V258" s="599"/>
      <c r="W258" s="599"/>
      <c r="X258" s="599"/>
      <c r="Y258" s="599"/>
      <c r="Z258" s="599"/>
      <c r="AA258" s="599"/>
    </row>
    <row r="259" spans="1:27" ht="14.4">
      <c r="A259" s="127" t="s">
        <v>170</v>
      </c>
      <c r="B259" s="127" t="str">
        <f t="shared" si="8"/>
        <v>100-30-304</v>
      </c>
      <c r="C259" s="127" t="str">
        <f t="shared" si="9"/>
        <v>50102</v>
      </c>
      <c r="D259" s="570" t="s">
        <v>597</v>
      </c>
      <c r="E259" s="396" t="s">
        <v>317</v>
      </c>
      <c r="F259" s="414">
        <v>171638</v>
      </c>
      <c r="G259" s="414">
        <v>171638</v>
      </c>
      <c r="H259" s="571">
        <v>8329.7099999999991</v>
      </c>
      <c r="I259" s="414">
        <v>142459.32</v>
      </c>
      <c r="J259" s="571">
        <v>29178.68</v>
      </c>
      <c r="K259" s="572">
        <v>17</v>
      </c>
      <c r="L259" s="588"/>
      <c r="M259" s="589"/>
      <c r="N259" s="567"/>
      <c r="P259" s="599"/>
      <c r="Q259" s="600"/>
      <c r="R259" s="599"/>
      <c r="S259" s="599"/>
      <c r="T259" s="599"/>
      <c r="U259" s="601"/>
      <c r="V259" s="599"/>
      <c r="W259" s="599"/>
      <c r="X259" s="599"/>
      <c r="Y259" s="599"/>
      <c r="Z259" s="599"/>
      <c r="AA259" s="599"/>
    </row>
    <row r="260" spans="1:27" ht="14.4">
      <c r="A260" s="127" t="s">
        <v>170</v>
      </c>
      <c r="B260" s="127" t="str">
        <f t="shared" si="8"/>
        <v>100-30-304</v>
      </c>
      <c r="C260" s="127" t="str">
        <f t="shared" si="9"/>
        <v>50109</v>
      </c>
      <c r="D260" s="570" t="s">
        <v>599</v>
      </c>
      <c r="E260" s="396" t="s">
        <v>12</v>
      </c>
      <c r="F260" s="414">
        <v>10511</v>
      </c>
      <c r="G260" s="414">
        <v>10511</v>
      </c>
      <c r="H260" s="571">
        <v>287.91000000000003</v>
      </c>
      <c r="I260" s="414">
        <v>12976</v>
      </c>
      <c r="J260" s="571">
        <v>-2465</v>
      </c>
      <c r="K260" s="572">
        <v>-23.45</v>
      </c>
      <c r="L260" s="588"/>
      <c r="M260" s="589"/>
      <c r="N260" s="567"/>
      <c r="P260" s="599"/>
      <c r="Q260" s="600"/>
      <c r="R260" s="599"/>
      <c r="S260" s="599"/>
      <c r="T260" s="599"/>
      <c r="U260" s="601"/>
      <c r="V260" s="599"/>
      <c r="W260" s="599"/>
      <c r="X260" s="599"/>
      <c r="Y260" s="599"/>
      <c r="Z260" s="599"/>
      <c r="AA260" s="599"/>
    </row>
    <row r="261" spans="1:27" ht="14.4">
      <c r="A261" s="127" t="s">
        <v>170</v>
      </c>
      <c r="B261" s="127" t="str">
        <f t="shared" ref="B261:B324" si="10">LEFT(D261,10)</f>
        <v>100-30-304</v>
      </c>
      <c r="C261" s="127" t="str">
        <f t="shared" ref="C261:C324" si="11">MID(D261,12,5)</f>
        <v>50111</v>
      </c>
      <c r="D261" s="570" t="s">
        <v>598</v>
      </c>
      <c r="E261" s="396" t="s">
        <v>318</v>
      </c>
      <c r="F261" s="414">
        <v>475</v>
      </c>
      <c r="G261" s="414">
        <v>475</v>
      </c>
      <c r="H261" s="571">
        <v>0</v>
      </c>
      <c r="I261" s="414">
        <v>465</v>
      </c>
      <c r="J261" s="571">
        <v>10</v>
      </c>
      <c r="K261" s="572">
        <v>2.11</v>
      </c>
      <c r="L261" s="588"/>
      <c r="M261" s="589"/>
      <c r="N261" s="567"/>
      <c r="P261" s="599"/>
      <c r="Q261" s="600"/>
      <c r="R261" s="599"/>
      <c r="S261" s="599"/>
      <c r="T261" s="599"/>
      <c r="U261" s="601"/>
      <c r="V261" s="599"/>
      <c r="W261" s="599"/>
      <c r="X261" s="599"/>
      <c r="Y261" s="599"/>
      <c r="Z261" s="599"/>
      <c r="AA261" s="599"/>
    </row>
    <row r="262" spans="1:27" ht="14.4">
      <c r="A262" s="127" t="s">
        <v>170</v>
      </c>
      <c r="B262" s="127" t="str">
        <f t="shared" si="10"/>
        <v>100-30-304</v>
      </c>
      <c r="C262" s="127" t="str">
        <f t="shared" si="11"/>
        <v>50115</v>
      </c>
      <c r="D262" s="570" t="s">
        <v>658</v>
      </c>
      <c r="E262" s="396" t="s">
        <v>325</v>
      </c>
      <c r="F262" s="414">
        <v>21200</v>
      </c>
      <c r="G262" s="414">
        <v>21200</v>
      </c>
      <c r="H262" s="571">
        <v>883.35</v>
      </c>
      <c r="I262" s="414">
        <v>14289.6</v>
      </c>
      <c r="J262" s="571">
        <v>6910.4</v>
      </c>
      <c r="K262" s="572">
        <v>32.6</v>
      </c>
      <c r="L262" s="588"/>
      <c r="M262" s="589"/>
      <c r="N262" s="567"/>
      <c r="P262" s="599"/>
      <c r="Q262" s="600"/>
      <c r="R262" s="599"/>
      <c r="S262" s="599"/>
      <c r="T262" s="599"/>
      <c r="U262" s="601"/>
      <c r="V262" s="599"/>
      <c r="W262" s="599"/>
      <c r="X262" s="599"/>
      <c r="Y262" s="599"/>
      <c r="Z262" s="599"/>
      <c r="AA262" s="599"/>
    </row>
    <row r="263" spans="1:27" ht="14.4">
      <c r="A263" s="127" t="s">
        <v>170</v>
      </c>
      <c r="B263" s="127" t="str">
        <f t="shared" si="10"/>
        <v>100-30-304</v>
      </c>
      <c r="C263" s="127" t="str">
        <f t="shared" si="11"/>
        <v>50610</v>
      </c>
      <c r="D263" s="570" t="s">
        <v>845</v>
      </c>
      <c r="E263" s="396" t="s">
        <v>320</v>
      </c>
      <c r="F263" s="414">
        <v>15610</v>
      </c>
      <c r="G263" s="414">
        <v>15610</v>
      </c>
      <c r="H263" s="571">
        <v>693.96</v>
      </c>
      <c r="I263" s="414">
        <v>12703.49</v>
      </c>
      <c r="J263" s="571">
        <v>2906.51</v>
      </c>
      <c r="K263" s="572">
        <v>18.62</v>
      </c>
      <c r="L263" s="588"/>
      <c r="M263" s="589"/>
      <c r="N263" s="567"/>
      <c r="P263" s="599"/>
      <c r="Q263" s="600"/>
      <c r="R263" s="599"/>
      <c r="S263" s="599"/>
      <c r="T263" s="599"/>
      <c r="U263" s="601"/>
      <c r="V263" s="599"/>
      <c r="W263" s="599"/>
      <c r="X263" s="599"/>
      <c r="Y263" s="599"/>
      <c r="Z263" s="599"/>
      <c r="AA263" s="599"/>
    </row>
    <row r="264" spans="1:27" ht="14.4">
      <c r="A264" s="127" t="s">
        <v>170</v>
      </c>
      <c r="B264" s="127" t="str">
        <f t="shared" si="10"/>
        <v>100-30-304</v>
      </c>
      <c r="C264" s="127" t="str">
        <f t="shared" si="11"/>
        <v>50620</v>
      </c>
      <c r="D264" s="570" t="s">
        <v>705</v>
      </c>
      <c r="E264" s="396" t="s">
        <v>321</v>
      </c>
      <c r="F264" s="414">
        <v>54959</v>
      </c>
      <c r="G264" s="414">
        <v>54959</v>
      </c>
      <c r="H264" s="571">
        <v>2515.5700000000002</v>
      </c>
      <c r="I264" s="414">
        <v>43628.32</v>
      </c>
      <c r="J264" s="571">
        <v>11330.68</v>
      </c>
      <c r="K264" s="572">
        <v>20.62</v>
      </c>
      <c r="L264" s="588"/>
      <c r="M264" s="589"/>
      <c r="N264" s="567"/>
      <c r="P264" s="599"/>
      <c r="Q264" s="600"/>
      <c r="R264" s="599"/>
      <c r="S264" s="599"/>
      <c r="T264" s="599"/>
      <c r="U264" s="601"/>
      <c r="V264" s="599"/>
      <c r="W264" s="599"/>
      <c r="X264" s="599"/>
      <c r="Y264" s="599"/>
      <c r="Z264" s="599"/>
      <c r="AA264" s="599"/>
    </row>
    <row r="265" spans="1:27" ht="14.4">
      <c r="A265" s="127" t="s">
        <v>170</v>
      </c>
      <c r="B265" s="127" t="str">
        <f t="shared" si="10"/>
        <v>100-30-304</v>
      </c>
      <c r="C265" s="127" t="str">
        <f t="shared" si="11"/>
        <v>50630</v>
      </c>
      <c r="D265" s="570" t="s">
        <v>846</v>
      </c>
      <c r="E265" s="396" t="s">
        <v>322</v>
      </c>
      <c r="F265" s="414">
        <v>4441</v>
      </c>
      <c r="G265" s="414">
        <v>4441</v>
      </c>
      <c r="H265" s="571">
        <v>0</v>
      </c>
      <c r="I265" s="414">
        <v>4437.37</v>
      </c>
      <c r="J265" s="571">
        <v>3.63</v>
      </c>
      <c r="K265" s="572">
        <v>0.08</v>
      </c>
      <c r="L265" s="588"/>
      <c r="M265" s="589"/>
      <c r="N265" s="567"/>
      <c r="P265" s="599"/>
      <c r="Q265" s="600"/>
      <c r="R265" s="599"/>
      <c r="S265" s="599"/>
      <c r="T265" s="599"/>
      <c r="U265" s="601"/>
      <c r="V265" s="599"/>
      <c r="W265" s="599"/>
      <c r="X265" s="599"/>
      <c r="Y265" s="599"/>
      <c r="Z265" s="599"/>
      <c r="AA265" s="599"/>
    </row>
    <row r="266" spans="1:27" ht="14.4">
      <c r="A266" s="127" t="s">
        <v>170</v>
      </c>
      <c r="B266" s="127" t="str">
        <f t="shared" si="10"/>
        <v>100-30-304</v>
      </c>
      <c r="C266" s="127" t="str">
        <f t="shared" si="11"/>
        <v>50650</v>
      </c>
      <c r="D266" s="570" t="s">
        <v>673</v>
      </c>
      <c r="E266" s="396" t="s">
        <v>323</v>
      </c>
      <c r="F266" s="573">
        <v>33712</v>
      </c>
      <c r="G266" s="573">
        <v>33712</v>
      </c>
      <c r="H266" s="574">
        <v>1583.81</v>
      </c>
      <c r="I266" s="573">
        <v>28474.43</v>
      </c>
      <c r="J266" s="574">
        <v>5237.57</v>
      </c>
      <c r="K266" s="575">
        <v>15.54</v>
      </c>
      <c r="L266" s="588"/>
      <c r="M266" s="589"/>
      <c r="N266" s="567"/>
      <c r="P266" s="599"/>
      <c r="Q266" s="600"/>
      <c r="R266" s="599"/>
      <c r="S266" s="599"/>
      <c r="T266" s="599"/>
      <c r="U266" s="601"/>
      <c r="V266" s="599"/>
      <c r="W266" s="599"/>
      <c r="X266" s="599"/>
      <c r="Y266" s="599"/>
      <c r="Z266" s="599"/>
      <c r="AA266" s="599"/>
    </row>
    <row r="267" spans="1:27" ht="14.4">
      <c r="A267" s="127" t="s">
        <v>170</v>
      </c>
      <c r="B267" s="127" t="str">
        <f t="shared" si="10"/>
        <v xml:space="preserve">Category: </v>
      </c>
      <c r="C267" s="127" t="str">
        <f t="shared" si="11"/>
        <v>0 - P</v>
      </c>
      <c r="D267" s="569" t="s">
        <v>1123</v>
      </c>
      <c r="E267" s="569"/>
      <c r="F267" s="576">
        <v>312546</v>
      </c>
      <c r="G267" s="576">
        <v>312546</v>
      </c>
      <c r="H267" s="577">
        <v>14294.31</v>
      </c>
      <c r="I267" s="576">
        <v>259433.53</v>
      </c>
      <c r="J267" s="577">
        <v>53112.47</v>
      </c>
      <c r="K267" s="578">
        <v>0.16993488958425301</v>
      </c>
      <c r="L267" s="590"/>
      <c r="M267" s="591"/>
      <c r="N267" s="567"/>
      <c r="P267" s="599"/>
      <c r="Q267" s="600"/>
      <c r="R267" s="599"/>
      <c r="S267" s="599"/>
      <c r="T267" s="599"/>
      <c r="U267" s="601"/>
      <c r="V267" s="599"/>
      <c r="W267" s="599"/>
      <c r="X267" s="599"/>
      <c r="Y267" s="599"/>
      <c r="Z267" s="599"/>
      <c r="AA267" s="599"/>
    </row>
    <row r="268" spans="1:27">
      <c r="A268" s="127" t="s">
        <v>170</v>
      </c>
      <c r="B268" s="127" t="str">
        <f t="shared" si="10"/>
        <v/>
      </c>
      <c r="C268" s="127" t="str">
        <f t="shared" si="11"/>
        <v/>
      </c>
      <c r="F268" s="398"/>
      <c r="G268" s="398"/>
      <c r="H268" s="398"/>
      <c r="I268" s="398"/>
      <c r="J268" s="398"/>
      <c r="K268" s="398"/>
      <c r="L268"/>
      <c r="N268" s="567"/>
      <c r="P268" s="599"/>
      <c r="Q268" s="600"/>
      <c r="R268" s="599"/>
      <c r="S268" s="599"/>
      <c r="T268" s="599"/>
      <c r="U268" s="601"/>
      <c r="V268" s="599"/>
      <c r="W268" s="599"/>
      <c r="X268" s="599"/>
      <c r="Y268" s="599"/>
      <c r="Z268" s="599"/>
      <c r="AA268" s="599"/>
    </row>
    <row r="269" spans="1:27" ht="14.4">
      <c r="A269" s="127" t="s">
        <v>170</v>
      </c>
      <c r="B269" s="127" t="str">
        <f t="shared" si="10"/>
        <v xml:space="preserve">Division: </v>
      </c>
      <c r="C269" s="127" t="str">
        <f t="shared" si="11"/>
        <v xml:space="preserve">04 - </v>
      </c>
      <c r="D269" s="569" t="s">
        <v>1145</v>
      </c>
      <c r="E269" s="569"/>
      <c r="F269" s="576">
        <v>312546</v>
      </c>
      <c r="G269" s="576">
        <v>312546</v>
      </c>
      <c r="H269" s="577">
        <v>14294.31</v>
      </c>
      <c r="I269" s="576">
        <v>259433.53</v>
      </c>
      <c r="J269" s="577">
        <v>53112.47</v>
      </c>
      <c r="K269" s="578">
        <v>0.16993488958425301</v>
      </c>
      <c r="L269" s="590"/>
      <c r="M269" s="591"/>
      <c r="N269" s="567"/>
      <c r="P269" s="599"/>
      <c r="Q269" s="600"/>
      <c r="R269" s="599"/>
      <c r="S269" s="599"/>
      <c r="T269" s="599"/>
      <c r="U269" s="601"/>
      <c r="V269" s="599"/>
      <c r="W269" s="599"/>
      <c r="X269" s="599"/>
      <c r="Y269" s="599"/>
      <c r="Z269" s="599"/>
      <c r="AA269" s="599"/>
    </row>
    <row r="270" spans="1:27">
      <c r="A270" s="127" t="s">
        <v>170</v>
      </c>
      <c r="B270" s="127" t="str">
        <f t="shared" si="10"/>
        <v/>
      </c>
      <c r="C270" s="127" t="str">
        <f t="shared" si="11"/>
        <v/>
      </c>
      <c r="L270"/>
      <c r="N270" s="567"/>
      <c r="P270" s="599"/>
      <c r="Q270" s="600"/>
      <c r="R270" s="599"/>
      <c r="S270" s="599"/>
      <c r="T270" s="599"/>
      <c r="U270" s="601"/>
      <c r="V270" s="599"/>
      <c r="W270" s="599"/>
      <c r="X270" s="599"/>
      <c r="Y270" s="599"/>
      <c r="Z270" s="599"/>
      <c r="AA270" s="599"/>
    </row>
    <row r="271" spans="1:27">
      <c r="A271" s="127" t="s">
        <v>170</v>
      </c>
      <c r="B271" s="127" t="str">
        <f t="shared" si="10"/>
        <v/>
      </c>
      <c r="C271" s="127" t="str">
        <f t="shared" si="11"/>
        <v/>
      </c>
      <c r="E271" s="569"/>
      <c r="F271" s="569"/>
      <c r="G271" s="569"/>
      <c r="H271" s="569"/>
      <c r="I271" s="569"/>
      <c r="J271" s="569"/>
      <c r="K271" s="569"/>
      <c r="L271" s="587"/>
      <c r="M271" s="587"/>
      <c r="N271" s="567"/>
      <c r="P271" s="599"/>
      <c r="Q271" s="600"/>
      <c r="R271" s="599"/>
      <c r="S271" s="599"/>
      <c r="T271" s="599"/>
      <c r="U271" s="601"/>
      <c r="V271" s="599"/>
      <c r="W271" s="599"/>
      <c r="X271" s="599"/>
      <c r="Y271" s="599"/>
      <c r="Z271" s="599"/>
      <c r="AA271" s="599"/>
    </row>
    <row r="272" spans="1:27">
      <c r="A272" s="127" t="s">
        <v>170</v>
      </c>
      <c r="B272" s="127" t="str">
        <f t="shared" si="10"/>
        <v/>
      </c>
      <c r="C272" s="127" t="str">
        <f t="shared" si="11"/>
        <v/>
      </c>
      <c r="E272" s="569"/>
      <c r="F272" s="569"/>
      <c r="G272" s="569"/>
      <c r="H272" s="569"/>
      <c r="I272" s="569"/>
      <c r="J272" s="569"/>
      <c r="K272" s="569"/>
      <c r="L272" s="587"/>
      <c r="M272" s="587"/>
      <c r="N272" s="567"/>
      <c r="P272" s="599"/>
      <c r="Q272" s="600"/>
      <c r="R272" s="599"/>
      <c r="S272" s="599"/>
      <c r="T272" s="599"/>
      <c r="U272" s="601"/>
      <c r="V272" s="599"/>
      <c r="W272" s="599"/>
      <c r="X272" s="599"/>
      <c r="Y272" s="599"/>
      <c r="Z272" s="599"/>
      <c r="AA272" s="599"/>
    </row>
    <row r="273" spans="1:27" ht="14.4">
      <c r="A273" s="127" t="s">
        <v>170</v>
      </c>
      <c r="B273" s="127" t="str">
        <f t="shared" si="10"/>
        <v>100-30-305</v>
      </c>
      <c r="C273" s="127" t="str">
        <f t="shared" si="11"/>
        <v>50101</v>
      </c>
      <c r="D273" s="570" t="s">
        <v>847</v>
      </c>
      <c r="E273" s="396" t="s">
        <v>316</v>
      </c>
      <c r="F273" s="414">
        <v>12687</v>
      </c>
      <c r="G273" s="414">
        <v>12687</v>
      </c>
      <c r="H273" s="571">
        <v>1023.09</v>
      </c>
      <c r="I273" s="414">
        <v>12562.21</v>
      </c>
      <c r="J273" s="571">
        <v>124.79</v>
      </c>
      <c r="K273" s="572">
        <v>0.98</v>
      </c>
      <c r="L273" s="588"/>
      <c r="M273" s="589"/>
      <c r="N273" s="567"/>
      <c r="P273" s="599"/>
      <c r="Q273" s="600"/>
      <c r="R273" s="599"/>
      <c r="S273" s="599"/>
      <c r="T273" s="599"/>
      <c r="U273" s="601"/>
      <c r="V273" s="599"/>
      <c r="W273" s="599"/>
      <c r="X273" s="599"/>
      <c r="Y273" s="599"/>
      <c r="Z273" s="599"/>
      <c r="AA273" s="599"/>
    </row>
    <row r="274" spans="1:27" ht="14.4">
      <c r="A274" s="127" t="s">
        <v>170</v>
      </c>
      <c r="B274" s="127" t="str">
        <f t="shared" si="10"/>
        <v>100-30-305</v>
      </c>
      <c r="C274" s="127" t="str">
        <f t="shared" si="11"/>
        <v>50102</v>
      </c>
      <c r="D274" s="570" t="s">
        <v>542</v>
      </c>
      <c r="E274" s="396" t="s">
        <v>317</v>
      </c>
      <c r="F274" s="414">
        <v>496028</v>
      </c>
      <c r="G274" s="414">
        <v>496028</v>
      </c>
      <c r="H274" s="571">
        <v>39381.839999999997</v>
      </c>
      <c r="I274" s="414">
        <v>459021</v>
      </c>
      <c r="J274" s="571">
        <v>37007</v>
      </c>
      <c r="K274" s="572">
        <v>7.46</v>
      </c>
      <c r="L274" s="588"/>
      <c r="M274" s="589"/>
      <c r="N274" s="567"/>
      <c r="P274" s="599"/>
      <c r="Q274" s="600"/>
      <c r="R274" s="599"/>
      <c r="S274" s="599"/>
      <c r="T274" s="599"/>
      <c r="U274" s="601"/>
      <c r="V274" s="599"/>
      <c r="W274" s="599"/>
      <c r="X274" s="599"/>
      <c r="Y274" s="599"/>
      <c r="Z274" s="599"/>
      <c r="AA274" s="599"/>
    </row>
    <row r="275" spans="1:27" ht="14.4">
      <c r="A275" s="127" t="s">
        <v>170</v>
      </c>
      <c r="B275" s="127" t="str">
        <f t="shared" si="10"/>
        <v>100-30-305</v>
      </c>
      <c r="C275" s="127" t="str">
        <f t="shared" si="11"/>
        <v>50109</v>
      </c>
      <c r="D275" s="570" t="s">
        <v>543</v>
      </c>
      <c r="E275" s="396" t="s">
        <v>12</v>
      </c>
      <c r="F275" s="414">
        <v>12214</v>
      </c>
      <c r="G275" s="414">
        <v>12214</v>
      </c>
      <c r="H275" s="571">
        <v>2580.23</v>
      </c>
      <c r="I275" s="414">
        <v>25971.7</v>
      </c>
      <c r="J275" s="571">
        <v>-13757.7</v>
      </c>
      <c r="K275" s="572">
        <v>-112.64</v>
      </c>
      <c r="L275" s="588"/>
      <c r="M275" s="589"/>
      <c r="N275" s="567"/>
      <c r="P275" s="599"/>
      <c r="Q275" s="600"/>
      <c r="R275" s="599"/>
      <c r="S275" s="599"/>
      <c r="T275" s="599"/>
      <c r="U275" s="601"/>
      <c r="V275" s="599"/>
      <c r="W275" s="599"/>
      <c r="X275" s="599"/>
      <c r="Y275" s="599"/>
      <c r="Z275" s="599"/>
      <c r="AA275" s="599"/>
    </row>
    <row r="276" spans="1:27" ht="14.4">
      <c r="A276" s="127" t="s">
        <v>170</v>
      </c>
      <c r="B276" s="127" t="str">
        <f t="shared" si="10"/>
        <v>100-30-305</v>
      </c>
      <c r="C276" s="127" t="str">
        <f t="shared" si="11"/>
        <v>50111</v>
      </c>
      <c r="D276" s="570" t="s">
        <v>544</v>
      </c>
      <c r="E276" s="396" t="s">
        <v>318</v>
      </c>
      <c r="F276" s="414">
        <v>1520</v>
      </c>
      <c r="G276" s="414">
        <v>1520</v>
      </c>
      <c r="H276" s="571">
        <v>0</v>
      </c>
      <c r="I276" s="414">
        <v>1083.5</v>
      </c>
      <c r="J276" s="571">
        <v>436.5</v>
      </c>
      <c r="K276" s="572">
        <v>28.72</v>
      </c>
      <c r="L276" s="588"/>
      <c r="M276" s="589"/>
      <c r="N276" s="567"/>
      <c r="P276" s="599"/>
      <c r="Q276" s="600"/>
      <c r="R276" s="599"/>
      <c r="S276" s="599"/>
      <c r="T276" s="599"/>
      <c r="U276" s="601"/>
      <c r="V276" s="599"/>
      <c r="W276" s="599"/>
      <c r="X276" s="599"/>
      <c r="Y276" s="599"/>
      <c r="Z276" s="599"/>
      <c r="AA276" s="599"/>
    </row>
    <row r="277" spans="1:27" ht="14.4">
      <c r="A277" s="127" t="s">
        <v>170</v>
      </c>
      <c r="B277" s="127" t="str">
        <f t="shared" si="10"/>
        <v>100-30-305</v>
      </c>
      <c r="C277" s="127" t="str">
        <f t="shared" si="11"/>
        <v>50115</v>
      </c>
      <c r="D277" s="570" t="s">
        <v>541</v>
      </c>
      <c r="E277" s="396" t="s">
        <v>325</v>
      </c>
      <c r="F277" s="414">
        <v>49321</v>
      </c>
      <c r="G277" s="414">
        <v>49321</v>
      </c>
      <c r="H277" s="571">
        <v>3716.74</v>
      </c>
      <c r="I277" s="414">
        <v>40680.47</v>
      </c>
      <c r="J277" s="571">
        <v>8640.5300000000007</v>
      </c>
      <c r="K277" s="572">
        <v>17.52</v>
      </c>
      <c r="L277" s="588"/>
      <c r="M277" s="589"/>
      <c r="N277" s="567"/>
      <c r="P277" s="599"/>
      <c r="Q277" s="600"/>
      <c r="R277" s="599"/>
      <c r="S277" s="599"/>
      <c r="T277" s="599"/>
      <c r="U277" s="601"/>
      <c r="V277" s="599"/>
      <c r="W277" s="599"/>
      <c r="X277" s="599"/>
      <c r="Y277" s="599"/>
      <c r="Z277" s="599"/>
      <c r="AA277" s="599"/>
    </row>
    <row r="278" spans="1:27" ht="14.4">
      <c r="A278" s="127" t="s">
        <v>170</v>
      </c>
      <c r="B278" s="127" t="str">
        <f t="shared" si="10"/>
        <v>100-30-305</v>
      </c>
      <c r="C278" s="127" t="str">
        <f t="shared" si="11"/>
        <v>50610</v>
      </c>
      <c r="D278" s="570" t="s">
        <v>848</v>
      </c>
      <c r="E278" s="396" t="s">
        <v>320</v>
      </c>
      <c r="F278" s="414">
        <v>43892</v>
      </c>
      <c r="G278" s="414">
        <v>43892</v>
      </c>
      <c r="H278" s="571">
        <v>3456.83</v>
      </c>
      <c r="I278" s="414">
        <v>40022.980000000003</v>
      </c>
      <c r="J278" s="571">
        <v>3869.02</v>
      </c>
      <c r="K278" s="572">
        <v>8.81</v>
      </c>
      <c r="L278" s="588"/>
      <c r="M278" s="589"/>
      <c r="N278" s="567"/>
      <c r="P278" s="599"/>
      <c r="Q278" s="600"/>
      <c r="R278" s="599"/>
      <c r="S278" s="599"/>
      <c r="T278" s="599"/>
      <c r="U278" s="601"/>
      <c r="V278" s="599"/>
      <c r="W278" s="599"/>
      <c r="X278" s="599"/>
      <c r="Y278" s="599"/>
      <c r="Z278" s="599"/>
      <c r="AA278" s="599"/>
    </row>
    <row r="279" spans="1:27" ht="14.4">
      <c r="A279" s="127" t="s">
        <v>170</v>
      </c>
      <c r="B279" s="127" t="str">
        <f t="shared" si="10"/>
        <v>100-30-305</v>
      </c>
      <c r="C279" s="127" t="str">
        <f t="shared" si="11"/>
        <v>50620</v>
      </c>
      <c r="D279" s="570" t="s">
        <v>704</v>
      </c>
      <c r="E279" s="396" t="s">
        <v>321</v>
      </c>
      <c r="F279" s="414">
        <v>141602</v>
      </c>
      <c r="G279" s="414">
        <v>141602</v>
      </c>
      <c r="H279" s="571">
        <v>11613.41</v>
      </c>
      <c r="I279" s="414">
        <v>123010.75</v>
      </c>
      <c r="J279" s="571">
        <v>18591.25</v>
      </c>
      <c r="K279" s="572">
        <v>13.13</v>
      </c>
      <c r="L279" s="588"/>
      <c r="M279" s="589"/>
      <c r="N279" s="567"/>
      <c r="P279" s="599"/>
      <c r="Q279" s="600"/>
      <c r="R279" s="599"/>
      <c r="S279" s="599"/>
      <c r="T279" s="599"/>
      <c r="U279" s="601"/>
      <c r="V279" s="599"/>
      <c r="W279" s="599"/>
      <c r="X279" s="599"/>
      <c r="Y279" s="599"/>
      <c r="Z279" s="599"/>
      <c r="AA279" s="599"/>
    </row>
    <row r="280" spans="1:27" ht="14.4">
      <c r="A280" s="127" t="s">
        <v>170</v>
      </c>
      <c r="B280" s="127" t="str">
        <f t="shared" si="10"/>
        <v>100-30-305</v>
      </c>
      <c r="C280" s="127" t="str">
        <f t="shared" si="11"/>
        <v>50630</v>
      </c>
      <c r="D280" s="570" t="s">
        <v>849</v>
      </c>
      <c r="E280" s="396" t="s">
        <v>322</v>
      </c>
      <c r="F280" s="414">
        <v>8688</v>
      </c>
      <c r="G280" s="414">
        <v>8688</v>
      </c>
      <c r="H280" s="571">
        <v>0</v>
      </c>
      <c r="I280" s="414">
        <v>8680.9</v>
      </c>
      <c r="J280" s="571">
        <v>7.1</v>
      </c>
      <c r="K280" s="572">
        <v>0.08</v>
      </c>
      <c r="L280" s="588"/>
      <c r="M280" s="589"/>
      <c r="N280" s="567"/>
      <c r="P280" s="599"/>
      <c r="Q280" s="600"/>
      <c r="R280" s="599"/>
      <c r="S280" s="599"/>
      <c r="T280" s="599"/>
      <c r="U280" s="601"/>
      <c r="V280" s="599"/>
      <c r="W280" s="599"/>
      <c r="X280" s="599"/>
      <c r="Y280" s="599"/>
      <c r="Z280" s="599"/>
      <c r="AA280" s="599"/>
    </row>
    <row r="281" spans="1:27" ht="14.4">
      <c r="A281" s="127" t="s">
        <v>170</v>
      </c>
      <c r="B281" s="127" t="str">
        <f t="shared" si="10"/>
        <v>100-30-305</v>
      </c>
      <c r="C281" s="127" t="str">
        <f t="shared" si="11"/>
        <v>50650</v>
      </c>
      <c r="D281" s="570" t="s">
        <v>709</v>
      </c>
      <c r="E281" s="396" t="s">
        <v>323</v>
      </c>
      <c r="F281" s="573">
        <v>94762</v>
      </c>
      <c r="G281" s="573">
        <v>94762</v>
      </c>
      <c r="H281" s="574">
        <v>7798.57</v>
      </c>
      <c r="I281" s="573">
        <v>89418.07</v>
      </c>
      <c r="J281" s="574">
        <v>5343.93</v>
      </c>
      <c r="K281" s="575">
        <v>5.64</v>
      </c>
      <c r="L281" s="588"/>
      <c r="M281" s="589"/>
      <c r="N281" s="567"/>
      <c r="P281" s="599"/>
      <c r="Q281" s="600"/>
      <c r="R281" s="599"/>
      <c r="S281" s="599"/>
      <c r="T281" s="599"/>
      <c r="U281" s="601"/>
      <c r="V281" s="599"/>
      <c r="W281" s="599"/>
      <c r="X281" s="599"/>
      <c r="Y281" s="599"/>
      <c r="Z281" s="599"/>
      <c r="AA281" s="599"/>
    </row>
    <row r="282" spans="1:27" ht="14.4">
      <c r="A282" s="127" t="s">
        <v>170</v>
      </c>
      <c r="B282" s="127" t="str">
        <f t="shared" si="10"/>
        <v xml:space="preserve">Category: </v>
      </c>
      <c r="C282" s="127" t="str">
        <f t="shared" si="11"/>
        <v>0 - P</v>
      </c>
      <c r="D282" s="569" t="s">
        <v>1123</v>
      </c>
      <c r="E282" s="569"/>
      <c r="F282" s="576">
        <v>860714</v>
      </c>
      <c r="G282" s="576">
        <v>860714</v>
      </c>
      <c r="H282" s="577">
        <v>69570.710000000006</v>
      </c>
      <c r="I282" s="576">
        <v>800451.58</v>
      </c>
      <c r="J282" s="577">
        <v>60262.42</v>
      </c>
      <c r="K282" s="578">
        <v>7.0014453116830896E-2</v>
      </c>
      <c r="L282" s="590"/>
      <c r="M282" s="591"/>
      <c r="N282" s="567"/>
      <c r="P282" s="599"/>
      <c r="Q282" s="600"/>
      <c r="R282" s="599"/>
      <c r="S282" s="599"/>
      <c r="T282" s="599"/>
      <c r="U282" s="601"/>
      <c r="V282" s="599"/>
      <c r="W282" s="599"/>
      <c r="X282" s="599"/>
      <c r="Y282" s="599"/>
      <c r="Z282" s="599"/>
      <c r="AA282" s="599"/>
    </row>
    <row r="283" spans="1:27">
      <c r="A283" s="127" t="s">
        <v>170</v>
      </c>
      <c r="B283" s="127" t="str">
        <f t="shared" si="10"/>
        <v/>
      </c>
      <c r="C283" s="127" t="str">
        <f t="shared" si="11"/>
        <v/>
      </c>
      <c r="F283" s="398"/>
      <c r="G283" s="398"/>
      <c r="H283" s="398"/>
      <c r="I283" s="398"/>
      <c r="J283" s="398"/>
      <c r="K283" s="398"/>
      <c r="L283"/>
      <c r="N283" s="567"/>
      <c r="P283" s="599"/>
      <c r="Q283" s="600"/>
      <c r="R283" s="599"/>
      <c r="S283" s="599"/>
      <c r="T283" s="599"/>
      <c r="U283" s="601"/>
      <c r="V283" s="599"/>
      <c r="W283" s="599"/>
      <c r="X283" s="599"/>
      <c r="Y283" s="599"/>
      <c r="Z283" s="599"/>
      <c r="AA283" s="599"/>
    </row>
    <row r="284" spans="1:27" ht="14.4">
      <c r="A284" s="127" t="s">
        <v>170</v>
      </c>
      <c r="B284" s="127" t="str">
        <f t="shared" si="10"/>
        <v xml:space="preserve">Division: </v>
      </c>
      <c r="C284" s="127" t="str">
        <f t="shared" si="11"/>
        <v xml:space="preserve">05 - </v>
      </c>
      <c r="D284" s="569" t="s">
        <v>1146</v>
      </c>
      <c r="E284" s="569"/>
      <c r="F284" s="576">
        <v>860714</v>
      </c>
      <c r="G284" s="576">
        <v>860714</v>
      </c>
      <c r="H284" s="577">
        <v>69570.710000000006</v>
      </c>
      <c r="I284" s="576">
        <v>800451.58</v>
      </c>
      <c r="J284" s="577">
        <v>60262.42</v>
      </c>
      <c r="K284" s="578">
        <v>7.0014453116830896E-2</v>
      </c>
      <c r="L284" s="590"/>
      <c r="M284" s="591"/>
      <c r="N284" s="567"/>
      <c r="P284" s="599"/>
      <c r="Q284" s="600"/>
      <c r="R284" s="599"/>
      <c r="S284" s="599"/>
      <c r="T284" s="599"/>
      <c r="U284" s="601"/>
      <c r="V284" s="599"/>
      <c r="W284" s="599"/>
      <c r="X284" s="599"/>
      <c r="Y284" s="599"/>
      <c r="Z284" s="599"/>
      <c r="AA284" s="599"/>
    </row>
    <row r="285" spans="1:27">
      <c r="A285" s="127" t="s">
        <v>170</v>
      </c>
      <c r="B285" s="127" t="str">
        <f t="shared" si="10"/>
        <v/>
      </c>
      <c r="C285" s="127" t="str">
        <f t="shared" si="11"/>
        <v/>
      </c>
      <c r="F285" s="398"/>
      <c r="G285" s="398"/>
      <c r="H285" s="398"/>
      <c r="I285" s="398"/>
      <c r="J285" s="398"/>
      <c r="K285" s="398"/>
      <c r="L285"/>
      <c r="N285" s="567"/>
      <c r="P285" s="599"/>
      <c r="Q285" s="600"/>
      <c r="R285" s="599"/>
      <c r="S285" s="599"/>
      <c r="T285" s="599"/>
      <c r="U285" s="601"/>
      <c r="V285" s="599"/>
      <c r="W285" s="599"/>
      <c r="X285" s="599"/>
      <c r="Y285" s="599"/>
      <c r="Z285" s="599"/>
      <c r="AA285" s="599"/>
    </row>
    <row r="286" spans="1:27">
      <c r="A286" s="127" t="s">
        <v>170</v>
      </c>
      <c r="B286" s="127" t="str">
        <f t="shared" si="10"/>
        <v>Department</v>
      </c>
      <c r="C286" s="127" t="str">
        <f t="shared" si="11"/>
        <v xml:space="preserve"> 30 -</v>
      </c>
      <c r="D286" s="569" t="s">
        <v>1147</v>
      </c>
      <c r="E286" s="569"/>
      <c r="F286" s="576">
        <v>10813990</v>
      </c>
      <c r="G286" s="576">
        <v>10813990</v>
      </c>
      <c r="H286" s="577">
        <v>882540.21</v>
      </c>
      <c r="I286" s="576">
        <v>10462923.49</v>
      </c>
      <c r="J286" s="577">
        <v>351066.51</v>
      </c>
      <c r="K286" s="578">
        <v>3.2464105293235901E-2</v>
      </c>
      <c r="L286" s="590"/>
      <c r="M286" s="591"/>
      <c r="N286" s="567"/>
    </row>
    <row r="287" spans="1:27">
      <c r="A287" s="127" t="s">
        <v>170</v>
      </c>
      <c r="B287" s="127" t="str">
        <f t="shared" si="10"/>
        <v/>
      </c>
      <c r="C287" s="127" t="str">
        <f t="shared" si="11"/>
        <v/>
      </c>
      <c r="L287"/>
      <c r="N287" s="567"/>
    </row>
    <row r="288" spans="1:27">
      <c r="A288" s="127" t="s">
        <v>170</v>
      </c>
      <c r="B288" s="127" t="str">
        <f t="shared" si="10"/>
        <v/>
      </c>
      <c r="C288" s="127" t="str">
        <f t="shared" si="11"/>
        <v/>
      </c>
      <c r="D288" s="579"/>
      <c r="E288" s="579"/>
      <c r="F288" s="579"/>
      <c r="G288" s="579"/>
      <c r="H288" s="579"/>
      <c r="I288" s="579"/>
      <c r="J288" s="579"/>
      <c r="K288" s="579"/>
      <c r="L288" s="592"/>
      <c r="M288" s="592"/>
      <c r="N288" s="567"/>
    </row>
    <row r="289" spans="1:14" ht="15.75" customHeight="1" thickBot="1">
      <c r="A289" s="127" t="s">
        <v>170</v>
      </c>
      <c r="B289" s="127" t="str">
        <f t="shared" si="10"/>
        <v xml:space="preserve">9/25/2024 </v>
      </c>
      <c r="C289" s="127" t="str">
        <f t="shared" si="11"/>
        <v>:13:1</v>
      </c>
      <c r="D289" s="439" t="s">
        <v>2991</v>
      </c>
      <c r="E289" s="439"/>
      <c r="F289" s="440"/>
      <c r="G289" s="440"/>
      <c r="H289" s="440"/>
      <c r="I289" s="440"/>
      <c r="J289" s="439"/>
      <c r="K289" s="439"/>
      <c r="L289" s="593"/>
      <c r="N289" s="567"/>
    </row>
    <row r="290" spans="1:14" ht="34.5" customHeight="1">
      <c r="A290" s="127" t="s">
        <v>170</v>
      </c>
      <c r="B290" s="127" t="str">
        <f t="shared" si="10"/>
        <v>Budget Rep</v>
      </c>
      <c r="C290" s="127" t="str">
        <f t="shared" si="11"/>
        <v>rt</v>
      </c>
      <c r="D290" s="441" t="s">
        <v>1122</v>
      </c>
      <c r="E290" s="441"/>
      <c r="F290" s="441"/>
      <c r="G290" s="442"/>
      <c r="H290" s="441"/>
      <c r="I290" s="441"/>
      <c r="J290" s="441"/>
      <c r="K290" s="441"/>
      <c r="L290" s="594"/>
      <c r="M290" s="594"/>
      <c r="N290" s="567"/>
    </row>
    <row r="291" spans="1:14">
      <c r="A291" s="127" t="s">
        <v>170</v>
      </c>
      <c r="B291" s="127" t="str">
        <f t="shared" si="10"/>
        <v/>
      </c>
      <c r="C291" s="127" t="str">
        <f t="shared" si="11"/>
        <v/>
      </c>
      <c r="L291"/>
      <c r="N291" s="567"/>
    </row>
    <row r="292" spans="1:14" ht="31.8">
      <c r="A292" s="127" t="s">
        <v>170</v>
      </c>
      <c r="B292" s="127" t="str">
        <f t="shared" si="10"/>
        <v/>
      </c>
      <c r="C292" s="127" t="str">
        <f t="shared" si="11"/>
        <v/>
      </c>
      <c r="J292" s="413" t="s">
        <v>1098</v>
      </c>
      <c r="L292"/>
      <c r="N292" s="567"/>
    </row>
    <row r="293" spans="1:14" ht="21.6">
      <c r="A293" s="127" t="s">
        <v>170</v>
      </c>
      <c r="B293" s="127" t="str">
        <f t="shared" si="10"/>
        <v/>
      </c>
      <c r="C293" s="127" t="str">
        <f t="shared" si="11"/>
        <v/>
      </c>
      <c r="F293" s="413" t="s">
        <v>1099</v>
      </c>
      <c r="G293" s="413" t="s">
        <v>1100</v>
      </c>
      <c r="H293" s="568" t="s">
        <v>1101</v>
      </c>
      <c r="I293" s="413" t="s">
        <v>1102</v>
      </c>
      <c r="J293" s="413"/>
      <c r="K293" s="568" t="s">
        <v>1103</v>
      </c>
      <c r="L293" s="586"/>
      <c r="M293" s="540"/>
      <c r="N293" s="567"/>
    </row>
    <row r="294" spans="1:14">
      <c r="A294" s="127" t="s">
        <v>170</v>
      </c>
      <c r="B294" s="127" t="str">
        <f t="shared" si="10"/>
        <v/>
      </c>
      <c r="C294" s="127" t="str">
        <f t="shared" si="11"/>
        <v/>
      </c>
      <c r="L294"/>
      <c r="N294" s="567"/>
    </row>
    <row r="295" spans="1:14">
      <c r="A295" s="127" t="s">
        <v>170</v>
      </c>
      <c r="B295" s="127" t="str">
        <f t="shared" si="10"/>
        <v/>
      </c>
      <c r="C295" s="127" t="str">
        <f t="shared" si="11"/>
        <v/>
      </c>
      <c r="E295" s="569"/>
      <c r="F295" s="569"/>
      <c r="G295" s="569"/>
      <c r="H295" s="569"/>
      <c r="I295" s="569"/>
      <c r="J295" s="569"/>
      <c r="K295" s="569"/>
      <c r="L295" s="587"/>
      <c r="M295" s="587"/>
      <c r="N295" s="567"/>
    </row>
    <row r="296" spans="1:14">
      <c r="A296" s="127" t="s">
        <v>170</v>
      </c>
      <c r="B296" s="127" t="str">
        <f t="shared" si="10"/>
        <v/>
      </c>
      <c r="C296" s="127" t="str">
        <f t="shared" si="11"/>
        <v/>
      </c>
      <c r="E296" s="569"/>
      <c r="F296" s="569"/>
      <c r="G296" s="569"/>
      <c r="H296" s="569"/>
      <c r="I296" s="569"/>
      <c r="J296" s="569"/>
      <c r="K296" s="569"/>
      <c r="L296" s="587"/>
      <c r="M296" s="587"/>
      <c r="N296" s="567"/>
    </row>
    <row r="297" spans="1:14">
      <c r="A297" s="127" t="s">
        <v>170</v>
      </c>
      <c r="B297" s="127" t="str">
        <f t="shared" si="10"/>
        <v/>
      </c>
      <c r="C297" s="127" t="str">
        <f t="shared" si="11"/>
        <v/>
      </c>
      <c r="E297" s="569"/>
      <c r="F297" s="569"/>
      <c r="G297" s="569"/>
      <c r="H297" s="569"/>
      <c r="I297" s="569"/>
      <c r="J297" s="569"/>
      <c r="K297" s="569"/>
      <c r="L297" s="587"/>
      <c r="M297" s="587"/>
      <c r="N297" s="567"/>
    </row>
    <row r="298" spans="1:14">
      <c r="A298" s="127" t="s">
        <v>170</v>
      </c>
      <c r="B298" s="127" t="str">
        <f t="shared" si="10"/>
        <v>100-35-351</v>
      </c>
      <c r="C298" s="127" t="str">
        <f t="shared" si="11"/>
        <v>50101</v>
      </c>
      <c r="D298" s="570" t="s">
        <v>642</v>
      </c>
      <c r="E298" s="396" t="s">
        <v>316</v>
      </c>
      <c r="F298" s="414">
        <v>304846</v>
      </c>
      <c r="G298" s="414">
        <v>304846</v>
      </c>
      <c r="H298" s="571">
        <v>28043.599999999999</v>
      </c>
      <c r="I298" s="414">
        <v>299162.23</v>
      </c>
      <c r="J298" s="571">
        <v>5683.77</v>
      </c>
      <c r="K298" s="572">
        <v>1.86</v>
      </c>
      <c r="L298" s="588"/>
      <c r="M298" s="589"/>
      <c r="N298" s="567"/>
    </row>
    <row r="299" spans="1:14">
      <c r="A299" s="127" t="s">
        <v>170</v>
      </c>
      <c r="B299" s="127" t="str">
        <f t="shared" si="10"/>
        <v>100-35-351</v>
      </c>
      <c r="C299" s="127" t="str">
        <f t="shared" si="11"/>
        <v>50102</v>
      </c>
      <c r="D299" s="570" t="s">
        <v>593</v>
      </c>
      <c r="E299" s="396" t="s">
        <v>317</v>
      </c>
      <c r="F299" s="414">
        <v>414741</v>
      </c>
      <c r="G299" s="414">
        <v>414741</v>
      </c>
      <c r="H299" s="571">
        <v>27693.25</v>
      </c>
      <c r="I299" s="414">
        <v>369303.73</v>
      </c>
      <c r="J299" s="571">
        <v>45437.27</v>
      </c>
      <c r="K299" s="572">
        <v>10.96</v>
      </c>
      <c r="L299" s="588"/>
      <c r="M299" s="589"/>
      <c r="N299" s="567"/>
    </row>
    <row r="300" spans="1:14">
      <c r="A300" s="127" t="s">
        <v>170</v>
      </c>
      <c r="B300" s="127" t="str">
        <f t="shared" si="10"/>
        <v>100-35-351</v>
      </c>
      <c r="C300" s="127" t="str">
        <f t="shared" si="11"/>
        <v>50109</v>
      </c>
      <c r="D300" s="570" t="s">
        <v>594</v>
      </c>
      <c r="E300" s="396" t="s">
        <v>12</v>
      </c>
      <c r="F300" s="414">
        <v>9000</v>
      </c>
      <c r="G300" s="414">
        <v>9000</v>
      </c>
      <c r="H300" s="571">
        <v>3878.81</v>
      </c>
      <c r="I300" s="414">
        <v>14992.15</v>
      </c>
      <c r="J300" s="571">
        <v>-5992.15</v>
      </c>
      <c r="K300" s="572">
        <v>-66.58</v>
      </c>
      <c r="L300" s="588"/>
      <c r="M300" s="589"/>
      <c r="N300" s="567"/>
    </row>
    <row r="301" spans="1:14">
      <c r="A301" s="127" t="s">
        <v>170</v>
      </c>
      <c r="B301" s="127" t="str">
        <f t="shared" si="10"/>
        <v>100-35-351</v>
      </c>
      <c r="C301" s="127" t="str">
        <f t="shared" si="11"/>
        <v>50111</v>
      </c>
      <c r="D301" s="570" t="s">
        <v>628</v>
      </c>
      <c r="E301" s="396" t="s">
        <v>318</v>
      </c>
      <c r="F301" s="414">
        <v>4899</v>
      </c>
      <c r="G301" s="414">
        <v>4899</v>
      </c>
      <c r="H301" s="571">
        <v>0</v>
      </c>
      <c r="I301" s="414">
        <v>4850</v>
      </c>
      <c r="J301" s="571">
        <v>49</v>
      </c>
      <c r="K301" s="572">
        <v>1</v>
      </c>
      <c r="L301" s="588"/>
      <c r="M301" s="589"/>
      <c r="N301" s="567"/>
    </row>
    <row r="302" spans="1:14">
      <c r="A302" s="127" t="s">
        <v>170</v>
      </c>
      <c r="B302" s="127" t="str">
        <f t="shared" si="10"/>
        <v>100-35-351</v>
      </c>
      <c r="C302" s="127" t="str">
        <f t="shared" si="11"/>
        <v>50115</v>
      </c>
      <c r="D302" s="570" t="s">
        <v>726</v>
      </c>
      <c r="E302" s="396" t="s">
        <v>325</v>
      </c>
      <c r="F302" s="414">
        <v>4800</v>
      </c>
      <c r="G302" s="414">
        <v>4800</v>
      </c>
      <c r="H302" s="571">
        <v>400</v>
      </c>
      <c r="I302" s="414">
        <v>4584</v>
      </c>
      <c r="J302" s="571">
        <v>216</v>
      </c>
      <c r="K302" s="572">
        <v>4.5</v>
      </c>
      <c r="L302" s="588"/>
      <c r="M302" s="589"/>
      <c r="N302" s="567"/>
    </row>
    <row r="303" spans="1:14">
      <c r="A303" s="127" t="s">
        <v>170</v>
      </c>
      <c r="B303" s="127" t="str">
        <f t="shared" si="10"/>
        <v>100-35-351</v>
      </c>
      <c r="C303" s="127" t="str">
        <f t="shared" si="11"/>
        <v>50610</v>
      </c>
      <c r="D303" s="570" t="s">
        <v>850</v>
      </c>
      <c r="E303" s="396" t="s">
        <v>320</v>
      </c>
      <c r="F303" s="414">
        <v>53070</v>
      </c>
      <c r="G303" s="414">
        <v>53070</v>
      </c>
      <c r="H303" s="571">
        <v>4535.99</v>
      </c>
      <c r="I303" s="414">
        <v>52112.66</v>
      </c>
      <c r="J303" s="571">
        <v>957.34</v>
      </c>
      <c r="K303" s="572">
        <v>1.8</v>
      </c>
      <c r="L303" s="588"/>
      <c r="M303" s="589"/>
      <c r="N303" s="567"/>
    </row>
    <row r="304" spans="1:14">
      <c r="A304" s="127" t="s">
        <v>170</v>
      </c>
      <c r="B304" s="127" t="str">
        <f t="shared" si="10"/>
        <v>100-35-351</v>
      </c>
      <c r="C304" s="127" t="str">
        <f t="shared" si="11"/>
        <v>50620</v>
      </c>
      <c r="D304" s="570" t="s">
        <v>729</v>
      </c>
      <c r="E304" s="396" t="s">
        <v>321</v>
      </c>
      <c r="F304" s="414">
        <v>57581</v>
      </c>
      <c r="G304" s="414">
        <v>57581</v>
      </c>
      <c r="H304" s="571">
        <v>3835.9</v>
      </c>
      <c r="I304" s="414">
        <v>44519.6</v>
      </c>
      <c r="J304" s="571">
        <v>13061.4</v>
      </c>
      <c r="K304" s="572">
        <v>22.68</v>
      </c>
      <c r="L304" s="588"/>
      <c r="M304" s="589"/>
      <c r="N304" s="567"/>
    </row>
    <row r="305" spans="1:14">
      <c r="A305" s="127" t="s">
        <v>170</v>
      </c>
      <c r="B305" s="127" t="str">
        <f t="shared" si="10"/>
        <v>100-35-351</v>
      </c>
      <c r="C305" s="127" t="str">
        <f t="shared" si="11"/>
        <v>50630</v>
      </c>
      <c r="D305" s="570" t="s">
        <v>851</v>
      </c>
      <c r="E305" s="396" t="s">
        <v>322</v>
      </c>
      <c r="F305" s="414">
        <v>11937</v>
      </c>
      <c r="G305" s="414">
        <v>11937</v>
      </c>
      <c r="H305" s="571">
        <v>0</v>
      </c>
      <c r="I305" s="414">
        <v>11927.25</v>
      </c>
      <c r="J305" s="571">
        <v>9.75</v>
      </c>
      <c r="K305" s="572">
        <v>0.08</v>
      </c>
      <c r="L305" s="588"/>
      <c r="M305" s="589"/>
      <c r="N305" s="567"/>
    </row>
    <row r="306" spans="1:14">
      <c r="A306" s="127" t="s">
        <v>170</v>
      </c>
      <c r="B306" s="127" t="str">
        <f t="shared" si="10"/>
        <v>100-35-351</v>
      </c>
      <c r="C306" s="127" t="str">
        <f t="shared" si="11"/>
        <v>50650</v>
      </c>
      <c r="D306" s="570" t="s">
        <v>713</v>
      </c>
      <c r="E306" s="396" t="s">
        <v>323</v>
      </c>
      <c r="F306" s="573">
        <v>122959</v>
      </c>
      <c r="G306" s="573">
        <v>122959</v>
      </c>
      <c r="H306" s="574">
        <v>10070.459999999999</v>
      </c>
      <c r="I306" s="573">
        <v>115436.2</v>
      </c>
      <c r="J306" s="574">
        <v>7522.8</v>
      </c>
      <c r="K306" s="575">
        <v>6.12</v>
      </c>
      <c r="L306" s="588"/>
      <c r="M306" s="589"/>
      <c r="N306" s="567"/>
    </row>
    <row r="307" spans="1:14">
      <c r="A307" s="127" t="s">
        <v>170</v>
      </c>
      <c r="B307" s="127" t="str">
        <f t="shared" si="10"/>
        <v xml:space="preserve">Category: </v>
      </c>
      <c r="C307" s="127" t="str">
        <f t="shared" si="11"/>
        <v>0 - P</v>
      </c>
      <c r="D307" s="569" t="s">
        <v>1123</v>
      </c>
      <c r="E307" s="569"/>
      <c r="F307" s="576">
        <v>983833</v>
      </c>
      <c r="G307" s="576">
        <v>983833</v>
      </c>
      <c r="H307" s="577">
        <v>78458.009999999995</v>
      </c>
      <c r="I307" s="576">
        <v>916887.82</v>
      </c>
      <c r="J307" s="577">
        <v>66945.179999999993</v>
      </c>
      <c r="K307" s="578">
        <v>6.8045267845254206E-2</v>
      </c>
      <c r="L307" s="590"/>
      <c r="M307" s="591"/>
      <c r="N307" s="567"/>
    </row>
    <row r="308" spans="1:14">
      <c r="A308" s="127" t="s">
        <v>170</v>
      </c>
      <c r="B308" s="127" t="str">
        <f t="shared" si="10"/>
        <v/>
      </c>
      <c r="C308" s="127" t="str">
        <f t="shared" si="11"/>
        <v/>
      </c>
      <c r="F308" s="398"/>
      <c r="G308" s="398"/>
      <c r="H308" s="398"/>
      <c r="I308" s="398"/>
      <c r="J308" s="398"/>
      <c r="K308" s="398"/>
      <c r="L308"/>
      <c r="N308" s="567"/>
    </row>
    <row r="309" spans="1:14">
      <c r="A309" s="127" t="s">
        <v>170</v>
      </c>
      <c r="B309" s="127" t="str">
        <f t="shared" si="10"/>
        <v xml:space="preserve">Division: </v>
      </c>
      <c r="C309" s="127" t="str">
        <f t="shared" si="11"/>
        <v xml:space="preserve">51 - </v>
      </c>
      <c r="D309" s="569" t="s">
        <v>1148</v>
      </c>
      <c r="E309" s="569"/>
      <c r="F309" s="576">
        <v>983833</v>
      </c>
      <c r="G309" s="576">
        <v>983833</v>
      </c>
      <c r="H309" s="577">
        <v>78458.009999999995</v>
      </c>
      <c r="I309" s="576">
        <v>916887.82</v>
      </c>
      <c r="J309" s="577">
        <v>66945.179999999993</v>
      </c>
      <c r="K309" s="578">
        <v>6.8045267845254206E-2</v>
      </c>
      <c r="L309" s="590"/>
      <c r="M309" s="591"/>
      <c r="N309" s="567"/>
    </row>
    <row r="310" spans="1:14">
      <c r="A310" s="127" t="s">
        <v>170</v>
      </c>
      <c r="B310" s="127" t="str">
        <f t="shared" si="10"/>
        <v/>
      </c>
      <c r="C310" s="127" t="str">
        <f t="shared" si="11"/>
        <v/>
      </c>
      <c r="L310"/>
      <c r="N310" s="567"/>
    </row>
    <row r="311" spans="1:14">
      <c r="A311" s="127" t="s">
        <v>170</v>
      </c>
      <c r="B311" s="127" t="str">
        <f t="shared" si="10"/>
        <v/>
      </c>
      <c r="C311" s="127" t="str">
        <f t="shared" si="11"/>
        <v/>
      </c>
      <c r="E311" s="569"/>
      <c r="F311" s="569"/>
      <c r="G311" s="569"/>
      <c r="H311" s="569"/>
      <c r="I311" s="569"/>
      <c r="J311" s="569"/>
      <c r="K311" s="569"/>
      <c r="L311" s="587"/>
      <c r="M311" s="587"/>
      <c r="N311" s="567"/>
    </row>
    <row r="312" spans="1:14">
      <c r="A312" s="127" t="s">
        <v>170</v>
      </c>
      <c r="B312" s="127" t="str">
        <f t="shared" si="10"/>
        <v/>
      </c>
      <c r="C312" s="127" t="str">
        <f t="shared" si="11"/>
        <v/>
      </c>
      <c r="E312" s="569"/>
      <c r="F312" s="569"/>
      <c r="G312" s="569"/>
      <c r="H312" s="569"/>
      <c r="I312" s="569"/>
      <c r="J312" s="569"/>
      <c r="K312" s="569"/>
      <c r="L312" s="587"/>
      <c r="M312" s="587"/>
      <c r="N312" s="567"/>
    </row>
    <row r="313" spans="1:14">
      <c r="A313" s="127" t="s">
        <v>170</v>
      </c>
      <c r="B313" s="127" t="str">
        <f t="shared" si="10"/>
        <v>100-35-352</v>
      </c>
      <c r="C313" s="127" t="str">
        <f t="shared" si="11"/>
        <v>50102</v>
      </c>
      <c r="D313" s="570" t="s">
        <v>520</v>
      </c>
      <c r="E313" s="396" t="s">
        <v>317</v>
      </c>
      <c r="F313" s="414">
        <v>4706591</v>
      </c>
      <c r="G313" s="414">
        <v>4706591</v>
      </c>
      <c r="H313" s="571">
        <v>322390.28999999998</v>
      </c>
      <c r="I313" s="414">
        <v>4260470.3099999996</v>
      </c>
      <c r="J313" s="571">
        <v>446120.69</v>
      </c>
      <c r="K313" s="572">
        <v>9.48</v>
      </c>
      <c r="L313" s="588"/>
      <c r="M313" s="589"/>
      <c r="N313" s="567"/>
    </row>
    <row r="314" spans="1:14">
      <c r="A314" s="127" t="s">
        <v>170</v>
      </c>
      <c r="B314" s="127" t="str">
        <f t="shared" si="10"/>
        <v>100-35-352</v>
      </c>
      <c r="C314" s="127" t="str">
        <f t="shared" si="11"/>
        <v>50109</v>
      </c>
      <c r="D314" s="570" t="s">
        <v>519</v>
      </c>
      <c r="E314" s="396" t="s">
        <v>12</v>
      </c>
      <c r="F314" s="414">
        <v>595020</v>
      </c>
      <c r="G314" s="414">
        <v>595020</v>
      </c>
      <c r="H314" s="571">
        <v>63651.39</v>
      </c>
      <c r="I314" s="414">
        <v>702671.18</v>
      </c>
      <c r="J314" s="571">
        <v>-107651.18</v>
      </c>
      <c r="K314" s="572">
        <v>-18.09</v>
      </c>
      <c r="L314" s="588"/>
      <c r="M314" s="589"/>
      <c r="N314" s="567"/>
    </row>
    <row r="315" spans="1:14">
      <c r="A315" s="127" t="s">
        <v>170</v>
      </c>
      <c r="B315" s="127" t="str">
        <f t="shared" si="10"/>
        <v>100-35-352</v>
      </c>
      <c r="C315" s="127" t="str">
        <f t="shared" si="11"/>
        <v>50111</v>
      </c>
      <c r="D315" s="570" t="s">
        <v>852</v>
      </c>
      <c r="E315" s="396" t="s">
        <v>318</v>
      </c>
      <c r="F315" s="414">
        <v>33647</v>
      </c>
      <c r="G315" s="414">
        <v>33647</v>
      </c>
      <c r="H315" s="571">
        <v>0</v>
      </c>
      <c r="I315" s="414">
        <v>33340</v>
      </c>
      <c r="J315" s="571">
        <v>307</v>
      </c>
      <c r="K315" s="572">
        <v>0.91</v>
      </c>
      <c r="L315" s="588"/>
      <c r="M315" s="589"/>
      <c r="N315" s="567"/>
    </row>
    <row r="316" spans="1:14">
      <c r="A316" s="127" t="s">
        <v>170</v>
      </c>
      <c r="B316" s="127" t="str">
        <f t="shared" si="10"/>
        <v>100-35-352</v>
      </c>
      <c r="C316" s="127" t="str">
        <f t="shared" si="11"/>
        <v>50115</v>
      </c>
      <c r="D316" s="570" t="s">
        <v>665</v>
      </c>
      <c r="E316" s="396" t="s">
        <v>325</v>
      </c>
      <c r="F316" s="414">
        <v>32700</v>
      </c>
      <c r="G316" s="414">
        <v>32700</v>
      </c>
      <c r="H316" s="571">
        <v>2737.5</v>
      </c>
      <c r="I316" s="414">
        <v>32037</v>
      </c>
      <c r="J316" s="571">
        <v>663</v>
      </c>
      <c r="K316" s="572">
        <v>2.0299999999999998</v>
      </c>
      <c r="L316" s="588"/>
      <c r="M316" s="589"/>
      <c r="N316" s="567"/>
    </row>
    <row r="317" spans="1:14">
      <c r="A317" s="127" t="s">
        <v>170</v>
      </c>
      <c r="B317" s="127" t="str">
        <f t="shared" si="10"/>
        <v>100-35-352</v>
      </c>
      <c r="C317" s="127" t="str">
        <f t="shared" si="11"/>
        <v>50610</v>
      </c>
      <c r="D317" s="570" t="s">
        <v>853</v>
      </c>
      <c r="E317" s="396" t="s">
        <v>320</v>
      </c>
      <c r="F317" s="414">
        <v>373810</v>
      </c>
      <c r="G317" s="414">
        <v>373810</v>
      </c>
      <c r="H317" s="571">
        <v>27941.96</v>
      </c>
      <c r="I317" s="414">
        <v>361715.05</v>
      </c>
      <c r="J317" s="571">
        <v>12094.95</v>
      </c>
      <c r="K317" s="572">
        <v>3.24</v>
      </c>
      <c r="L317" s="588"/>
      <c r="M317" s="589"/>
      <c r="N317" s="567"/>
    </row>
    <row r="318" spans="1:14">
      <c r="A318" s="127" t="s">
        <v>170</v>
      </c>
      <c r="B318" s="127" t="str">
        <f t="shared" si="10"/>
        <v>100-35-352</v>
      </c>
      <c r="C318" s="127" t="str">
        <f t="shared" si="11"/>
        <v>50620</v>
      </c>
      <c r="D318" s="570" t="s">
        <v>692</v>
      </c>
      <c r="E318" s="396" t="s">
        <v>321</v>
      </c>
      <c r="F318" s="414">
        <v>784832</v>
      </c>
      <c r="G318" s="414">
        <v>784832</v>
      </c>
      <c r="H318" s="571">
        <v>62553.46</v>
      </c>
      <c r="I318" s="414">
        <v>734572.01</v>
      </c>
      <c r="J318" s="571">
        <v>50259.99</v>
      </c>
      <c r="K318" s="572">
        <v>6.4</v>
      </c>
      <c r="L318" s="588"/>
      <c r="M318" s="589"/>
      <c r="N318" s="567"/>
    </row>
    <row r="319" spans="1:14">
      <c r="A319" s="127" t="s">
        <v>170</v>
      </c>
      <c r="B319" s="127" t="str">
        <f t="shared" si="10"/>
        <v>100-35-352</v>
      </c>
      <c r="C319" s="127" t="str">
        <f t="shared" si="11"/>
        <v>50630</v>
      </c>
      <c r="D319" s="570" t="s">
        <v>854</v>
      </c>
      <c r="E319" s="396" t="s">
        <v>322</v>
      </c>
      <c r="F319" s="414">
        <v>91097</v>
      </c>
      <c r="G319" s="414">
        <v>91097</v>
      </c>
      <c r="H319" s="571">
        <v>0</v>
      </c>
      <c r="I319" s="414">
        <v>91022.6</v>
      </c>
      <c r="J319" s="571">
        <v>74.400000000000006</v>
      </c>
      <c r="K319" s="572">
        <v>0.08</v>
      </c>
      <c r="L319" s="588"/>
      <c r="M319" s="589"/>
      <c r="N319" s="567"/>
    </row>
    <row r="320" spans="1:14">
      <c r="A320" s="127" t="s">
        <v>170</v>
      </c>
      <c r="B320" s="127" t="str">
        <f t="shared" si="10"/>
        <v>100-35-352</v>
      </c>
      <c r="C320" s="127" t="str">
        <f t="shared" si="11"/>
        <v>50650</v>
      </c>
      <c r="D320" s="570" t="s">
        <v>662</v>
      </c>
      <c r="E320" s="396" t="s">
        <v>323</v>
      </c>
      <c r="F320" s="573">
        <v>888218</v>
      </c>
      <c r="G320" s="573">
        <v>888218</v>
      </c>
      <c r="H320" s="574">
        <v>64842.78</v>
      </c>
      <c r="I320" s="573">
        <v>832314.8</v>
      </c>
      <c r="J320" s="574">
        <v>55903.199999999997</v>
      </c>
      <c r="K320" s="575">
        <v>6.29</v>
      </c>
      <c r="L320" s="588"/>
      <c r="M320" s="589"/>
      <c r="N320" s="567"/>
    </row>
    <row r="321" spans="1:14">
      <c r="A321" s="127" t="s">
        <v>170</v>
      </c>
      <c r="B321" s="127" t="str">
        <f t="shared" si="10"/>
        <v xml:space="preserve">Category: </v>
      </c>
      <c r="C321" s="127" t="str">
        <f t="shared" si="11"/>
        <v>0 - P</v>
      </c>
      <c r="D321" s="569" t="s">
        <v>1123</v>
      </c>
      <c r="E321" s="569"/>
      <c r="F321" s="576">
        <v>7505915</v>
      </c>
      <c r="G321" s="576">
        <v>7505915</v>
      </c>
      <c r="H321" s="577">
        <v>544117.38</v>
      </c>
      <c r="I321" s="576">
        <v>7048142.9500000002</v>
      </c>
      <c r="J321" s="577">
        <v>457772.05</v>
      </c>
      <c r="K321" s="578">
        <v>6.0988173993443799E-2</v>
      </c>
      <c r="L321" s="590"/>
      <c r="M321" s="591"/>
      <c r="N321" s="567"/>
    </row>
    <row r="322" spans="1:14">
      <c r="A322" s="127" t="s">
        <v>170</v>
      </c>
      <c r="B322" s="127" t="str">
        <f t="shared" si="10"/>
        <v/>
      </c>
      <c r="C322" s="127" t="str">
        <f t="shared" si="11"/>
        <v/>
      </c>
      <c r="F322" s="398"/>
      <c r="G322" s="398"/>
      <c r="H322" s="398"/>
      <c r="I322" s="398"/>
      <c r="J322" s="398"/>
      <c r="K322" s="398"/>
      <c r="L322"/>
      <c r="N322" s="567"/>
    </row>
    <row r="323" spans="1:14">
      <c r="A323" s="127" t="s">
        <v>170</v>
      </c>
      <c r="B323" s="127" t="str">
        <f t="shared" si="10"/>
        <v xml:space="preserve">Division: </v>
      </c>
      <c r="C323" s="127" t="str">
        <f t="shared" si="11"/>
        <v xml:space="preserve">52 - </v>
      </c>
      <c r="D323" s="569" t="s">
        <v>1149</v>
      </c>
      <c r="E323" s="569"/>
      <c r="F323" s="576">
        <v>7505915</v>
      </c>
      <c r="G323" s="576">
        <v>7505915</v>
      </c>
      <c r="H323" s="577">
        <v>544117.38</v>
      </c>
      <c r="I323" s="576">
        <v>7048142.9500000002</v>
      </c>
      <c r="J323" s="577">
        <v>457772.05</v>
      </c>
      <c r="K323" s="578">
        <v>6.0988173993443799E-2</v>
      </c>
      <c r="L323" s="590"/>
      <c r="M323" s="591"/>
      <c r="N323" s="567"/>
    </row>
    <row r="324" spans="1:14">
      <c r="A324" s="127" t="s">
        <v>170</v>
      </c>
      <c r="B324" s="127" t="str">
        <f t="shared" si="10"/>
        <v/>
      </c>
      <c r="C324" s="127" t="str">
        <f t="shared" si="11"/>
        <v/>
      </c>
      <c r="F324" s="398"/>
      <c r="G324" s="398"/>
      <c r="H324" s="398"/>
      <c r="I324" s="398"/>
      <c r="J324" s="398"/>
      <c r="K324" s="398"/>
      <c r="L324"/>
      <c r="N324" s="567"/>
    </row>
    <row r="325" spans="1:14">
      <c r="A325" s="127" t="s">
        <v>170</v>
      </c>
      <c r="B325" s="127" t="str">
        <f t="shared" ref="B325:B388" si="12">LEFT(D325,10)</f>
        <v>Department</v>
      </c>
      <c r="C325" s="127" t="str">
        <f t="shared" ref="C325:C388" si="13">MID(D325,12,5)</f>
        <v xml:space="preserve"> 35 -</v>
      </c>
      <c r="D325" s="569" t="s">
        <v>1150</v>
      </c>
      <c r="E325" s="569"/>
      <c r="F325" s="576">
        <v>8489748</v>
      </c>
      <c r="G325" s="576">
        <v>8489748</v>
      </c>
      <c r="H325" s="577">
        <v>622575.39</v>
      </c>
      <c r="I325" s="576">
        <v>7965030.7699999996</v>
      </c>
      <c r="J325" s="577">
        <v>524717.23</v>
      </c>
      <c r="K325" s="578">
        <v>6.18059841116603E-2</v>
      </c>
      <c r="L325" s="590"/>
      <c r="M325" s="591"/>
      <c r="N325" s="567"/>
    </row>
    <row r="326" spans="1:14">
      <c r="A326" s="127" t="s">
        <v>170</v>
      </c>
      <c r="B326" s="127" t="str">
        <f t="shared" si="12"/>
        <v/>
      </c>
      <c r="C326" s="127" t="str">
        <f t="shared" si="13"/>
        <v/>
      </c>
      <c r="L326"/>
      <c r="N326" s="567"/>
    </row>
    <row r="327" spans="1:14">
      <c r="A327" s="127" t="s">
        <v>170</v>
      </c>
      <c r="B327" s="127" t="str">
        <f t="shared" si="12"/>
        <v/>
      </c>
      <c r="C327" s="127" t="str">
        <f t="shared" si="13"/>
        <v/>
      </c>
      <c r="E327" s="569"/>
      <c r="F327" s="569"/>
      <c r="G327" s="569"/>
      <c r="H327" s="569"/>
      <c r="I327" s="569"/>
      <c r="J327" s="569"/>
      <c r="K327" s="569"/>
      <c r="L327" s="587"/>
      <c r="M327" s="587"/>
      <c r="N327" s="567"/>
    </row>
    <row r="328" spans="1:14">
      <c r="A328" s="127" t="s">
        <v>170</v>
      </c>
      <c r="B328" s="127" t="str">
        <f t="shared" si="12"/>
        <v/>
      </c>
      <c r="C328" s="127" t="str">
        <f t="shared" si="13"/>
        <v/>
      </c>
      <c r="E328" s="569"/>
      <c r="F328" s="569"/>
      <c r="G328" s="569"/>
      <c r="H328" s="569"/>
      <c r="I328" s="569"/>
      <c r="J328" s="569"/>
      <c r="K328" s="569"/>
      <c r="L328" s="587"/>
      <c r="M328" s="587"/>
      <c r="N328" s="567"/>
    </row>
    <row r="329" spans="1:14">
      <c r="A329" s="127" t="s">
        <v>170</v>
      </c>
      <c r="B329" s="127" t="str">
        <f t="shared" si="12"/>
        <v/>
      </c>
      <c r="C329" s="127" t="str">
        <f t="shared" si="13"/>
        <v/>
      </c>
      <c r="E329" s="569"/>
      <c r="F329" s="569"/>
      <c r="G329" s="569"/>
      <c r="H329" s="569"/>
      <c r="I329" s="569"/>
      <c r="J329" s="569"/>
      <c r="K329" s="569"/>
      <c r="L329" s="587"/>
      <c r="M329" s="587"/>
      <c r="N329" s="567"/>
    </row>
    <row r="330" spans="1:14">
      <c r="A330" s="127" t="s">
        <v>170</v>
      </c>
      <c r="B330" s="127" t="str">
        <f t="shared" si="12"/>
        <v>100-50-501</v>
      </c>
      <c r="C330" s="127" t="str">
        <f t="shared" si="13"/>
        <v>50101</v>
      </c>
      <c r="D330" s="570" t="s">
        <v>581</v>
      </c>
      <c r="E330" s="396" t="s">
        <v>316</v>
      </c>
      <c r="F330" s="414">
        <v>296089</v>
      </c>
      <c r="G330" s="414">
        <v>296089</v>
      </c>
      <c r="H330" s="571">
        <v>22784.46</v>
      </c>
      <c r="I330" s="414">
        <v>283894.37</v>
      </c>
      <c r="J330" s="571">
        <v>12194.63</v>
      </c>
      <c r="K330" s="572">
        <v>4.12</v>
      </c>
      <c r="L330" s="588"/>
      <c r="M330" s="589"/>
      <c r="N330" s="567"/>
    </row>
    <row r="331" spans="1:14">
      <c r="A331" s="127" t="s">
        <v>170</v>
      </c>
      <c r="B331" s="127" t="str">
        <f t="shared" si="12"/>
        <v>100-50-501</v>
      </c>
      <c r="C331" s="127" t="str">
        <f t="shared" si="13"/>
        <v>50102</v>
      </c>
      <c r="D331" s="570" t="s">
        <v>566</v>
      </c>
      <c r="E331" s="396" t="s">
        <v>317</v>
      </c>
      <c r="F331" s="414">
        <v>39806</v>
      </c>
      <c r="G331" s="414">
        <v>39806</v>
      </c>
      <c r="H331" s="571">
        <v>622.1</v>
      </c>
      <c r="I331" s="414">
        <v>33769.71</v>
      </c>
      <c r="J331" s="571">
        <v>6036.29</v>
      </c>
      <c r="K331" s="572">
        <v>15.16</v>
      </c>
      <c r="L331" s="588"/>
      <c r="M331" s="589"/>
      <c r="N331" s="567"/>
    </row>
    <row r="332" spans="1:14">
      <c r="A332" s="127" t="s">
        <v>170</v>
      </c>
      <c r="B332" s="127" t="str">
        <f t="shared" si="12"/>
        <v>100-50-501</v>
      </c>
      <c r="C332" s="127" t="str">
        <f t="shared" si="13"/>
        <v>50109</v>
      </c>
      <c r="D332" s="570" t="s">
        <v>565</v>
      </c>
      <c r="E332" s="396" t="s">
        <v>12</v>
      </c>
      <c r="F332" s="414">
        <v>600</v>
      </c>
      <c r="G332" s="414">
        <v>600</v>
      </c>
      <c r="H332" s="571">
        <v>0</v>
      </c>
      <c r="I332" s="414">
        <v>71.34</v>
      </c>
      <c r="J332" s="571">
        <v>528.66</v>
      </c>
      <c r="K332" s="572">
        <v>88.11</v>
      </c>
      <c r="L332" s="588"/>
      <c r="M332" s="589"/>
      <c r="N332" s="567"/>
    </row>
    <row r="333" spans="1:14">
      <c r="A333" s="127" t="s">
        <v>170</v>
      </c>
      <c r="B333" s="127" t="str">
        <f t="shared" si="12"/>
        <v>100-50-501</v>
      </c>
      <c r="C333" s="127" t="str">
        <f t="shared" si="13"/>
        <v>50111</v>
      </c>
      <c r="D333" s="570" t="s">
        <v>567</v>
      </c>
      <c r="E333" s="396" t="s">
        <v>318</v>
      </c>
      <c r="F333" s="414">
        <v>1281</v>
      </c>
      <c r="G333" s="414">
        <v>1281</v>
      </c>
      <c r="H333" s="571">
        <v>0</v>
      </c>
      <c r="I333" s="414">
        <v>1265</v>
      </c>
      <c r="J333" s="571">
        <v>16</v>
      </c>
      <c r="K333" s="572">
        <v>1.25</v>
      </c>
      <c r="L333" s="588"/>
      <c r="M333" s="589"/>
      <c r="N333" s="567"/>
    </row>
    <row r="334" spans="1:14">
      <c r="A334" s="127" t="s">
        <v>170</v>
      </c>
      <c r="B334" s="127" t="str">
        <f t="shared" si="12"/>
        <v>100-50-501</v>
      </c>
      <c r="C334" s="127" t="str">
        <f t="shared" si="13"/>
        <v>50120</v>
      </c>
      <c r="D334" s="570" t="s">
        <v>684</v>
      </c>
      <c r="E334" s="396" t="s">
        <v>319</v>
      </c>
      <c r="F334" s="414">
        <v>4800</v>
      </c>
      <c r="G334" s="414">
        <v>4800</v>
      </c>
      <c r="H334" s="571">
        <v>400</v>
      </c>
      <c r="I334" s="414">
        <v>4584</v>
      </c>
      <c r="J334" s="571">
        <v>216</v>
      </c>
      <c r="K334" s="572">
        <v>4.5</v>
      </c>
      <c r="L334" s="588"/>
      <c r="M334" s="589"/>
      <c r="N334" s="567"/>
    </row>
    <row r="335" spans="1:14">
      <c r="A335" s="127" t="s">
        <v>170</v>
      </c>
      <c r="B335" s="127" t="str">
        <f t="shared" si="12"/>
        <v>100-50-501</v>
      </c>
      <c r="C335" s="127" t="str">
        <f t="shared" si="13"/>
        <v>50610</v>
      </c>
      <c r="D335" s="570" t="s">
        <v>855</v>
      </c>
      <c r="E335" s="396" t="s">
        <v>320</v>
      </c>
      <c r="F335" s="414">
        <v>23470</v>
      </c>
      <c r="G335" s="414">
        <v>23470</v>
      </c>
      <c r="H335" s="571">
        <v>1732.89</v>
      </c>
      <c r="I335" s="414">
        <v>23461.72</v>
      </c>
      <c r="J335" s="571">
        <v>8.2799999999999994</v>
      </c>
      <c r="K335" s="572">
        <v>0.04</v>
      </c>
      <c r="L335" s="588"/>
      <c r="M335" s="589"/>
      <c r="N335" s="567"/>
    </row>
    <row r="336" spans="1:14">
      <c r="A336" s="127" t="s">
        <v>170</v>
      </c>
      <c r="B336" s="127" t="str">
        <f t="shared" si="12"/>
        <v>100-50-501</v>
      </c>
      <c r="C336" s="127" t="str">
        <f t="shared" si="13"/>
        <v>50620</v>
      </c>
      <c r="D336" s="570" t="s">
        <v>667</v>
      </c>
      <c r="E336" s="396" t="s">
        <v>321</v>
      </c>
      <c r="F336" s="414">
        <v>45459</v>
      </c>
      <c r="G336" s="414">
        <v>45459</v>
      </c>
      <c r="H336" s="571">
        <v>3860.31</v>
      </c>
      <c r="I336" s="414">
        <v>44342.58</v>
      </c>
      <c r="J336" s="571">
        <v>1116.42</v>
      </c>
      <c r="K336" s="572">
        <v>2.46</v>
      </c>
      <c r="L336" s="588"/>
      <c r="M336" s="589"/>
      <c r="N336" s="567"/>
    </row>
    <row r="337" spans="1:14">
      <c r="A337" s="127" t="s">
        <v>170</v>
      </c>
      <c r="B337" s="127" t="str">
        <f t="shared" si="12"/>
        <v>100-50-501</v>
      </c>
      <c r="C337" s="127" t="str">
        <f t="shared" si="13"/>
        <v>50630</v>
      </c>
      <c r="D337" s="570" t="s">
        <v>856</v>
      </c>
      <c r="E337" s="396" t="s">
        <v>322</v>
      </c>
      <c r="F337" s="414">
        <v>494</v>
      </c>
      <c r="G337" s="414">
        <v>494</v>
      </c>
      <c r="H337" s="571">
        <v>0</v>
      </c>
      <c r="I337" s="414">
        <v>493.6</v>
      </c>
      <c r="J337" s="571">
        <v>0.4</v>
      </c>
      <c r="K337" s="572">
        <v>0.08</v>
      </c>
      <c r="L337" s="588"/>
      <c r="M337" s="589"/>
      <c r="N337" s="567"/>
    </row>
    <row r="338" spans="1:14">
      <c r="A338" s="127" t="s">
        <v>170</v>
      </c>
      <c r="B338" s="127" t="str">
        <f t="shared" si="12"/>
        <v>100-50-501</v>
      </c>
      <c r="C338" s="127" t="str">
        <f t="shared" si="13"/>
        <v>50650</v>
      </c>
      <c r="D338" s="570" t="s">
        <v>731</v>
      </c>
      <c r="E338" s="396" t="s">
        <v>323</v>
      </c>
      <c r="F338" s="573">
        <v>57208</v>
      </c>
      <c r="G338" s="573">
        <v>57208</v>
      </c>
      <c r="H338" s="574">
        <v>4012.33</v>
      </c>
      <c r="I338" s="573">
        <v>54069.82</v>
      </c>
      <c r="J338" s="574">
        <v>3138.18</v>
      </c>
      <c r="K338" s="575">
        <v>5.49</v>
      </c>
      <c r="L338" s="588"/>
      <c r="M338" s="589"/>
      <c r="N338" s="567"/>
    </row>
    <row r="339" spans="1:14">
      <c r="A339" s="127" t="s">
        <v>170</v>
      </c>
      <c r="B339" s="127" t="str">
        <f t="shared" si="12"/>
        <v xml:space="preserve">Category: </v>
      </c>
      <c r="C339" s="127" t="str">
        <f t="shared" si="13"/>
        <v>0 - P</v>
      </c>
      <c r="D339" s="569" t="s">
        <v>1123</v>
      </c>
      <c r="E339" s="569"/>
      <c r="F339" s="576">
        <v>469207</v>
      </c>
      <c r="G339" s="576">
        <v>469207</v>
      </c>
      <c r="H339" s="577">
        <v>33412.089999999997</v>
      </c>
      <c r="I339" s="576">
        <v>445952.14</v>
      </c>
      <c r="J339" s="577">
        <v>23254.86</v>
      </c>
      <c r="K339" s="578">
        <v>4.9562048307037199E-2</v>
      </c>
      <c r="L339" s="590"/>
      <c r="M339" s="591"/>
      <c r="N339" s="567"/>
    </row>
    <row r="340" spans="1:14">
      <c r="A340" s="127" t="s">
        <v>170</v>
      </c>
      <c r="B340" s="127" t="str">
        <f t="shared" si="12"/>
        <v/>
      </c>
      <c r="C340" s="127" t="str">
        <f t="shared" si="13"/>
        <v/>
      </c>
      <c r="F340" s="398"/>
      <c r="G340" s="398"/>
      <c r="H340" s="398"/>
      <c r="I340" s="398"/>
      <c r="J340" s="398"/>
      <c r="K340" s="398"/>
      <c r="L340"/>
      <c r="N340" s="567"/>
    </row>
    <row r="341" spans="1:14">
      <c r="A341" s="127" t="s">
        <v>170</v>
      </c>
      <c r="B341" s="127" t="str">
        <f t="shared" si="12"/>
        <v xml:space="preserve">Division: </v>
      </c>
      <c r="C341" s="127" t="str">
        <f t="shared" si="13"/>
        <v xml:space="preserve">01 - </v>
      </c>
      <c r="D341" s="569" t="s">
        <v>1151</v>
      </c>
      <c r="E341" s="569"/>
      <c r="F341" s="576">
        <v>469207</v>
      </c>
      <c r="G341" s="576">
        <v>469207</v>
      </c>
      <c r="H341" s="577">
        <v>33412.089999999997</v>
      </c>
      <c r="I341" s="576">
        <v>445952.14</v>
      </c>
      <c r="J341" s="577">
        <v>23254.86</v>
      </c>
      <c r="K341" s="578">
        <v>4.9562048307037199E-2</v>
      </c>
      <c r="L341" s="590"/>
      <c r="M341" s="591"/>
      <c r="N341" s="567"/>
    </row>
    <row r="342" spans="1:14">
      <c r="A342" s="127" t="s">
        <v>170</v>
      </c>
      <c r="B342" s="127" t="str">
        <f t="shared" si="12"/>
        <v/>
      </c>
      <c r="C342" s="127" t="str">
        <f t="shared" si="13"/>
        <v/>
      </c>
      <c r="L342"/>
      <c r="N342" s="567"/>
    </row>
    <row r="343" spans="1:14">
      <c r="A343" s="127" t="s">
        <v>170</v>
      </c>
      <c r="B343" s="127" t="str">
        <f t="shared" si="12"/>
        <v/>
      </c>
      <c r="C343" s="127" t="str">
        <f t="shared" si="13"/>
        <v/>
      </c>
      <c r="E343" s="569"/>
      <c r="F343" s="569"/>
      <c r="G343" s="569"/>
      <c r="H343" s="569"/>
      <c r="I343" s="569"/>
      <c r="J343" s="569"/>
      <c r="K343" s="569"/>
      <c r="L343" s="587"/>
      <c r="M343" s="587"/>
      <c r="N343" s="567"/>
    </row>
    <row r="344" spans="1:14">
      <c r="A344" s="127" t="s">
        <v>170</v>
      </c>
      <c r="B344" s="127" t="str">
        <f t="shared" si="12"/>
        <v/>
      </c>
      <c r="C344" s="127" t="str">
        <f t="shared" si="13"/>
        <v/>
      </c>
      <c r="E344" s="569"/>
      <c r="F344" s="569"/>
      <c r="G344" s="569"/>
      <c r="H344" s="569"/>
      <c r="I344" s="569"/>
      <c r="J344" s="569"/>
      <c r="K344" s="569"/>
      <c r="L344" s="587"/>
      <c r="M344" s="587"/>
      <c r="N344" s="567"/>
    </row>
    <row r="345" spans="1:14">
      <c r="A345" s="127" t="s">
        <v>170</v>
      </c>
      <c r="B345" s="127" t="str">
        <f t="shared" si="12"/>
        <v>100-50-502</v>
      </c>
      <c r="C345" s="127" t="str">
        <f t="shared" si="13"/>
        <v>50101</v>
      </c>
      <c r="D345" s="570" t="s">
        <v>540</v>
      </c>
      <c r="E345" s="396" t="s">
        <v>316</v>
      </c>
      <c r="F345" s="414">
        <v>275540</v>
      </c>
      <c r="G345" s="414">
        <v>275540</v>
      </c>
      <c r="H345" s="571">
        <v>17841.12</v>
      </c>
      <c r="I345" s="414">
        <v>222300.36</v>
      </c>
      <c r="J345" s="571">
        <v>53239.64</v>
      </c>
      <c r="K345" s="572">
        <v>19.32</v>
      </c>
      <c r="L345" s="588"/>
      <c r="M345" s="589"/>
      <c r="N345" s="567"/>
    </row>
    <row r="346" spans="1:14">
      <c r="A346" s="127" t="s">
        <v>170</v>
      </c>
      <c r="B346" s="127" t="str">
        <f t="shared" si="12"/>
        <v>100-50-502</v>
      </c>
      <c r="C346" s="127" t="str">
        <f t="shared" si="13"/>
        <v>50102</v>
      </c>
      <c r="D346" s="570" t="s">
        <v>639</v>
      </c>
      <c r="E346" s="396" t="s">
        <v>317</v>
      </c>
      <c r="F346" s="414">
        <v>120433</v>
      </c>
      <c r="G346" s="414">
        <v>120433</v>
      </c>
      <c r="H346" s="571">
        <v>8897.6</v>
      </c>
      <c r="I346" s="414">
        <v>99989.54</v>
      </c>
      <c r="J346" s="571">
        <v>20443.46</v>
      </c>
      <c r="K346" s="572">
        <v>16.97</v>
      </c>
      <c r="L346" s="588"/>
      <c r="M346" s="589"/>
      <c r="N346" s="567"/>
    </row>
    <row r="347" spans="1:14">
      <c r="A347" s="127" t="s">
        <v>170</v>
      </c>
      <c r="B347" s="127" t="str">
        <f t="shared" si="12"/>
        <v>100-50-502</v>
      </c>
      <c r="C347" s="127" t="str">
        <f t="shared" si="13"/>
        <v>50109</v>
      </c>
      <c r="D347" s="570" t="s">
        <v>640</v>
      </c>
      <c r="E347" s="396" t="s">
        <v>12</v>
      </c>
      <c r="F347" s="414">
        <v>16000</v>
      </c>
      <c r="G347" s="414">
        <v>16000</v>
      </c>
      <c r="H347" s="571">
        <v>231.68</v>
      </c>
      <c r="I347" s="414">
        <v>5419.86</v>
      </c>
      <c r="J347" s="571">
        <v>10580.14</v>
      </c>
      <c r="K347" s="572">
        <v>66.13</v>
      </c>
      <c r="L347" s="588"/>
      <c r="M347" s="589"/>
      <c r="N347" s="567"/>
    </row>
    <row r="348" spans="1:14">
      <c r="A348" s="127" t="s">
        <v>170</v>
      </c>
      <c r="B348" s="127" t="str">
        <f t="shared" si="12"/>
        <v>100-50-502</v>
      </c>
      <c r="C348" s="127" t="str">
        <f t="shared" si="13"/>
        <v>50111</v>
      </c>
      <c r="D348" s="570" t="s">
        <v>641</v>
      </c>
      <c r="E348" s="396" t="s">
        <v>318</v>
      </c>
      <c r="F348" s="414">
        <v>2469</v>
      </c>
      <c r="G348" s="414">
        <v>2469</v>
      </c>
      <c r="H348" s="571">
        <v>0</v>
      </c>
      <c r="I348" s="414">
        <v>2385</v>
      </c>
      <c r="J348" s="571">
        <v>84</v>
      </c>
      <c r="K348" s="572">
        <v>3.4</v>
      </c>
      <c r="L348" s="588"/>
      <c r="M348" s="589"/>
      <c r="N348" s="567"/>
    </row>
    <row r="349" spans="1:14">
      <c r="A349" s="127" t="s">
        <v>170</v>
      </c>
      <c r="B349" s="127" t="str">
        <f t="shared" si="12"/>
        <v>100-50-502</v>
      </c>
      <c r="C349" s="127" t="str">
        <f t="shared" si="13"/>
        <v>50120</v>
      </c>
      <c r="D349" s="570" t="s">
        <v>698</v>
      </c>
      <c r="E349" s="396" t="s">
        <v>319</v>
      </c>
      <c r="F349" s="414">
        <v>4200</v>
      </c>
      <c r="G349" s="414">
        <v>4200</v>
      </c>
      <c r="H349" s="571">
        <v>350</v>
      </c>
      <c r="I349" s="414">
        <v>4011</v>
      </c>
      <c r="J349" s="571">
        <v>189</v>
      </c>
      <c r="K349" s="572">
        <v>4.5</v>
      </c>
      <c r="L349" s="588"/>
      <c r="M349" s="589"/>
      <c r="N349" s="567"/>
    </row>
    <row r="350" spans="1:14">
      <c r="A350" s="127" t="s">
        <v>170</v>
      </c>
      <c r="B350" s="127" t="str">
        <f t="shared" si="12"/>
        <v>100-50-502</v>
      </c>
      <c r="C350" s="127" t="str">
        <f t="shared" si="13"/>
        <v>50610</v>
      </c>
      <c r="D350" s="570" t="s">
        <v>857</v>
      </c>
      <c r="E350" s="396" t="s">
        <v>320</v>
      </c>
      <c r="F350" s="414">
        <v>31380</v>
      </c>
      <c r="G350" s="414">
        <v>31380</v>
      </c>
      <c r="H350" s="571">
        <v>2058.2600000000002</v>
      </c>
      <c r="I350" s="414">
        <v>25223.84</v>
      </c>
      <c r="J350" s="571">
        <v>6156.16</v>
      </c>
      <c r="K350" s="572">
        <v>19.62</v>
      </c>
      <c r="L350" s="588"/>
      <c r="M350" s="589"/>
      <c r="N350" s="567"/>
    </row>
    <row r="351" spans="1:14">
      <c r="A351" s="127" t="s">
        <v>170</v>
      </c>
      <c r="B351" s="127" t="str">
        <f t="shared" si="12"/>
        <v>100-50-502</v>
      </c>
      <c r="C351" s="127" t="str">
        <f t="shared" si="13"/>
        <v>50620</v>
      </c>
      <c r="D351" s="570" t="s">
        <v>700</v>
      </c>
      <c r="E351" s="396" t="s">
        <v>321</v>
      </c>
      <c r="F351" s="414">
        <v>64125</v>
      </c>
      <c r="G351" s="414">
        <v>64125</v>
      </c>
      <c r="H351" s="571">
        <v>4210.26</v>
      </c>
      <c r="I351" s="414">
        <v>44615.66</v>
      </c>
      <c r="J351" s="571">
        <v>19509.34</v>
      </c>
      <c r="K351" s="572">
        <v>30.42</v>
      </c>
      <c r="L351" s="588"/>
      <c r="M351" s="589"/>
      <c r="N351" s="567"/>
    </row>
    <row r="352" spans="1:14">
      <c r="A352" s="127" t="s">
        <v>170</v>
      </c>
      <c r="B352" s="127" t="str">
        <f t="shared" si="12"/>
        <v>100-50-502</v>
      </c>
      <c r="C352" s="127" t="str">
        <f t="shared" si="13"/>
        <v>50630</v>
      </c>
      <c r="D352" s="570" t="s">
        <v>858</v>
      </c>
      <c r="E352" s="396" t="s">
        <v>322</v>
      </c>
      <c r="F352" s="414">
        <v>1087</v>
      </c>
      <c r="G352" s="414">
        <v>1087</v>
      </c>
      <c r="H352" s="571">
        <v>0</v>
      </c>
      <c r="I352" s="414">
        <v>1086.1199999999999</v>
      </c>
      <c r="J352" s="571">
        <v>0.88</v>
      </c>
      <c r="K352" s="572">
        <v>0.08</v>
      </c>
      <c r="L352" s="588"/>
      <c r="M352" s="589"/>
      <c r="N352" s="567"/>
    </row>
    <row r="353" spans="1:14">
      <c r="A353" s="127" t="s">
        <v>170</v>
      </c>
      <c r="B353" s="127" t="str">
        <f t="shared" si="12"/>
        <v>100-50-502</v>
      </c>
      <c r="C353" s="127" t="str">
        <f t="shared" si="13"/>
        <v>50650</v>
      </c>
      <c r="D353" s="570" t="s">
        <v>660</v>
      </c>
      <c r="E353" s="396" t="s">
        <v>323</v>
      </c>
      <c r="F353" s="573">
        <v>69757</v>
      </c>
      <c r="G353" s="573">
        <v>69757</v>
      </c>
      <c r="H353" s="574">
        <v>4594.3</v>
      </c>
      <c r="I353" s="573">
        <v>55746.77</v>
      </c>
      <c r="J353" s="574">
        <v>14010.23</v>
      </c>
      <c r="K353" s="575">
        <v>20.079999999999998</v>
      </c>
      <c r="L353" s="588"/>
      <c r="M353" s="589"/>
      <c r="N353" s="567"/>
    </row>
    <row r="354" spans="1:14">
      <c r="A354" s="127" t="s">
        <v>170</v>
      </c>
      <c r="B354" s="127" t="str">
        <f t="shared" si="12"/>
        <v xml:space="preserve">Category: </v>
      </c>
      <c r="C354" s="127" t="str">
        <f t="shared" si="13"/>
        <v>0 - P</v>
      </c>
      <c r="D354" s="569" t="s">
        <v>1123</v>
      </c>
      <c r="E354" s="569"/>
      <c r="F354" s="576">
        <v>584991</v>
      </c>
      <c r="G354" s="576">
        <v>584991</v>
      </c>
      <c r="H354" s="577">
        <v>38183.22</v>
      </c>
      <c r="I354" s="576">
        <v>460778.15</v>
      </c>
      <c r="J354" s="577">
        <v>124212.85</v>
      </c>
      <c r="K354" s="578">
        <v>0.21233292478003901</v>
      </c>
      <c r="L354" s="590"/>
      <c r="M354" s="591"/>
      <c r="N354" s="567"/>
    </row>
    <row r="355" spans="1:14">
      <c r="A355" s="127" t="s">
        <v>170</v>
      </c>
      <c r="B355" s="127" t="str">
        <f t="shared" si="12"/>
        <v/>
      </c>
      <c r="C355" s="127" t="str">
        <f t="shared" si="13"/>
        <v/>
      </c>
      <c r="F355" s="398"/>
      <c r="G355" s="398"/>
      <c r="H355" s="398"/>
      <c r="I355" s="398"/>
      <c r="J355" s="398"/>
      <c r="K355" s="398"/>
      <c r="L355"/>
      <c r="N355" s="567"/>
    </row>
    <row r="356" spans="1:14">
      <c r="A356" s="127" t="s">
        <v>170</v>
      </c>
      <c r="B356" s="127" t="str">
        <f t="shared" si="12"/>
        <v xml:space="preserve">Division: </v>
      </c>
      <c r="C356" s="127" t="str">
        <f t="shared" si="13"/>
        <v xml:space="preserve">02 - </v>
      </c>
      <c r="D356" s="569" t="s">
        <v>1152</v>
      </c>
      <c r="E356" s="569"/>
      <c r="F356" s="576">
        <v>584991</v>
      </c>
      <c r="G356" s="576">
        <v>584991</v>
      </c>
      <c r="H356" s="577">
        <v>38183.22</v>
      </c>
      <c r="I356" s="576">
        <v>460778.15</v>
      </c>
      <c r="J356" s="577">
        <v>124212.85</v>
      </c>
      <c r="K356" s="578">
        <v>0.21233292478003901</v>
      </c>
      <c r="L356" s="590"/>
      <c r="M356" s="591"/>
      <c r="N356" s="567"/>
    </row>
    <row r="357" spans="1:14">
      <c r="A357" s="127" t="s">
        <v>170</v>
      </c>
      <c r="B357" s="127" t="str">
        <f t="shared" si="12"/>
        <v/>
      </c>
      <c r="C357" s="127" t="str">
        <f t="shared" si="13"/>
        <v/>
      </c>
      <c r="L357"/>
      <c r="N357" s="567"/>
    </row>
    <row r="358" spans="1:14">
      <c r="A358" s="127"/>
      <c r="B358" s="127" t="str">
        <f t="shared" si="12"/>
        <v/>
      </c>
      <c r="C358" s="127" t="str">
        <f t="shared" si="13"/>
        <v/>
      </c>
      <c r="L358"/>
      <c r="N358" s="567"/>
    </row>
    <row r="359" spans="1:14">
      <c r="B359" s="127" t="str">
        <f t="shared" si="12"/>
        <v/>
      </c>
      <c r="C359" s="127" t="str">
        <f t="shared" si="13"/>
        <v/>
      </c>
      <c r="D359" s="579"/>
      <c r="E359" s="579"/>
      <c r="F359" s="579"/>
      <c r="G359" s="579"/>
      <c r="H359" s="579"/>
      <c r="I359" s="579"/>
      <c r="J359" s="579"/>
      <c r="K359" s="579"/>
      <c r="L359" s="592"/>
      <c r="M359" s="592"/>
      <c r="N359" s="567"/>
    </row>
    <row r="360" spans="1:14" ht="16.2" thickBot="1">
      <c r="B360" s="127" t="str">
        <f t="shared" si="12"/>
        <v xml:space="preserve">9/25/2024 </v>
      </c>
      <c r="C360" s="127" t="str">
        <f t="shared" si="13"/>
        <v>:13:1</v>
      </c>
      <c r="D360" s="439" t="s">
        <v>2991</v>
      </c>
      <c r="E360" s="439"/>
      <c r="F360" s="440"/>
      <c r="G360" s="440"/>
      <c r="H360" s="440"/>
      <c r="I360" s="440"/>
      <c r="J360" s="439"/>
      <c r="K360" s="439"/>
      <c r="L360" s="593"/>
      <c r="N360" s="567"/>
    </row>
    <row r="361" spans="1:14">
      <c r="B361" s="127" t="str">
        <f t="shared" si="12"/>
        <v>Budget Rep</v>
      </c>
      <c r="C361" s="127" t="str">
        <f t="shared" si="13"/>
        <v>rt</v>
      </c>
      <c r="D361" s="441" t="s">
        <v>1122</v>
      </c>
      <c r="E361" s="441"/>
      <c r="F361" s="441"/>
      <c r="G361" s="442"/>
      <c r="H361" s="441"/>
      <c r="I361" s="441"/>
      <c r="J361" s="441"/>
      <c r="K361" s="441"/>
      <c r="L361" s="594"/>
      <c r="M361" s="594"/>
      <c r="N361" s="567"/>
    </row>
    <row r="362" spans="1:14" ht="15.75" customHeight="1">
      <c r="B362" s="127" t="str">
        <f t="shared" si="12"/>
        <v/>
      </c>
      <c r="C362" s="127" t="str">
        <f t="shared" si="13"/>
        <v/>
      </c>
      <c r="L362"/>
      <c r="N362" s="567"/>
    </row>
    <row r="363" spans="1:14" ht="34.5" customHeight="1">
      <c r="B363" s="127" t="str">
        <f t="shared" si="12"/>
        <v/>
      </c>
      <c r="C363" s="127" t="str">
        <f t="shared" si="13"/>
        <v/>
      </c>
      <c r="J363" s="413" t="s">
        <v>1098</v>
      </c>
      <c r="L363"/>
      <c r="N363" s="567"/>
    </row>
    <row r="364" spans="1:14" ht="21.6">
      <c r="B364" s="127" t="str">
        <f t="shared" si="12"/>
        <v/>
      </c>
      <c r="C364" s="127" t="str">
        <f t="shared" si="13"/>
        <v/>
      </c>
      <c r="F364" s="413" t="s">
        <v>1099</v>
      </c>
      <c r="G364" s="413" t="s">
        <v>1100</v>
      </c>
      <c r="H364" s="568" t="s">
        <v>1101</v>
      </c>
      <c r="I364" s="413" t="s">
        <v>1102</v>
      </c>
      <c r="J364" s="413"/>
      <c r="K364" s="568" t="s">
        <v>1103</v>
      </c>
      <c r="L364" s="586"/>
      <c r="M364" s="540"/>
      <c r="N364" s="567"/>
    </row>
    <row r="365" spans="1:14">
      <c r="B365" s="127" t="str">
        <f t="shared" si="12"/>
        <v/>
      </c>
      <c r="C365" s="127" t="str">
        <f t="shared" si="13"/>
        <v/>
      </c>
      <c r="L365"/>
      <c r="N365" s="567"/>
    </row>
    <row r="366" spans="1:14">
      <c r="B366" s="127" t="str">
        <f t="shared" si="12"/>
        <v/>
      </c>
      <c r="C366" s="127" t="str">
        <f t="shared" si="13"/>
        <v/>
      </c>
      <c r="E366" s="569"/>
      <c r="F366" s="569"/>
      <c r="G366" s="569"/>
      <c r="H366" s="569"/>
      <c r="I366" s="569"/>
      <c r="J366" s="569"/>
      <c r="K366" s="569"/>
      <c r="L366" s="587"/>
      <c r="M366" s="587"/>
      <c r="N366" s="567"/>
    </row>
    <row r="367" spans="1:14">
      <c r="B367" s="127" t="str">
        <f t="shared" si="12"/>
        <v/>
      </c>
      <c r="C367" s="127" t="str">
        <f t="shared" si="13"/>
        <v/>
      </c>
      <c r="E367" s="569"/>
      <c r="F367" s="569"/>
      <c r="G367" s="569"/>
      <c r="H367" s="569"/>
      <c r="I367" s="569"/>
      <c r="J367" s="569"/>
      <c r="K367" s="569"/>
      <c r="L367" s="587"/>
      <c r="M367" s="587"/>
      <c r="N367" s="567"/>
    </row>
    <row r="368" spans="1:14">
      <c r="B368" s="127" t="str">
        <f t="shared" si="12"/>
        <v>100-50-503</v>
      </c>
      <c r="C368" s="127" t="str">
        <f t="shared" si="13"/>
        <v>50101</v>
      </c>
      <c r="D368" s="570" t="s">
        <v>648</v>
      </c>
      <c r="E368" s="396" t="s">
        <v>316</v>
      </c>
      <c r="F368" s="414">
        <v>52801</v>
      </c>
      <c r="G368" s="414">
        <v>52801</v>
      </c>
      <c r="H368" s="571">
        <v>0</v>
      </c>
      <c r="I368" s="414">
        <v>0</v>
      </c>
      <c r="J368" s="571">
        <v>52801</v>
      </c>
      <c r="K368" s="572">
        <v>100</v>
      </c>
      <c r="L368" s="588"/>
      <c r="M368" s="589"/>
      <c r="N368" s="567"/>
    </row>
    <row r="369" spans="2:14">
      <c r="B369" s="127" t="str">
        <f t="shared" si="12"/>
        <v>100-50-503</v>
      </c>
      <c r="C369" s="127" t="str">
        <f t="shared" si="13"/>
        <v>50102</v>
      </c>
      <c r="D369" s="570" t="s">
        <v>562</v>
      </c>
      <c r="E369" s="396" t="s">
        <v>317</v>
      </c>
      <c r="F369" s="414">
        <v>345820</v>
      </c>
      <c r="G369" s="414">
        <v>345820</v>
      </c>
      <c r="H369" s="571">
        <v>21838.94</v>
      </c>
      <c r="I369" s="414">
        <v>319832.03000000003</v>
      </c>
      <c r="J369" s="571">
        <v>25987.97</v>
      </c>
      <c r="K369" s="572">
        <v>7.51</v>
      </c>
      <c r="L369" s="588"/>
      <c r="M369" s="589"/>
      <c r="N369" s="567"/>
    </row>
    <row r="370" spans="2:14">
      <c r="B370" s="127" t="str">
        <f t="shared" si="12"/>
        <v>100-50-503</v>
      </c>
      <c r="C370" s="127" t="str">
        <f t="shared" si="13"/>
        <v>50109</v>
      </c>
      <c r="D370" s="570" t="s">
        <v>561</v>
      </c>
      <c r="E370" s="396" t="s">
        <v>12</v>
      </c>
      <c r="F370" s="414">
        <v>31051</v>
      </c>
      <c r="G370" s="414">
        <v>31051</v>
      </c>
      <c r="H370" s="571">
        <v>15.42</v>
      </c>
      <c r="I370" s="414">
        <v>7102.15</v>
      </c>
      <c r="J370" s="571">
        <v>23948.85</v>
      </c>
      <c r="K370" s="572">
        <v>77.13</v>
      </c>
      <c r="L370" s="588"/>
      <c r="M370" s="589"/>
      <c r="N370" s="567"/>
    </row>
    <row r="371" spans="2:14">
      <c r="B371" s="127" t="str">
        <f t="shared" si="12"/>
        <v>100-50-503</v>
      </c>
      <c r="C371" s="127" t="str">
        <f t="shared" si="13"/>
        <v>50111</v>
      </c>
      <c r="D371" s="570" t="s">
        <v>563</v>
      </c>
      <c r="E371" s="396" t="s">
        <v>318</v>
      </c>
      <c r="F371" s="414">
        <v>960</v>
      </c>
      <c r="G371" s="414">
        <v>960</v>
      </c>
      <c r="H371" s="571">
        <v>0</v>
      </c>
      <c r="I371" s="414">
        <v>980</v>
      </c>
      <c r="J371" s="571">
        <v>-20</v>
      </c>
      <c r="K371" s="572">
        <v>-2.08</v>
      </c>
      <c r="L371" s="588"/>
      <c r="M371" s="589"/>
      <c r="N371" s="567"/>
    </row>
    <row r="372" spans="2:14">
      <c r="B372" s="127" t="str">
        <f t="shared" si="12"/>
        <v>100-50-503</v>
      </c>
      <c r="C372" s="127" t="str">
        <f t="shared" si="13"/>
        <v>50610</v>
      </c>
      <c r="D372" s="570" t="s">
        <v>859</v>
      </c>
      <c r="E372" s="396" t="s">
        <v>320</v>
      </c>
      <c r="F372" s="414">
        <v>32980</v>
      </c>
      <c r="G372" s="414">
        <v>32980</v>
      </c>
      <c r="H372" s="571">
        <v>1610.65</v>
      </c>
      <c r="I372" s="414">
        <v>23975.88</v>
      </c>
      <c r="J372" s="571">
        <v>9004.1200000000008</v>
      </c>
      <c r="K372" s="572">
        <v>27.3</v>
      </c>
      <c r="L372" s="588"/>
      <c r="M372" s="589"/>
      <c r="N372" s="567"/>
    </row>
    <row r="373" spans="2:14">
      <c r="B373" s="127" t="str">
        <f t="shared" si="12"/>
        <v>100-50-503</v>
      </c>
      <c r="C373" s="127" t="str">
        <f t="shared" si="13"/>
        <v>50620</v>
      </c>
      <c r="D373" s="570" t="s">
        <v>671</v>
      </c>
      <c r="E373" s="396" t="s">
        <v>321</v>
      </c>
      <c r="F373" s="414">
        <v>133793</v>
      </c>
      <c r="G373" s="414">
        <v>133793</v>
      </c>
      <c r="H373" s="571">
        <v>6177.43</v>
      </c>
      <c r="I373" s="414">
        <v>87845.91</v>
      </c>
      <c r="J373" s="571">
        <v>45947.09</v>
      </c>
      <c r="K373" s="572">
        <v>34.340000000000003</v>
      </c>
      <c r="L373" s="588"/>
      <c r="M373" s="589"/>
      <c r="N373" s="567"/>
    </row>
    <row r="374" spans="2:14">
      <c r="B374" s="127" t="str">
        <f t="shared" si="12"/>
        <v>100-50-503</v>
      </c>
      <c r="C374" s="127" t="str">
        <f t="shared" si="13"/>
        <v>50630</v>
      </c>
      <c r="D374" s="570" t="s">
        <v>860</v>
      </c>
      <c r="E374" s="396" t="s">
        <v>322</v>
      </c>
      <c r="F374" s="414">
        <v>11439</v>
      </c>
      <c r="G374" s="414">
        <v>11439</v>
      </c>
      <c r="H374" s="571">
        <v>0</v>
      </c>
      <c r="I374" s="414">
        <v>11429.66</v>
      </c>
      <c r="J374" s="571">
        <v>9.34</v>
      </c>
      <c r="K374" s="572">
        <v>0.08</v>
      </c>
      <c r="L374" s="588"/>
      <c r="M374" s="589"/>
      <c r="N374" s="567"/>
    </row>
    <row r="375" spans="2:14">
      <c r="B375" s="127" t="str">
        <f t="shared" si="12"/>
        <v>100-50-503</v>
      </c>
      <c r="C375" s="127" t="str">
        <f t="shared" si="13"/>
        <v>50650</v>
      </c>
      <c r="D375" s="570" t="s">
        <v>706</v>
      </c>
      <c r="E375" s="396" t="s">
        <v>323</v>
      </c>
      <c r="F375" s="573">
        <v>71226</v>
      </c>
      <c r="G375" s="573">
        <v>71226</v>
      </c>
      <c r="H375" s="574">
        <v>3645.61</v>
      </c>
      <c r="I375" s="573">
        <v>54481.51</v>
      </c>
      <c r="J375" s="574">
        <v>16744.490000000002</v>
      </c>
      <c r="K375" s="575">
        <v>23.51</v>
      </c>
      <c r="L375" s="588"/>
      <c r="M375" s="589"/>
      <c r="N375" s="567"/>
    </row>
    <row r="376" spans="2:14">
      <c r="B376" s="127" t="str">
        <f t="shared" si="12"/>
        <v xml:space="preserve">Category: </v>
      </c>
      <c r="C376" s="127" t="str">
        <f t="shared" si="13"/>
        <v>0 - P</v>
      </c>
      <c r="D376" s="569" t="s">
        <v>1123</v>
      </c>
      <c r="E376" s="569"/>
      <c r="F376" s="576">
        <v>680070</v>
      </c>
      <c r="G376" s="576">
        <v>680070</v>
      </c>
      <c r="H376" s="577">
        <v>33288.050000000003</v>
      </c>
      <c r="I376" s="576">
        <v>505647.14</v>
      </c>
      <c r="J376" s="577">
        <v>174422.86</v>
      </c>
      <c r="K376" s="578">
        <v>0.256477803755496</v>
      </c>
      <c r="L376" s="590"/>
      <c r="M376" s="591"/>
      <c r="N376" s="567"/>
    </row>
    <row r="377" spans="2:14">
      <c r="B377" s="127" t="str">
        <f t="shared" si="12"/>
        <v/>
      </c>
      <c r="C377" s="127" t="str">
        <f t="shared" si="13"/>
        <v/>
      </c>
      <c r="F377" s="398"/>
      <c r="G377" s="398"/>
      <c r="H377" s="398"/>
      <c r="I377" s="398"/>
      <c r="J377" s="398"/>
      <c r="K377" s="398"/>
      <c r="L377"/>
      <c r="N377" s="567"/>
    </row>
    <row r="378" spans="2:14">
      <c r="B378" s="127" t="str">
        <f t="shared" si="12"/>
        <v xml:space="preserve">Division: </v>
      </c>
      <c r="C378" s="127" t="str">
        <f t="shared" si="13"/>
        <v xml:space="preserve">03 - </v>
      </c>
      <c r="D378" s="569" t="s">
        <v>1153</v>
      </c>
      <c r="E378" s="569"/>
      <c r="F378" s="576">
        <v>680070</v>
      </c>
      <c r="G378" s="576">
        <v>680070</v>
      </c>
      <c r="H378" s="577">
        <v>33288.050000000003</v>
      </c>
      <c r="I378" s="576">
        <v>505647.14</v>
      </c>
      <c r="J378" s="577">
        <v>174422.86</v>
      </c>
      <c r="K378" s="578">
        <v>0.256477803755496</v>
      </c>
      <c r="L378" s="590"/>
      <c r="M378" s="591"/>
      <c r="N378" s="567"/>
    </row>
    <row r="379" spans="2:14">
      <c r="B379" s="127" t="str">
        <f t="shared" si="12"/>
        <v/>
      </c>
      <c r="C379" s="127" t="str">
        <f t="shared" si="13"/>
        <v/>
      </c>
      <c r="F379" s="398"/>
      <c r="G379" s="398"/>
      <c r="H379" s="398"/>
      <c r="I379" s="398"/>
      <c r="J379" s="398"/>
      <c r="K379" s="398"/>
      <c r="L379"/>
      <c r="N379" s="567"/>
    </row>
    <row r="380" spans="2:14">
      <c r="B380" s="127" t="str">
        <f t="shared" si="12"/>
        <v>Department</v>
      </c>
      <c r="C380" s="127" t="str">
        <f t="shared" si="13"/>
        <v xml:space="preserve"> 50 -</v>
      </c>
      <c r="D380" s="569" t="s">
        <v>1154</v>
      </c>
      <c r="E380" s="569"/>
      <c r="F380" s="576">
        <v>1734268</v>
      </c>
      <c r="G380" s="576">
        <v>1734268</v>
      </c>
      <c r="H380" s="577">
        <v>104883.36</v>
      </c>
      <c r="I380" s="576">
        <v>1412377.43</v>
      </c>
      <c r="J380" s="577">
        <v>321890.57</v>
      </c>
      <c r="K380" s="578">
        <v>0.18560601360343401</v>
      </c>
      <c r="L380" s="590"/>
      <c r="M380" s="591"/>
      <c r="N380" s="567"/>
    </row>
    <row r="381" spans="2:14">
      <c r="B381" s="127" t="str">
        <f t="shared" si="12"/>
        <v/>
      </c>
      <c r="C381" s="127" t="str">
        <f t="shared" si="13"/>
        <v/>
      </c>
      <c r="L381"/>
      <c r="N381" s="567"/>
    </row>
    <row r="382" spans="2:14">
      <c r="B382" s="127" t="str">
        <f t="shared" si="12"/>
        <v/>
      </c>
      <c r="C382" s="127" t="str">
        <f t="shared" si="13"/>
        <v/>
      </c>
      <c r="E382" s="569"/>
      <c r="F382" s="569"/>
      <c r="G382" s="569"/>
      <c r="H382" s="569"/>
      <c r="I382" s="569"/>
      <c r="J382" s="569"/>
      <c r="K382" s="569"/>
      <c r="L382" s="587"/>
      <c r="M382" s="587"/>
      <c r="N382" s="567"/>
    </row>
    <row r="383" spans="2:14">
      <c r="B383" s="127" t="str">
        <f t="shared" si="12"/>
        <v/>
      </c>
      <c r="C383" s="127" t="str">
        <f t="shared" si="13"/>
        <v/>
      </c>
      <c r="E383" s="569"/>
      <c r="F383" s="569"/>
      <c r="G383" s="569"/>
      <c r="H383" s="569"/>
      <c r="I383" s="569"/>
      <c r="J383" s="569"/>
      <c r="K383" s="569"/>
      <c r="L383" s="587"/>
      <c r="M383" s="587"/>
      <c r="N383" s="567"/>
    </row>
    <row r="384" spans="2:14">
      <c r="B384" s="127" t="str">
        <f t="shared" si="12"/>
        <v/>
      </c>
      <c r="C384" s="127" t="str">
        <f t="shared" si="13"/>
        <v/>
      </c>
      <c r="E384" s="569"/>
      <c r="F384" s="569"/>
      <c r="G384" s="569"/>
      <c r="H384" s="569"/>
      <c r="I384" s="569"/>
      <c r="J384" s="569"/>
      <c r="K384" s="569"/>
      <c r="L384" s="587"/>
      <c r="M384" s="587"/>
      <c r="N384" s="567"/>
    </row>
    <row r="385" spans="2:14">
      <c r="B385" s="127" t="str">
        <f t="shared" si="12"/>
        <v>100-60-601</v>
      </c>
      <c r="C385" s="127" t="str">
        <f t="shared" si="13"/>
        <v>50101</v>
      </c>
      <c r="D385" s="570" t="s">
        <v>626</v>
      </c>
      <c r="E385" s="396" t="s">
        <v>316</v>
      </c>
      <c r="F385" s="414">
        <v>379921</v>
      </c>
      <c r="G385" s="414">
        <v>379921</v>
      </c>
      <c r="H385" s="571">
        <v>34048.46</v>
      </c>
      <c r="I385" s="414">
        <v>421979.19</v>
      </c>
      <c r="J385" s="571">
        <v>-42058.19</v>
      </c>
      <c r="K385" s="572">
        <v>-11.07</v>
      </c>
      <c r="L385" s="588"/>
      <c r="M385" s="589"/>
      <c r="N385" s="567"/>
    </row>
    <row r="386" spans="2:14">
      <c r="B386" s="127" t="str">
        <f t="shared" si="12"/>
        <v>100-60-601</v>
      </c>
      <c r="C386" s="127" t="str">
        <f t="shared" si="13"/>
        <v>50102</v>
      </c>
      <c r="D386" s="570" t="s">
        <v>525</v>
      </c>
      <c r="E386" s="396" t="s">
        <v>317</v>
      </c>
      <c r="F386" s="414">
        <v>309030</v>
      </c>
      <c r="G386" s="414">
        <v>309030</v>
      </c>
      <c r="H386" s="571">
        <v>16452.62</v>
      </c>
      <c r="I386" s="414">
        <v>236754.04</v>
      </c>
      <c r="J386" s="571">
        <v>72275.960000000006</v>
      </c>
      <c r="K386" s="572">
        <v>23.39</v>
      </c>
      <c r="L386" s="588"/>
      <c r="M386" s="589"/>
      <c r="N386" s="567"/>
    </row>
    <row r="387" spans="2:14">
      <c r="B387" s="127" t="str">
        <f t="shared" si="12"/>
        <v>100-60-601</v>
      </c>
      <c r="C387" s="127" t="str">
        <f t="shared" si="13"/>
        <v>50109</v>
      </c>
      <c r="D387" s="570" t="s">
        <v>506</v>
      </c>
      <c r="E387" s="396" t="s">
        <v>12</v>
      </c>
      <c r="F387" s="414">
        <v>250</v>
      </c>
      <c r="G387" s="414">
        <v>250</v>
      </c>
      <c r="H387" s="571">
        <v>0</v>
      </c>
      <c r="I387" s="414">
        <v>7.68</v>
      </c>
      <c r="J387" s="571">
        <v>242.32</v>
      </c>
      <c r="K387" s="572">
        <v>96.93</v>
      </c>
      <c r="L387" s="588"/>
      <c r="M387" s="589"/>
      <c r="N387" s="567"/>
    </row>
    <row r="388" spans="2:14">
      <c r="B388" s="127" t="str">
        <f t="shared" si="12"/>
        <v>100-60-601</v>
      </c>
      <c r="C388" s="127" t="str">
        <f t="shared" si="13"/>
        <v>50111</v>
      </c>
      <c r="D388" s="570" t="s">
        <v>526</v>
      </c>
      <c r="E388" s="396" t="s">
        <v>318</v>
      </c>
      <c r="F388" s="414">
        <v>5518</v>
      </c>
      <c r="G388" s="414">
        <v>5518</v>
      </c>
      <c r="H388" s="571">
        <v>0</v>
      </c>
      <c r="I388" s="414">
        <v>3250</v>
      </c>
      <c r="J388" s="571">
        <v>2268</v>
      </c>
      <c r="K388" s="572">
        <v>41.1</v>
      </c>
      <c r="L388" s="588"/>
      <c r="M388" s="589"/>
      <c r="N388" s="567"/>
    </row>
    <row r="389" spans="2:14">
      <c r="B389" s="127" t="str">
        <f t="shared" ref="B389:B452" si="14">LEFT(D389,10)</f>
        <v>100-60-601</v>
      </c>
      <c r="C389" s="127" t="str">
        <f t="shared" ref="C389:C452" si="15">MID(D389,12,5)</f>
        <v>50610</v>
      </c>
      <c r="D389" s="570" t="s">
        <v>861</v>
      </c>
      <c r="E389" s="396" t="s">
        <v>320</v>
      </c>
      <c r="F389" s="414">
        <v>63640</v>
      </c>
      <c r="G389" s="414">
        <v>63640</v>
      </c>
      <c r="H389" s="571">
        <v>4388.2</v>
      </c>
      <c r="I389" s="414">
        <v>57752.57</v>
      </c>
      <c r="J389" s="571">
        <v>5887.43</v>
      </c>
      <c r="K389" s="572">
        <v>9.25</v>
      </c>
      <c r="L389" s="588"/>
      <c r="M389" s="589"/>
      <c r="N389" s="567"/>
    </row>
    <row r="390" spans="2:14">
      <c r="B390" s="127" t="str">
        <f t="shared" si="14"/>
        <v>100-60-601</v>
      </c>
      <c r="C390" s="127" t="str">
        <f t="shared" si="15"/>
        <v>50620</v>
      </c>
      <c r="D390" s="570" t="s">
        <v>697</v>
      </c>
      <c r="E390" s="396" t="s">
        <v>321</v>
      </c>
      <c r="F390" s="414">
        <v>118648</v>
      </c>
      <c r="G390" s="414">
        <v>118648</v>
      </c>
      <c r="H390" s="571">
        <v>9978.7000000000007</v>
      </c>
      <c r="I390" s="414">
        <v>125785.98</v>
      </c>
      <c r="J390" s="571">
        <v>-7137.98</v>
      </c>
      <c r="K390" s="572">
        <v>-6.02</v>
      </c>
      <c r="L390" s="588"/>
      <c r="M390" s="589"/>
      <c r="N390" s="567"/>
    </row>
    <row r="391" spans="2:14">
      <c r="B391" s="127" t="str">
        <f t="shared" si="14"/>
        <v>100-60-601</v>
      </c>
      <c r="C391" s="127" t="str">
        <f t="shared" si="15"/>
        <v>50630</v>
      </c>
      <c r="D391" s="570" t="s">
        <v>862</v>
      </c>
      <c r="E391" s="396" t="s">
        <v>322</v>
      </c>
      <c r="F391" s="414">
        <v>1561</v>
      </c>
      <c r="G391" s="414">
        <v>1561</v>
      </c>
      <c r="H391" s="571">
        <v>0</v>
      </c>
      <c r="I391" s="414">
        <v>1559.73</v>
      </c>
      <c r="J391" s="571">
        <v>1.27</v>
      </c>
      <c r="K391" s="572">
        <v>0.08</v>
      </c>
      <c r="L391" s="588"/>
      <c r="M391" s="589"/>
      <c r="N391" s="567"/>
    </row>
    <row r="392" spans="2:14">
      <c r="B392" s="127" t="str">
        <f t="shared" si="14"/>
        <v>100-60-601</v>
      </c>
      <c r="C392" s="127" t="str">
        <f t="shared" si="15"/>
        <v>50650</v>
      </c>
      <c r="D392" s="570" t="s">
        <v>734</v>
      </c>
      <c r="E392" s="396" t="s">
        <v>323</v>
      </c>
      <c r="F392" s="573">
        <v>115281</v>
      </c>
      <c r="G392" s="573">
        <v>115281</v>
      </c>
      <c r="H392" s="574">
        <v>8439.3700000000008</v>
      </c>
      <c r="I392" s="573">
        <v>109801.98</v>
      </c>
      <c r="J392" s="574">
        <v>5479.02</v>
      </c>
      <c r="K392" s="575">
        <v>4.75</v>
      </c>
      <c r="L392" s="588"/>
      <c r="M392" s="589"/>
      <c r="N392" s="567"/>
    </row>
    <row r="393" spans="2:14">
      <c r="B393" s="127" t="str">
        <f t="shared" si="14"/>
        <v xml:space="preserve">Category: </v>
      </c>
      <c r="C393" s="127" t="str">
        <f t="shared" si="15"/>
        <v>0 - P</v>
      </c>
      <c r="D393" s="569" t="s">
        <v>1123</v>
      </c>
      <c r="E393" s="569"/>
      <c r="F393" s="576">
        <v>993849</v>
      </c>
      <c r="G393" s="576">
        <v>993849</v>
      </c>
      <c r="H393" s="577">
        <v>73307.350000000006</v>
      </c>
      <c r="I393" s="576">
        <v>956891.17</v>
      </c>
      <c r="J393" s="577">
        <v>36957.83</v>
      </c>
      <c r="K393" s="578">
        <v>3.7186564558599901E-2</v>
      </c>
      <c r="L393" s="590"/>
      <c r="M393" s="591"/>
      <c r="N393" s="567"/>
    </row>
    <row r="394" spans="2:14">
      <c r="B394" s="127" t="str">
        <f t="shared" si="14"/>
        <v/>
      </c>
      <c r="C394" s="127" t="str">
        <f t="shared" si="15"/>
        <v/>
      </c>
      <c r="F394" s="398"/>
      <c r="G394" s="398"/>
      <c r="H394" s="398"/>
      <c r="I394" s="398"/>
      <c r="J394" s="398"/>
      <c r="K394" s="398"/>
      <c r="L394"/>
      <c r="N394" s="567"/>
    </row>
    <row r="395" spans="2:14">
      <c r="B395" s="127" t="str">
        <f t="shared" si="14"/>
        <v xml:space="preserve">Division: </v>
      </c>
      <c r="C395" s="127" t="str">
        <f t="shared" si="15"/>
        <v xml:space="preserve">01 - </v>
      </c>
      <c r="D395" s="569" t="s">
        <v>1155</v>
      </c>
      <c r="E395" s="569"/>
      <c r="F395" s="576">
        <v>993849</v>
      </c>
      <c r="G395" s="576">
        <v>993849</v>
      </c>
      <c r="H395" s="577">
        <v>73307.350000000006</v>
      </c>
      <c r="I395" s="576">
        <v>956891.17</v>
      </c>
      <c r="J395" s="577">
        <v>36957.83</v>
      </c>
      <c r="K395" s="578">
        <v>3.7186564558599901E-2</v>
      </c>
      <c r="L395" s="590"/>
      <c r="M395" s="591"/>
      <c r="N395" s="567"/>
    </row>
    <row r="396" spans="2:14">
      <c r="B396" s="127" t="str">
        <f t="shared" si="14"/>
        <v/>
      </c>
      <c r="C396" s="127" t="str">
        <f t="shared" si="15"/>
        <v/>
      </c>
      <c r="F396" s="398"/>
      <c r="G396" s="398"/>
      <c r="H396" s="398"/>
      <c r="I396" s="398"/>
      <c r="J396" s="398"/>
      <c r="K396" s="398"/>
      <c r="L396"/>
      <c r="N396" s="567"/>
    </row>
    <row r="397" spans="2:14">
      <c r="B397" s="127" t="str">
        <f t="shared" si="14"/>
        <v>Department</v>
      </c>
      <c r="C397" s="127" t="str">
        <f t="shared" si="15"/>
        <v xml:space="preserve"> 60 -</v>
      </c>
      <c r="D397" s="569" t="s">
        <v>1156</v>
      </c>
      <c r="E397" s="569"/>
      <c r="F397" s="576">
        <v>993849</v>
      </c>
      <c r="G397" s="576">
        <v>993849</v>
      </c>
      <c r="H397" s="577">
        <v>73307.350000000006</v>
      </c>
      <c r="I397" s="576">
        <v>956891.17</v>
      </c>
      <c r="J397" s="577">
        <v>36957.83</v>
      </c>
      <c r="K397" s="578">
        <v>3.7186564558599901E-2</v>
      </c>
      <c r="L397" s="590"/>
      <c r="M397" s="591"/>
      <c r="N397" s="567"/>
    </row>
    <row r="398" spans="2:14">
      <c r="B398" s="127" t="str">
        <f t="shared" si="14"/>
        <v/>
      </c>
      <c r="C398" s="127" t="str">
        <f t="shared" si="15"/>
        <v/>
      </c>
      <c r="L398"/>
      <c r="N398" s="567"/>
    </row>
    <row r="399" spans="2:14">
      <c r="B399" s="127" t="str">
        <f t="shared" si="14"/>
        <v/>
      </c>
      <c r="C399" s="127" t="str">
        <f t="shared" si="15"/>
        <v/>
      </c>
      <c r="E399" s="569"/>
      <c r="F399" s="569"/>
      <c r="G399" s="569"/>
      <c r="H399" s="569"/>
      <c r="I399" s="569"/>
      <c r="J399" s="569"/>
      <c r="K399" s="569"/>
      <c r="L399" s="587"/>
      <c r="M399" s="587"/>
      <c r="N399" s="567"/>
    </row>
    <row r="400" spans="2:14">
      <c r="B400" s="127" t="str">
        <f t="shared" si="14"/>
        <v/>
      </c>
      <c r="C400" s="127" t="str">
        <f t="shared" si="15"/>
        <v/>
      </c>
      <c r="E400" s="569"/>
      <c r="F400" s="569"/>
      <c r="G400" s="569"/>
      <c r="H400" s="569"/>
      <c r="I400" s="569"/>
      <c r="J400" s="569"/>
      <c r="K400" s="569"/>
      <c r="L400" s="587"/>
      <c r="M400" s="587"/>
      <c r="N400" s="567"/>
    </row>
    <row r="401" spans="2:14">
      <c r="B401" s="127" t="str">
        <f t="shared" si="14"/>
        <v/>
      </c>
      <c r="C401" s="127" t="str">
        <f t="shared" si="15"/>
        <v/>
      </c>
      <c r="E401" s="569"/>
      <c r="F401" s="569"/>
      <c r="G401" s="569"/>
      <c r="H401" s="569"/>
      <c r="I401" s="569"/>
      <c r="J401" s="569"/>
      <c r="K401" s="569"/>
      <c r="L401" s="587"/>
      <c r="M401" s="587"/>
      <c r="N401" s="567"/>
    </row>
    <row r="402" spans="2:14">
      <c r="B402" s="127" t="str">
        <f t="shared" si="14"/>
        <v>100-63-631</v>
      </c>
      <c r="C402" s="127" t="str">
        <f t="shared" si="15"/>
        <v>50101</v>
      </c>
      <c r="D402" s="570" t="s">
        <v>636</v>
      </c>
      <c r="E402" s="396" t="s">
        <v>316</v>
      </c>
      <c r="F402" s="414">
        <v>140380</v>
      </c>
      <c r="G402" s="414">
        <v>140380</v>
      </c>
      <c r="H402" s="571">
        <v>10802.3</v>
      </c>
      <c r="I402" s="414">
        <v>134596.66</v>
      </c>
      <c r="J402" s="571">
        <v>5783.34</v>
      </c>
      <c r="K402" s="572">
        <v>4.12</v>
      </c>
      <c r="L402" s="588"/>
      <c r="M402" s="589"/>
      <c r="N402" s="567"/>
    </row>
    <row r="403" spans="2:14">
      <c r="B403" s="127" t="str">
        <f t="shared" si="14"/>
        <v>100-63-631</v>
      </c>
      <c r="C403" s="127" t="str">
        <f t="shared" si="15"/>
        <v>50102</v>
      </c>
      <c r="D403" s="570" t="s">
        <v>605</v>
      </c>
      <c r="E403" s="396" t="s">
        <v>317</v>
      </c>
      <c r="F403" s="414">
        <v>79694</v>
      </c>
      <c r="G403" s="414">
        <v>79694</v>
      </c>
      <c r="H403" s="571">
        <v>4826</v>
      </c>
      <c r="I403" s="414">
        <v>82053.06</v>
      </c>
      <c r="J403" s="571">
        <v>-2359.06</v>
      </c>
      <c r="K403" s="572">
        <v>-2.96</v>
      </c>
      <c r="L403" s="588"/>
      <c r="M403" s="589"/>
      <c r="N403" s="567"/>
    </row>
    <row r="404" spans="2:14">
      <c r="B404" s="127" t="str">
        <f t="shared" si="14"/>
        <v>100-63-631</v>
      </c>
      <c r="C404" s="127" t="str">
        <f t="shared" si="15"/>
        <v>50109</v>
      </c>
      <c r="D404" s="570" t="s">
        <v>607</v>
      </c>
      <c r="E404" s="396" t="s">
        <v>12</v>
      </c>
      <c r="F404" s="414">
        <v>500</v>
      </c>
      <c r="G404" s="414">
        <v>500</v>
      </c>
      <c r="H404" s="571">
        <v>98.28</v>
      </c>
      <c r="I404" s="414">
        <v>718.22</v>
      </c>
      <c r="J404" s="571">
        <v>-218.22</v>
      </c>
      <c r="K404" s="572">
        <v>-43.64</v>
      </c>
      <c r="L404" s="588"/>
      <c r="M404" s="589"/>
      <c r="N404" s="567"/>
    </row>
    <row r="405" spans="2:14">
      <c r="B405" s="127" t="str">
        <f t="shared" si="14"/>
        <v>100-63-631</v>
      </c>
      <c r="C405" s="127" t="str">
        <f t="shared" si="15"/>
        <v>50111</v>
      </c>
      <c r="D405" s="570" t="s">
        <v>606</v>
      </c>
      <c r="E405" s="396" t="s">
        <v>318</v>
      </c>
      <c r="F405" s="414">
        <v>651</v>
      </c>
      <c r="G405" s="414">
        <v>651</v>
      </c>
      <c r="H405" s="571">
        <v>0</v>
      </c>
      <c r="I405" s="414">
        <v>515</v>
      </c>
      <c r="J405" s="571">
        <v>136</v>
      </c>
      <c r="K405" s="572">
        <v>20.89</v>
      </c>
      <c r="L405" s="588"/>
      <c r="M405" s="589"/>
      <c r="N405" s="567"/>
    </row>
    <row r="406" spans="2:14">
      <c r="B406" s="127" t="str">
        <f t="shared" si="14"/>
        <v>100-63-631</v>
      </c>
      <c r="C406" s="127" t="str">
        <f t="shared" si="15"/>
        <v>50610</v>
      </c>
      <c r="D406" s="570" t="s">
        <v>863</v>
      </c>
      <c r="E406" s="396" t="s">
        <v>320</v>
      </c>
      <c r="F406" s="414">
        <v>16240</v>
      </c>
      <c r="G406" s="414">
        <v>16240</v>
      </c>
      <c r="H406" s="571">
        <v>1208.5</v>
      </c>
      <c r="I406" s="414">
        <v>16896.95</v>
      </c>
      <c r="J406" s="571">
        <v>-656.95</v>
      </c>
      <c r="K406" s="572">
        <v>-4.05</v>
      </c>
      <c r="L406" s="588"/>
      <c r="M406" s="589"/>
      <c r="N406" s="567"/>
    </row>
    <row r="407" spans="2:14">
      <c r="B407" s="127" t="str">
        <f t="shared" si="14"/>
        <v>100-63-631</v>
      </c>
      <c r="C407" s="127" t="str">
        <f t="shared" si="15"/>
        <v>50620</v>
      </c>
      <c r="D407" s="570" t="s">
        <v>688</v>
      </c>
      <c r="E407" s="396" t="s">
        <v>321</v>
      </c>
      <c r="F407" s="414">
        <v>21963</v>
      </c>
      <c r="G407" s="414">
        <v>21963</v>
      </c>
      <c r="H407" s="571">
        <v>2319.75</v>
      </c>
      <c r="I407" s="414">
        <v>21482.83</v>
      </c>
      <c r="J407" s="571">
        <v>480.17</v>
      </c>
      <c r="K407" s="572">
        <v>2.19</v>
      </c>
      <c r="L407" s="588"/>
      <c r="M407" s="589"/>
      <c r="N407" s="567"/>
    </row>
    <row r="408" spans="2:14">
      <c r="B408" s="127" t="str">
        <f t="shared" si="14"/>
        <v>100-63-631</v>
      </c>
      <c r="C408" s="127" t="str">
        <f t="shared" si="15"/>
        <v>50630</v>
      </c>
      <c r="D408" s="570" t="s">
        <v>864</v>
      </c>
      <c r="E408" s="396" t="s">
        <v>322</v>
      </c>
      <c r="F408" s="414">
        <v>318</v>
      </c>
      <c r="G408" s="414">
        <v>318</v>
      </c>
      <c r="H408" s="571">
        <v>0</v>
      </c>
      <c r="I408" s="414">
        <v>317.74</v>
      </c>
      <c r="J408" s="571">
        <v>0.26</v>
      </c>
      <c r="K408" s="572">
        <v>0.08</v>
      </c>
      <c r="L408" s="588"/>
      <c r="M408" s="589"/>
      <c r="N408" s="567"/>
    </row>
    <row r="409" spans="2:14">
      <c r="B409" s="127" t="str">
        <f t="shared" si="14"/>
        <v>100-63-631</v>
      </c>
      <c r="C409" s="127" t="str">
        <f t="shared" si="15"/>
        <v>50650</v>
      </c>
      <c r="D409" s="570" t="s">
        <v>720</v>
      </c>
      <c r="E409" s="396" t="s">
        <v>323</v>
      </c>
      <c r="F409" s="573">
        <v>36762</v>
      </c>
      <c r="G409" s="573">
        <v>36762</v>
      </c>
      <c r="H409" s="574">
        <v>2653.3</v>
      </c>
      <c r="I409" s="573">
        <v>36734.300000000003</v>
      </c>
      <c r="J409" s="574">
        <v>27.7</v>
      </c>
      <c r="K409" s="575">
        <v>0.08</v>
      </c>
      <c r="L409" s="588"/>
      <c r="M409" s="589"/>
      <c r="N409" s="567"/>
    </row>
    <row r="410" spans="2:14">
      <c r="B410" s="127" t="str">
        <f t="shared" si="14"/>
        <v xml:space="preserve">Category: </v>
      </c>
      <c r="C410" s="127" t="str">
        <f t="shared" si="15"/>
        <v>0 - P</v>
      </c>
      <c r="D410" s="569" t="s">
        <v>1123</v>
      </c>
      <c r="E410" s="569"/>
      <c r="F410" s="576">
        <v>296508</v>
      </c>
      <c r="G410" s="576">
        <v>296508</v>
      </c>
      <c r="H410" s="577">
        <v>21908.13</v>
      </c>
      <c r="I410" s="576">
        <v>293314.76</v>
      </c>
      <c r="J410" s="577">
        <v>3193.24</v>
      </c>
      <c r="K410" s="578">
        <v>1.07694901992526E-2</v>
      </c>
      <c r="L410" s="590"/>
      <c r="M410" s="591"/>
      <c r="N410" s="567"/>
    </row>
    <row r="411" spans="2:14">
      <c r="B411" s="127" t="str">
        <f t="shared" si="14"/>
        <v/>
      </c>
      <c r="C411" s="127" t="str">
        <f t="shared" si="15"/>
        <v/>
      </c>
      <c r="F411" s="398"/>
      <c r="G411" s="398"/>
      <c r="H411" s="398"/>
      <c r="I411" s="398"/>
      <c r="J411" s="398"/>
      <c r="K411" s="398"/>
      <c r="L411"/>
      <c r="N411" s="567"/>
    </row>
    <row r="412" spans="2:14">
      <c r="B412" s="127" t="str">
        <f t="shared" si="14"/>
        <v xml:space="preserve">Division: </v>
      </c>
      <c r="C412" s="127" t="str">
        <f t="shared" si="15"/>
        <v xml:space="preserve">31 - </v>
      </c>
      <c r="D412" s="569" t="s">
        <v>1157</v>
      </c>
      <c r="E412" s="569"/>
      <c r="F412" s="576">
        <v>296508</v>
      </c>
      <c r="G412" s="576">
        <v>296508</v>
      </c>
      <c r="H412" s="577">
        <v>21908.13</v>
      </c>
      <c r="I412" s="576">
        <v>293314.76</v>
      </c>
      <c r="J412" s="577">
        <v>3193.24</v>
      </c>
      <c r="K412" s="578">
        <v>1.07694901992526E-2</v>
      </c>
      <c r="L412" s="590"/>
      <c r="M412" s="591"/>
      <c r="N412" s="567"/>
    </row>
    <row r="413" spans="2:14">
      <c r="B413" s="127" t="str">
        <f t="shared" si="14"/>
        <v/>
      </c>
      <c r="C413" s="127" t="str">
        <f t="shared" si="15"/>
        <v/>
      </c>
      <c r="L413"/>
      <c r="N413" s="567"/>
    </row>
    <row r="414" spans="2:14">
      <c r="B414" s="127" t="str">
        <f t="shared" si="14"/>
        <v/>
      </c>
      <c r="C414" s="127" t="str">
        <f t="shared" si="15"/>
        <v/>
      </c>
      <c r="E414" s="569"/>
      <c r="F414" s="569"/>
      <c r="G414" s="569"/>
      <c r="H414" s="569"/>
      <c r="I414" s="569"/>
      <c r="J414" s="569"/>
      <c r="K414" s="569"/>
      <c r="L414" s="587"/>
      <c r="M414" s="587"/>
      <c r="N414" s="567"/>
    </row>
    <row r="415" spans="2:14">
      <c r="B415" s="127" t="str">
        <f t="shared" si="14"/>
        <v/>
      </c>
      <c r="C415" s="127" t="str">
        <f t="shared" si="15"/>
        <v/>
      </c>
      <c r="E415" s="569"/>
      <c r="F415" s="569"/>
      <c r="G415" s="569"/>
      <c r="H415" s="569"/>
      <c r="I415" s="569"/>
      <c r="J415" s="569"/>
      <c r="K415" s="569"/>
      <c r="L415" s="587"/>
      <c r="M415" s="587"/>
      <c r="N415" s="567"/>
    </row>
    <row r="416" spans="2:14">
      <c r="B416" s="127" t="str">
        <f t="shared" si="14"/>
        <v>100-63-632</v>
      </c>
      <c r="C416" s="127" t="str">
        <f t="shared" si="15"/>
        <v>50102</v>
      </c>
      <c r="D416" s="570" t="s">
        <v>496</v>
      </c>
      <c r="E416" s="396" t="s">
        <v>317</v>
      </c>
      <c r="F416" s="414">
        <v>407955</v>
      </c>
      <c r="G416" s="414">
        <v>407955</v>
      </c>
      <c r="H416" s="571">
        <v>31607.54</v>
      </c>
      <c r="I416" s="414">
        <v>394103.25</v>
      </c>
      <c r="J416" s="571">
        <v>13851.75</v>
      </c>
      <c r="K416" s="572">
        <v>3.4</v>
      </c>
      <c r="L416" s="588"/>
      <c r="M416" s="589"/>
      <c r="N416" s="567"/>
    </row>
    <row r="417" spans="2:14">
      <c r="B417" s="127" t="str">
        <f t="shared" si="14"/>
        <v>100-63-632</v>
      </c>
      <c r="C417" s="127" t="str">
        <f t="shared" si="15"/>
        <v>50109</v>
      </c>
      <c r="D417" s="570" t="s">
        <v>501</v>
      </c>
      <c r="E417" s="396" t="s">
        <v>12</v>
      </c>
      <c r="F417" s="414">
        <v>19000</v>
      </c>
      <c r="G417" s="414">
        <v>19000</v>
      </c>
      <c r="H417" s="571">
        <v>152.81</v>
      </c>
      <c r="I417" s="414">
        <v>21432.63</v>
      </c>
      <c r="J417" s="571">
        <v>-2432.63</v>
      </c>
      <c r="K417" s="572">
        <v>-12.8</v>
      </c>
      <c r="L417" s="588"/>
      <c r="M417" s="589"/>
      <c r="N417" s="567"/>
    </row>
    <row r="418" spans="2:14">
      <c r="B418" s="127" t="str">
        <f t="shared" si="14"/>
        <v>100-63-632</v>
      </c>
      <c r="C418" s="127" t="str">
        <f t="shared" si="15"/>
        <v>50111</v>
      </c>
      <c r="D418" s="570" t="s">
        <v>497</v>
      </c>
      <c r="E418" s="396" t="s">
        <v>318</v>
      </c>
      <c r="F418" s="414">
        <v>6432</v>
      </c>
      <c r="G418" s="414">
        <v>6432</v>
      </c>
      <c r="H418" s="571">
        <v>0</v>
      </c>
      <c r="I418" s="414">
        <v>6354</v>
      </c>
      <c r="J418" s="571">
        <v>78</v>
      </c>
      <c r="K418" s="572">
        <v>1.21</v>
      </c>
      <c r="L418" s="588"/>
      <c r="M418" s="589"/>
      <c r="N418" s="567"/>
    </row>
    <row r="419" spans="2:14">
      <c r="B419" s="127" t="str">
        <f t="shared" si="14"/>
        <v>100-63-632</v>
      </c>
      <c r="C419" s="127" t="str">
        <f t="shared" si="15"/>
        <v>50610</v>
      </c>
      <c r="D419" s="570" t="s">
        <v>865</v>
      </c>
      <c r="E419" s="396" t="s">
        <v>320</v>
      </c>
      <c r="F419" s="414">
        <v>33395</v>
      </c>
      <c r="G419" s="414">
        <v>33395</v>
      </c>
      <c r="H419" s="571">
        <v>2356.79</v>
      </c>
      <c r="I419" s="414">
        <v>31353.02</v>
      </c>
      <c r="J419" s="571">
        <v>2041.98</v>
      </c>
      <c r="K419" s="572">
        <v>6.11</v>
      </c>
      <c r="L419" s="588"/>
      <c r="M419" s="589"/>
      <c r="N419" s="567"/>
    </row>
    <row r="420" spans="2:14">
      <c r="B420" s="127" t="str">
        <f t="shared" si="14"/>
        <v>100-63-632</v>
      </c>
      <c r="C420" s="127" t="str">
        <f t="shared" si="15"/>
        <v>50620</v>
      </c>
      <c r="D420" s="570" t="s">
        <v>702</v>
      </c>
      <c r="E420" s="396" t="s">
        <v>321</v>
      </c>
      <c r="F420" s="414">
        <v>80706</v>
      </c>
      <c r="G420" s="414">
        <v>80706</v>
      </c>
      <c r="H420" s="571">
        <v>7914.51</v>
      </c>
      <c r="I420" s="414">
        <v>86546.58</v>
      </c>
      <c r="J420" s="571">
        <v>-5840.58</v>
      </c>
      <c r="K420" s="572">
        <v>-7.24</v>
      </c>
      <c r="L420" s="588"/>
      <c r="M420" s="589"/>
      <c r="N420" s="567"/>
    </row>
    <row r="421" spans="2:14">
      <c r="B421" s="127" t="str">
        <f t="shared" si="14"/>
        <v>100-63-632</v>
      </c>
      <c r="C421" s="127" t="str">
        <f t="shared" si="15"/>
        <v>50630</v>
      </c>
      <c r="D421" s="570" t="s">
        <v>866</v>
      </c>
      <c r="E421" s="396" t="s">
        <v>322</v>
      </c>
      <c r="F421" s="414">
        <v>5467</v>
      </c>
      <c r="G421" s="414">
        <v>5467</v>
      </c>
      <c r="H421" s="571">
        <v>0</v>
      </c>
      <c r="I421" s="414">
        <v>5462.53</v>
      </c>
      <c r="J421" s="571">
        <v>4.47</v>
      </c>
      <c r="K421" s="572">
        <v>0.08</v>
      </c>
      <c r="L421" s="588"/>
      <c r="M421" s="589"/>
      <c r="N421" s="567"/>
    </row>
    <row r="422" spans="2:14">
      <c r="B422" s="127" t="str">
        <f t="shared" si="14"/>
        <v>100-63-632</v>
      </c>
      <c r="C422" s="127" t="str">
        <f t="shared" si="15"/>
        <v>50650</v>
      </c>
      <c r="D422" s="570" t="s">
        <v>666</v>
      </c>
      <c r="E422" s="396" t="s">
        <v>323</v>
      </c>
      <c r="F422" s="573">
        <v>72057</v>
      </c>
      <c r="G422" s="573">
        <v>72057</v>
      </c>
      <c r="H422" s="574">
        <v>5322.77</v>
      </c>
      <c r="I422" s="573">
        <v>69609.97</v>
      </c>
      <c r="J422" s="574">
        <v>2447.0300000000002</v>
      </c>
      <c r="K422" s="575">
        <v>3.4</v>
      </c>
      <c r="L422" s="588"/>
      <c r="M422" s="589"/>
      <c r="N422" s="567"/>
    </row>
    <row r="423" spans="2:14">
      <c r="B423" s="127" t="str">
        <f t="shared" si="14"/>
        <v xml:space="preserve">Category: </v>
      </c>
      <c r="C423" s="127" t="str">
        <f t="shared" si="15"/>
        <v>0 - P</v>
      </c>
      <c r="D423" s="569" t="s">
        <v>1123</v>
      </c>
      <c r="E423" s="569"/>
      <c r="F423" s="576">
        <v>625012</v>
      </c>
      <c r="G423" s="576">
        <v>625012</v>
      </c>
      <c r="H423" s="577">
        <v>47354.42</v>
      </c>
      <c r="I423" s="576">
        <v>614861.98</v>
      </c>
      <c r="J423" s="577">
        <v>10150.02</v>
      </c>
      <c r="K423" s="578">
        <v>1.6239720197372201E-2</v>
      </c>
      <c r="L423" s="590"/>
      <c r="M423" s="591"/>
      <c r="N423" s="567"/>
    </row>
    <row r="424" spans="2:14">
      <c r="B424" s="127" t="str">
        <f t="shared" si="14"/>
        <v/>
      </c>
      <c r="C424" s="127" t="str">
        <f t="shared" si="15"/>
        <v/>
      </c>
      <c r="F424" s="398"/>
      <c r="G424" s="398"/>
      <c r="H424" s="398"/>
      <c r="I424" s="398"/>
      <c r="J424" s="398"/>
      <c r="K424" s="398"/>
      <c r="L424"/>
      <c r="N424" s="567"/>
    </row>
    <row r="425" spans="2:14">
      <c r="B425" s="127" t="str">
        <f t="shared" si="14"/>
        <v xml:space="preserve">Division: </v>
      </c>
      <c r="C425" s="127" t="str">
        <f t="shared" si="15"/>
        <v xml:space="preserve">32 - </v>
      </c>
      <c r="D425" s="569" t="s">
        <v>1158</v>
      </c>
      <c r="E425" s="569"/>
      <c r="F425" s="576">
        <v>625012</v>
      </c>
      <c r="G425" s="576">
        <v>625012</v>
      </c>
      <c r="H425" s="577">
        <v>47354.42</v>
      </c>
      <c r="I425" s="576">
        <v>614861.98</v>
      </c>
      <c r="J425" s="577">
        <v>10150.02</v>
      </c>
      <c r="K425" s="578">
        <v>1.6239720197372201E-2</v>
      </c>
      <c r="L425" s="590"/>
      <c r="M425" s="591"/>
      <c r="N425" s="567"/>
    </row>
    <row r="426" spans="2:14">
      <c r="B426" s="127" t="str">
        <f t="shared" si="14"/>
        <v/>
      </c>
      <c r="C426" s="127" t="str">
        <f t="shared" si="15"/>
        <v/>
      </c>
      <c r="L426"/>
      <c r="N426" s="567"/>
    </row>
    <row r="427" spans="2:14">
      <c r="B427" s="127" t="str">
        <f t="shared" si="14"/>
        <v/>
      </c>
      <c r="C427" s="127" t="str">
        <f t="shared" si="15"/>
        <v/>
      </c>
      <c r="E427" s="569"/>
      <c r="F427" s="569"/>
      <c r="G427" s="569"/>
      <c r="H427" s="569"/>
      <c r="I427" s="569"/>
      <c r="J427" s="569"/>
      <c r="K427" s="569"/>
      <c r="L427" s="587"/>
      <c r="M427" s="587"/>
      <c r="N427" s="567"/>
    </row>
    <row r="428" spans="2:14">
      <c r="B428" s="127" t="str">
        <f t="shared" si="14"/>
        <v/>
      </c>
      <c r="C428" s="127" t="str">
        <f t="shared" si="15"/>
        <v/>
      </c>
      <c r="E428" s="569"/>
      <c r="F428" s="569"/>
      <c r="G428" s="569"/>
      <c r="H428" s="569"/>
      <c r="I428" s="569"/>
      <c r="J428" s="569"/>
      <c r="K428" s="569"/>
      <c r="L428" s="587"/>
      <c r="M428" s="587"/>
      <c r="N428" s="567"/>
    </row>
    <row r="429" spans="2:14">
      <c r="B429" s="127" t="str">
        <f t="shared" si="14"/>
        <v>100-63-633</v>
      </c>
      <c r="C429" s="127" t="str">
        <f t="shared" si="15"/>
        <v>50101</v>
      </c>
      <c r="D429" s="570" t="s">
        <v>575</v>
      </c>
      <c r="E429" s="396" t="s">
        <v>316</v>
      </c>
      <c r="F429" s="414">
        <v>63889</v>
      </c>
      <c r="G429" s="414">
        <v>63889</v>
      </c>
      <c r="H429" s="571">
        <v>4914.49</v>
      </c>
      <c r="I429" s="414">
        <v>61234.44</v>
      </c>
      <c r="J429" s="571">
        <v>2654.56</v>
      </c>
      <c r="K429" s="572">
        <v>4.1500000000000004</v>
      </c>
      <c r="L429" s="588"/>
      <c r="M429" s="589"/>
      <c r="N429" s="567"/>
    </row>
    <row r="430" spans="2:14">
      <c r="B430" s="127" t="str">
        <f t="shared" si="14"/>
        <v>100-63-633</v>
      </c>
      <c r="C430" s="127" t="str">
        <f t="shared" si="15"/>
        <v>50111</v>
      </c>
      <c r="D430" s="570" t="s">
        <v>576</v>
      </c>
      <c r="E430" s="396" t="s">
        <v>318</v>
      </c>
      <c r="F430" s="414">
        <v>504</v>
      </c>
      <c r="G430" s="414">
        <v>504</v>
      </c>
      <c r="H430" s="571">
        <v>0</v>
      </c>
      <c r="I430" s="414">
        <v>495</v>
      </c>
      <c r="J430" s="571">
        <v>9</v>
      </c>
      <c r="K430" s="572">
        <v>1.79</v>
      </c>
      <c r="L430" s="588"/>
      <c r="M430" s="589"/>
      <c r="N430" s="567"/>
    </row>
    <row r="431" spans="2:14">
      <c r="B431" s="127" t="str">
        <f t="shared" si="14"/>
        <v/>
      </c>
      <c r="C431" s="127" t="str">
        <f t="shared" si="15"/>
        <v/>
      </c>
      <c r="L431"/>
      <c r="N431" s="567"/>
    </row>
    <row r="432" spans="2:14">
      <c r="B432" s="127" t="str">
        <f t="shared" si="14"/>
        <v/>
      </c>
      <c r="C432" s="127" t="str">
        <f t="shared" si="15"/>
        <v/>
      </c>
      <c r="D432" s="579"/>
      <c r="E432" s="579"/>
      <c r="F432" s="579"/>
      <c r="G432" s="579"/>
      <c r="H432" s="579"/>
      <c r="I432" s="579"/>
      <c r="J432" s="579"/>
      <c r="K432" s="579"/>
      <c r="L432" s="592"/>
      <c r="M432" s="592"/>
      <c r="N432" s="567"/>
    </row>
    <row r="433" spans="2:14" ht="15.75" customHeight="1" thickBot="1">
      <c r="B433" s="127" t="str">
        <f t="shared" si="14"/>
        <v xml:space="preserve">9/25/2024 </v>
      </c>
      <c r="C433" s="127" t="str">
        <f t="shared" si="15"/>
        <v>:13:1</v>
      </c>
      <c r="D433" s="439" t="s">
        <v>2991</v>
      </c>
      <c r="E433" s="439"/>
      <c r="F433" s="440"/>
      <c r="G433" s="440"/>
      <c r="H433" s="440"/>
      <c r="I433" s="440"/>
      <c r="J433" s="439"/>
      <c r="K433" s="439"/>
      <c r="L433" s="593"/>
      <c r="N433" s="567"/>
    </row>
    <row r="434" spans="2:14" ht="34.5" customHeight="1">
      <c r="B434" s="127" t="str">
        <f t="shared" si="14"/>
        <v>Budget Rep</v>
      </c>
      <c r="C434" s="127" t="str">
        <f t="shared" si="15"/>
        <v>rt</v>
      </c>
      <c r="D434" s="441" t="s">
        <v>1122</v>
      </c>
      <c r="E434" s="441"/>
      <c r="F434" s="441"/>
      <c r="G434" s="442"/>
      <c r="H434" s="441"/>
      <c r="I434" s="441"/>
      <c r="J434" s="441"/>
      <c r="K434" s="441"/>
      <c r="L434" s="594"/>
      <c r="M434" s="594"/>
      <c r="N434" s="567"/>
    </row>
    <row r="435" spans="2:14">
      <c r="B435" s="127" t="str">
        <f t="shared" si="14"/>
        <v/>
      </c>
      <c r="C435" s="127" t="str">
        <f t="shared" si="15"/>
        <v/>
      </c>
      <c r="L435"/>
      <c r="N435" s="567"/>
    </row>
    <row r="436" spans="2:14" ht="31.8">
      <c r="B436" s="127" t="str">
        <f t="shared" si="14"/>
        <v/>
      </c>
      <c r="C436" s="127" t="str">
        <f t="shared" si="15"/>
        <v/>
      </c>
      <c r="J436" s="413" t="s">
        <v>1098</v>
      </c>
      <c r="L436"/>
      <c r="N436" s="567"/>
    </row>
    <row r="437" spans="2:14" ht="21.6">
      <c r="B437" s="127" t="str">
        <f t="shared" si="14"/>
        <v/>
      </c>
      <c r="C437" s="127" t="str">
        <f t="shared" si="15"/>
        <v/>
      </c>
      <c r="F437" s="413" t="s">
        <v>1099</v>
      </c>
      <c r="G437" s="413" t="s">
        <v>1100</v>
      </c>
      <c r="H437" s="568" t="s">
        <v>1101</v>
      </c>
      <c r="I437" s="413" t="s">
        <v>1102</v>
      </c>
      <c r="J437" s="413"/>
      <c r="K437" s="568" t="s">
        <v>1103</v>
      </c>
      <c r="L437" s="586"/>
      <c r="M437" s="540"/>
      <c r="N437" s="567"/>
    </row>
    <row r="438" spans="2:14">
      <c r="B438" s="127" t="str">
        <f t="shared" si="14"/>
        <v/>
      </c>
      <c r="C438" s="127" t="str">
        <f t="shared" si="15"/>
        <v/>
      </c>
      <c r="L438"/>
      <c r="N438" s="567"/>
    </row>
    <row r="439" spans="2:14">
      <c r="B439" s="127" t="str">
        <f t="shared" si="14"/>
        <v>100-63-633</v>
      </c>
      <c r="C439" s="127" t="str">
        <f t="shared" si="15"/>
        <v>50610</v>
      </c>
      <c r="D439" s="570" t="s">
        <v>867</v>
      </c>
      <c r="E439" s="396" t="s">
        <v>320</v>
      </c>
      <c r="F439" s="414">
        <v>5010</v>
      </c>
      <c r="G439" s="414">
        <v>5010</v>
      </c>
      <c r="H439" s="571">
        <v>361.84</v>
      </c>
      <c r="I439" s="414">
        <v>4575.29</v>
      </c>
      <c r="J439" s="571">
        <v>434.71</v>
      </c>
      <c r="K439" s="572">
        <v>8.68</v>
      </c>
      <c r="L439" s="588"/>
      <c r="M439" s="589"/>
      <c r="N439" s="567"/>
    </row>
    <row r="440" spans="2:14">
      <c r="B440" s="127" t="str">
        <f t="shared" si="14"/>
        <v>100-63-633</v>
      </c>
      <c r="C440" s="127" t="str">
        <f t="shared" si="15"/>
        <v>50620</v>
      </c>
      <c r="D440" s="570" t="s">
        <v>707</v>
      </c>
      <c r="E440" s="396" t="s">
        <v>321</v>
      </c>
      <c r="F440" s="414">
        <v>11077</v>
      </c>
      <c r="G440" s="414">
        <v>11077</v>
      </c>
      <c r="H440" s="571">
        <v>944.7</v>
      </c>
      <c r="I440" s="414">
        <v>10826.26</v>
      </c>
      <c r="J440" s="571">
        <v>250.74</v>
      </c>
      <c r="K440" s="572">
        <v>2.2599999999999998</v>
      </c>
      <c r="L440" s="588"/>
      <c r="M440" s="589"/>
      <c r="N440" s="567"/>
    </row>
    <row r="441" spans="2:14">
      <c r="B441" s="127" t="str">
        <f t="shared" si="14"/>
        <v>100-63-633</v>
      </c>
      <c r="C441" s="127" t="str">
        <f t="shared" si="15"/>
        <v>50630</v>
      </c>
      <c r="D441" s="570" t="s">
        <v>868</v>
      </c>
      <c r="E441" s="396" t="s">
        <v>322</v>
      </c>
      <c r="F441" s="414">
        <v>94</v>
      </c>
      <c r="G441" s="414">
        <v>94</v>
      </c>
      <c r="H441" s="571">
        <v>0</v>
      </c>
      <c r="I441" s="414">
        <v>93.92</v>
      </c>
      <c r="J441" s="571">
        <v>0.08</v>
      </c>
      <c r="K441" s="572">
        <v>0.09</v>
      </c>
      <c r="L441" s="588"/>
      <c r="M441" s="589"/>
      <c r="N441" s="567"/>
    </row>
    <row r="442" spans="2:14">
      <c r="B442" s="127" t="str">
        <f t="shared" si="14"/>
        <v>100-63-633</v>
      </c>
      <c r="C442" s="127" t="str">
        <f t="shared" si="15"/>
        <v>50650</v>
      </c>
      <c r="D442" s="570" t="s">
        <v>655</v>
      </c>
      <c r="E442" s="396" t="s">
        <v>323</v>
      </c>
      <c r="F442" s="573">
        <v>10822</v>
      </c>
      <c r="G442" s="573">
        <v>10822</v>
      </c>
      <c r="H442" s="574">
        <v>832.58</v>
      </c>
      <c r="I442" s="573">
        <v>10489.83</v>
      </c>
      <c r="J442" s="574">
        <v>332.17</v>
      </c>
      <c r="K442" s="575">
        <v>3.07</v>
      </c>
      <c r="L442" s="588"/>
      <c r="M442" s="589"/>
      <c r="N442" s="567"/>
    </row>
    <row r="443" spans="2:14">
      <c r="B443" s="127" t="str">
        <f t="shared" si="14"/>
        <v xml:space="preserve">Category: </v>
      </c>
      <c r="C443" s="127" t="str">
        <f t="shared" si="15"/>
        <v>0 - P</v>
      </c>
      <c r="D443" s="569" t="s">
        <v>1123</v>
      </c>
      <c r="E443" s="569"/>
      <c r="F443" s="576">
        <v>91396</v>
      </c>
      <c r="G443" s="576">
        <v>91396</v>
      </c>
      <c r="H443" s="577">
        <v>7053.61</v>
      </c>
      <c r="I443" s="576">
        <v>87714.74</v>
      </c>
      <c r="J443" s="577">
        <v>3681.26</v>
      </c>
      <c r="K443" s="578">
        <v>4.0278130333931503E-2</v>
      </c>
      <c r="L443" s="590"/>
      <c r="M443" s="591"/>
      <c r="N443" s="567"/>
    </row>
    <row r="444" spans="2:14">
      <c r="B444" s="127" t="str">
        <f t="shared" si="14"/>
        <v/>
      </c>
      <c r="C444" s="127" t="str">
        <f t="shared" si="15"/>
        <v/>
      </c>
      <c r="F444" s="398"/>
      <c r="G444" s="398"/>
      <c r="H444" s="398"/>
      <c r="I444" s="398"/>
      <c r="J444" s="398"/>
      <c r="K444" s="398"/>
      <c r="L444"/>
      <c r="N444" s="567"/>
    </row>
    <row r="445" spans="2:14">
      <c r="B445" s="127" t="str">
        <f t="shared" si="14"/>
        <v xml:space="preserve">Division: </v>
      </c>
      <c r="C445" s="127" t="str">
        <f t="shared" si="15"/>
        <v xml:space="preserve">33 - </v>
      </c>
      <c r="D445" s="569" t="s">
        <v>1159</v>
      </c>
      <c r="E445" s="569"/>
      <c r="F445" s="576">
        <v>91396</v>
      </c>
      <c r="G445" s="576">
        <v>91396</v>
      </c>
      <c r="H445" s="577">
        <v>7053.61</v>
      </c>
      <c r="I445" s="576">
        <v>87714.74</v>
      </c>
      <c r="J445" s="577">
        <v>3681.26</v>
      </c>
      <c r="K445" s="578">
        <v>4.0278130333931503E-2</v>
      </c>
      <c r="L445" s="590"/>
      <c r="M445" s="591"/>
      <c r="N445" s="567"/>
    </row>
    <row r="446" spans="2:14">
      <c r="B446" s="127" t="str">
        <f t="shared" si="14"/>
        <v/>
      </c>
      <c r="C446" s="127" t="str">
        <f t="shared" si="15"/>
        <v/>
      </c>
      <c r="L446"/>
      <c r="N446" s="567"/>
    </row>
    <row r="447" spans="2:14">
      <c r="B447" s="127" t="str">
        <f t="shared" si="14"/>
        <v/>
      </c>
      <c r="C447" s="127" t="str">
        <f t="shared" si="15"/>
        <v/>
      </c>
      <c r="E447" s="569"/>
      <c r="F447" s="569"/>
      <c r="G447" s="569"/>
      <c r="H447" s="569"/>
      <c r="I447" s="569"/>
      <c r="J447" s="569"/>
      <c r="K447" s="569"/>
      <c r="L447" s="587"/>
      <c r="M447" s="587"/>
      <c r="N447" s="567"/>
    </row>
    <row r="448" spans="2:14">
      <c r="B448" s="127" t="str">
        <f t="shared" si="14"/>
        <v/>
      </c>
      <c r="C448" s="127" t="str">
        <f t="shared" si="15"/>
        <v/>
      </c>
      <c r="E448" s="569"/>
      <c r="F448" s="569"/>
      <c r="G448" s="569"/>
      <c r="H448" s="569"/>
      <c r="I448" s="569"/>
      <c r="J448" s="569"/>
      <c r="K448" s="569"/>
      <c r="L448" s="587"/>
      <c r="M448" s="587"/>
      <c r="N448" s="567"/>
    </row>
    <row r="449" spans="2:14">
      <c r="B449" s="127" t="str">
        <f t="shared" si="14"/>
        <v>100-63-634</v>
      </c>
      <c r="C449" s="127" t="str">
        <f t="shared" si="15"/>
        <v>50101</v>
      </c>
      <c r="D449" s="570" t="s">
        <v>517</v>
      </c>
      <c r="E449" s="396" t="s">
        <v>316</v>
      </c>
      <c r="F449" s="414">
        <v>130925</v>
      </c>
      <c r="G449" s="414">
        <v>130925</v>
      </c>
      <c r="H449" s="571">
        <v>9965.7000000000007</v>
      </c>
      <c r="I449" s="414">
        <v>120496.92</v>
      </c>
      <c r="J449" s="571">
        <v>10428.08</v>
      </c>
      <c r="K449" s="572">
        <v>7.96</v>
      </c>
      <c r="L449" s="588"/>
      <c r="M449" s="589"/>
      <c r="N449" s="567"/>
    </row>
    <row r="450" spans="2:14">
      <c r="B450" s="127" t="str">
        <f t="shared" si="14"/>
        <v>100-63-634</v>
      </c>
      <c r="C450" s="127" t="str">
        <f t="shared" si="15"/>
        <v>50102</v>
      </c>
      <c r="D450" s="570" t="s">
        <v>573</v>
      </c>
      <c r="E450" s="396" t="s">
        <v>317</v>
      </c>
      <c r="F450" s="414">
        <v>75390</v>
      </c>
      <c r="G450" s="414">
        <v>75390</v>
      </c>
      <c r="H450" s="571">
        <v>4070.69</v>
      </c>
      <c r="I450" s="414">
        <v>65178.61</v>
      </c>
      <c r="J450" s="571">
        <v>10211.39</v>
      </c>
      <c r="K450" s="572">
        <v>13.54</v>
      </c>
      <c r="L450" s="588"/>
      <c r="M450" s="589"/>
      <c r="N450" s="567"/>
    </row>
    <row r="451" spans="2:14">
      <c r="B451" s="127" t="str">
        <f t="shared" si="14"/>
        <v>100-63-634</v>
      </c>
      <c r="C451" s="127" t="str">
        <f t="shared" si="15"/>
        <v>50109</v>
      </c>
      <c r="D451" s="570" t="s">
        <v>574</v>
      </c>
      <c r="E451" s="396" t="s">
        <v>12</v>
      </c>
      <c r="F451" s="414">
        <v>500</v>
      </c>
      <c r="G451" s="414">
        <v>500</v>
      </c>
      <c r="H451" s="571">
        <v>0</v>
      </c>
      <c r="I451" s="414">
        <v>597.04</v>
      </c>
      <c r="J451" s="571">
        <v>-97.04</v>
      </c>
      <c r="K451" s="572">
        <v>-19.41</v>
      </c>
      <c r="L451" s="588"/>
      <c r="M451" s="589"/>
      <c r="N451" s="567"/>
    </row>
    <row r="452" spans="2:14">
      <c r="B452" s="127" t="str">
        <f t="shared" si="14"/>
        <v>100-63-634</v>
      </c>
      <c r="C452" s="127" t="str">
        <f t="shared" si="15"/>
        <v>50111</v>
      </c>
      <c r="D452" s="570" t="s">
        <v>518</v>
      </c>
      <c r="E452" s="396" t="s">
        <v>318</v>
      </c>
      <c r="F452" s="414">
        <v>1550</v>
      </c>
      <c r="G452" s="414">
        <v>1550</v>
      </c>
      <c r="H452" s="571">
        <v>0</v>
      </c>
      <c r="I452" s="414">
        <v>1530</v>
      </c>
      <c r="J452" s="571">
        <v>20</v>
      </c>
      <c r="K452" s="572">
        <v>1.29</v>
      </c>
      <c r="L452" s="588"/>
      <c r="M452" s="589"/>
      <c r="N452" s="567"/>
    </row>
    <row r="453" spans="2:14">
      <c r="B453" s="127" t="str">
        <f t="shared" ref="B453:B516" si="16">LEFT(D453,10)</f>
        <v>100-63-634</v>
      </c>
      <c r="C453" s="127" t="str">
        <f t="shared" ref="C453:C516" si="17">MID(D453,12,5)</f>
        <v>50610</v>
      </c>
      <c r="D453" s="570" t="s">
        <v>869</v>
      </c>
      <c r="E453" s="396" t="s">
        <v>320</v>
      </c>
      <c r="F453" s="414">
        <v>18670</v>
      </c>
      <c r="G453" s="414">
        <v>18670</v>
      </c>
      <c r="H453" s="571">
        <v>1203.44</v>
      </c>
      <c r="I453" s="414">
        <v>15397.2</v>
      </c>
      <c r="J453" s="571">
        <v>3272.8</v>
      </c>
      <c r="K453" s="572">
        <v>17.53</v>
      </c>
      <c r="L453" s="588"/>
      <c r="M453" s="589"/>
      <c r="N453" s="567"/>
    </row>
    <row r="454" spans="2:14">
      <c r="B454" s="127" t="str">
        <f t="shared" si="16"/>
        <v>100-63-634</v>
      </c>
      <c r="C454" s="127" t="str">
        <f t="shared" si="17"/>
        <v>50620</v>
      </c>
      <c r="D454" s="570" t="s">
        <v>732</v>
      </c>
      <c r="E454" s="396" t="s">
        <v>321</v>
      </c>
      <c r="F454" s="414">
        <v>59307</v>
      </c>
      <c r="G454" s="414">
        <v>59307</v>
      </c>
      <c r="H454" s="571">
        <v>4913.5</v>
      </c>
      <c r="I454" s="414">
        <v>57620.88</v>
      </c>
      <c r="J454" s="571">
        <v>1686.12</v>
      </c>
      <c r="K454" s="572">
        <v>2.84</v>
      </c>
      <c r="L454" s="588"/>
      <c r="M454" s="589"/>
      <c r="N454" s="567"/>
    </row>
    <row r="455" spans="2:14">
      <c r="B455" s="127" t="str">
        <f t="shared" si="16"/>
        <v>100-63-634</v>
      </c>
      <c r="C455" s="127" t="str">
        <f t="shared" si="17"/>
        <v>50630</v>
      </c>
      <c r="D455" s="570" t="s">
        <v>870</v>
      </c>
      <c r="E455" s="396" t="s">
        <v>322</v>
      </c>
      <c r="F455" s="414">
        <v>354</v>
      </c>
      <c r="G455" s="414">
        <v>354</v>
      </c>
      <c r="H455" s="571">
        <v>0</v>
      </c>
      <c r="I455" s="414">
        <v>353.72</v>
      </c>
      <c r="J455" s="571">
        <v>0.28000000000000003</v>
      </c>
      <c r="K455" s="572">
        <v>0.08</v>
      </c>
      <c r="L455" s="588"/>
      <c r="M455" s="589"/>
      <c r="N455" s="567"/>
    </row>
    <row r="456" spans="2:14">
      <c r="B456" s="127" t="str">
        <f t="shared" si="16"/>
        <v>100-63-634</v>
      </c>
      <c r="C456" s="127" t="str">
        <f t="shared" si="17"/>
        <v>50650</v>
      </c>
      <c r="D456" s="570" t="s">
        <v>736</v>
      </c>
      <c r="E456" s="396" t="s">
        <v>323</v>
      </c>
      <c r="F456" s="573">
        <v>34737</v>
      </c>
      <c r="G456" s="573">
        <v>34737</v>
      </c>
      <c r="H456" s="574">
        <v>2360.71</v>
      </c>
      <c r="I456" s="573">
        <v>31317.759999999998</v>
      </c>
      <c r="J456" s="574">
        <v>3419.24</v>
      </c>
      <c r="K456" s="575">
        <v>9.84</v>
      </c>
      <c r="L456" s="588"/>
      <c r="M456" s="589"/>
      <c r="N456" s="567"/>
    </row>
    <row r="457" spans="2:14">
      <c r="B457" s="127" t="str">
        <f t="shared" si="16"/>
        <v xml:space="preserve">Category: </v>
      </c>
      <c r="C457" s="127" t="str">
        <f t="shared" si="17"/>
        <v>0 - P</v>
      </c>
      <c r="D457" s="569" t="s">
        <v>1123</v>
      </c>
      <c r="E457" s="569"/>
      <c r="F457" s="576">
        <v>321433</v>
      </c>
      <c r="G457" s="576">
        <v>321433</v>
      </c>
      <c r="H457" s="577">
        <v>22514.04</v>
      </c>
      <c r="I457" s="576">
        <v>292492.13</v>
      </c>
      <c r="J457" s="577">
        <v>28940.87</v>
      </c>
      <c r="K457" s="578">
        <v>9.0037021712145296E-2</v>
      </c>
      <c r="L457" s="590"/>
      <c r="M457" s="591"/>
      <c r="N457" s="567"/>
    </row>
    <row r="458" spans="2:14">
      <c r="B458" s="127" t="str">
        <f t="shared" si="16"/>
        <v/>
      </c>
      <c r="C458" s="127" t="str">
        <f t="shared" si="17"/>
        <v/>
      </c>
      <c r="F458" s="398"/>
      <c r="G458" s="398"/>
      <c r="H458" s="398"/>
      <c r="I458" s="398"/>
      <c r="J458" s="398"/>
      <c r="K458" s="398"/>
      <c r="L458"/>
      <c r="N458" s="567"/>
    </row>
    <row r="459" spans="2:14">
      <c r="B459" s="127" t="str">
        <f t="shared" si="16"/>
        <v xml:space="preserve">Division: </v>
      </c>
      <c r="C459" s="127" t="str">
        <f t="shared" si="17"/>
        <v xml:space="preserve">34 - </v>
      </c>
      <c r="D459" s="569" t="s">
        <v>1160</v>
      </c>
      <c r="E459" s="569"/>
      <c r="F459" s="576">
        <v>321433</v>
      </c>
      <c r="G459" s="576">
        <v>321433</v>
      </c>
      <c r="H459" s="577">
        <v>22514.04</v>
      </c>
      <c r="I459" s="576">
        <v>292492.13</v>
      </c>
      <c r="J459" s="577">
        <v>28940.87</v>
      </c>
      <c r="K459" s="578">
        <v>9.0037021712145296E-2</v>
      </c>
      <c r="L459" s="590"/>
      <c r="M459" s="591"/>
      <c r="N459" s="567"/>
    </row>
    <row r="460" spans="2:14">
      <c r="B460" s="127" t="str">
        <f t="shared" si="16"/>
        <v/>
      </c>
      <c r="C460" s="127" t="str">
        <f t="shared" si="17"/>
        <v/>
      </c>
      <c r="L460"/>
      <c r="N460" s="567"/>
    </row>
    <row r="461" spans="2:14">
      <c r="B461" s="127" t="str">
        <f t="shared" si="16"/>
        <v/>
      </c>
      <c r="C461" s="127" t="str">
        <f t="shared" si="17"/>
        <v/>
      </c>
      <c r="E461" s="569"/>
      <c r="F461" s="569"/>
      <c r="G461" s="569"/>
      <c r="H461" s="569"/>
      <c r="I461" s="569"/>
      <c r="J461" s="569"/>
      <c r="K461" s="569"/>
      <c r="L461" s="587"/>
      <c r="M461" s="587"/>
      <c r="N461" s="567"/>
    </row>
    <row r="462" spans="2:14">
      <c r="B462" s="127" t="str">
        <f t="shared" si="16"/>
        <v/>
      </c>
      <c r="C462" s="127" t="str">
        <f t="shared" si="17"/>
        <v/>
      </c>
      <c r="E462" s="569"/>
      <c r="F462" s="569"/>
      <c r="G462" s="569"/>
      <c r="H462" s="569"/>
      <c r="I462" s="569"/>
      <c r="J462" s="569"/>
      <c r="K462" s="569"/>
      <c r="L462" s="587"/>
      <c r="M462" s="587"/>
      <c r="N462" s="567"/>
    </row>
    <row r="463" spans="2:14">
      <c r="B463" s="127" t="str">
        <f t="shared" si="16"/>
        <v>100-63-635</v>
      </c>
      <c r="C463" s="127" t="str">
        <f t="shared" si="17"/>
        <v>50102</v>
      </c>
      <c r="D463" s="570" t="s">
        <v>602</v>
      </c>
      <c r="E463" s="396" t="s">
        <v>317</v>
      </c>
      <c r="F463" s="414">
        <v>201948</v>
      </c>
      <c r="G463" s="414">
        <v>201948</v>
      </c>
      <c r="H463" s="571">
        <v>15026.5</v>
      </c>
      <c r="I463" s="414">
        <v>179465</v>
      </c>
      <c r="J463" s="571">
        <v>22483</v>
      </c>
      <c r="K463" s="572">
        <v>11.13</v>
      </c>
      <c r="L463" s="588"/>
      <c r="M463" s="589"/>
      <c r="N463" s="567"/>
    </row>
    <row r="464" spans="2:14">
      <c r="B464" s="127" t="str">
        <f t="shared" si="16"/>
        <v>100-63-635</v>
      </c>
      <c r="C464" s="127" t="str">
        <f t="shared" si="17"/>
        <v>50109</v>
      </c>
      <c r="D464" s="570" t="s">
        <v>603</v>
      </c>
      <c r="E464" s="396" t="s">
        <v>12</v>
      </c>
      <c r="F464" s="414">
        <v>5000</v>
      </c>
      <c r="G464" s="414">
        <v>5000</v>
      </c>
      <c r="H464" s="571">
        <v>203.92</v>
      </c>
      <c r="I464" s="414">
        <v>5035.03</v>
      </c>
      <c r="J464" s="571">
        <v>-35.03</v>
      </c>
      <c r="K464" s="572">
        <v>-0.7</v>
      </c>
      <c r="L464" s="588"/>
      <c r="M464" s="589"/>
      <c r="N464" s="567"/>
    </row>
    <row r="465" spans="2:14">
      <c r="B465" s="127" t="str">
        <f t="shared" si="16"/>
        <v>100-63-635</v>
      </c>
      <c r="C465" s="127" t="str">
        <f t="shared" si="17"/>
        <v>50111</v>
      </c>
      <c r="D465" s="570" t="s">
        <v>604</v>
      </c>
      <c r="E465" s="396" t="s">
        <v>318</v>
      </c>
      <c r="F465" s="414">
        <v>1722</v>
      </c>
      <c r="G465" s="414">
        <v>1722</v>
      </c>
      <c r="H465" s="571">
        <v>0</v>
      </c>
      <c r="I465" s="414">
        <v>1700</v>
      </c>
      <c r="J465" s="571">
        <v>22</v>
      </c>
      <c r="K465" s="572">
        <v>1.28</v>
      </c>
      <c r="L465" s="588"/>
      <c r="M465" s="589"/>
      <c r="N465" s="567"/>
    </row>
    <row r="466" spans="2:14">
      <c r="B466" s="127" t="str">
        <f t="shared" si="16"/>
        <v>100-63-635</v>
      </c>
      <c r="C466" s="127" t="str">
        <f t="shared" si="17"/>
        <v>50610</v>
      </c>
      <c r="D466" s="570" t="s">
        <v>871</v>
      </c>
      <c r="E466" s="396" t="s">
        <v>320</v>
      </c>
      <c r="F466" s="414">
        <v>16080</v>
      </c>
      <c r="G466" s="414">
        <v>16080</v>
      </c>
      <c r="H466" s="571">
        <v>1132.2</v>
      </c>
      <c r="I466" s="414">
        <v>14088.26</v>
      </c>
      <c r="J466" s="571">
        <v>1991.74</v>
      </c>
      <c r="K466" s="572">
        <v>12.39</v>
      </c>
      <c r="L466" s="588"/>
      <c r="M466" s="589"/>
      <c r="N466" s="567"/>
    </row>
    <row r="467" spans="2:14">
      <c r="B467" s="127" t="str">
        <f t="shared" si="16"/>
        <v>100-63-635</v>
      </c>
      <c r="C467" s="127" t="str">
        <f t="shared" si="17"/>
        <v>50620</v>
      </c>
      <c r="D467" s="570" t="s">
        <v>693</v>
      </c>
      <c r="E467" s="396" t="s">
        <v>321</v>
      </c>
      <c r="F467" s="414">
        <v>54588</v>
      </c>
      <c r="G467" s="414">
        <v>54588</v>
      </c>
      <c r="H467" s="571">
        <v>4886.8599999999997</v>
      </c>
      <c r="I467" s="414">
        <v>45831.12</v>
      </c>
      <c r="J467" s="571">
        <v>8756.8799999999992</v>
      </c>
      <c r="K467" s="572">
        <v>16.04</v>
      </c>
      <c r="L467" s="588"/>
      <c r="M467" s="589"/>
      <c r="N467" s="567"/>
    </row>
    <row r="468" spans="2:14">
      <c r="B468" s="127" t="str">
        <f t="shared" si="16"/>
        <v>100-63-635</v>
      </c>
      <c r="C468" s="127" t="str">
        <f t="shared" si="17"/>
        <v>50630</v>
      </c>
      <c r="D468" s="570" t="s">
        <v>872</v>
      </c>
      <c r="E468" s="396" t="s">
        <v>322</v>
      </c>
      <c r="F468" s="414">
        <v>2633</v>
      </c>
      <c r="G468" s="414">
        <v>2633</v>
      </c>
      <c r="H468" s="571">
        <v>0</v>
      </c>
      <c r="I468" s="414">
        <v>2630.84</v>
      </c>
      <c r="J468" s="571">
        <v>2.16</v>
      </c>
      <c r="K468" s="572">
        <v>0.08</v>
      </c>
      <c r="L468" s="588"/>
      <c r="M468" s="589"/>
      <c r="N468" s="567"/>
    </row>
    <row r="469" spans="2:14">
      <c r="B469" s="127" t="str">
        <f t="shared" si="16"/>
        <v>100-63-635</v>
      </c>
      <c r="C469" s="127" t="str">
        <f t="shared" si="17"/>
        <v>50650</v>
      </c>
      <c r="D469" s="570" t="s">
        <v>680</v>
      </c>
      <c r="E469" s="396" t="s">
        <v>323</v>
      </c>
      <c r="F469" s="573">
        <v>34705</v>
      </c>
      <c r="G469" s="573">
        <v>34705</v>
      </c>
      <c r="H469" s="574">
        <v>2553.91</v>
      </c>
      <c r="I469" s="573">
        <v>30973.5</v>
      </c>
      <c r="J469" s="574">
        <v>3731.5</v>
      </c>
      <c r="K469" s="575">
        <v>10.75</v>
      </c>
      <c r="L469" s="588"/>
      <c r="M469" s="589"/>
      <c r="N469" s="567"/>
    </row>
    <row r="470" spans="2:14">
      <c r="B470" s="127" t="str">
        <f t="shared" si="16"/>
        <v xml:space="preserve">Category: </v>
      </c>
      <c r="C470" s="127" t="str">
        <f t="shared" si="17"/>
        <v>0 - P</v>
      </c>
      <c r="D470" s="569" t="s">
        <v>1123</v>
      </c>
      <c r="E470" s="569"/>
      <c r="F470" s="576">
        <v>316676</v>
      </c>
      <c r="G470" s="576">
        <v>316676</v>
      </c>
      <c r="H470" s="577">
        <v>23803.39</v>
      </c>
      <c r="I470" s="576">
        <v>279723.75</v>
      </c>
      <c r="J470" s="577">
        <v>36952.25</v>
      </c>
      <c r="K470" s="578">
        <v>0.116687876567849</v>
      </c>
      <c r="L470" s="590"/>
      <c r="M470" s="591"/>
      <c r="N470" s="567"/>
    </row>
    <row r="471" spans="2:14">
      <c r="B471" s="127" t="str">
        <f t="shared" si="16"/>
        <v/>
      </c>
      <c r="C471" s="127" t="str">
        <f t="shared" si="17"/>
        <v/>
      </c>
      <c r="F471" s="398"/>
      <c r="G471" s="398"/>
      <c r="H471" s="398"/>
      <c r="I471" s="398"/>
      <c r="J471" s="398"/>
      <c r="K471" s="398"/>
      <c r="L471"/>
      <c r="N471" s="567"/>
    </row>
    <row r="472" spans="2:14">
      <c r="B472" s="127" t="str">
        <f t="shared" si="16"/>
        <v xml:space="preserve">Division: </v>
      </c>
      <c r="C472" s="127" t="str">
        <f t="shared" si="17"/>
        <v xml:space="preserve">35 - </v>
      </c>
      <c r="D472" s="569" t="s">
        <v>1161</v>
      </c>
      <c r="E472" s="569"/>
      <c r="F472" s="576">
        <v>316676</v>
      </c>
      <c r="G472" s="576">
        <v>316676</v>
      </c>
      <c r="H472" s="577">
        <v>23803.39</v>
      </c>
      <c r="I472" s="576">
        <v>279723.75</v>
      </c>
      <c r="J472" s="577">
        <v>36952.25</v>
      </c>
      <c r="K472" s="578">
        <v>0.116687876567849</v>
      </c>
      <c r="L472" s="590"/>
      <c r="M472" s="591"/>
      <c r="N472" s="567"/>
    </row>
    <row r="473" spans="2:14">
      <c r="B473" s="127" t="str">
        <f t="shared" si="16"/>
        <v/>
      </c>
      <c r="C473" s="127" t="str">
        <f t="shared" si="17"/>
        <v/>
      </c>
      <c r="L473"/>
      <c r="N473" s="567"/>
    </row>
    <row r="474" spans="2:14">
      <c r="B474" s="127" t="str">
        <f t="shared" si="16"/>
        <v/>
      </c>
      <c r="C474" s="127" t="str">
        <f t="shared" si="17"/>
        <v/>
      </c>
      <c r="E474" s="569"/>
      <c r="F474" s="569"/>
      <c r="G474" s="569"/>
      <c r="H474" s="569"/>
      <c r="I474" s="569"/>
      <c r="J474" s="569"/>
      <c r="K474" s="569"/>
      <c r="L474" s="587"/>
      <c r="M474" s="587"/>
      <c r="N474" s="567"/>
    </row>
    <row r="475" spans="2:14">
      <c r="B475" s="127" t="str">
        <f t="shared" si="16"/>
        <v/>
      </c>
      <c r="C475" s="127" t="str">
        <f t="shared" si="17"/>
        <v/>
      </c>
      <c r="E475" s="569"/>
      <c r="F475" s="569"/>
      <c r="G475" s="569"/>
      <c r="H475" s="569"/>
      <c r="I475" s="569"/>
      <c r="J475" s="569"/>
      <c r="K475" s="569"/>
      <c r="L475" s="587"/>
      <c r="M475" s="587"/>
      <c r="N475" s="567"/>
    </row>
    <row r="476" spans="2:14">
      <c r="B476" s="127" t="str">
        <f t="shared" si="16"/>
        <v>100-63-636</v>
      </c>
      <c r="C476" s="127" t="str">
        <f t="shared" si="17"/>
        <v>50102</v>
      </c>
      <c r="D476" s="570" t="s">
        <v>495</v>
      </c>
      <c r="E476" s="396" t="s">
        <v>317</v>
      </c>
      <c r="F476" s="414">
        <v>23572</v>
      </c>
      <c r="G476" s="414">
        <v>23572</v>
      </c>
      <c r="H476" s="571">
        <v>2197.63</v>
      </c>
      <c r="I476" s="414">
        <v>27468.73</v>
      </c>
      <c r="J476" s="571">
        <v>-3896.73</v>
      </c>
      <c r="K476" s="572">
        <v>-16.53</v>
      </c>
      <c r="L476" s="588"/>
      <c r="M476" s="589"/>
      <c r="N476" s="567"/>
    </row>
    <row r="477" spans="2:14">
      <c r="B477" s="127" t="str">
        <f t="shared" si="16"/>
        <v>100-63-636</v>
      </c>
      <c r="C477" s="127" t="str">
        <f t="shared" si="17"/>
        <v>50109</v>
      </c>
      <c r="D477" s="570" t="s">
        <v>499</v>
      </c>
      <c r="E477" s="396" t="s">
        <v>12</v>
      </c>
      <c r="F477" s="414">
        <v>300</v>
      </c>
      <c r="G477" s="414">
        <v>300</v>
      </c>
      <c r="H477" s="571">
        <v>0</v>
      </c>
      <c r="I477" s="414">
        <v>423.81</v>
      </c>
      <c r="J477" s="571">
        <v>-123.81</v>
      </c>
      <c r="K477" s="572">
        <v>-41.27</v>
      </c>
      <c r="L477" s="588"/>
      <c r="M477" s="589"/>
      <c r="N477" s="567"/>
    </row>
    <row r="478" spans="2:14">
      <c r="B478" s="127" t="str">
        <f t="shared" si="16"/>
        <v>100-63-636</v>
      </c>
      <c r="C478" s="127" t="str">
        <f t="shared" si="17"/>
        <v>50111</v>
      </c>
      <c r="D478" s="570" t="s">
        <v>500</v>
      </c>
      <c r="E478" s="396" t="s">
        <v>318</v>
      </c>
      <c r="F478" s="414">
        <v>115</v>
      </c>
      <c r="G478" s="414">
        <v>115</v>
      </c>
      <c r="H478" s="571">
        <v>0</v>
      </c>
      <c r="I478" s="414">
        <v>126</v>
      </c>
      <c r="J478" s="571">
        <v>-11</v>
      </c>
      <c r="K478" s="572">
        <v>-9.57</v>
      </c>
      <c r="L478" s="588"/>
      <c r="M478" s="589"/>
      <c r="N478" s="567"/>
    </row>
    <row r="479" spans="2:14">
      <c r="B479" s="127" t="str">
        <f t="shared" si="16"/>
        <v>100-63-636</v>
      </c>
      <c r="C479" s="127" t="str">
        <f t="shared" si="17"/>
        <v>50610</v>
      </c>
      <c r="D479" s="570" t="s">
        <v>873</v>
      </c>
      <c r="E479" s="396" t="s">
        <v>320</v>
      </c>
      <c r="F479" s="414">
        <v>1846</v>
      </c>
      <c r="G479" s="414">
        <v>1846</v>
      </c>
      <c r="H479" s="571">
        <v>161.09</v>
      </c>
      <c r="I479" s="414">
        <v>2062.91</v>
      </c>
      <c r="J479" s="571">
        <v>-216.91</v>
      </c>
      <c r="K479" s="572">
        <v>-11.75</v>
      </c>
      <c r="L479" s="588"/>
      <c r="M479" s="589"/>
      <c r="N479" s="567"/>
    </row>
    <row r="480" spans="2:14">
      <c r="B480" s="127" t="str">
        <f t="shared" si="16"/>
        <v>100-63-636</v>
      </c>
      <c r="C480" s="127" t="str">
        <f t="shared" si="17"/>
        <v>50620</v>
      </c>
      <c r="D480" s="570" t="s">
        <v>679</v>
      </c>
      <c r="E480" s="396" t="s">
        <v>321</v>
      </c>
      <c r="F480" s="414">
        <v>6455</v>
      </c>
      <c r="G480" s="414">
        <v>6455</v>
      </c>
      <c r="H480" s="571">
        <v>646.04999999999995</v>
      </c>
      <c r="I480" s="414">
        <v>7403.89</v>
      </c>
      <c r="J480" s="571">
        <v>-948.89</v>
      </c>
      <c r="K480" s="572">
        <v>-14.7</v>
      </c>
      <c r="L480" s="588"/>
      <c r="M480" s="589"/>
      <c r="N480" s="567"/>
    </row>
    <row r="481" spans="2:14">
      <c r="B481" s="127" t="str">
        <f t="shared" si="16"/>
        <v>100-63-636</v>
      </c>
      <c r="C481" s="127" t="str">
        <f t="shared" si="17"/>
        <v>50630</v>
      </c>
      <c r="D481" s="570" t="s">
        <v>874</v>
      </c>
      <c r="E481" s="396" t="s">
        <v>322</v>
      </c>
      <c r="F481" s="414">
        <v>301</v>
      </c>
      <c r="G481" s="414">
        <v>301</v>
      </c>
      <c r="H481" s="571">
        <v>0</v>
      </c>
      <c r="I481" s="414">
        <v>300.76</v>
      </c>
      <c r="J481" s="571">
        <v>0.24</v>
      </c>
      <c r="K481" s="572">
        <v>0.08</v>
      </c>
      <c r="L481" s="588"/>
      <c r="M481" s="589"/>
      <c r="N481" s="567"/>
    </row>
    <row r="482" spans="2:14">
      <c r="B482" s="127" t="str">
        <f t="shared" si="16"/>
        <v>100-63-636</v>
      </c>
      <c r="C482" s="127" t="str">
        <f t="shared" si="17"/>
        <v>50650</v>
      </c>
      <c r="D482" s="570" t="s">
        <v>724</v>
      </c>
      <c r="E482" s="396" t="s">
        <v>323</v>
      </c>
      <c r="F482" s="573">
        <v>3967</v>
      </c>
      <c r="G482" s="573">
        <v>3967</v>
      </c>
      <c r="H482" s="574">
        <v>366.34</v>
      </c>
      <c r="I482" s="573">
        <v>4635.62</v>
      </c>
      <c r="J482" s="574">
        <v>-668.62</v>
      </c>
      <c r="K482" s="575">
        <v>-16.850000000000001</v>
      </c>
      <c r="L482" s="588"/>
      <c r="M482" s="589"/>
      <c r="N482" s="567"/>
    </row>
    <row r="483" spans="2:14">
      <c r="B483" s="127" t="str">
        <f t="shared" si="16"/>
        <v xml:space="preserve">Category: </v>
      </c>
      <c r="C483" s="127" t="str">
        <f t="shared" si="17"/>
        <v>0 - P</v>
      </c>
      <c r="D483" s="569" t="s">
        <v>1123</v>
      </c>
      <c r="E483" s="569"/>
      <c r="F483" s="576">
        <v>36556</v>
      </c>
      <c r="G483" s="576">
        <v>36556</v>
      </c>
      <c r="H483" s="577">
        <v>3371.11</v>
      </c>
      <c r="I483" s="576">
        <v>42421.72</v>
      </c>
      <c r="J483" s="577">
        <v>-5865.72</v>
      </c>
      <c r="K483" s="578">
        <v>-0.16045847466900101</v>
      </c>
      <c r="L483" s="590"/>
      <c r="M483" s="591"/>
      <c r="N483" s="567"/>
    </row>
    <row r="484" spans="2:14">
      <c r="B484" s="127" t="str">
        <f t="shared" si="16"/>
        <v/>
      </c>
      <c r="C484" s="127" t="str">
        <f t="shared" si="17"/>
        <v/>
      </c>
      <c r="F484" s="398"/>
      <c r="G484" s="398"/>
      <c r="H484" s="398"/>
      <c r="I484" s="398"/>
      <c r="J484" s="398"/>
      <c r="K484" s="398"/>
      <c r="L484"/>
      <c r="N484" s="567"/>
    </row>
    <row r="485" spans="2:14">
      <c r="B485" s="127" t="str">
        <f t="shared" si="16"/>
        <v xml:space="preserve">Division: </v>
      </c>
      <c r="C485" s="127" t="str">
        <f t="shared" si="17"/>
        <v xml:space="preserve">36 - </v>
      </c>
      <c r="D485" s="569" t="s">
        <v>1162</v>
      </c>
      <c r="E485" s="569"/>
      <c r="F485" s="576">
        <v>36556</v>
      </c>
      <c r="G485" s="576">
        <v>36556</v>
      </c>
      <c r="H485" s="577">
        <v>3371.11</v>
      </c>
      <c r="I485" s="576">
        <v>42421.72</v>
      </c>
      <c r="J485" s="577">
        <v>-5865.72</v>
      </c>
      <c r="K485" s="578">
        <v>-0.16045847466900101</v>
      </c>
      <c r="L485" s="590"/>
      <c r="M485" s="591"/>
      <c r="N485" s="567"/>
    </row>
    <row r="486" spans="2:14">
      <c r="B486" s="127" t="str">
        <f t="shared" si="16"/>
        <v/>
      </c>
      <c r="C486" s="127" t="str">
        <f t="shared" si="17"/>
        <v/>
      </c>
      <c r="F486" s="398"/>
      <c r="G486" s="398"/>
      <c r="H486" s="398"/>
      <c r="I486" s="398"/>
      <c r="J486" s="398"/>
      <c r="K486" s="398"/>
      <c r="L486"/>
      <c r="N486" s="567"/>
    </row>
    <row r="487" spans="2:14">
      <c r="B487" s="127" t="str">
        <f t="shared" si="16"/>
        <v>Department</v>
      </c>
      <c r="C487" s="127" t="str">
        <f t="shared" si="17"/>
        <v xml:space="preserve"> 63 -</v>
      </c>
      <c r="D487" s="569" t="s">
        <v>1163</v>
      </c>
      <c r="E487" s="569"/>
      <c r="F487" s="576">
        <v>1687581</v>
      </c>
      <c r="G487" s="576">
        <v>1687581</v>
      </c>
      <c r="H487" s="577">
        <v>126004.7</v>
      </c>
      <c r="I487" s="576">
        <v>1610529.08</v>
      </c>
      <c r="J487" s="577">
        <v>77051.92</v>
      </c>
      <c r="K487" s="578">
        <v>4.5658205443175802E-2</v>
      </c>
      <c r="L487" s="590"/>
      <c r="M487" s="591"/>
      <c r="N487" s="567"/>
    </row>
    <row r="488" spans="2:14">
      <c r="B488" s="127" t="str">
        <f t="shared" si="16"/>
        <v/>
      </c>
      <c r="C488" s="127" t="str">
        <f t="shared" si="17"/>
        <v/>
      </c>
      <c r="L488"/>
      <c r="N488" s="567"/>
    </row>
    <row r="489" spans="2:14">
      <c r="B489" s="127" t="str">
        <f t="shared" si="16"/>
        <v/>
      </c>
      <c r="C489" s="127" t="str">
        <f t="shared" si="17"/>
        <v/>
      </c>
      <c r="E489" s="569"/>
      <c r="F489" s="569"/>
      <c r="G489" s="569"/>
      <c r="H489" s="569"/>
      <c r="I489" s="569"/>
      <c r="J489" s="569"/>
      <c r="K489" s="569"/>
      <c r="L489" s="587"/>
      <c r="M489" s="587"/>
      <c r="N489" s="567"/>
    </row>
    <row r="490" spans="2:14">
      <c r="B490" s="127" t="str">
        <f t="shared" si="16"/>
        <v/>
      </c>
      <c r="C490" s="127" t="str">
        <f t="shared" si="17"/>
        <v/>
      </c>
      <c r="E490" s="569"/>
      <c r="F490" s="569"/>
      <c r="G490" s="569"/>
      <c r="H490" s="569"/>
      <c r="I490" s="569"/>
      <c r="J490" s="569"/>
      <c r="K490" s="569"/>
      <c r="L490" s="587"/>
      <c r="M490" s="587"/>
      <c r="N490" s="567"/>
    </row>
    <row r="491" spans="2:14">
      <c r="B491" s="127" t="str">
        <f t="shared" si="16"/>
        <v/>
      </c>
      <c r="C491" s="127" t="str">
        <f t="shared" si="17"/>
        <v/>
      </c>
      <c r="E491" s="569"/>
      <c r="F491" s="569"/>
      <c r="G491" s="569"/>
      <c r="H491" s="569"/>
      <c r="I491" s="569"/>
      <c r="J491" s="569"/>
      <c r="K491" s="569"/>
      <c r="L491" s="587"/>
      <c r="M491" s="587"/>
      <c r="N491" s="567"/>
    </row>
    <row r="492" spans="2:14">
      <c r="B492" s="127" t="str">
        <f t="shared" si="16"/>
        <v>100-99-994</v>
      </c>
      <c r="C492" s="127" t="str">
        <f t="shared" si="17"/>
        <v>50640</v>
      </c>
      <c r="D492" s="570" t="s">
        <v>875</v>
      </c>
      <c r="E492" s="396" t="s">
        <v>324</v>
      </c>
      <c r="F492" s="573">
        <v>30000</v>
      </c>
      <c r="G492" s="573">
        <v>30000</v>
      </c>
      <c r="H492" s="574">
        <v>0</v>
      </c>
      <c r="I492" s="573">
        <v>0</v>
      </c>
      <c r="J492" s="574">
        <v>30000</v>
      </c>
      <c r="K492" s="575">
        <v>100</v>
      </c>
      <c r="L492" s="588"/>
      <c r="M492" s="589"/>
      <c r="N492" s="567"/>
    </row>
    <row r="493" spans="2:14">
      <c r="B493" s="127" t="str">
        <f t="shared" si="16"/>
        <v xml:space="preserve">Category: </v>
      </c>
      <c r="C493" s="127" t="str">
        <f t="shared" si="17"/>
        <v>0 - P</v>
      </c>
      <c r="D493" s="569" t="s">
        <v>1123</v>
      </c>
      <c r="E493" s="569"/>
      <c r="F493" s="576">
        <v>30000</v>
      </c>
      <c r="G493" s="576">
        <v>30000</v>
      </c>
      <c r="H493" s="577">
        <v>0</v>
      </c>
      <c r="I493" s="576">
        <v>0</v>
      </c>
      <c r="J493" s="577">
        <v>30000</v>
      </c>
      <c r="K493" s="578">
        <v>1</v>
      </c>
      <c r="L493" s="590"/>
      <c r="M493" s="591"/>
      <c r="N493" s="567"/>
    </row>
    <row r="494" spans="2:14">
      <c r="B494" s="127" t="str">
        <f t="shared" si="16"/>
        <v/>
      </c>
      <c r="C494" s="127" t="str">
        <f t="shared" si="17"/>
        <v/>
      </c>
      <c r="F494" s="398"/>
      <c r="G494" s="398"/>
      <c r="H494" s="398"/>
      <c r="I494" s="398"/>
      <c r="J494" s="398"/>
      <c r="K494" s="398"/>
      <c r="L494"/>
      <c r="N494" s="567"/>
    </row>
    <row r="495" spans="2:14">
      <c r="B495" s="127" t="str">
        <f t="shared" si="16"/>
        <v xml:space="preserve">Division: </v>
      </c>
      <c r="C495" s="127" t="str">
        <f t="shared" si="17"/>
        <v xml:space="preserve">94 - </v>
      </c>
      <c r="D495" s="569" t="s">
        <v>1164</v>
      </c>
      <c r="E495" s="569"/>
      <c r="F495" s="576">
        <v>30000</v>
      </c>
      <c r="G495" s="576">
        <v>30000</v>
      </c>
      <c r="H495" s="577">
        <v>0</v>
      </c>
      <c r="I495" s="576">
        <v>0</v>
      </c>
      <c r="J495" s="577">
        <v>30000</v>
      </c>
      <c r="K495" s="578">
        <v>1</v>
      </c>
      <c r="L495" s="590"/>
      <c r="M495" s="591"/>
      <c r="N495" s="567"/>
    </row>
    <row r="496" spans="2:14">
      <c r="B496" s="127" t="str">
        <f t="shared" si="16"/>
        <v/>
      </c>
      <c r="C496" s="127" t="str">
        <f t="shared" si="17"/>
        <v/>
      </c>
      <c r="F496" s="398"/>
      <c r="G496" s="398"/>
      <c r="H496" s="398"/>
      <c r="I496" s="398"/>
      <c r="J496" s="398"/>
      <c r="K496" s="398"/>
      <c r="L496"/>
      <c r="N496" s="567"/>
    </row>
    <row r="497" spans="2:14">
      <c r="B497" s="127" t="str">
        <f t="shared" si="16"/>
        <v>Department</v>
      </c>
      <c r="C497" s="127" t="str">
        <f t="shared" si="17"/>
        <v xml:space="preserve"> 99 -</v>
      </c>
      <c r="D497" s="569" t="s">
        <v>1165</v>
      </c>
      <c r="E497" s="569"/>
      <c r="F497" s="576">
        <v>30000</v>
      </c>
      <c r="G497" s="576">
        <v>30000</v>
      </c>
      <c r="H497" s="577">
        <v>0</v>
      </c>
      <c r="I497" s="576">
        <v>0</v>
      </c>
      <c r="J497" s="577">
        <v>30000</v>
      </c>
      <c r="K497" s="578">
        <v>1</v>
      </c>
      <c r="L497" s="590"/>
      <c r="M497" s="591"/>
      <c r="N497" s="567"/>
    </row>
    <row r="498" spans="2:14">
      <c r="B498" s="127" t="str">
        <f t="shared" si="16"/>
        <v/>
      </c>
      <c r="C498" s="127" t="str">
        <f t="shared" si="17"/>
        <v/>
      </c>
      <c r="F498" s="398"/>
      <c r="G498" s="398"/>
      <c r="H498" s="398"/>
      <c r="I498" s="398"/>
      <c r="J498" s="398"/>
      <c r="K498" s="398"/>
      <c r="L498"/>
      <c r="N498" s="567"/>
    </row>
    <row r="499" spans="2:14">
      <c r="B499" s="127" t="str">
        <f t="shared" si="16"/>
        <v xml:space="preserve">Fund: 100 </v>
      </c>
      <c r="C499" s="127" t="str">
        <f t="shared" si="17"/>
        <v xml:space="preserve"> GENE</v>
      </c>
      <c r="D499" s="569" t="s">
        <v>1904</v>
      </c>
      <c r="E499" s="569"/>
      <c r="F499" s="576">
        <v>27959335</v>
      </c>
      <c r="G499" s="576">
        <v>27959335</v>
      </c>
      <c r="H499" s="577">
        <v>2086868.78</v>
      </c>
      <c r="I499" s="576">
        <v>26083792.32</v>
      </c>
      <c r="J499" s="577">
        <v>1875542.68</v>
      </c>
      <c r="K499" s="578">
        <v>6.7081090447966701E-2</v>
      </c>
      <c r="L499" s="590"/>
      <c r="M499" s="591"/>
      <c r="N499" s="567"/>
    </row>
    <row r="500" spans="2:14">
      <c r="B500" s="127" t="str">
        <f t="shared" si="16"/>
        <v/>
      </c>
      <c r="C500" s="127" t="str">
        <f t="shared" si="17"/>
        <v/>
      </c>
      <c r="L500"/>
      <c r="N500" s="567"/>
    </row>
    <row r="501" spans="2:14">
      <c r="B501" s="127" t="str">
        <f t="shared" si="16"/>
        <v/>
      </c>
      <c r="C501" s="127" t="str">
        <f t="shared" si="17"/>
        <v/>
      </c>
      <c r="L501"/>
      <c r="N501" s="567"/>
    </row>
    <row r="502" spans="2:14" ht="15.75" customHeight="1">
      <c r="B502" s="127" t="str">
        <f t="shared" si="16"/>
        <v/>
      </c>
      <c r="C502" s="127" t="str">
        <f t="shared" si="17"/>
        <v/>
      </c>
      <c r="D502" s="579"/>
      <c r="E502" s="579"/>
      <c r="F502" s="579"/>
      <c r="G502" s="579"/>
      <c r="H502" s="579"/>
      <c r="I502" s="579"/>
      <c r="J502" s="579"/>
      <c r="K502" s="579"/>
      <c r="L502" s="592"/>
      <c r="M502" s="592"/>
      <c r="N502" s="567"/>
    </row>
    <row r="503" spans="2:14" ht="34.5" customHeight="1" thickBot="1">
      <c r="B503" s="127" t="str">
        <f t="shared" si="16"/>
        <v xml:space="preserve">9/25/2024 </v>
      </c>
      <c r="C503" s="127" t="str">
        <f t="shared" si="17"/>
        <v>:13:1</v>
      </c>
      <c r="D503" s="439" t="s">
        <v>2991</v>
      </c>
      <c r="E503" s="439"/>
      <c r="F503" s="440"/>
      <c r="G503" s="440"/>
      <c r="H503" s="440"/>
      <c r="I503" s="440"/>
      <c r="J503" s="439"/>
      <c r="K503" s="439"/>
      <c r="L503" s="593"/>
      <c r="N503" s="567"/>
    </row>
    <row r="504" spans="2:14">
      <c r="B504" s="127" t="str">
        <f t="shared" si="16"/>
        <v>Budget Rep</v>
      </c>
      <c r="C504" s="127" t="str">
        <f t="shared" si="17"/>
        <v>rt</v>
      </c>
      <c r="D504" s="441" t="s">
        <v>1122</v>
      </c>
      <c r="E504" s="441"/>
      <c r="F504" s="441"/>
      <c r="G504" s="442"/>
      <c r="H504" s="441"/>
      <c r="I504" s="441"/>
      <c r="J504" s="441"/>
      <c r="K504" s="441"/>
      <c r="L504" s="594"/>
      <c r="M504" s="594"/>
      <c r="N504" s="567"/>
    </row>
    <row r="505" spans="2:14">
      <c r="B505" s="127" t="str">
        <f t="shared" si="16"/>
        <v/>
      </c>
      <c r="C505" s="127" t="str">
        <f t="shared" si="17"/>
        <v/>
      </c>
      <c r="L505"/>
      <c r="N505" s="567"/>
    </row>
    <row r="506" spans="2:14" ht="31.8">
      <c r="B506" s="127" t="str">
        <f t="shared" si="16"/>
        <v/>
      </c>
      <c r="C506" s="127" t="str">
        <f t="shared" si="17"/>
        <v/>
      </c>
      <c r="J506" s="413" t="s">
        <v>1098</v>
      </c>
      <c r="L506"/>
      <c r="N506" s="567"/>
    </row>
    <row r="507" spans="2:14" ht="21.6">
      <c r="B507" s="127" t="str">
        <f t="shared" si="16"/>
        <v/>
      </c>
      <c r="C507" s="127" t="str">
        <f t="shared" si="17"/>
        <v/>
      </c>
      <c r="F507" s="413" t="s">
        <v>1099</v>
      </c>
      <c r="G507" s="413" t="s">
        <v>1100</v>
      </c>
      <c r="H507" s="568" t="s">
        <v>1101</v>
      </c>
      <c r="I507" s="413" t="s">
        <v>1102</v>
      </c>
      <c r="J507" s="413"/>
      <c r="K507" s="568" t="s">
        <v>1103</v>
      </c>
      <c r="L507" s="586"/>
      <c r="M507" s="540"/>
      <c r="N507" s="567"/>
    </row>
    <row r="508" spans="2:14">
      <c r="B508" s="127" t="str">
        <f t="shared" si="16"/>
        <v/>
      </c>
      <c r="C508" s="127" t="str">
        <f t="shared" si="17"/>
        <v/>
      </c>
      <c r="L508"/>
      <c r="N508" s="567"/>
    </row>
    <row r="509" spans="2:14">
      <c r="B509" s="127" t="str">
        <f t="shared" si="16"/>
        <v xml:space="preserve">Fund: 112 </v>
      </c>
      <c r="C509" s="127" t="str">
        <f t="shared" si="17"/>
        <v xml:space="preserve"> RECR</v>
      </c>
      <c r="D509" s="569" t="s">
        <v>1105</v>
      </c>
      <c r="E509" s="569"/>
      <c r="F509" s="569"/>
      <c r="G509" s="569"/>
      <c r="H509" s="569"/>
      <c r="I509" s="569"/>
      <c r="J509" s="569"/>
      <c r="K509" s="569"/>
      <c r="L509" s="587"/>
      <c r="M509" s="587"/>
      <c r="N509" s="567"/>
    </row>
    <row r="510" spans="2:14">
      <c r="B510" s="127" t="str">
        <f t="shared" si="16"/>
        <v/>
      </c>
      <c r="C510" s="127" t="str">
        <f t="shared" si="17"/>
        <v/>
      </c>
      <c r="E510" s="569"/>
      <c r="F510" s="569"/>
      <c r="G510" s="569"/>
      <c r="H510" s="569"/>
      <c r="I510" s="569"/>
      <c r="J510" s="569"/>
      <c r="K510" s="569"/>
      <c r="L510" s="587"/>
      <c r="M510" s="587"/>
      <c r="N510" s="567"/>
    </row>
    <row r="511" spans="2:14">
      <c r="B511" s="127" t="str">
        <f t="shared" si="16"/>
        <v/>
      </c>
      <c r="C511" s="127" t="str">
        <f t="shared" si="17"/>
        <v/>
      </c>
      <c r="E511" s="569"/>
      <c r="F511" s="569"/>
      <c r="G511" s="569"/>
      <c r="H511" s="569"/>
      <c r="I511" s="569"/>
      <c r="J511" s="569"/>
      <c r="K511" s="569"/>
      <c r="L511" s="587"/>
      <c r="M511" s="587"/>
      <c r="N511" s="567"/>
    </row>
    <row r="512" spans="2:14">
      <c r="B512" s="127" t="str">
        <f t="shared" si="16"/>
        <v/>
      </c>
      <c r="C512" s="127" t="str">
        <f t="shared" si="17"/>
        <v/>
      </c>
      <c r="E512" s="569"/>
      <c r="F512" s="569"/>
      <c r="G512" s="569"/>
      <c r="H512" s="569"/>
      <c r="I512" s="569"/>
      <c r="J512" s="569"/>
      <c r="K512" s="569"/>
      <c r="L512" s="587"/>
      <c r="M512" s="587"/>
      <c r="N512" s="567"/>
    </row>
    <row r="513" spans="2:14">
      <c r="B513" s="127" t="str">
        <f t="shared" si="16"/>
        <v>112-62-622</v>
      </c>
      <c r="C513" s="127" t="str">
        <f t="shared" si="17"/>
        <v>50117</v>
      </c>
      <c r="D513" s="570" t="s">
        <v>2544</v>
      </c>
      <c r="E513" s="396" t="s">
        <v>504</v>
      </c>
      <c r="F513" s="573">
        <v>0</v>
      </c>
      <c r="G513" s="573">
        <v>0</v>
      </c>
      <c r="H513" s="574">
        <v>0</v>
      </c>
      <c r="I513" s="573">
        <v>643</v>
      </c>
      <c r="J513" s="574">
        <v>-643</v>
      </c>
      <c r="K513" s="575">
        <v>0</v>
      </c>
      <c r="L513" s="588"/>
      <c r="M513" s="589"/>
      <c r="N513" s="567"/>
    </row>
    <row r="514" spans="2:14">
      <c r="B514" s="127" t="str">
        <f t="shared" si="16"/>
        <v xml:space="preserve">Category: </v>
      </c>
      <c r="C514" s="127" t="str">
        <f t="shared" si="17"/>
        <v>0 - P</v>
      </c>
      <c r="D514" s="569" t="s">
        <v>1123</v>
      </c>
      <c r="E514" s="569"/>
      <c r="F514" s="576">
        <v>0</v>
      </c>
      <c r="G514" s="576">
        <v>0</v>
      </c>
      <c r="H514" s="577">
        <v>0</v>
      </c>
      <c r="I514" s="576">
        <v>643</v>
      </c>
      <c r="J514" s="577">
        <v>-643</v>
      </c>
      <c r="K514" s="578">
        <v>0</v>
      </c>
      <c r="L514" s="590"/>
      <c r="M514" s="591"/>
      <c r="N514" s="567"/>
    </row>
    <row r="515" spans="2:14">
      <c r="B515" s="127" t="str">
        <f t="shared" si="16"/>
        <v/>
      </c>
      <c r="C515" s="127" t="str">
        <f t="shared" si="17"/>
        <v/>
      </c>
      <c r="F515" s="398"/>
      <c r="G515" s="398"/>
      <c r="H515" s="398"/>
      <c r="I515" s="398"/>
      <c r="J515" s="398"/>
      <c r="K515" s="398"/>
      <c r="L515"/>
      <c r="N515" s="567"/>
    </row>
    <row r="516" spans="2:14">
      <c r="B516" s="127" t="str">
        <f t="shared" si="16"/>
        <v xml:space="preserve">Division: </v>
      </c>
      <c r="C516" s="127" t="str">
        <f t="shared" si="17"/>
        <v xml:space="preserve">22 - </v>
      </c>
      <c r="D516" s="569" t="s">
        <v>2545</v>
      </c>
      <c r="E516" s="569"/>
      <c r="F516" s="576">
        <v>0</v>
      </c>
      <c r="G516" s="576">
        <v>0</v>
      </c>
      <c r="H516" s="577">
        <v>0</v>
      </c>
      <c r="I516" s="576">
        <v>643</v>
      </c>
      <c r="J516" s="577">
        <v>-643</v>
      </c>
      <c r="K516" s="578">
        <v>0</v>
      </c>
      <c r="L516" s="590"/>
      <c r="M516" s="591"/>
      <c r="N516" s="567"/>
    </row>
    <row r="517" spans="2:14">
      <c r="B517" s="127" t="str">
        <f t="shared" ref="B517:B580" si="18">LEFT(D517,10)</f>
        <v/>
      </c>
      <c r="C517" s="127" t="str">
        <f t="shared" ref="C517:C580" si="19">MID(D517,12,5)</f>
        <v/>
      </c>
      <c r="L517"/>
      <c r="N517" s="567"/>
    </row>
    <row r="518" spans="2:14">
      <c r="B518" s="127" t="str">
        <f t="shared" si="18"/>
        <v/>
      </c>
      <c r="C518" s="127" t="str">
        <f t="shared" si="19"/>
        <v/>
      </c>
      <c r="E518" s="569"/>
      <c r="F518" s="569"/>
      <c r="G518" s="569"/>
      <c r="H518" s="569"/>
      <c r="I518" s="569"/>
      <c r="J518" s="569"/>
      <c r="K518" s="569"/>
      <c r="L518" s="587"/>
      <c r="M518" s="587"/>
      <c r="N518" s="567"/>
    </row>
    <row r="519" spans="2:14">
      <c r="B519" s="127" t="str">
        <f t="shared" si="18"/>
        <v/>
      </c>
      <c r="C519" s="127" t="str">
        <f t="shared" si="19"/>
        <v/>
      </c>
      <c r="E519" s="569"/>
      <c r="F519" s="569"/>
      <c r="G519" s="569"/>
      <c r="H519" s="569"/>
      <c r="I519" s="569"/>
      <c r="J519" s="569"/>
      <c r="K519" s="569"/>
      <c r="L519" s="587"/>
      <c r="M519" s="587"/>
      <c r="N519" s="567"/>
    </row>
    <row r="520" spans="2:14">
      <c r="B520" s="127" t="str">
        <f t="shared" si="18"/>
        <v>112-62-623</v>
      </c>
      <c r="C520" s="127" t="str">
        <f t="shared" si="19"/>
        <v>50109</v>
      </c>
      <c r="D520" s="570" t="s">
        <v>984</v>
      </c>
      <c r="E520" s="396" t="s">
        <v>12</v>
      </c>
      <c r="F520" s="414">
        <v>750</v>
      </c>
      <c r="G520" s="414">
        <v>750</v>
      </c>
      <c r="H520" s="571">
        <v>0</v>
      </c>
      <c r="I520" s="414">
        <v>0</v>
      </c>
      <c r="J520" s="571">
        <v>750</v>
      </c>
      <c r="K520" s="572">
        <v>100</v>
      </c>
      <c r="L520" s="588"/>
      <c r="M520" s="589"/>
      <c r="N520" s="567"/>
    </row>
    <row r="521" spans="2:14">
      <c r="B521" s="127" t="str">
        <f t="shared" si="18"/>
        <v>112-62-623</v>
      </c>
      <c r="C521" s="127" t="str">
        <f t="shared" si="19"/>
        <v>50610</v>
      </c>
      <c r="D521" s="570" t="s">
        <v>985</v>
      </c>
      <c r="E521" s="396" t="s">
        <v>320</v>
      </c>
      <c r="F521" s="414">
        <v>80</v>
      </c>
      <c r="G521" s="414">
        <v>80</v>
      </c>
      <c r="H521" s="571">
        <v>0</v>
      </c>
      <c r="I521" s="414">
        <v>0</v>
      </c>
      <c r="J521" s="571">
        <v>80</v>
      </c>
      <c r="K521" s="572">
        <v>100</v>
      </c>
      <c r="L521" s="588"/>
      <c r="M521" s="589"/>
      <c r="N521" s="567"/>
    </row>
    <row r="522" spans="2:14">
      <c r="B522" s="127" t="str">
        <f t="shared" si="18"/>
        <v>112-62-623</v>
      </c>
      <c r="C522" s="127" t="str">
        <f t="shared" si="19"/>
        <v>50620</v>
      </c>
      <c r="D522" s="570" t="s">
        <v>986</v>
      </c>
      <c r="E522" s="396" t="s">
        <v>321</v>
      </c>
      <c r="F522" s="414">
        <v>2</v>
      </c>
      <c r="G522" s="414">
        <v>2</v>
      </c>
      <c r="H522" s="571">
        <v>0</v>
      </c>
      <c r="I522" s="414">
        <v>0</v>
      </c>
      <c r="J522" s="571">
        <v>2</v>
      </c>
      <c r="K522" s="572">
        <v>100</v>
      </c>
      <c r="L522" s="588"/>
      <c r="M522" s="589"/>
      <c r="N522" s="567"/>
    </row>
    <row r="523" spans="2:14">
      <c r="B523" s="127" t="str">
        <f t="shared" si="18"/>
        <v>112-62-623</v>
      </c>
      <c r="C523" s="127" t="str">
        <f t="shared" si="19"/>
        <v>50630</v>
      </c>
      <c r="D523" s="570" t="s">
        <v>987</v>
      </c>
      <c r="E523" s="396" t="s">
        <v>322</v>
      </c>
      <c r="F523" s="414">
        <v>17</v>
      </c>
      <c r="G523" s="414">
        <v>17</v>
      </c>
      <c r="H523" s="571">
        <v>0</v>
      </c>
      <c r="I523" s="414">
        <v>16.989999999999998</v>
      </c>
      <c r="J523" s="571">
        <v>0.01</v>
      </c>
      <c r="K523" s="572">
        <v>0.06</v>
      </c>
      <c r="L523" s="588"/>
      <c r="M523" s="589"/>
      <c r="N523" s="567"/>
    </row>
    <row r="524" spans="2:14">
      <c r="B524" s="127" t="str">
        <f t="shared" si="18"/>
        <v>112-62-623</v>
      </c>
      <c r="C524" s="127" t="str">
        <f t="shared" si="19"/>
        <v>50650</v>
      </c>
      <c r="D524" s="570" t="s">
        <v>988</v>
      </c>
      <c r="E524" s="396" t="s">
        <v>323</v>
      </c>
      <c r="F524" s="573">
        <v>124</v>
      </c>
      <c r="G524" s="573">
        <v>124</v>
      </c>
      <c r="H524" s="574">
        <v>0</v>
      </c>
      <c r="I524" s="573">
        <v>0</v>
      </c>
      <c r="J524" s="574">
        <v>124</v>
      </c>
      <c r="K524" s="575">
        <v>100</v>
      </c>
      <c r="L524" s="588"/>
      <c r="M524" s="589"/>
      <c r="N524" s="567"/>
    </row>
    <row r="525" spans="2:14">
      <c r="B525" s="127" t="str">
        <f t="shared" si="18"/>
        <v xml:space="preserve">Category: </v>
      </c>
      <c r="C525" s="127" t="str">
        <f t="shared" si="19"/>
        <v>0 - P</v>
      </c>
      <c r="D525" s="569" t="s">
        <v>1123</v>
      </c>
      <c r="E525" s="569"/>
      <c r="F525" s="576">
        <v>973</v>
      </c>
      <c r="G525" s="576">
        <v>973</v>
      </c>
      <c r="H525" s="577">
        <v>0</v>
      </c>
      <c r="I525" s="576">
        <v>16.989999999999998</v>
      </c>
      <c r="J525" s="577">
        <v>956.01</v>
      </c>
      <c r="K525" s="578">
        <v>0.98253854059609502</v>
      </c>
      <c r="L525" s="590"/>
      <c r="M525" s="591"/>
      <c r="N525" s="567"/>
    </row>
    <row r="526" spans="2:14">
      <c r="B526" s="127" t="str">
        <f t="shared" si="18"/>
        <v/>
      </c>
      <c r="C526" s="127" t="str">
        <f t="shared" si="19"/>
        <v/>
      </c>
      <c r="F526" s="398"/>
      <c r="G526" s="398"/>
      <c r="H526" s="398"/>
      <c r="I526" s="398"/>
      <c r="J526" s="398"/>
      <c r="K526" s="398"/>
      <c r="L526"/>
      <c r="N526" s="567"/>
    </row>
    <row r="527" spans="2:14">
      <c r="B527" s="127" t="str">
        <f t="shared" si="18"/>
        <v xml:space="preserve">Division: </v>
      </c>
      <c r="C527" s="127" t="str">
        <f t="shared" si="19"/>
        <v xml:space="preserve">23 - </v>
      </c>
      <c r="D527" s="569" t="s">
        <v>1166</v>
      </c>
      <c r="E527" s="569"/>
      <c r="F527" s="576">
        <v>973</v>
      </c>
      <c r="G527" s="576">
        <v>973</v>
      </c>
      <c r="H527" s="577">
        <v>0</v>
      </c>
      <c r="I527" s="576">
        <v>16.989999999999998</v>
      </c>
      <c r="J527" s="577">
        <v>956.01</v>
      </c>
      <c r="K527" s="578">
        <v>0.98253854059609502</v>
      </c>
      <c r="L527" s="590"/>
      <c r="M527" s="591"/>
      <c r="N527" s="567"/>
    </row>
    <row r="528" spans="2:14">
      <c r="B528" s="127" t="str">
        <f t="shared" si="18"/>
        <v/>
      </c>
      <c r="C528" s="127" t="str">
        <f t="shared" si="19"/>
        <v/>
      </c>
      <c r="F528" s="398"/>
      <c r="G528" s="398"/>
      <c r="H528" s="398"/>
      <c r="I528" s="398"/>
      <c r="J528" s="398"/>
      <c r="K528" s="398"/>
      <c r="L528"/>
      <c r="N528" s="567"/>
    </row>
    <row r="529" spans="2:14">
      <c r="B529" s="127" t="str">
        <f t="shared" si="18"/>
        <v>Department</v>
      </c>
      <c r="C529" s="127" t="str">
        <f t="shared" si="19"/>
        <v xml:space="preserve"> 62 -</v>
      </c>
      <c r="D529" s="569" t="s">
        <v>1167</v>
      </c>
      <c r="E529" s="569"/>
      <c r="F529" s="576">
        <v>973</v>
      </c>
      <c r="G529" s="576">
        <v>973</v>
      </c>
      <c r="H529" s="577">
        <v>0</v>
      </c>
      <c r="I529" s="576">
        <v>659.99</v>
      </c>
      <c r="J529" s="577">
        <v>313.01</v>
      </c>
      <c r="K529" s="578">
        <v>0.32169578622815997</v>
      </c>
      <c r="L529" s="590"/>
      <c r="M529" s="591"/>
      <c r="N529" s="567"/>
    </row>
    <row r="530" spans="2:14">
      <c r="B530" s="127" t="str">
        <f t="shared" si="18"/>
        <v/>
      </c>
      <c r="C530" s="127" t="str">
        <f t="shared" si="19"/>
        <v/>
      </c>
      <c r="F530" s="398"/>
      <c r="G530" s="398"/>
      <c r="H530" s="398"/>
      <c r="I530" s="398"/>
      <c r="J530" s="398"/>
      <c r="K530" s="398"/>
      <c r="L530"/>
      <c r="N530" s="567"/>
    </row>
    <row r="531" spans="2:14">
      <c r="B531" s="127" t="str">
        <f t="shared" si="18"/>
        <v xml:space="preserve">Fund: 112 </v>
      </c>
      <c r="C531" s="127" t="str">
        <f t="shared" si="19"/>
        <v xml:space="preserve"> RECR</v>
      </c>
      <c r="D531" s="569" t="s">
        <v>1905</v>
      </c>
      <c r="E531" s="569"/>
      <c r="F531" s="576">
        <v>973</v>
      </c>
      <c r="G531" s="576">
        <v>973</v>
      </c>
      <c r="H531" s="577">
        <v>0</v>
      </c>
      <c r="I531" s="576">
        <v>659.99</v>
      </c>
      <c r="J531" s="577">
        <v>313.01</v>
      </c>
      <c r="K531" s="578">
        <v>0.32169578622815997</v>
      </c>
      <c r="L531" s="590"/>
      <c r="M531" s="591"/>
      <c r="N531" s="567"/>
    </row>
    <row r="532" spans="2:14">
      <c r="B532" s="127" t="str">
        <f t="shared" si="18"/>
        <v/>
      </c>
      <c r="C532" s="127" t="str">
        <f t="shared" si="19"/>
        <v/>
      </c>
      <c r="L532"/>
      <c r="N532" s="567"/>
    </row>
    <row r="533" spans="2:14">
      <c r="B533" s="127" t="str">
        <f t="shared" si="18"/>
        <v xml:space="preserve">Fund: 118 </v>
      </c>
      <c r="C533" s="127" t="str">
        <f t="shared" si="19"/>
        <v xml:space="preserve"> CRIM</v>
      </c>
      <c r="D533" s="569" t="s">
        <v>1106</v>
      </c>
      <c r="E533" s="569"/>
      <c r="F533" s="569"/>
      <c r="G533" s="569"/>
      <c r="H533" s="569"/>
      <c r="I533" s="569"/>
      <c r="J533" s="569"/>
      <c r="K533" s="569"/>
      <c r="L533" s="587"/>
      <c r="M533" s="587"/>
      <c r="N533" s="567"/>
    </row>
    <row r="534" spans="2:14">
      <c r="B534" s="127" t="str">
        <f t="shared" si="18"/>
        <v/>
      </c>
      <c r="C534" s="127" t="str">
        <f t="shared" si="19"/>
        <v/>
      </c>
      <c r="E534" s="569"/>
      <c r="F534" s="569"/>
      <c r="G534" s="569"/>
      <c r="H534" s="569"/>
      <c r="I534" s="569"/>
      <c r="J534" s="569"/>
      <c r="K534" s="569"/>
      <c r="L534" s="587"/>
      <c r="M534" s="587"/>
      <c r="N534" s="567"/>
    </row>
    <row r="535" spans="2:14">
      <c r="B535" s="127" t="str">
        <f t="shared" si="18"/>
        <v/>
      </c>
      <c r="C535" s="127" t="str">
        <f t="shared" si="19"/>
        <v/>
      </c>
      <c r="E535" s="569"/>
      <c r="F535" s="569"/>
      <c r="G535" s="569"/>
      <c r="H535" s="569"/>
      <c r="I535" s="569"/>
      <c r="J535" s="569"/>
      <c r="K535" s="569"/>
      <c r="L535" s="587"/>
      <c r="M535" s="587"/>
      <c r="N535" s="567"/>
    </row>
    <row r="536" spans="2:14">
      <c r="B536" s="127" t="str">
        <f t="shared" si="18"/>
        <v/>
      </c>
      <c r="C536" s="127" t="str">
        <f t="shared" si="19"/>
        <v/>
      </c>
      <c r="E536" s="569"/>
      <c r="F536" s="569"/>
      <c r="G536" s="569"/>
      <c r="H536" s="569"/>
      <c r="I536" s="569"/>
      <c r="J536" s="569"/>
      <c r="K536" s="569"/>
      <c r="L536" s="587"/>
      <c r="M536" s="587"/>
      <c r="N536" s="567"/>
    </row>
    <row r="537" spans="2:14">
      <c r="B537" s="127" t="str">
        <f t="shared" si="18"/>
        <v>118-31-311</v>
      </c>
      <c r="C537" s="127" t="str">
        <f t="shared" si="19"/>
        <v>50101</v>
      </c>
      <c r="D537" s="570" t="s">
        <v>646</v>
      </c>
      <c r="E537" s="396" t="s">
        <v>316</v>
      </c>
      <c r="F537" s="414">
        <v>84823</v>
      </c>
      <c r="G537" s="414">
        <v>84823</v>
      </c>
      <c r="H537" s="571">
        <v>6527.1</v>
      </c>
      <c r="I537" s="414">
        <v>81327.67</v>
      </c>
      <c r="J537" s="571">
        <v>3495.33</v>
      </c>
      <c r="K537" s="572">
        <v>4.12</v>
      </c>
      <c r="L537" s="588"/>
      <c r="M537" s="589"/>
      <c r="N537" s="567"/>
    </row>
    <row r="538" spans="2:14">
      <c r="B538" s="127" t="str">
        <f t="shared" si="18"/>
        <v>118-31-311</v>
      </c>
      <c r="C538" s="127" t="str">
        <f t="shared" si="19"/>
        <v>50111</v>
      </c>
      <c r="D538" s="570" t="s">
        <v>647</v>
      </c>
      <c r="E538" s="396" t="s">
        <v>318</v>
      </c>
      <c r="F538" s="414">
        <v>995</v>
      </c>
      <c r="G538" s="414">
        <v>995</v>
      </c>
      <c r="H538" s="571">
        <v>0</v>
      </c>
      <c r="I538" s="414">
        <v>980</v>
      </c>
      <c r="J538" s="571">
        <v>15</v>
      </c>
      <c r="K538" s="572">
        <v>1.51</v>
      </c>
      <c r="L538" s="588"/>
      <c r="M538" s="589"/>
      <c r="N538" s="567"/>
    </row>
    <row r="539" spans="2:14">
      <c r="B539" s="127" t="str">
        <f t="shared" si="18"/>
        <v>118-31-311</v>
      </c>
      <c r="C539" s="127" t="str">
        <f t="shared" si="19"/>
        <v>50610</v>
      </c>
      <c r="D539" s="570" t="s">
        <v>876</v>
      </c>
      <c r="E539" s="396" t="s">
        <v>320</v>
      </c>
      <c r="F539" s="414">
        <v>6570</v>
      </c>
      <c r="G539" s="414">
        <v>6570</v>
      </c>
      <c r="H539" s="571">
        <v>454.94</v>
      </c>
      <c r="I539" s="414">
        <v>5787.9</v>
      </c>
      <c r="J539" s="571">
        <v>782.1</v>
      </c>
      <c r="K539" s="572">
        <v>11.9</v>
      </c>
      <c r="L539" s="588"/>
      <c r="M539" s="589"/>
      <c r="N539" s="567"/>
    </row>
    <row r="540" spans="2:14">
      <c r="B540" s="127" t="str">
        <f t="shared" si="18"/>
        <v>118-31-311</v>
      </c>
      <c r="C540" s="127" t="str">
        <f t="shared" si="19"/>
        <v>50620</v>
      </c>
      <c r="D540" s="570" t="s">
        <v>725</v>
      </c>
      <c r="E540" s="396" t="s">
        <v>321</v>
      </c>
      <c r="F540" s="414">
        <v>11044</v>
      </c>
      <c r="G540" s="414">
        <v>11044</v>
      </c>
      <c r="H540" s="571">
        <v>1520.38</v>
      </c>
      <c r="I540" s="414">
        <v>17423.55</v>
      </c>
      <c r="J540" s="571">
        <v>-6379.55</v>
      </c>
      <c r="K540" s="572">
        <v>-57.76</v>
      </c>
      <c r="L540" s="588"/>
      <c r="M540" s="589"/>
      <c r="N540" s="567"/>
    </row>
    <row r="541" spans="2:14">
      <c r="B541" s="127" t="str">
        <f t="shared" si="18"/>
        <v>118-31-311</v>
      </c>
      <c r="C541" s="127" t="str">
        <f t="shared" si="19"/>
        <v>50630</v>
      </c>
      <c r="D541" s="570" t="s">
        <v>877</v>
      </c>
      <c r="E541" s="396" t="s">
        <v>322</v>
      </c>
      <c r="F541" s="414">
        <v>123</v>
      </c>
      <c r="G541" s="414">
        <v>123</v>
      </c>
      <c r="H541" s="571">
        <v>0</v>
      </c>
      <c r="I541" s="414">
        <v>122.9</v>
      </c>
      <c r="J541" s="571">
        <v>0.1</v>
      </c>
      <c r="K541" s="572">
        <v>0.08</v>
      </c>
      <c r="L541" s="588"/>
      <c r="M541" s="589"/>
      <c r="N541" s="567"/>
    </row>
    <row r="542" spans="2:14">
      <c r="B542" s="127" t="str">
        <f t="shared" si="18"/>
        <v>118-31-311</v>
      </c>
      <c r="C542" s="127" t="str">
        <f t="shared" si="19"/>
        <v>50650</v>
      </c>
      <c r="D542" s="570" t="s">
        <v>738</v>
      </c>
      <c r="E542" s="396" t="s">
        <v>323</v>
      </c>
      <c r="F542" s="573">
        <v>14070</v>
      </c>
      <c r="G542" s="573">
        <v>14070</v>
      </c>
      <c r="H542" s="574">
        <v>1088.06</v>
      </c>
      <c r="I542" s="573">
        <v>13615.04</v>
      </c>
      <c r="J542" s="574">
        <v>454.96</v>
      </c>
      <c r="K542" s="575">
        <v>3.23</v>
      </c>
      <c r="L542" s="588"/>
      <c r="M542" s="589"/>
      <c r="N542" s="567"/>
    </row>
    <row r="543" spans="2:14">
      <c r="B543" s="127" t="str">
        <f t="shared" si="18"/>
        <v xml:space="preserve">Category: </v>
      </c>
      <c r="C543" s="127" t="str">
        <f t="shared" si="19"/>
        <v>0 - P</v>
      </c>
      <c r="D543" s="569" t="s">
        <v>1123</v>
      </c>
      <c r="E543" s="569"/>
      <c r="F543" s="576">
        <v>117625</v>
      </c>
      <c r="G543" s="576">
        <v>117625</v>
      </c>
      <c r="H543" s="577">
        <v>9590.48</v>
      </c>
      <c r="I543" s="576">
        <v>119257.06</v>
      </c>
      <c r="J543" s="577">
        <v>-1632.06</v>
      </c>
      <c r="K543" s="578">
        <v>-1.38751115834219E-2</v>
      </c>
      <c r="L543" s="590"/>
      <c r="M543" s="591"/>
      <c r="N543" s="567"/>
    </row>
    <row r="544" spans="2:14">
      <c r="B544" s="127" t="str">
        <f t="shared" si="18"/>
        <v/>
      </c>
      <c r="C544" s="127" t="str">
        <f t="shared" si="19"/>
        <v/>
      </c>
      <c r="F544" s="398"/>
      <c r="G544" s="398"/>
      <c r="H544" s="398"/>
      <c r="I544" s="398"/>
      <c r="J544" s="398"/>
      <c r="K544" s="398"/>
      <c r="L544"/>
      <c r="N544" s="567"/>
    </row>
    <row r="545" spans="2:14">
      <c r="B545" s="127" t="str">
        <f t="shared" si="18"/>
        <v xml:space="preserve">Division: </v>
      </c>
      <c r="C545" s="127" t="str">
        <f t="shared" si="19"/>
        <v xml:space="preserve">11 - </v>
      </c>
      <c r="D545" s="569" t="s">
        <v>1168</v>
      </c>
      <c r="E545" s="569"/>
      <c r="F545" s="576">
        <v>117625</v>
      </c>
      <c r="G545" s="576">
        <v>117625</v>
      </c>
      <c r="H545" s="577">
        <v>9590.48</v>
      </c>
      <c r="I545" s="576">
        <v>119257.06</v>
      </c>
      <c r="J545" s="577">
        <v>-1632.06</v>
      </c>
      <c r="K545" s="578">
        <v>-1.38751115834219E-2</v>
      </c>
      <c r="L545" s="590"/>
      <c r="M545" s="591"/>
      <c r="N545" s="567"/>
    </row>
    <row r="546" spans="2:14">
      <c r="B546" s="127" t="str">
        <f t="shared" si="18"/>
        <v/>
      </c>
      <c r="C546" s="127" t="str">
        <f t="shared" si="19"/>
        <v/>
      </c>
      <c r="F546" s="398"/>
      <c r="G546" s="398"/>
      <c r="H546" s="398"/>
      <c r="I546" s="398"/>
      <c r="J546" s="398"/>
      <c r="K546" s="398"/>
      <c r="L546"/>
      <c r="N546" s="567"/>
    </row>
    <row r="547" spans="2:14">
      <c r="B547" s="127" t="str">
        <f t="shared" si="18"/>
        <v>Department</v>
      </c>
      <c r="C547" s="127" t="str">
        <f t="shared" si="19"/>
        <v xml:space="preserve"> 31 -</v>
      </c>
      <c r="D547" s="569" t="s">
        <v>1169</v>
      </c>
      <c r="E547" s="569"/>
      <c r="F547" s="576">
        <v>117625</v>
      </c>
      <c r="G547" s="576">
        <v>117625</v>
      </c>
      <c r="H547" s="577">
        <v>9590.48</v>
      </c>
      <c r="I547" s="576">
        <v>119257.06</v>
      </c>
      <c r="J547" s="577">
        <v>-1632.06</v>
      </c>
      <c r="K547" s="578">
        <v>-1.38751115834219E-2</v>
      </c>
      <c r="L547" s="590"/>
      <c r="M547" s="591"/>
      <c r="N547" s="567"/>
    </row>
    <row r="548" spans="2:14">
      <c r="B548" s="127" t="str">
        <f t="shared" si="18"/>
        <v/>
      </c>
      <c r="C548" s="127" t="str">
        <f t="shared" si="19"/>
        <v/>
      </c>
      <c r="F548" s="398"/>
      <c r="G548" s="398"/>
      <c r="H548" s="398"/>
      <c r="I548" s="398"/>
      <c r="J548" s="398"/>
      <c r="K548" s="398"/>
      <c r="L548"/>
      <c r="N548" s="567"/>
    </row>
    <row r="549" spans="2:14">
      <c r="B549" s="127" t="str">
        <f t="shared" si="18"/>
        <v xml:space="preserve">Fund: 118 </v>
      </c>
      <c r="C549" s="127" t="str">
        <f t="shared" si="19"/>
        <v xml:space="preserve"> CRIM</v>
      </c>
      <c r="D549" s="569" t="s">
        <v>1906</v>
      </c>
      <c r="E549" s="569"/>
      <c r="F549" s="576">
        <v>117625</v>
      </c>
      <c r="G549" s="576">
        <v>117625</v>
      </c>
      <c r="H549" s="577">
        <v>9590.48</v>
      </c>
      <c r="I549" s="576">
        <v>119257.06</v>
      </c>
      <c r="J549" s="577">
        <v>-1632.06</v>
      </c>
      <c r="K549" s="578">
        <v>-1.38751115834219E-2</v>
      </c>
      <c r="L549" s="590"/>
      <c r="M549" s="591"/>
      <c r="N549" s="567"/>
    </row>
    <row r="550" spans="2:14">
      <c r="B550" s="127" t="str">
        <f t="shared" si="18"/>
        <v/>
      </c>
      <c r="C550" s="127" t="str">
        <f t="shared" si="19"/>
        <v/>
      </c>
      <c r="L550"/>
      <c r="N550" s="567"/>
    </row>
    <row r="551" spans="2:14">
      <c r="B551" s="127" t="str">
        <f t="shared" si="18"/>
        <v xml:space="preserve">Fund: 119 </v>
      </c>
      <c r="C551" s="127" t="str">
        <f t="shared" si="19"/>
        <v xml:space="preserve"> INFO</v>
      </c>
      <c r="D551" s="569" t="s">
        <v>1107</v>
      </c>
      <c r="E551" s="569"/>
      <c r="F551" s="569"/>
      <c r="G551" s="569"/>
      <c r="H551" s="569"/>
      <c r="I551" s="569"/>
      <c r="J551" s="569"/>
      <c r="K551" s="569"/>
      <c r="L551" s="587"/>
      <c r="M551" s="587"/>
      <c r="N551" s="567"/>
    </row>
    <row r="552" spans="2:14">
      <c r="B552" s="127" t="str">
        <f t="shared" si="18"/>
        <v/>
      </c>
      <c r="C552" s="127" t="str">
        <f t="shared" si="19"/>
        <v/>
      </c>
      <c r="E552" s="569"/>
      <c r="F552" s="569"/>
      <c r="G552" s="569"/>
      <c r="H552" s="569"/>
      <c r="I552" s="569"/>
      <c r="J552" s="569"/>
      <c r="K552" s="569"/>
      <c r="L552" s="587"/>
      <c r="M552" s="587"/>
      <c r="N552" s="567"/>
    </row>
    <row r="553" spans="2:14">
      <c r="B553" s="127" t="str">
        <f t="shared" si="18"/>
        <v/>
      </c>
      <c r="C553" s="127" t="str">
        <f t="shared" si="19"/>
        <v/>
      </c>
      <c r="E553" s="569"/>
      <c r="F553" s="569"/>
      <c r="G553" s="569"/>
      <c r="H553" s="569"/>
      <c r="I553" s="569"/>
      <c r="J553" s="569"/>
      <c r="K553" s="569"/>
      <c r="L553" s="587"/>
      <c r="M553" s="587"/>
      <c r="N553" s="567"/>
    </row>
    <row r="554" spans="2:14">
      <c r="B554" s="127" t="str">
        <f t="shared" si="18"/>
        <v/>
      </c>
      <c r="C554" s="127" t="str">
        <f t="shared" si="19"/>
        <v/>
      </c>
      <c r="E554" s="569"/>
      <c r="F554" s="569"/>
      <c r="G554" s="569"/>
      <c r="H554" s="569"/>
      <c r="I554" s="569"/>
      <c r="J554" s="569"/>
      <c r="K554" s="569"/>
      <c r="L554" s="587"/>
      <c r="M554" s="587"/>
      <c r="N554" s="567"/>
    </row>
    <row r="555" spans="2:14">
      <c r="B555" s="127" t="str">
        <f t="shared" si="18"/>
        <v>119-18-181</v>
      </c>
      <c r="C555" s="127" t="str">
        <f t="shared" si="19"/>
        <v>50101</v>
      </c>
      <c r="D555" s="570" t="s">
        <v>591</v>
      </c>
      <c r="E555" s="396" t="s">
        <v>316</v>
      </c>
      <c r="F555" s="414">
        <v>382461</v>
      </c>
      <c r="G555" s="414">
        <v>382461</v>
      </c>
      <c r="H555" s="571">
        <v>28113.040000000001</v>
      </c>
      <c r="I555" s="414">
        <v>352877.37</v>
      </c>
      <c r="J555" s="571">
        <v>29583.63</v>
      </c>
      <c r="K555" s="572">
        <v>7.74</v>
      </c>
      <c r="L555" s="588"/>
      <c r="M555" s="589"/>
      <c r="N555" s="567"/>
    </row>
    <row r="556" spans="2:14">
      <c r="B556" s="127" t="str">
        <f t="shared" si="18"/>
        <v>119-18-181</v>
      </c>
      <c r="C556" s="127" t="str">
        <f t="shared" si="19"/>
        <v>50102</v>
      </c>
      <c r="D556" s="570" t="s">
        <v>643</v>
      </c>
      <c r="E556" s="396" t="s">
        <v>317</v>
      </c>
      <c r="F556" s="414">
        <v>51603</v>
      </c>
      <c r="G556" s="414">
        <v>51603</v>
      </c>
      <c r="H556" s="571">
        <v>4372.8</v>
      </c>
      <c r="I556" s="414">
        <v>54420.29</v>
      </c>
      <c r="J556" s="571">
        <v>-2817.29</v>
      </c>
      <c r="K556" s="572">
        <v>-5.46</v>
      </c>
      <c r="L556" s="588"/>
      <c r="M556" s="589"/>
      <c r="N556" s="567"/>
    </row>
    <row r="557" spans="2:14">
      <c r="B557" s="127" t="str">
        <f t="shared" si="18"/>
        <v>119-18-181</v>
      </c>
      <c r="C557" s="127" t="str">
        <f t="shared" si="19"/>
        <v>50109</v>
      </c>
      <c r="D557" s="570" t="s">
        <v>644</v>
      </c>
      <c r="E557" s="396" t="s">
        <v>12</v>
      </c>
      <c r="F557" s="414">
        <v>3000</v>
      </c>
      <c r="G557" s="414">
        <v>3000</v>
      </c>
      <c r="H557" s="571">
        <v>262.5</v>
      </c>
      <c r="I557" s="414">
        <v>2043.36</v>
      </c>
      <c r="J557" s="571">
        <v>956.64</v>
      </c>
      <c r="K557" s="572">
        <v>31.89</v>
      </c>
      <c r="L557" s="588"/>
      <c r="M557" s="589"/>
      <c r="N557" s="567"/>
    </row>
    <row r="558" spans="2:14">
      <c r="B558" s="127" t="str">
        <f t="shared" si="18"/>
        <v>119-18-181</v>
      </c>
      <c r="C558" s="127" t="str">
        <f t="shared" si="19"/>
        <v>50111</v>
      </c>
      <c r="D558" s="570" t="s">
        <v>645</v>
      </c>
      <c r="E558" s="396" t="s">
        <v>318</v>
      </c>
      <c r="F558" s="414">
        <v>4534</v>
      </c>
      <c r="G558" s="414">
        <v>4534</v>
      </c>
      <c r="H558" s="571">
        <v>0</v>
      </c>
      <c r="I558" s="414">
        <v>4470</v>
      </c>
      <c r="J558" s="571">
        <v>64</v>
      </c>
      <c r="K558" s="572">
        <v>1.41</v>
      </c>
      <c r="L558" s="588"/>
      <c r="M558" s="589"/>
      <c r="N558" s="567"/>
    </row>
    <row r="559" spans="2:14">
      <c r="B559" s="127" t="str">
        <f t="shared" si="18"/>
        <v>119-18-181</v>
      </c>
      <c r="C559" s="127" t="str">
        <f t="shared" si="19"/>
        <v>50115</v>
      </c>
      <c r="D559" s="570" t="s">
        <v>751</v>
      </c>
      <c r="E559" s="396" t="s">
        <v>325</v>
      </c>
      <c r="F559" s="414">
        <v>7500</v>
      </c>
      <c r="G559" s="414">
        <v>7500</v>
      </c>
      <c r="H559" s="571">
        <v>625</v>
      </c>
      <c r="I559" s="414">
        <v>6787.5</v>
      </c>
      <c r="J559" s="571">
        <v>712.5</v>
      </c>
      <c r="K559" s="572">
        <v>9.5</v>
      </c>
      <c r="L559" s="588"/>
      <c r="M559" s="589"/>
      <c r="N559" s="567"/>
    </row>
    <row r="560" spans="2:14">
      <c r="B560" s="127" t="str">
        <f t="shared" si="18"/>
        <v>119-18-181</v>
      </c>
      <c r="C560" s="127" t="str">
        <f t="shared" si="19"/>
        <v>50140</v>
      </c>
      <c r="D560" s="570" t="s">
        <v>498</v>
      </c>
      <c r="E560" s="396" t="s">
        <v>326</v>
      </c>
      <c r="F560" s="414">
        <v>84020</v>
      </c>
      <c r="G560" s="414">
        <v>84020</v>
      </c>
      <c r="H560" s="571">
        <v>5770</v>
      </c>
      <c r="I560" s="414">
        <v>75506</v>
      </c>
      <c r="J560" s="571">
        <v>8514</v>
      </c>
      <c r="K560" s="572">
        <v>10.130000000000001</v>
      </c>
      <c r="L560" s="588"/>
      <c r="M560" s="589"/>
      <c r="N560" s="567"/>
    </row>
    <row r="561" spans="2:14">
      <c r="B561" s="127" t="str">
        <f t="shared" si="18"/>
        <v>119-18-181</v>
      </c>
      <c r="C561" s="127" t="str">
        <f t="shared" si="19"/>
        <v>50610</v>
      </c>
      <c r="D561" s="570" t="s">
        <v>912</v>
      </c>
      <c r="E561" s="396" t="s">
        <v>320</v>
      </c>
      <c r="F561" s="414">
        <v>41000</v>
      </c>
      <c r="G561" s="414">
        <v>41000</v>
      </c>
      <c r="H561" s="571">
        <v>2424.13</v>
      </c>
      <c r="I561" s="414">
        <v>31109.37</v>
      </c>
      <c r="J561" s="571">
        <v>9890.6299999999992</v>
      </c>
      <c r="K561" s="572">
        <v>24.12</v>
      </c>
      <c r="L561" s="588"/>
      <c r="M561" s="589"/>
      <c r="N561" s="567"/>
    </row>
    <row r="562" spans="2:14">
      <c r="B562" s="127" t="str">
        <f t="shared" si="18"/>
        <v>119-18-181</v>
      </c>
      <c r="C562" s="127" t="str">
        <f t="shared" si="19"/>
        <v>50620</v>
      </c>
      <c r="D562" s="570" t="s">
        <v>656</v>
      </c>
      <c r="E562" s="396" t="s">
        <v>321</v>
      </c>
      <c r="F562" s="414">
        <v>72984</v>
      </c>
      <c r="G562" s="414">
        <v>72984</v>
      </c>
      <c r="H562" s="571">
        <v>6488.38</v>
      </c>
      <c r="I562" s="414">
        <v>63589.94</v>
      </c>
      <c r="J562" s="571">
        <v>9394.06</v>
      </c>
      <c r="K562" s="572">
        <v>12.87</v>
      </c>
      <c r="L562" s="588"/>
      <c r="M562" s="589"/>
      <c r="N562" s="567"/>
    </row>
    <row r="563" spans="2:14">
      <c r="B563" s="127" t="str">
        <f t="shared" si="18"/>
        <v>119-18-181</v>
      </c>
      <c r="C563" s="127" t="str">
        <f t="shared" si="19"/>
        <v>50630</v>
      </c>
      <c r="D563" s="570" t="s">
        <v>913</v>
      </c>
      <c r="E563" s="396" t="s">
        <v>322</v>
      </c>
      <c r="F563" s="414">
        <v>770</v>
      </c>
      <c r="G563" s="414">
        <v>770</v>
      </c>
      <c r="H563" s="571">
        <v>0</v>
      </c>
      <c r="I563" s="414">
        <v>769.38</v>
      </c>
      <c r="J563" s="571">
        <v>0.62</v>
      </c>
      <c r="K563" s="572">
        <v>0.08</v>
      </c>
      <c r="L563" s="588"/>
      <c r="M563" s="589"/>
      <c r="N563" s="567"/>
    </row>
    <row r="564" spans="2:14">
      <c r="B564" s="127" t="str">
        <f t="shared" si="18"/>
        <v>119-18-181</v>
      </c>
      <c r="C564" s="127" t="str">
        <f t="shared" si="19"/>
        <v>50650</v>
      </c>
      <c r="D564" s="570" t="s">
        <v>699</v>
      </c>
      <c r="E564" s="396" t="s">
        <v>323</v>
      </c>
      <c r="F564" s="573">
        <v>89063</v>
      </c>
      <c r="G564" s="573">
        <v>89063</v>
      </c>
      <c r="H564" s="574">
        <v>5632.5</v>
      </c>
      <c r="I564" s="573">
        <v>70375.81</v>
      </c>
      <c r="J564" s="574">
        <v>18687.189999999999</v>
      </c>
      <c r="K564" s="575">
        <v>20.98</v>
      </c>
      <c r="L564" s="588"/>
      <c r="M564" s="589"/>
      <c r="N564" s="567"/>
    </row>
    <row r="565" spans="2:14">
      <c r="B565" s="127" t="str">
        <f t="shared" si="18"/>
        <v xml:space="preserve">Category: </v>
      </c>
      <c r="C565" s="127" t="str">
        <f t="shared" si="19"/>
        <v>0 - P</v>
      </c>
      <c r="D565" s="569" t="s">
        <v>1123</v>
      </c>
      <c r="E565" s="569"/>
      <c r="F565" s="576">
        <v>736935</v>
      </c>
      <c r="G565" s="576">
        <v>736935</v>
      </c>
      <c r="H565" s="577">
        <v>53688.35</v>
      </c>
      <c r="I565" s="576">
        <v>661949.02</v>
      </c>
      <c r="J565" s="577">
        <v>74985.98</v>
      </c>
      <c r="K565" s="578">
        <v>0.101753858888504</v>
      </c>
      <c r="L565" s="590"/>
      <c r="M565" s="591"/>
      <c r="N565" s="567"/>
    </row>
    <row r="566" spans="2:14">
      <c r="B566" s="127" t="str">
        <f t="shared" si="18"/>
        <v/>
      </c>
      <c r="C566" s="127" t="str">
        <f t="shared" si="19"/>
        <v/>
      </c>
      <c r="F566" s="398"/>
      <c r="G566" s="398"/>
      <c r="H566" s="398"/>
      <c r="I566" s="398"/>
      <c r="J566" s="398"/>
      <c r="K566" s="398"/>
      <c r="L566"/>
      <c r="N566" s="567"/>
    </row>
    <row r="567" spans="2:14">
      <c r="B567" s="127" t="str">
        <f t="shared" si="18"/>
        <v xml:space="preserve">Division: </v>
      </c>
      <c r="C567" s="127" t="str">
        <f t="shared" si="19"/>
        <v xml:space="preserve">81 - </v>
      </c>
      <c r="D567" s="569" t="s">
        <v>1170</v>
      </c>
      <c r="E567" s="569"/>
      <c r="F567" s="576">
        <v>736935</v>
      </c>
      <c r="G567" s="576">
        <v>736935</v>
      </c>
      <c r="H567" s="577">
        <v>53688.35</v>
      </c>
      <c r="I567" s="576">
        <v>661949.02</v>
      </c>
      <c r="J567" s="577">
        <v>74985.98</v>
      </c>
      <c r="K567" s="578">
        <v>0.101753858888504</v>
      </c>
      <c r="L567" s="590"/>
      <c r="M567" s="591"/>
      <c r="N567" s="567"/>
    </row>
    <row r="568" spans="2:14">
      <c r="B568" s="127" t="str">
        <f t="shared" si="18"/>
        <v/>
      </c>
      <c r="C568" s="127" t="str">
        <f t="shared" si="19"/>
        <v/>
      </c>
      <c r="L568"/>
      <c r="N568" s="567"/>
    </row>
    <row r="569" spans="2:14">
      <c r="B569" s="127" t="str">
        <f t="shared" si="18"/>
        <v/>
      </c>
      <c r="C569" s="127" t="str">
        <f t="shared" si="19"/>
        <v/>
      </c>
      <c r="E569" s="569"/>
      <c r="F569" s="569"/>
      <c r="G569" s="569"/>
      <c r="H569" s="569"/>
      <c r="I569" s="569"/>
      <c r="J569" s="569"/>
      <c r="K569" s="569"/>
      <c r="L569" s="587"/>
      <c r="M569" s="587"/>
      <c r="N569" s="567"/>
    </row>
    <row r="570" spans="2:14">
      <c r="B570" s="127" t="str">
        <f t="shared" si="18"/>
        <v/>
      </c>
      <c r="C570" s="127" t="str">
        <f t="shared" si="19"/>
        <v/>
      </c>
      <c r="E570" s="569"/>
      <c r="F570" s="569"/>
      <c r="G570" s="569"/>
      <c r="H570" s="569"/>
      <c r="I570" s="569"/>
      <c r="J570" s="569"/>
      <c r="K570" s="569"/>
      <c r="L570" s="587"/>
      <c r="M570" s="587"/>
      <c r="N570" s="567"/>
    </row>
    <row r="571" spans="2:14">
      <c r="B571" s="127" t="str">
        <f t="shared" si="18"/>
        <v>119-18-183</v>
      </c>
      <c r="C571" s="127" t="str">
        <f t="shared" si="19"/>
        <v>50101</v>
      </c>
      <c r="D571" s="570" t="s">
        <v>533</v>
      </c>
      <c r="E571" s="396" t="s">
        <v>316</v>
      </c>
      <c r="F571" s="414">
        <v>94536</v>
      </c>
      <c r="G571" s="414">
        <v>94536</v>
      </c>
      <c r="H571" s="571">
        <v>7274.48</v>
      </c>
      <c r="I571" s="414">
        <v>90640.02</v>
      </c>
      <c r="J571" s="571">
        <v>3895.98</v>
      </c>
      <c r="K571" s="572">
        <v>4.12</v>
      </c>
      <c r="L571" s="588"/>
      <c r="M571" s="589"/>
      <c r="N571" s="567"/>
    </row>
    <row r="572" spans="2:14">
      <c r="B572" s="127" t="str">
        <f t="shared" si="18"/>
        <v>119-18-183</v>
      </c>
      <c r="C572" s="127" t="str">
        <f t="shared" si="19"/>
        <v>50102</v>
      </c>
      <c r="D572" s="570" t="s">
        <v>584</v>
      </c>
      <c r="E572" s="396" t="s">
        <v>317</v>
      </c>
      <c r="F572" s="414">
        <v>51414</v>
      </c>
      <c r="G572" s="414">
        <v>51414</v>
      </c>
      <c r="H572" s="571">
        <v>4252.8</v>
      </c>
      <c r="I572" s="414">
        <v>52989.9</v>
      </c>
      <c r="J572" s="571">
        <v>-1575.9</v>
      </c>
      <c r="K572" s="572">
        <v>-3.07</v>
      </c>
      <c r="L572" s="588"/>
      <c r="M572" s="589"/>
      <c r="N572" s="567"/>
    </row>
    <row r="573" spans="2:14">
      <c r="B573" s="127" t="str">
        <f t="shared" si="18"/>
        <v>119-18-183</v>
      </c>
      <c r="C573" s="127" t="str">
        <f t="shared" si="19"/>
        <v>50109</v>
      </c>
      <c r="D573" s="570" t="s">
        <v>585</v>
      </c>
      <c r="E573" s="396" t="s">
        <v>12</v>
      </c>
      <c r="F573" s="414">
        <v>1500</v>
      </c>
      <c r="G573" s="414">
        <v>1500</v>
      </c>
      <c r="H573" s="571">
        <v>0</v>
      </c>
      <c r="I573" s="414">
        <v>20.58</v>
      </c>
      <c r="J573" s="571">
        <v>1479.42</v>
      </c>
      <c r="K573" s="572">
        <v>98.63</v>
      </c>
      <c r="L573" s="588"/>
      <c r="M573" s="589"/>
      <c r="N573" s="567"/>
    </row>
    <row r="574" spans="2:14">
      <c r="B574" s="127" t="str">
        <f t="shared" si="18"/>
        <v>119-18-183</v>
      </c>
      <c r="C574" s="127" t="str">
        <f t="shared" si="19"/>
        <v>50111</v>
      </c>
      <c r="D574" s="570" t="s">
        <v>586</v>
      </c>
      <c r="E574" s="396" t="s">
        <v>318</v>
      </c>
      <c r="F574" s="414">
        <v>1444</v>
      </c>
      <c r="G574" s="414">
        <v>1444</v>
      </c>
      <c r="H574" s="571">
        <v>0</v>
      </c>
      <c r="I574" s="414">
        <v>1425</v>
      </c>
      <c r="J574" s="571">
        <v>19</v>
      </c>
      <c r="K574" s="572">
        <v>1.32</v>
      </c>
      <c r="L574" s="588"/>
      <c r="M574" s="589"/>
      <c r="N574" s="567"/>
    </row>
    <row r="575" spans="2:14">
      <c r="B575" s="127" t="str">
        <f t="shared" si="18"/>
        <v/>
      </c>
      <c r="C575" s="127" t="str">
        <f t="shared" si="19"/>
        <v/>
      </c>
      <c r="L575"/>
      <c r="N575" s="567"/>
    </row>
    <row r="576" spans="2:14">
      <c r="B576" s="127" t="str">
        <f t="shared" si="18"/>
        <v/>
      </c>
      <c r="C576" s="127" t="str">
        <f t="shared" si="19"/>
        <v/>
      </c>
      <c r="D576" s="579"/>
      <c r="E576" s="579"/>
      <c r="F576" s="579"/>
      <c r="G576" s="579"/>
      <c r="H576" s="579"/>
      <c r="I576" s="579"/>
      <c r="J576" s="579"/>
      <c r="K576" s="579"/>
      <c r="L576" s="592"/>
      <c r="M576" s="592"/>
      <c r="N576" s="567"/>
    </row>
    <row r="577" spans="2:14" ht="16.2" thickBot="1">
      <c r="B577" s="127" t="str">
        <f t="shared" si="18"/>
        <v xml:space="preserve">9/25/2024 </v>
      </c>
      <c r="C577" s="127" t="str">
        <f t="shared" si="19"/>
        <v>:13:1</v>
      </c>
      <c r="D577" s="439" t="s">
        <v>2991</v>
      </c>
      <c r="E577" s="439"/>
      <c r="F577" s="440"/>
      <c r="G577" s="440"/>
      <c r="H577" s="440"/>
      <c r="I577" s="440"/>
      <c r="J577" s="439"/>
      <c r="K577" s="439"/>
      <c r="L577" s="593"/>
      <c r="N577" s="567"/>
    </row>
    <row r="578" spans="2:14" ht="15.75" customHeight="1">
      <c r="B578" s="127" t="str">
        <f t="shared" si="18"/>
        <v>Budget Rep</v>
      </c>
      <c r="C578" s="127" t="str">
        <f t="shared" si="19"/>
        <v>rt</v>
      </c>
      <c r="D578" s="441" t="s">
        <v>1122</v>
      </c>
      <c r="E578" s="441"/>
      <c r="F578" s="441"/>
      <c r="G578" s="442"/>
      <c r="H578" s="441"/>
      <c r="I578" s="441"/>
      <c r="J578" s="441"/>
      <c r="K578" s="441"/>
      <c r="L578" s="594"/>
      <c r="M578" s="594"/>
      <c r="N578" s="567"/>
    </row>
    <row r="579" spans="2:14" ht="34.5" customHeight="1">
      <c r="B579" s="127" t="str">
        <f t="shared" si="18"/>
        <v/>
      </c>
      <c r="C579" s="127" t="str">
        <f t="shared" si="19"/>
        <v/>
      </c>
      <c r="L579"/>
      <c r="N579" s="567"/>
    </row>
    <row r="580" spans="2:14" ht="31.8">
      <c r="B580" s="127" t="str">
        <f t="shared" si="18"/>
        <v/>
      </c>
      <c r="C580" s="127" t="str">
        <f t="shared" si="19"/>
        <v/>
      </c>
      <c r="J580" s="413" t="s">
        <v>1098</v>
      </c>
      <c r="L580"/>
      <c r="N580" s="567"/>
    </row>
    <row r="581" spans="2:14" ht="21.6">
      <c r="B581" s="127" t="str">
        <f t="shared" ref="B581:B644" si="20">LEFT(D581,10)</f>
        <v/>
      </c>
      <c r="C581" s="127" t="str">
        <f t="shared" ref="C581:C644" si="21">MID(D581,12,5)</f>
        <v/>
      </c>
      <c r="F581" s="413" t="s">
        <v>1099</v>
      </c>
      <c r="G581" s="413" t="s">
        <v>1100</v>
      </c>
      <c r="H581" s="568" t="s">
        <v>1101</v>
      </c>
      <c r="I581" s="413" t="s">
        <v>1102</v>
      </c>
      <c r="J581" s="413"/>
      <c r="K581" s="568" t="s">
        <v>1103</v>
      </c>
      <c r="L581" s="586"/>
      <c r="M581" s="540"/>
      <c r="N581" s="567"/>
    </row>
    <row r="582" spans="2:14">
      <c r="B582" s="127" t="str">
        <f t="shared" si="20"/>
        <v/>
      </c>
      <c r="C582" s="127" t="str">
        <f t="shared" si="21"/>
        <v/>
      </c>
      <c r="L582"/>
      <c r="N582" s="567"/>
    </row>
    <row r="583" spans="2:14">
      <c r="B583" s="127" t="str">
        <f t="shared" si="20"/>
        <v>119-18-183</v>
      </c>
      <c r="C583" s="127" t="str">
        <f t="shared" si="21"/>
        <v>50115</v>
      </c>
      <c r="D583" s="570" t="s">
        <v>701</v>
      </c>
      <c r="E583" s="396" t="s">
        <v>325</v>
      </c>
      <c r="F583" s="414">
        <v>3000</v>
      </c>
      <c r="G583" s="414">
        <v>3000</v>
      </c>
      <c r="H583" s="571">
        <v>250</v>
      </c>
      <c r="I583" s="414">
        <v>2865</v>
      </c>
      <c r="J583" s="571">
        <v>135</v>
      </c>
      <c r="K583" s="572">
        <v>4.5</v>
      </c>
      <c r="L583" s="588"/>
      <c r="M583" s="589"/>
      <c r="N583" s="567"/>
    </row>
    <row r="584" spans="2:14">
      <c r="B584" s="127" t="str">
        <f t="shared" si="20"/>
        <v>119-18-183</v>
      </c>
      <c r="C584" s="127" t="str">
        <f t="shared" si="21"/>
        <v>50610</v>
      </c>
      <c r="D584" s="570" t="s">
        <v>914</v>
      </c>
      <c r="E584" s="396" t="s">
        <v>320</v>
      </c>
      <c r="F584" s="414">
        <v>11760</v>
      </c>
      <c r="G584" s="414">
        <v>11760</v>
      </c>
      <c r="H584" s="571">
        <v>904</v>
      </c>
      <c r="I584" s="414">
        <v>11363.77</v>
      </c>
      <c r="J584" s="571">
        <v>396.23</v>
      </c>
      <c r="K584" s="572">
        <v>3.37</v>
      </c>
      <c r="L584" s="588"/>
      <c r="M584" s="589"/>
      <c r="N584" s="567"/>
    </row>
    <row r="585" spans="2:14">
      <c r="B585" s="127" t="str">
        <f t="shared" si="20"/>
        <v>119-18-183</v>
      </c>
      <c r="C585" s="127" t="str">
        <f t="shared" si="21"/>
        <v>50620</v>
      </c>
      <c r="D585" s="570" t="s">
        <v>664</v>
      </c>
      <c r="E585" s="396" t="s">
        <v>321</v>
      </c>
      <c r="F585" s="414">
        <v>22085</v>
      </c>
      <c r="G585" s="414">
        <v>22085</v>
      </c>
      <c r="H585" s="571">
        <v>1888.04</v>
      </c>
      <c r="I585" s="414">
        <v>21636.94</v>
      </c>
      <c r="J585" s="571">
        <v>448.06</v>
      </c>
      <c r="K585" s="572">
        <v>2.0299999999999998</v>
      </c>
      <c r="L585" s="588"/>
      <c r="M585" s="589"/>
      <c r="N585" s="567"/>
    </row>
    <row r="586" spans="2:14">
      <c r="B586" s="127" t="str">
        <f t="shared" si="20"/>
        <v>119-18-183</v>
      </c>
      <c r="C586" s="127" t="str">
        <f t="shared" si="21"/>
        <v>50630</v>
      </c>
      <c r="D586" s="570" t="s">
        <v>915</v>
      </c>
      <c r="E586" s="396" t="s">
        <v>322</v>
      </c>
      <c r="F586" s="414">
        <v>219</v>
      </c>
      <c r="G586" s="414">
        <v>219</v>
      </c>
      <c r="H586" s="571">
        <v>0</v>
      </c>
      <c r="I586" s="414">
        <v>218.83</v>
      </c>
      <c r="J586" s="571">
        <v>0.17</v>
      </c>
      <c r="K586" s="572">
        <v>0.08</v>
      </c>
      <c r="L586" s="588"/>
      <c r="M586" s="589"/>
      <c r="N586" s="567"/>
    </row>
    <row r="587" spans="2:14">
      <c r="B587" s="127" t="str">
        <f t="shared" si="20"/>
        <v>119-18-183</v>
      </c>
      <c r="C587" s="127" t="str">
        <f t="shared" si="21"/>
        <v>50650</v>
      </c>
      <c r="D587" s="570" t="s">
        <v>683</v>
      </c>
      <c r="E587" s="396" t="s">
        <v>323</v>
      </c>
      <c r="F587" s="573">
        <v>25396</v>
      </c>
      <c r="G587" s="573">
        <v>25396</v>
      </c>
      <c r="H587" s="574">
        <v>1984.1</v>
      </c>
      <c r="I587" s="573">
        <v>24735.77</v>
      </c>
      <c r="J587" s="574">
        <v>660.23</v>
      </c>
      <c r="K587" s="575">
        <v>2.6</v>
      </c>
      <c r="L587" s="588"/>
      <c r="M587" s="589"/>
      <c r="N587" s="567"/>
    </row>
    <row r="588" spans="2:14">
      <c r="B588" s="127" t="str">
        <f t="shared" si="20"/>
        <v xml:space="preserve">Category: </v>
      </c>
      <c r="C588" s="127" t="str">
        <f t="shared" si="21"/>
        <v>0 - P</v>
      </c>
      <c r="D588" s="569" t="s">
        <v>1123</v>
      </c>
      <c r="E588" s="569"/>
      <c r="F588" s="576">
        <v>211354</v>
      </c>
      <c r="G588" s="576">
        <v>211354</v>
      </c>
      <c r="H588" s="577">
        <v>16553.419999999998</v>
      </c>
      <c r="I588" s="576">
        <v>205895.81</v>
      </c>
      <c r="J588" s="577">
        <v>5458.19</v>
      </c>
      <c r="K588" s="578">
        <v>2.5824872015670401E-2</v>
      </c>
      <c r="L588" s="590"/>
      <c r="M588" s="591"/>
      <c r="N588" s="567"/>
    </row>
    <row r="589" spans="2:14">
      <c r="B589" s="127" t="str">
        <f t="shared" si="20"/>
        <v/>
      </c>
      <c r="C589" s="127" t="str">
        <f t="shared" si="21"/>
        <v/>
      </c>
      <c r="F589" s="398"/>
      <c r="G589" s="398"/>
      <c r="H589" s="398"/>
      <c r="I589" s="398"/>
      <c r="J589" s="398"/>
      <c r="K589" s="398"/>
      <c r="L589"/>
      <c r="N589" s="567"/>
    </row>
    <row r="590" spans="2:14">
      <c r="B590" s="127" t="str">
        <f t="shared" si="20"/>
        <v xml:space="preserve">Division: </v>
      </c>
      <c r="C590" s="127" t="str">
        <f t="shared" si="21"/>
        <v xml:space="preserve">83 - </v>
      </c>
      <c r="D590" s="569" t="s">
        <v>1171</v>
      </c>
      <c r="E590" s="569"/>
      <c r="F590" s="576">
        <v>211354</v>
      </c>
      <c r="G590" s="576">
        <v>211354</v>
      </c>
      <c r="H590" s="577">
        <v>16553.419999999998</v>
      </c>
      <c r="I590" s="576">
        <v>205895.81</v>
      </c>
      <c r="J590" s="577">
        <v>5458.19</v>
      </c>
      <c r="K590" s="578">
        <v>2.5824872015670401E-2</v>
      </c>
      <c r="L590" s="590"/>
      <c r="M590" s="591"/>
      <c r="N590" s="567"/>
    </row>
    <row r="591" spans="2:14">
      <c r="B591" s="127" t="str">
        <f t="shared" si="20"/>
        <v/>
      </c>
      <c r="C591" s="127" t="str">
        <f t="shared" si="21"/>
        <v/>
      </c>
      <c r="F591" s="398"/>
      <c r="G591" s="398"/>
      <c r="H591" s="398"/>
      <c r="I591" s="398"/>
      <c r="J591" s="398"/>
      <c r="K591" s="398"/>
      <c r="L591"/>
      <c r="N591" s="567"/>
    </row>
    <row r="592" spans="2:14">
      <c r="B592" s="127" t="str">
        <f t="shared" si="20"/>
        <v>Department</v>
      </c>
      <c r="C592" s="127" t="str">
        <f t="shared" si="21"/>
        <v xml:space="preserve"> 18 -</v>
      </c>
      <c r="D592" s="569" t="s">
        <v>1172</v>
      </c>
      <c r="E592" s="569"/>
      <c r="F592" s="576">
        <v>948289</v>
      </c>
      <c r="G592" s="576">
        <v>948289</v>
      </c>
      <c r="H592" s="577">
        <v>70241.77</v>
      </c>
      <c r="I592" s="576">
        <v>867844.83</v>
      </c>
      <c r="J592" s="577">
        <v>80444.17</v>
      </c>
      <c r="K592" s="578">
        <v>8.4830858525196395E-2</v>
      </c>
      <c r="L592" s="590"/>
      <c r="M592" s="591"/>
      <c r="N592" s="567"/>
    </row>
    <row r="593" spans="2:14">
      <c r="B593" s="127" t="str">
        <f t="shared" si="20"/>
        <v/>
      </c>
      <c r="C593" s="127" t="str">
        <f t="shared" si="21"/>
        <v/>
      </c>
      <c r="F593" s="398"/>
      <c r="G593" s="398"/>
      <c r="H593" s="398"/>
      <c r="I593" s="398"/>
      <c r="J593" s="398"/>
      <c r="K593" s="398"/>
      <c r="L593"/>
      <c r="N593" s="567"/>
    </row>
    <row r="594" spans="2:14">
      <c r="B594" s="127" t="str">
        <f t="shared" si="20"/>
        <v xml:space="preserve">Fund: 119 </v>
      </c>
      <c r="C594" s="127" t="str">
        <f t="shared" si="21"/>
        <v xml:space="preserve"> INFO</v>
      </c>
      <c r="D594" s="569" t="s">
        <v>1907</v>
      </c>
      <c r="E594" s="569"/>
      <c r="F594" s="576">
        <v>948289</v>
      </c>
      <c r="G594" s="576">
        <v>948289</v>
      </c>
      <c r="H594" s="577">
        <v>70241.77</v>
      </c>
      <c r="I594" s="576">
        <v>867844.83</v>
      </c>
      <c r="J594" s="577">
        <v>80444.17</v>
      </c>
      <c r="K594" s="578">
        <v>8.4830858525196395E-2</v>
      </c>
      <c r="L594" s="590"/>
      <c r="M594" s="591"/>
      <c r="N594" s="567"/>
    </row>
    <row r="595" spans="2:14">
      <c r="B595" s="127" t="str">
        <f t="shared" si="20"/>
        <v/>
      </c>
      <c r="C595" s="127" t="str">
        <f t="shared" si="21"/>
        <v/>
      </c>
      <c r="L595"/>
      <c r="N595" s="567"/>
    </row>
    <row r="596" spans="2:14">
      <c r="B596" s="127" t="str">
        <f t="shared" si="20"/>
        <v xml:space="preserve">Fund: 125 </v>
      </c>
      <c r="C596" s="127" t="str">
        <f t="shared" si="21"/>
        <v xml:space="preserve"> RECR</v>
      </c>
      <c r="D596" s="569" t="s">
        <v>1108</v>
      </c>
      <c r="E596" s="569"/>
      <c r="F596" s="569"/>
      <c r="G596" s="569"/>
      <c r="H596" s="569"/>
      <c r="I596" s="569"/>
      <c r="J596" s="569"/>
      <c r="K596" s="569"/>
      <c r="L596" s="587"/>
      <c r="M596" s="587"/>
      <c r="N596" s="567"/>
    </row>
    <row r="597" spans="2:14">
      <c r="B597" s="127" t="str">
        <f t="shared" si="20"/>
        <v/>
      </c>
      <c r="C597" s="127" t="str">
        <f t="shared" si="21"/>
        <v/>
      </c>
      <c r="E597" s="569"/>
      <c r="F597" s="569"/>
      <c r="G597" s="569"/>
      <c r="H597" s="569"/>
      <c r="I597" s="569"/>
      <c r="J597" s="569"/>
      <c r="K597" s="569"/>
      <c r="L597" s="587"/>
      <c r="M597" s="587"/>
      <c r="N597" s="567"/>
    </row>
    <row r="598" spans="2:14">
      <c r="B598" s="127" t="str">
        <f t="shared" si="20"/>
        <v/>
      </c>
      <c r="C598" s="127" t="str">
        <f t="shared" si="21"/>
        <v/>
      </c>
      <c r="E598" s="569"/>
      <c r="F598" s="569"/>
      <c r="G598" s="569"/>
      <c r="H598" s="569"/>
      <c r="I598" s="569"/>
      <c r="J598" s="569"/>
      <c r="K598" s="569"/>
      <c r="L598" s="587"/>
      <c r="M598" s="587"/>
      <c r="N598" s="567"/>
    </row>
    <row r="599" spans="2:14">
      <c r="B599" s="127" t="str">
        <f t="shared" si="20"/>
        <v/>
      </c>
      <c r="C599" s="127" t="str">
        <f t="shared" si="21"/>
        <v/>
      </c>
      <c r="E599" s="569"/>
      <c r="F599" s="569"/>
      <c r="G599" s="569"/>
      <c r="H599" s="569"/>
      <c r="I599" s="569"/>
      <c r="J599" s="569"/>
      <c r="K599" s="569"/>
      <c r="L599" s="587"/>
      <c r="M599" s="587"/>
      <c r="N599" s="567"/>
    </row>
    <row r="600" spans="2:14">
      <c r="B600" s="127" t="str">
        <f t="shared" si="20"/>
        <v>125-65-651</v>
      </c>
      <c r="C600" s="127" t="str">
        <f t="shared" si="21"/>
        <v>50101</v>
      </c>
      <c r="D600" s="570" t="s">
        <v>637</v>
      </c>
      <c r="E600" s="396" t="s">
        <v>316</v>
      </c>
      <c r="F600" s="414">
        <v>191612</v>
      </c>
      <c r="G600" s="414">
        <v>191612</v>
      </c>
      <c r="H600" s="571">
        <v>11737.36</v>
      </c>
      <c r="I600" s="414">
        <v>177657.63</v>
      </c>
      <c r="J600" s="571">
        <v>13954.37</v>
      </c>
      <c r="K600" s="572">
        <v>7.28</v>
      </c>
      <c r="L600" s="588"/>
      <c r="M600" s="589"/>
      <c r="N600" s="567"/>
    </row>
    <row r="601" spans="2:14">
      <c r="B601" s="127" t="str">
        <f t="shared" si="20"/>
        <v>125-65-651</v>
      </c>
      <c r="C601" s="127" t="str">
        <f t="shared" si="21"/>
        <v>50102</v>
      </c>
      <c r="D601" s="570" t="s">
        <v>537</v>
      </c>
      <c r="E601" s="396" t="s">
        <v>317</v>
      </c>
      <c r="F601" s="414">
        <v>39806</v>
      </c>
      <c r="G601" s="414">
        <v>39806</v>
      </c>
      <c r="H601" s="571">
        <v>2886.4</v>
      </c>
      <c r="I601" s="414">
        <v>33659.949999999997</v>
      </c>
      <c r="J601" s="571">
        <v>6146.05</v>
      </c>
      <c r="K601" s="572">
        <v>15.44</v>
      </c>
      <c r="L601" s="588"/>
      <c r="M601" s="589"/>
      <c r="N601" s="567"/>
    </row>
    <row r="602" spans="2:14">
      <c r="B602" s="127" t="str">
        <f t="shared" si="20"/>
        <v>125-65-651</v>
      </c>
      <c r="C602" s="127" t="str">
        <f t="shared" si="21"/>
        <v>50109</v>
      </c>
      <c r="D602" s="570" t="s">
        <v>536</v>
      </c>
      <c r="E602" s="396" t="s">
        <v>12</v>
      </c>
      <c r="F602" s="414">
        <v>500</v>
      </c>
      <c r="G602" s="414">
        <v>500</v>
      </c>
      <c r="H602" s="571">
        <v>0</v>
      </c>
      <c r="I602" s="414">
        <v>13.97</v>
      </c>
      <c r="J602" s="571">
        <v>486.03</v>
      </c>
      <c r="K602" s="572">
        <v>97.21</v>
      </c>
      <c r="L602" s="588"/>
      <c r="M602" s="589"/>
      <c r="N602" s="567"/>
    </row>
    <row r="603" spans="2:14">
      <c r="B603" s="127" t="str">
        <f t="shared" si="20"/>
        <v>125-65-651</v>
      </c>
      <c r="C603" s="127" t="str">
        <f t="shared" si="21"/>
        <v>50111</v>
      </c>
      <c r="D603" s="570" t="s">
        <v>538</v>
      </c>
      <c r="E603" s="396" t="s">
        <v>318</v>
      </c>
      <c r="F603" s="414">
        <v>940</v>
      </c>
      <c r="G603" s="414">
        <v>940</v>
      </c>
      <c r="H603" s="571">
        <v>0</v>
      </c>
      <c r="I603" s="414">
        <v>915</v>
      </c>
      <c r="J603" s="571">
        <v>25</v>
      </c>
      <c r="K603" s="572">
        <v>2.66</v>
      </c>
      <c r="L603" s="588"/>
      <c r="M603" s="589"/>
      <c r="N603" s="567"/>
    </row>
    <row r="604" spans="2:14">
      <c r="B604" s="127" t="str">
        <f t="shared" si="20"/>
        <v>125-65-651</v>
      </c>
      <c r="C604" s="127" t="str">
        <f t="shared" si="21"/>
        <v>50610</v>
      </c>
      <c r="D604" s="570" t="s">
        <v>878</v>
      </c>
      <c r="E604" s="396" t="s">
        <v>320</v>
      </c>
      <c r="F604" s="414">
        <v>18010</v>
      </c>
      <c r="G604" s="414">
        <v>18010</v>
      </c>
      <c r="H604" s="571">
        <v>1239.18</v>
      </c>
      <c r="I604" s="414">
        <v>15330.25</v>
      </c>
      <c r="J604" s="571">
        <v>2679.75</v>
      </c>
      <c r="K604" s="572">
        <v>14.88</v>
      </c>
      <c r="L604" s="588"/>
      <c r="M604" s="589"/>
      <c r="N604" s="567"/>
    </row>
    <row r="605" spans="2:14">
      <c r="B605" s="127" t="str">
        <f t="shared" si="20"/>
        <v>125-65-651</v>
      </c>
      <c r="C605" s="127" t="str">
        <f t="shared" si="21"/>
        <v>50620</v>
      </c>
      <c r="D605" s="570" t="s">
        <v>686</v>
      </c>
      <c r="E605" s="396" t="s">
        <v>321</v>
      </c>
      <c r="F605" s="414">
        <v>61745</v>
      </c>
      <c r="G605" s="414">
        <v>61745</v>
      </c>
      <c r="H605" s="571">
        <v>3826.4</v>
      </c>
      <c r="I605" s="414">
        <v>54506.49</v>
      </c>
      <c r="J605" s="571">
        <v>7238.51</v>
      </c>
      <c r="K605" s="572">
        <v>11.72</v>
      </c>
      <c r="L605" s="588"/>
      <c r="M605" s="589"/>
      <c r="N605" s="567"/>
    </row>
    <row r="606" spans="2:14">
      <c r="B606" s="127" t="str">
        <f t="shared" si="20"/>
        <v>125-65-651</v>
      </c>
      <c r="C606" s="127" t="str">
        <f t="shared" si="21"/>
        <v>50630</v>
      </c>
      <c r="D606" s="570" t="s">
        <v>879</v>
      </c>
      <c r="E606" s="396" t="s">
        <v>322</v>
      </c>
      <c r="F606" s="414">
        <v>336</v>
      </c>
      <c r="G606" s="414">
        <v>336</v>
      </c>
      <c r="H606" s="571">
        <v>0</v>
      </c>
      <c r="I606" s="414">
        <v>617.47</v>
      </c>
      <c r="J606" s="571">
        <v>-281.47000000000003</v>
      </c>
      <c r="K606" s="572">
        <v>-83.77</v>
      </c>
      <c r="L606" s="588"/>
      <c r="M606" s="589"/>
      <c r="N606" s="567"/>
    </row>
    <row r="607" spans="2:14">
      <c r="B607" s="127" t="str">
        <f t="shared" si="20"/>
        <v>125-65-651</v>
      </c>
      <c r="C607" s="127" t="str">
        <f t="shared" si="21"/>
        <v>50650</v>
      </c>
      <c r="D607" s="570" t="s">
        <v>741</v>
      </c>
      <c r="E607" s="396" t="s">
        <v>323</v>
      </c>
      <c r="F607" s="573">
        <v>38889</v>
      </c>
      <c r="G607" s="573">
        <v>38889</v>
      </c>
      <c r="H607" s="574">
        <v>2966.7</v>
      </c>
      <c r="I607" s="573">
        <v>36460.300000000003</v>
      </c>
      <c r="J607" s="574">
        <v>2428.6999999999998</v>
      </c>
      <c r="K607" s="575">
        <v>6.25</v>
      </c>
      <c r="L607" s="588"/>
      <c r="M607" s="589"/>
      <c r="N607" s="567"/>
    </row>
    <row r="608" spans="2:14">
      <c r="B608" s="127" t="str">
        <f t="shared" si="20"/>
        <v xml:space="preserve">Category: </v>
      </c>
      <c r="C608" s="127" t="str">
        <f t="shared" si="21"/>
        <v>0 - P</v>
      </c>
      <c r="D608" s="569" t="s">
        <v>1123</v>
      </c>
      <c r="E608" s="569"/>
      <c r="F608" s="576">
        <v>351838</v>
      </c>
      <c r="G608" s="576">
        <v>351838</v>
      </c>
      <c r="H608" s="577">
        <v>22656.04</v>
      </c>
      <c r="I608" s="576">
        <v>319161.06</v>
      </c>
      <c r="J608" s="577">
        <v>32676.94</v>
      </c>
      <c r="K608" s="578">
        <v>9.2874959498405504E-2</v>
      </c>
      <c r="L608" s="590"/>
      <c r="M608" s="591"/>
      <c r="N608" s="567"/>
    </row>
    <row r="609" spans="2:14">
      <c r="B609" s="127" t="str">
        <f t="shared" si="20"/>
        <v/>
      </c>
      <c r="C609" s="127" t="str">
        <f t="shared" si="21"/>
        <v/>
      </c>
      <c r="F609" s="398"/>
      <c r="G609" s="398"/>
      <c r="H609" s="398"/>
      <c r="I609" s="398"/>
      <c r="J609" s="398"/>
      <c r="K609" s="398"/>
      <c r="L609"/>
      <c r="N609" s="567"/>
    </row>
    <row r="610" spans="2:14">
      <c r="B610" s="127" t="str">
        <f t="shared" si="20"/>
        <v xml:space="preserve">Division: </v>
      </c>
      <c r="C610" s="127" t="str">
        <f t="shared" si="21"/>
        <v xml:space="preserve">51 - </v>
      </c>
      <c r="D610" s="569" t="s">
        <v>1173</v>
      </c>
      <c r="E610" s="569"/>
      <c r="F610" s="576">
        <v>351838</v>
      </c>
      <c r="G610" s="576">
        <v>351838</v>
      </c>
      <c r="H610" s="577">
        <v>22656.04</v>
      </c>
      <c r="I610" s="576">
        <v>319161.06</v>
      </c>
      <c r="J610" s="577">
        <v>32676.94</v>
      </c>
      <c r="K610" s="578">
        <v>9.2874959498405504E-2</v>
      </c>
      <c r="L610" s="590"/>
      <c r="M610" s="591"/>
      <c r="N610" s="567"/>
    </row>
    <row r="611" spans="2:14">
      <c r="B611" s="127" t="str">
        <f t="shared" si="20"/>
        <v/>
      </c>
      <c r="C611" s="127" t="str">
        <f t="shared" si="21"/>
        <v/>
      </c>
      <c r="L611"/>
      <c r="N611" s="567"/>
    </row>
    <row r="612" spans="2:14">
      <c r="B612" s="127" t="str">
        <f t="shared" si="20"/>
        <v/>
      </c>
      <c r="C612" s="127" t="str">
        <f t="shared" si="21"/>
        <v/>
      </c>
      <c r="E612" s="569"/>
      <c r="F612" s="569"/>
      <c r="G612" s="569"/>
      <c r="H612" s="569"/>
      <c r="I612" s="569"/>
      <c r="J612" s="569"/>
      <c r="K612" s="569"/>
      <c r="L612" s="587"/>
      <c r="M612" s="587"/>
      <c r="N612" s="567"/>
    </row>
    <row r="613" spans="2:14">
      <c r="B613" s="127" t="str">
        <f t="shared" si="20"/>
        <v/>
      </c>
      <c r="C613" s="127" t="str">
        <f t="shared" si="21"/>
        <v/>
      </c>
      <c r="E613" s="569"/>
      <c r="F613" s="569"/>
      <c r="G613" s="569"/>
      <c r="H613" s="569"/>
      <c r="I613" s="569"/>
      <c r="J613" s="569"/>
      <c r="K613" s="569"/>
      <c r="L613" s="587"/>
      <c r="M613" s="587"/>
      <c r="N613" s="567"/>
    </row>
    <row r="614" spans="2:14">
      <c r="B614" s="127" t="str">
        <f t="shared" si="20"/>
        <v>125-65-652</v>
      </c>
      <c r="C614" s="127" t="str">
        <f t="shared" si="21"/>
        <v>50101</v>
      </c>
      <c r="D614" s="570" t="s">
        <v>601</v>
      </c>
      <c r="E614" s="396" t="s">
        <v>316</v>
      </c>
      <c r="F614" s="414">
        <v>119159</v>
      </c>
      <c r="G614" s="414">
        <v>119159</v>
      </c>
      <c r="H614" s="571">
        <v>9069.06</v>
      </c>
      <c r="I614" s="414">
        <v>104468.19</v>
      </c>
      <c r="J614" s="571">
        <v>14690.81</v>
      </c>
      <c r="K614" s="572">
        <v>12.33</v>
      </c>
      <c r="L614" s="588"/>
      <c r="M614" s="589"/>
      <c r="N614" s="567"/>
    </row>
    <row r="615" spans="2:14">
      <c r="B615" s="127" t="str">
        <f t="shared" si="20"/>
        <v>125-65-652</v>
      </c>
      <c r="C615" s="127" t="str">
        <f t="shared" si="21"/>
        <v>50109</v>
      </c>
      <c r="D615" s="570" t="s">
        <v>524</v>
      </c>
      <c r="E615" s="396" t="s">
        <v>12</v>
      </c>
      <c r="F615" s="414">
        <v>600</v>
      </c>
      <c r="G615" s="414">
        <v>600</v>
      </c>
      <c r="H615" s="571">
        <v>0</v>
      </c>
      <c r="I615" s="414">
        <v>0</v>
      </c>
      <c r="J615" s="571">
        <v>600</v>
      </c>
      <c r="K615" s="572">
        <v>100</v>
      </c>
      <c r="L615" s="588"/>
      <c r="M615" s="589"/>
      <c r="N615" s="567"/>
    </row>
    <row r="616" spans="2:14">
      <c r="B616" s="127" t="str">
        <f t="shared" si="20"/>
        <v>125-65-652</v>
      </c>
      <c r="C616" s="127" t="str">
        <f t="shared" si="21"/>
        <v>50111</v>
      </c>
      <c r="D616" s="570" t="s">
        <v>638</v>
      </c>
      <c r="E616" s="396" t="s">
        <v>318</v>
      </c>
      <c r="F616" s="414">
        <v>422</v>
      </c>
      <c r="G616" s="414">
        <v>422</v>
      </c>
      <c r="H616" s="571">
        <v>0</v>
      </c>
      <c r="I616" s="414">
        <v>165</v>
      </c>
      <c r="J616" s="571">
        <v>257</v>
      </c>
      <c r="K616" s="572">
        <v>60.9</v>
      </c>
      <c r="L616" s="588"/>
      <c r="M616" s="589"/>
      <c r="N616" s="567"/>
    </row>
    <row r="617" spans="2:14">
      <c r="B617" s="127" t="str">
        <f t="shared" si="20"/>
        <v>125-65-652</v>
      </c>
      <c r="C617" s="127" t="str">
        <f t="shared" si="21"/>
        <v>50610</v>
      </c>
      <c r="D617" s="570" t="s">
        <v>880</v>
      </c>
      <c r="E617" s="396" t="s">
        <v>320</v>
      </c>
      <c r="F617" s="414">
        <v>31370</v>
      </c>
      <c r="G617" s="414">
        <v>31370</v>
      </c>
      <c r="H617" s="571">
        <v>2513.8200000000002</v>
      </c>
      <c r="I617" s="414">
        <v>34459.81</v>
      </c>
      <c r="J617" s="571">
        <v>-3089.81</v>
      </c>
      <c r="K617" s="572">
        <v>-9.85</v>
      </c>
      <c r="L617" s="588"/>
      <c r="M617" s="589"/>
      <c r="N617" s="567"/>
    </row>
    <row r="618" spans="2:14">
      <c r="B618" s="127" t="str">
        <f t="shared" si="20"/>
        <v>125-65-652</v>
      </c>
      <c r="C618" s="127" t="str">
        <f t="shared" si="21"/>
        <v>50620</v>
      </c>
      <c r="D618" s="570" t="s">
        <v>703</v>
      </c>
      <c r="E618" s="396" t="s">
        <v>321</v>
      </c>
      <c r="F618" s="414">
        <v>11649</v>
      </c>
      <c r="G618" s="414">
        <v>11649</v>
      </c>
      <c r="H618" s="571">
        <v>2363.41</v>
      </c>
      <c r="I618" s="414">
        <v>15162.08</v>
      </c>
      <c r="J618" s="571">
        <v>-3513.08</v>
      </c>
      <c r="K618" s="572">
        <v>-30.16</v>
      </c>
      <c r="L618" s="588"/>
      <c r="M618" s="589"/>
      <c r="N618" s="567"/>
    </row>
    <row r="619" spans="2:14">
      <c r="B619" s="127" t="str">
        <f t="shared" si="20"/>
        <v>125-65-652</v>
      </c>
      <c r="C619" s="127" t="str">
        <f t="shared" si="21"/>
        <v>50630</v>
      </c>
      <c r="D619" s="570" t="s">
        <v>881</v>
      </c>
      <c r="E619" s="396" t="s">
        <v>322</v>
      </c>
      <c r="F619" s="414">
        <v>5135</v>
      </c>
      <c r="G619" s="414">
        <v>5135</v>
      </c>
      <c r="H619" s="571">
        <v>0</v>
      </c>
      <c r="I619" s="414">
        <v>5130.8100000000004</v>
      </c>
      <c r="J619" s="571">
        <v>4.1900000000000004</v>
      </c>
      <c r="K619" s="572">
        <v>0.08</v>
      </c>
      <c r="L619" s="588"/>
      <c r="M619" s="589"/>
      <c r="N619" s="567"/>
    </row>
    <row r="620" spans="2:14">
      <c r="B620" s="127" t="str">
        <f t="shared" si="20"/>
        <v>125-65-652</v>
      </c>
      <c r="C620" s="127" t="str">
        <f t="shared" si="21"/>
        <v>50650</v>
      </c>
      <c r="D620" s="570" t="s">
        <v>712</v>
      </c>
      <c r="E620" s="396" t="s">
        <v>323</v>
      </c>
      <c r="F620" s="573">
        <v>20111</v>
      </c>
      <c r="G620" s="573">
        <v>20111</v>
      </c>
      <c r="H620" s="574">
        <v>1529.32</v>
      </c>
      <c r="I620" s="573">
        <v>17563.580000000002</v>
      </c>
      <c r="J620" s="574">
        <v>2547.42</v>
      </c>
      <c r="K620" s="575">
        <v>12.67</v>
      </c>
      <c r="L620" s="588"/>
      <c r="M620" s="589"/>
      <c r="N620" s="567"/>
    </row>
    <row r="621" spans="2:14">
      <c r="B621" s="127" t="str">
        <f t="shared" si="20"/>
        <v xml:space="preserve">Category: </v>
      </c>
      <c r="C621" s="127" t="str">
        <f t="shared" si="21"/>
        <v>0 - P</v>
      </c>
      <c r="D621" s="569" t="s">
        <v>1123</v>
      </c>
      <c r="E621" s="569"/>
      <c r="F621" s="576">
        <v>188446</v>
      </c>
      <c r="G621" s="576">
        <v>188446</v>
      </c>
      <c r="H621" s="577">
        <v>15475.61</v>
      </c>
      <c r="I621" s="576">
        <v>176949.47</v>
      </c>
      <c r="J621" s="577">
        <v>11496.53</v>
      </c>
      <c r="K621" s="578">
        <v>6.1007025885399503E-2</v>
      </c>
      <c r="L621" s="590"/>
      <c r="M621" s="591"/>
      <c r="N621" s="567"/>
    </row>
    <row r="622" spans="2:14">
      <c r="B622" s="127" t="str">
        <f t="shared" si="20"/>
        <v/>
      </c>
      <c r="C622" s="127" t="str">
        <f t="shared" si="21"/>
        <v/>
      </c>
      <c r="F622" s="398"/>
      <c r="G622" s="398"/>
      <c r="H622" s="398"/>
      <c r="I622" s="398"/>
      <c r="J622" s="398"/>
      <c r="K622" s="398"/>
      <c r="L622"/>
      <c r="N622" s="567"/>
    </row>
    <row r="623" spans="2:14">
      <c r="B623" s="127" t="str">
        <f t="shared" si="20"/>
        <v xml:space="preserve">Division: </v>
      </c>
      <c r="C623" s="127" t="str">
        <f t="shared" si="21"/>
        <v xml:space="preserve">52 - </v>
      </c>
      <c r="D623" s="569" t="s">
        <v>1174</v>
      </c>
      <c r="E623" s="569"/>
      <c r="F623" s="576">
        <v>188446</v>
      </c>
      <c r="G623" s="576">
        <v>188446</v>
      </c>
      <c r="H623" s="577">
        <v>15475.61</v>
      </c>
      <c r="I623" s="576">
        <v>176949.47</v>
      </c>
      <c r="J623" s="577">
        <v>11496.53</v>
      </c>
      <c r="K623" s="578">
        <v>6.1007025885399503E-2</v>
      </c>
      <c r="L623" s="590"/>
      <c r="M623" s="591"/>
      <c r="N623" s="567"/>
    </row>
    <row r="624" spans="2:14">
      <c r="B624" s="127" t="str">
        <f t="shared" si="20"/>
        <v/>
      </c>
      <c r="C624" s="127" t="str">
        <f t="shared" si="21"/>
        <v/>
      </c>
      <c r="L624"/>
      <c r="N624" s="567"/>
    </row>
    <row r="625" spans="2:14">
      <c r="B625" s="127" t="str">
        <f t="shared" si="20"/>
        <v/>
      </c>
      <c r="C625" s="127" t="str">
        <f t="shared" si="21"/>
        <v/>
      </c>
      <c r="E625" s="569"/>
      <c r="F625" s="569"/>
      <c r="G625" s="569"/>
      <c r="H625" s="569"/>
      <c r="I625" s="569"/>
      <c r="J625" s="569"/>
      <c r="K625" s="569"/>
      <c r="L625" s="587"/>
      <c r="M625" s="587"/>
      <c r="N625" s="567"/>
    </row>
    <row r="626" spans="2:14">
      <c r="B626" s="127" t="str">
        <f t="shared" si="20"/>
        <v/>
      </c>
      <c r="C626" s="127" t="str">
        <f t="shared" si="21"/>
        <v/>
      </c>
      <c r="E626" s="569"/>
      <c r="F626" s="569"/>
      <c r="G626" s="569"/>
      <c r="H626" s="569"/>
      <c r="I626" s="569"/>
      <c r="J626" s="569"/>
      <c r="K626" s="569"/>
      <c r="L626" s="587"/>
      <c r="M626" s="587"/>
      <c r="N626" s="567"/>
    </row>
    <row r="627" spans="2:14">
      <c r="B627" s="127" t="str">
        <f t="shared" si="20"/>
        <v>125-65-653</v>
      </c>
      <c r="C627" s="127" t="str">
        <f t="shared" si="21"/>
        <v>50117</v>
      </c>
      <c r="D627" s="570" t="s">
        <v>505</v>
      </c>
      <c r="E627" s="396" t="s">
        <v>504</v>
      </c>
      <c r="F627" s="414">
        <v>0</v>
      </c>
      <c r="G627" s="414">
        <v>0</v>
      </c>
      <c r="H627" s="571">
        <v>480</v>
      </c>
      <c r="I627" s="414">
        <v>4215</v>
      </c>
      <c r="J627" s="571">
        <v>-4215</v>
      </c>
      <c r="K627" s="572">
        <v>0</v>
      </c>
      <c r="L627" s="588"/>
      <c r="M627" s="589"/>
      <c r="N627" s="567"/>
    </row>
    <row r="628" spans="2:14">
      <c r="B628" s="127" t="str">
        <f t="shared" si="20"/>
        <v>125-65-653</v>
      </c>
      <c r="C628" s="127" t="str">
        <f t="shared" si="21"/>
        <v>50610</v>
      </c>
      <c r="D628" s="570" t="s">
        <v>882</v>
      </c>
      <c r="E628" s="396" t="s">
        <v>320</v>
      </c>
      <c r="F628" s="414">
        <v>1220</v>
      </c>
      <c r="G628" s="414">
        <v>1220</v>
      </c>
      <c r="H628" s="571">
        <v>74.25</v>
      </c>
      <c r="I628" s="414">
        <v>832.88</v>
      </c>
      <c r="J628" s="571">
        <v>387.12</v>
      </c>
      <c r="K628" s="572">
        <v>31.73</v>
      </c>
      <c r="L628" s="588"/>
      <c r="M628" s="589"/>
      <c r="N628" s="567"/>
    </row>
    <row r="629" spans="2:14">
      <c r="B629" s="127" t="str">
        <f t="shared" si="20"/>
        <v>125-65-653</v>
      </c>
      <c r="C629" s="127" t="str">
        <f t="shared" si="21"/>
        <v>50630</v>
      </c>
      <c r="D629" s="570" t="s">
        <v>883</v>
      </c>
      <c r="E629" s="396" t="s">
        <v>322</v>
      </c>
      <c r="F629" s="573">
        <v>199</v>
      </c>
      <c r="G629" s="573">
        <v>199</v>
      </c>
      <c r="H629" s="574">
        <v>0</v>
      </c>
      <c r="I629" s="573">
        <v>198.84</v>
      </c>
      <c r="J629" s="574">
        <v>0.16</v>
      </c>
      <c r="K629" s="575">
        <v>0.08</v>
      </c>
      <c r="L629" s="588"/>
      <c r="M629" s="589"/>
      <c r="N629" s="567"/>
    </row>
    <row r="630" spans="2:14">
      <c r="B630" s="127" t="str">
        <f t="shared" si="20"/>
        <v xml:space="preserve">Category: </v>
      </c>
      <c r="C630" s="127" t="str">
        <f t="shared" si="21"/>
        <v>0 - P</v>
      </c>
      <c r="D630" s="569" t="s">
        <v>1123</v>
      </c>
      <c r="E630" s="569"/>
      <c r="F630" s="576">
        <v>1419</v>
      </c>
      <c r="G630" s="576">
        <v>1419</v>
      </c>
      <c r="H630" s="577">
        <v>554.25</v>
      </c>
      <c r="I630" s="576">
        <v>5246.72</v>
      </c>
      <c r="J630" s="577">
        <v>-3827.72</v>
      </c>
      <c r="K630" s="578">
        <v>-2.69747709654686</v>
      </c>
      <c r="L630" s="590"/>
      <c r="M630" s="591"/>
      <c r="N630" s="567"/>
    </row>
    <row r="631" spans="2:14">
      <c r="B631" s="127" t="str">
        <f t="shared" si="20"/>
        <v/>
      </c>
      <c r="C631" s="127" t="str">
        <f t="shared" si="21"/>
        <v/>
      </c>
      <c r="F631" s="398"/>
      <c r="G631" s="398"/>
      <c r="H631" s="398"/>
      <c r="I631" s="398"/>
      <c r="J631" s="398"/>
      <c r="K631" s="398"/>
      <c r="L631"/>
      <c r="N631" s="567"/>
    </row>
    <row r="632" spans="2:14">
      <c r="B632" s="127" t="str">
        <f t="shared" si="20"/>
        <v xml:space="preserve">Division: </v>
      </c>
      <c r="C632" s="127" t="str">
        <f t="shared" si="21"/>
        <v xml:space="preserve">53 - </v>
      </c>
      <c r="D632" s="569" t="s">
        <v>1175</v>
      </c>
      <c r="E632" s="569"/>
      <c r="F632" s="576">
        <v>1419</v>
      </c>
      <c r="G632" s="576">
        <v>1419</v>
      </c>
      <c r="H632" s="577">
        <v>554.25</v>
      </c>
      <c r="I632" s="576">
        <v>5246.72</v>
      </c>
      <c r="J632" s="577">
        <v>-3827.72</v>
      </c>
      <c r="K632" s="578">
        <v>-2.69747709654686</v>
      </c>
      <c r="L632" s="590"/>
      <c r="M632" s="591"/>
      <c r="N632" s="567"/>
    </row>
    <row r="633" spans="2:14">
      <c r="B633" s="127" t="str">
        <f t="shared" si="20"/>
        <v/>
      </c>
      <c r="C633" s="127" t="str">
        <f t="shared" si="21"/>
        <v/>
      </c>
      <c r="L633"/>
      <c r="N633" s="567"/>
    </row>
    <row r="634" spans="2:14">
      <c r="B634" s="127" t="str">
        <f t="shared" si="20"/>
        <v/>
      </c>
      <c r="C634" s="127" t="str">
        <f t="shared" si="21"/>
        <v/>
      </c>
      <c r="E634" s="569"/>
      <c r="F634" s="569"/>
      <c r="G634" s="569"/>
      <c r="H634" s="569"/>
      <c r="I634" s="569"/>
      <c r="J634" s="569"/>
      <c r="K634" s="569"/>
      <c r="L634" s="587"/>
      <c r="M634" s="587"/>
      <c r="N634" s="567"/>
    </row>
    <row r="635" spans="2:14">
      <c r="B635" s="127" t="str">
        <f t="shared" si="20"/>
        <v/>
      </c>
      <c r="C635" s="127" t="str">
        <f t="shared" si="21"/>
        <v/>
      </c>
      <c r="E635" s="569"/>
      <c r="F635" s="569"/>
      <c r="G635" s="569"/>
      <c r="H635" s="569"/>
      <c r="I635" s="569"/>
      <c r="J635" s="569"/>
      <c r="K635" s="569"/>
      <c r="L635" s="587"/>
      <c r="M635" s="587"/>
      <c r="N635" s="567"/>
    </row>
    <row r="636" spans="2:14">
      <c r="B636" s="127" t="str">
        <f t="shared" si="20"/>
        <v>125-65-654</v>
      </c>
      <c r="C636" s="127" t="str">
        <f t="shared" si="21"/>
        <v>50101</v>
      </c>
      <c r="D636" s="570" t="s">
        <v>546</v>
      </c>
      <c r="E636" s="396" t="s">
        <v>316</v>
      </c>
      <c r="F636" s="414">
        <v>120097</v>
      </c>
      <c r="G636" s="414">
        <v>120097</v>
      </c>
      <c r="H636" s="571">
        <v>9140.26</v>
      </c>
      <c r="I636" s="414">
        <v>115624.86</v>
      </c>
      <c r="J636" s="571">
        <v>4472.1400000000003</v>
      </c>
      <c r="K636" s="572">
        <v>3.72</v>
      </c>
      <c r="L636" s="588"/>
      <c r="M636" s="589"/>
      <c r="N636" s="567"/>
    </row>
    <row r="637" spans="2:14">
      <c r="B637" s="127" t="str">
        <f t="shared" si="20"/>
        <v>125-65-654</v>
      </c>
      <c r="C637" s="127" t="str">
        <f t="shared" si="21"/>
        <v>50109</v>
      </c>
      <c r="D637" s="570" t="s">
        <v>503</v>
      </c>
      <c r="E637" s="396" t="s">
        <v>12</v>
      </c>
      <c r="F637" s="414">
        <v>800</v>
      </c>
      <c r="G637" s="414">
        <v>800</v>
      </c>
      <c r="H637" s="571">
        <v>0</v>
      </c>
      <c r="I637" s="414">
        <v>0</v>
      </c>
      <c r="J637" s="571">
        <v>800</v>
      </c>
      <c r="K637" s="572">
        <v>100</v>
      </c>
      <c r="L637" s="588"/>
      <c r="M637" s="589"/>
      <c r="N637" s="567"/>
    </row>
    <row r="638" spans="2:14">
      <c r="B638" s="127" t="str">
        <f t="shared" si="20"/>
        <v>125-65-654</v>
      </c>
      <c r="C638" s="127" t="str">
        <f t="shared" si="21"/>
        <v>50111</v>
      </c>
      <c r="D638" s="570" t="s">
        <v>884</v>
      </c>
      <c r="E638" s="396" t="s">
        <v>318</v>
      </c>
      <c r="F638" s="414">
        <v>289</v>
      </c>
      <c r="G638" s="414">
        <v>289</v>
      </c>
      <c r="H638" s="571">
        <v>0</v>
      </c>
      <c r="I638" s="414">
        <v>285</v>
      </c>
      <c r="J638" s="571">
        <v>4</v>
      </c>
      <c r="K638" s="572">
        <v>1.38</v>
      </c>
      <c r="L638" s="588"/>
      <c r="M638" s="589"/>
      <c r="N638" s="567"/>
    </row>
    <row r="639" spans="2:14">
      <c r="B639" s="127" t="str">
        <f t="shared" si="20"/>
        <v>125-65-654</v>
      </c>
      <c r="C639" s="127" t="str">
        <f t="shared" si="21"/>
        <v>50610</v>
      </c>
      <c r="D639" s="570" t="s">
        <v>885</v>
      </c>
      <c r="E639" s="396" t="s">
        <v>320</v>
      </c>
      <c r="F639" s="414">
        <v>25960</v>
      </c>
      <c r="G639" s="414">
        <v>25960</v>
      </c>
      <c r="H639" s="571">
        <v>1453.79</v>
      </c>
      <c r="I639" s="414">
        <v>28425.94</v>
      </c>
      <c r="J639" s="571">
        <v>-2465.94</v>
      </c>
      <c r="K639" s="572">
        <v>-9.5</v>
      </c>
      <c r="L639" s="588"/>
      <c r="M639" s="589"/>
      <c r="N639" s="567"/>
    </row>
    <row r="640" spans="2:14">
      <c r="B640" s="127" t="str">
        <f t="shared" si="20"/>
        <v>125-65-654</v>
      </c>
      <c r="C640" s="127" t="str">
        <f t="shared" si="21"/>
        <v>50620</v>
      </c>
      <c r="D640" s="570" t="s">
        <v>730</v>
      </c>
      <c r="E640" s="396" t="s">
        <v>321</v>
      </c>
      <c r="F640" s="414">
        <v>19715</v>
      </c>
      <c r="G640" s="414">
        <v>19715</v>
      </c>
      <c r="H640" s="571">
        <v>1695.68</v>
      </c>
      <c r="I640" s="414">
        <v>18301.2</v>
      </c>
      <c r="J640" s="571">
        <v>1413.8</v>
      </c>
      <c r="K640" s="572">
        <v>7.17</v>
      </c>
      <c r="L640" s="588"/>
      <c r="M640" s="589"/>
      <c r="N640" s="567"/>
    </row>
    <row r="641" spans="2:14">
      <c r="B641" s="127" t="str">
        <f t="shared" si="20"/>
        <v>125-65-654</v>
      </c>
      <c r="C641" s="127" t="str">
        <f t="shared" si="21"/>
        <v>50630</v>
      </c>
      <c r="D641" s="570" t="s">
        <v>886</v>
      </c>
      <c r="E641" s="396" t="s">
        <v>322</v>
      </c>
      <c r="F641" s="414">
        <v>4245</v>
      </c>
      <c r="G641" s="414">
        <v>4245</v>
      </c>
      <c r="H641" s="571">
        <v>0</v>
      </c>
      <c r="I641" s="414">
        <v>3959.79</v>
      </c>
      <c r="J641" s="571">
        <v>285.20999999999998</v>
      </c>
      <c r="K641" s="572">
        <v>6.72</v>
      </c>
      <c r="L641" s="588"/>
      <c r="M641" s="589"/>
      <c r="N641" s="567"/>
    </row>
    <row r="642" spans="2:14">
      <c r="B642" s="127" t="str">
        <f t="shared" si="20"/>
        <v>125-65-654</v>
      </c>
      <c r="C642" s="127" t="str">
        <f t="shared" si="21"/>
        <v>50650</v>
      </c>
      <c r="D642" s="570" t="s">
        <v>670</v>
      </c>
      <c r="E642" s="396" t="s">
        <v>323</v>
      </c>
      <c r="F642" s="573">
        <v>20277</v>
      </c>
      <c r="G642" s="573">
        <v>20277</v>
      </c>
      <c r="H642" s="574">
        <v>1541.18</v>
      </c>
      <c r="I642" s="573">
        <v>19406.88</v>
      </c>
      <c r="J642" s="574">
        <v>870.12</v>
      </c>
      <c r="K642" s="575">
        <v>4.29</v>
      </c>
      <c r="L642" s="588"/>
      <c r="M642" s="589"/>
      <c r="N642" s="567"/>
    </row>
    <row r="643" spans="2:14">
      <c r="B643" s="127" t="str">
        <f t="shared" si="20"/>
        <v xml:space="preserve">Category: </v>
      </c>
      <c r="C643" s="127" t="str">
        <f t="shared" si="21"/>
        <v>0 - P</v>
      </c>
      <c r="D643" s="569" t="s">
        <v>1123</v>
      </c>
      <c r="E643" s="569"/>
      <c r="F643" s="576">
        <v>191383</v>
      </c>
      <c r="G643" s="576">
        <v>191383</v>
      </c>
      <c r="H643" s="577">
        <v>13830.91</v>
      </c>
      <c r="I643" s="576">
        <v>186003.67</v>
      </c>
      <c r="J643" s="577">
        <v>5379.33</v>
      </c>
      <c r="K643" s="578">
        <v>2.8107668915211902E-2</v>
      </c>
      <c r="L643" s="590"/>
      <c r="M643" s="591"/>
      <c r="N643" s="567"/>
    </row>
    <row r="644" spans="2:14">
      <c r="B644" s="127" t="str">
        <f t="shared" si="20"/>
        <v/>
      </c>
      <c r="C644" s="127" t="str">
        <f t="shared" si="21"/>
        <v/>
      </c>
      <c r="F644" s="398"/>
      <c r="G644" s="398"/>
      <c r="H644" s="398"/>
      <c r="I644" s="398"/>
      <c r="J644" s="398"/>
      <c r="K644" s="398"/>
      <c r="L644"/>
      <c r="N644" s="567"/>
    </row>
    <row r="645" spans="2:14">
      <c r="B645" s="127" t="str">
        <f t="shared" ref="B645:B709" si="22">LEFT(D645,10)</f>
        <v xml:space="preserve">Division: </v>
      </c>
      <c r="C645" s="127" t="str">
        <f t="shared" ref="C645:C709" si="23">MID(D645,12,5)</f>
        <v xml:space="preserve">54 - </v>
      </c>
      <c r="D645" s="569" t="s">
        <v>1176</v>
      </c>
      <c r="E645" s="569"/>
      <c r="F645" s="576">
        <v>191383</v>
      </c>
      <c r="G645" s="576">
        <v>191383</v>
      </c>
      <c r="H645" s="577">
        <v>13830.91</v>
      </c>
      <c r="I645" s="576">
        <v>186003.67</v>
      </c>
      <c r="J645" s="577">
        <v>5379.33</v>
      </c>
      <c r="K645" s="578">
        <v>2.8107668915211902E-2</v>
      </c>
      <c r="L645" s="590"/>
      <c r="M645" s="591"/>
      <c r="N645" s="567"/>
    </row>
    <row r="646" spans="2:14">
      <c r="B646" s="127" t="str">
        <f t="shared" si="22"/>
        <v/>
      </c>
      <c r="C646" s="127" t="str">
        <f t="shared" si="23"/>
        <v/>
      </c>
      <c r="L646"/>
      <c r="N646" s="567"/>
    </row>
    <row r="647" spans="2:14">
      <c r="B647" s="127" t="str">
        <f t="shared" si="22"/>
        <v/>
      </c>
      <c r="C647" s="127" t="str">
        <f t="shared" si="23"/>
        <v/>
      </c>
      <c r="L647"/>
      <c r="N647" s="567"/>
    </row>
    <row r="648" spans="2:14">
      <c r="B648" s="127" t="str">
        <f t="shared" si="22"/>
        <v/>
      </c>
      <c r="C648" s="127" t="str">
        <f t="shared" si="23"/>
        <v/>
      </c>
      <c r="D648" s="579"/>
      <c r="E648" s="579"/>
      <c r="F648" s="579"/>
      <c r="G648" s="579"/>
      <c r="H648" s="579"/>
      <c r="I648" s="579"/>
      <c r="J648" s="579"/>
      <c r="K648" s="579"/>
      <c r="L648" s="592"/>
      <c r="M648" s="592"/>
      <c r="N648" s="567"/>
    </row>
    <row r="649" spans="2:14" ht="15.75" customHeight="1" thickBot="1">
      <c r="B649" s="127" t="str">
        <f t="shared" si="22"/>
        <v xml:space="preserve">9/25/2024 </v>
      </c>
      <c r="C649" s="127" t="str">
        <f t="shared" si="23"/>
        <v>:13:1</v>
      </c>
      <c r="D649" s="439" t="s">
        <v>2991</v>
      </c>
      <c r="E649" s="439"/>
      <c r="F649" s="440"/>
      <c r="G649" s="440"/>
      <c r="H649" s="440"/>
      <c r="I649" s="440"/>
      <c r="J649" s="439"/>
      <c r="K649" s="439"/>
      <c r="L649" s="593"/>
      <c r="N649" s="567"/>
    </row>
    <row r="650" spans="2:14" ht="34.5" customHeight="1">
      <c r="B650" s="127" t="str">
        <f t="shared" si="22"/>
        <v>Budget Rep</v>
      </c>
      <c r="C650" s="127" t="str">
        <f t="shared" si="23"/>
        <v>rt</v>
      </c>
      <c r="D650" s="441" t="s">
        <v>1122</v>
      </c>
      <c r="E650" s="441"/>
      <c r="F650" s="441"/>
      <c r="G650" s="442"/>
      <c r="H650" s="441"/>
      <c r="I650" s="441"/>
      <c r="J650" s="441"/>
      <c r="K650" s="441"/>
      <c r="L650" s="594"/>
      <c r="M650" s="594"/>
      <c r="N650" s="567"/>
    </row>
    <row r="651" spans="2:14">
      <c r="B651" s="127" t="str">
        <f t="shared" si="22"/>
        <v/>
      </c>
      <c r="C651" s="127" t="str">
        <f t="shared" si="23"/>
        <v/>
      </c>
      <c r="L651"/>
      <c r="N651" s="567"/>
    </row>
    <row r="652" spans="2:14" ht="31.8">
      <c r="B652" s="127" t="str">
        <f t="shared" si="22"/>
        <v/>
      </c>
      <c r="C652" s="127" t="str">
        <f t="shared" si="23"/>
        <v/>
      </c>
      <c r="J652" s="413" t="s">
        <v>1098</v>
      </c>
      <c r="L652"/>
      <c r="N652" s="567"/>
    </row>
    <row r="653" spans="2:14" ht="21.6">
      <c r="B653" s="127" t="str">
        <f t="shared" si="22"/>
        <v/>
      </c>
      <c r="C653" s="127" t="str">
        <f t="shared" si="23"/>
        <v/>
      </c>
      <c r="F653" s="413" t="s">
        <v>1099</v>
      </c>
      <c r="G653" s="413" t="s">
        <v>1100</v>
      </c>
      <c r="H653" s="568" t="s">
        <v>1101</v>
      </c>
      <c r="I653" s="413" t="s">
        <v>1102</v>
      </c>
      <c r="J653" s="413"/>
      <c r="K653" s="568" t="s">
        <v>1103</v>
      </c>
      <c r="L653" s="586"/>
      <c r="M653" s="540"/>
      <c r="N653" s="567"/>
    </row>
    <row r="654" spans="2:14">
      <c r="B654" s="127" t="str">
        <f t="shared" si="22"/>
        <v/>
      </c>
      <c r="C654" s="127" t="str">
        <f t="shared" si="23"/>
        <v/>
      </c>
      <c r="L654"/>
      <c r="N654" s="567"/>
    </row>
    <row r="655" spans="2:14">
      <c r="B655" s="127" t="str">
        <f t="shared" si="22"/>
        <v/>
      </c>
      <c r="C655" s="127" t="str">
        <f t="shared" si="23"/>
        <v/>
      </c>
      <c r="E655" s="569"/>
      <c r="F655" s="569"/>
      <c r="G655" s="569"/>
      <c r="H655" s="569"/>
      <c r="I655" s="569"/>
      <c r="J655" s="569"/>
      <c r="K655" s="569"/>
      <c r="L655" s="587"/>
      <c r="M655" s="587"/>
      <c r="N655" s="567"/>
    </row>
    <row r="656" spans="2:14">
      <c r="B656" s="127" t="str">
        <f t="shared" si="22"/>
        <v/>
      </c>
      <c r="C656" s="127" t="str">
        <f t="shared" si="23"/>
        <v/>
      </c>
      <c r="E656" s="569"/>
      <c r="F656" s="569"/>
      <c r="G656" s="569"/>
      <c r="H656" s="569"/>
      <c r="I656" s="569"/>
      <c r="J656" s="569"/>
      <c r="K656" s="569"/>
      <c r="L656" s="587"/>
      <c r="M656" s="587"/>
      <c r="N656" s="567"/>
    </row>
    <row r="657" spans="2:14">
      <c r="B657" s="127" t="str">
        <f t="shared" si="22"/>
        <v>125-65-655</v>
      </c>
      <c r="C657" s="127" t="str">
        <f t="shared" si="23"/>
        <v>50101</v>
      </c>
      <c r="D657" s="570" t="s">
        <v>600</v>
      </c>
      <c r="E657" s="396" t="s">
        <v>316</v>
      </c>
      <c r="F657" s="414">
        <v>59798</v>
      </c>
      <c r="G657" s="414">
        <v>59798</v>
      </c>
      <c r="H657" s="571">
        <v>4599.0600000000004</v>
      </c>
      <c r="I657" s="414">
        <v>57304.29</v>
      </c>
      <c r="J657" s="571">
        <v>2493.71</v>
      </c>
      <c r="K657" s="572">
        <v>4.17</v>
      </c>
      <c r="L657" s="588"/>
      <c r="M657" s="589"/>
      <c r="N657" s="567"/>
    </row>
    <row r="658" spans="2:14">
      <c r="B658" s="127" t="str">
        <f t="shared" si="22"/>
        <v>125-65-655</v>
      </c>
      <c r="C658" s="127" t="str">
        <f t="shared" si="23"/>
        <v>50111</v>
      </c>
      <c r="D658" s="570" t="s">
        <v>1908</v>
      </c>
      <c r="E658" s="396" t="s">
        <v>318</v>
      </c>
      <c r="F658" s="414">
        <v>339</v>
      </c>
      <c r="G658" s="414">
        <v>339</v>
      </c>
      <c r="H658" s="571">
        <v>0</v>
      </c>
      <c r="I658" s="414">
        <v>335</v>
      </c>
      <c r="J658" s="571">
        <v>4</v>
      </c>
      <c r="K658" s="572">
        <v>1.18</v>
      </c>
      <c r="L658" s="588"/>
      <c r="M658" s="589"/>
      <c r="N658" s="567"/>
    </row>
    <row r="659" spans="2:14">
      <c r="B659" s="127" t="str">
        <f t="shared" si="22"/>
        <v>125-65-655</v>
      </c>
      <c r="C659" s="127" t="str">
        <f t="shared" si="23"/>
        <v>50610</v>
      </c>
      <c r="D659" s="570" t="s">
        <v>889</v>
      </c>
      <c r="E659" s="396" t="s">
        <v>320</v>
      </c>
      <c r="F659" s="414">
        <v>6770</v>
      </c>
      <c r="G659" s="414">
        <v>6770</v>
      </c>
      <c r="H659" s="571">
        <v>419.93</v>
      </c>
      <c r="I659" s="414">
        <v>5279.54</v>
      </c>
      <c r="J659" s="571">
        <v>1490.46</v>
      </c>
      <c r="K659" s="572">
        <v>22.02</v>
      </c>
      <c r="L659" s="588"/>
      <c r="M659" s="589"/>
      <c r="N659" s="567"/>
    </row>
    <row r="660" spans="2:14">
      <c r="B660" s="127" t="str">
        <f t="shared" si="22"/>
        <v>125-65-655</v>
      </c>
      <c r="C660" s="127" t="str">
        <f t="shared" si="23"/>
        <v>50620</v>
      </c>
      <c r="D660" s="570" t="s">
        <v>890</v>
      </c>
      <c r="E660" s="396" t="s">
        <v>321</v>
      </c>
      <c r="F660" s="414">
        <v>18411</v>
      </c>
      <c r="G660" s="414">
        <v>18411</v>
      </c>
      <c r="H660" s="571">
        <v>979</v>
      </c>
      <c r="I660" s="414">
        <v>11219.34</v>
      </c>
      <c r="J660" s="571">
        <v>7191.66</v>
      </c>
      <c r="K660" s="572">
        <v>39.06</v>
      </c>
      <c r="L660" s="588"/>
      <c r="M660" s="589"/>
      <c r="N660" s="567"/>
    </row>
    <row r="661" spans="2:14">
      <c r="B661" s="127" t="str">
        <f t="shared" si="22"/>
        <v>125-65-655</v>
      </c>
      <c r="C661" s="127" t="str">
        <f t="shared" si="23"/>
        <v>50630</v>
      </c>
      <c r="D661" s="570" t="s">
        <v>891</v>
      </c>
      <c r="E661" s="396" t="s">
        <v>322</v>
      </c>
      <c r="F661" s="414">
        <v>1259</v>
      </c>
      <c r="G661" s="414">
        <v>1259</v>
      </c>
      <c r="H661" s="571">
        <v>0</v>
      </c>
      <c r="I661" s="414">
        <v>1257.97</v>
      </c>
      <c r="J661" s="571">
        <v>1.03</v>
      </c>
      <c r="K661" s="572">
        <v>0.08</v>
      </c>
      <c r="L661" s="588"/>
      <c r="M661" s="589"/>
      <c r="N661" s="567"/>
    </row>
    <row r="662" spans="2:14">
      <c r="B662" s="127" t="str">
        <f t="shared" si="22"/>
        <v>125-65-655</v>
      </c>
      <c r="C662" s="127" t="str">
        <f t="shared" si="23"/>
        <v>50650</v>
      </c>
      <c r="D662" s="570" t="s">
        <v>892</v>
      </c>
      <c r="E662" s="396" t="s">
        <v>323</v>
      </c>
      <c r="F662" s="573">
        <v>10118</v>
      </c>
      <c r="G662" s="573">
        <v>10118</v>
      </c>
      <c r="H662" s="574">
        <v>780</v>
      </c>
      <c r="I662" s="573">
        <v>9700.2199999999993</v>
      </c>
      <c r="J662" s="574">
        <v>417.78</v>
      </c>
      <c r="K662" s="575">
        <v>4.13</v>
      </c>
      <c r="L662" s="588"/>
      <c r="M662" s="589"/>
      <c r="N662" s="567"/>
    </row>
    <row r="663" spans="2:14">
      <c r="B663" s="127" t="str">
        <f t="shared" si="22"/>
        <v xml:space="preserve">Category: </v>
      </c>
      <c r="C663" s="127" t="str">
        <f t="shared" si="23"/>
        <v>0 - P</v>
      </c>
      <c r="D663" s="569" t="s">
        <v>1123</v>
      </c>
      <c r="E663" s="569"/>
      <c r="F663" s="576">
        <v>96695</v>
      </c>
      <c r="G663" s="576">
        <v>96695</v>
      </c>
      <c r="H663" s="577">
        <v>6777.99</v>
      </c>
      <c r="I663" s="576">
        <v>85096.36</v>
      </c>
      <c r="J663" s="577">
        <v>11598.64</v>
      </c>
      <c r="K663" s="578">
        <v>0.11995077304927899</v>
      </c>
      <c r="L663" s="590"/>
      <c r="M663" s="591"/>
      <c r="N663" s="567"/>
    </row>
    <row r="664" spans="2:14">
      <c r="B664" s="127" t="str">
        <f t="shared" si="22"/>
        <v/>
      </c>
      <c r="C664" s="127" t="str">
        <f t="shared" si="23"/>
        <v/>
      </c>
      <c r="F664" s="398"/>
      <c r="G664" s="398"/>
      <c r="H664" s="398"/>
      <c r="I664" s="398"/>
      <c r="J664" s="398"/>
      <c r="K664" s="398"/>
      <c r="L664"/>
      <c r="N664" s="567"/>
    </row>
    <row r="665" spans="2:14">
      <c r="B665" s="127" t="str">
        <f t="shared" si="22"/>
        <v xml:space="preserve">Division: </v>
      </c>
      <c r="C665" s="127" t="str">
        <f t="shared" si="23"/>
        <v xml:space="preserve">55 - </v>
      </c>
      <c r="D665" s="569" t="s">
        <v>1177</v>
      </c>
      <c r="E665" s="569"/>
      <c r="F665" s="576">
        <v>96695</v>
      </c>
      <c r="G665" s="576">
        <v>96695</v>
      </c>
      <c r="H665" s="577">
        <v>6777.99</v>
      </c>
      <c r="I665" s="576">
        <v>85096.36</v>
      </c>
      <c r="J665" s="577">
        <v>11598.64</v>
      </c>
      <c r="K665" s="578">
        <v>0.11995077304927899</v>
      </c>
      <c r="L665" s="590"/>
      <c r="M665" s="591"/>
      <c r="N665" s="567"/>
    </row>
    <row r="666" spans="2:14">
      <c r="B666" s="127" t="str">
        <f t="shared" si="22"/>
        <v/>
      </c>
      <c r="C666" s="127" t="str">
        <f t="shared" si="23"/>
        <v/>
      </c>
      <c r="L666"/>
      <c r="N666" s="567"/>
    </row>
    <row r="667" spans="2:14">
      <c r="B667" s="127" t="str">
        <f t="shared" si="22"/>
        <v/>
      </c>
      <c r="C667" s="127" t="str">
        <f t="shared" si="23"/>
        <v/>
      </c>
      <c r="E667" s="569"/>
      <c r="F667" s="569"/>
      <c r="G667" s="569"/>
      <c r="H667" s="569"/>
      <c r="I667" s="569"/>
      <c r="J667" s="569"/>
      <c r="K667" s="569"/>
      <c r="L667" s="587"/>
      <c r="M667" s="587"/>
      <c r="N667" s="567"/>
    </row>
    <row r="668" spans="2:14">
      <c r="B668" s="127" t="str">
        <f t="shared" si="22"/>
        <v/>
      </c>
      <c r="C668" s="127" t="str">
        <f t="shared" si="23"/>
        <v/>
      </c>
      <c r="E668" s="569"/>
      <c r="F668" s="569"/>
      <c r="G668" s="569"/>
      <c r="H668" s="569"/>
      <c r="I668" s="569"/>
      <c r="J668" s="569"/>
      <c r="K668" s="569"/>
      <c r="L668" s="587"/>
      <c r="M668" s="587"/>
      <c r="N668" s="567"/>
    </row>
    <row r="669" spans="2:14">
      <c r="B669" s="127" t="str">
        <f t="shared" si="22"/>
        <v>125-65-656</v>
      </c>
      <c r="C669" s="127" t="str">
        <f t="shared" si="23"/>
        <v>50101</v>
      </c>
      <c r="D669" s="570" t="s">
        <v>572</v>
      </c>
      <c r="E669" s="396" t="s">
        <v>316</v>
      </c>
      <c r="F669" s="414">
        <v>63307</v>
      </c>
      <c r="G669" s="414">
        <v>63307</v>
      </c>
      <c r="H669" s="571">
        <v>4414</v>
      </c>
      <c r="I669" s="414">
        <v>60656.89</v>
      </c>
      <c r="J669" s="571">
        <v>2650.11</v>
      </c>
      <c r="K669" s="572">
        <v>4.1900000000000004</v>
      </c>
      <c r="L669" s="588"/>
      <c r="M669" s="589"/>
      <c r="N669" s="567"/>
    </row>
    <row r="670" spans="2:14">
      <c r="B670" s="127" t="str">
        <f t="shared" si="22"/>
        <v>125-65-656</v>
      </c>
      <c r="C670" s="127" t="str">
        <f t="shared" si="23"/>
        <v>50109</v>
      </c>
      <c r="D670" s="570" t="s">
        <v>528</v>
      </c>
      <c r="E670" s="396" t="s">
        <v>12</v>
      </c>
      <c r="F670" s="414">
        <v>800</v>
      </c>
      <c r="G670" s="414">
        <v>800</v>
      </c>
      <c r="H670" s="571">
        <v>0</v>
      </c>
      <c r="I670" s="414">
        <v>0</v>
      </c>
      <c r="J670" s="571">
        <v>800</v>
      </c>
      <c r="K670" s="572">
        <v>100</v>
      </c>
      <c r="L670" s="588"/>
      <c r="M670" s="589"/>
      <c r="N670" s="567"/>
    </row>
    <row r="671" spans="2:14">
      <c r="B671" s="127" t="str">
        <f t="shared" si="22"/>
        <v>125-65-656</v>
      </c>
      <c r="C671" s="127" t="str">
        <f t="shared" si="23"/>
        <v>50111</v>
      </c>
      <c r="D671" s="570" t="s">
        <v>545</v>
      </c>
      <c r="E671" s="396" t="s">
        <v>318</v>
      </c>
      <c r="F671" s="414">
        <v>434</v>
      </c>
      <c r="G671" s="414">
        <v>434</v>
      </c>
      <c r="H671" s="571">
        <v>0</v>
      </c>
      <c r="I671" s="414">
        <v>430</v>
      </c>
      <c r="J671" s="571">
        <v>4</v>
      </c>
      <c r="K671" s="572">
        <v>0.92</v>
      </c>
      <c r="L671" s="588"/>
      <c r="M671" s="589"/>
      <c r="N671" s="567"/>
    </row>
    <row r="672" spans="2:14">
      <c r="B672" s="127" t="str">
        <f t="shared" si="22"/>
        <v>125-65-656</v>
      </c>
      <c r="C672" s="127" t="str">
        <f t="shared" si="23"/>
        <v>50610</v>
      </c>
      <c r="D672" s="570" t="s">
        <v>894</v>
      </c>
      <c r="E672" s="396" t="s">
        <v>320</v>
      </c>
      <c r="F672" s="414">
        <v>19600</v>
      </c>
      <c r="G672" s="414">
        <v>19600</v>
      </c>
      <c r="H672" s="571">
        <v>1544.88</v>
      </c>
      <c r="I672" s="414">
        <v>19798.650000000001</v>
      </c>
      <c r="J672" s="571">
        <v>-198.65</v>
      </c>
      <c r="K672" s="572">
        <v>-1.01</v>
      </c>
      <c r="L672" s="588"/>
      <c r="M672" s="589"/>
      <c r="N672" s="567"/>
    </row>
    <row r="673" spans="2:14">
      <c r="B673" s="127" t="str">
        <f t="shared" si="22"/>
        <v>125-65-656</v>
      </c>
      <c r="C673" s="127" t="str">
        <f t="shared" si="23"/>
        <v>50620</v>
      </c>
      <c r="D673" s="570" t="s">
        <v>718</v>
      </c>
      <c r="E673" s="396" t="s">
        <v>321</v>
      </c>
      <c r="F673" s="414">
        <v>1490</v>
      </c>
      <c r="G673" s="414">
        <v>1490</v>
      </c>
      <c r="H673" s="571">
        <v>813.04</v>
      </c>
      <c r="I673" s="414">
        <v>1792.05</v>
      </c>
      <c r="J673" s="571">
        <v>-302.05</v>
      </c>
      <c r="K673" s="572">
        <v>-20.27</v>
      </c>
      <c r="L673" s="588"/>
      <c r="M673" s="589"/>
      <c r="N673" s="567"/>
    </row>
    <row r="674" spans="2:14">
      <c r="B674" s="127" t="str">
        <f t="shared" si="22"/>
        <v>125-65-656</v>
      </c>
      <c r="C674" s="127" t="str">
        <f t="shared" si="23"/>
        <v>50630</v>
      </c>
      <c r="D674" s="570" t="s">
        <v>895</v>
      </c>
      <c r="E674" s="396" t="s">
        <v>322</v>
      </c>
      <c r="F674" s="414">
        <v>2486</v>
      </c>
      <c r="G674" s="414">
        <v>2486</v>
      </c>
      <c r="H674" s="571">
        <v>0</v>
      </c>
      <c r="I674" s="414">
        <v>2483.9699999999998</v>
      </c>
      <c r="J674" s="571">
        <v>2.0299999999999998</v>
      </c>
      <c r="K674" s="572">
        <v>0.08</v>
      </c>
      <c r="L674" s="588"/>
      <c r="M674" s="589"/>
      <c r="N674" s="567"/>
    </row>
    <row r="675" spans="2:14">
      <c r="B675" s="127" t="str">
        <f t="shared" si="22"/>
        <v>125-65-656</v>
      </c>
      <c r="C675" s="127" t="str">
        <f t="shared" si="23"/>
        <v>50650</v>
      </c>
      <c r="D675" s="570" t="s">
        <v>735</v>
      </c>
      <c r="E675" s="396" t="s">
        <v>323</v>
      </c>
      <c r="F675" s="573">
        <v>10807</v>
      </c>
      <c r="G675" s="573">
        <v>10807</v>
      </c>
      <c r="H675" s="574">
        <v>745.82</v>
      </c>
      <c r="I675" s="573">
        <v>10237.35</v>
      </c>
      <c r="J675" s="574">
        <v>569.65</v>
      </c>
      <c r="K675" s="575">
        <v>5.27</v>
      </c>
      <c r="L675" s="588"/>
      <c r="M675" s="589"/>
      <c r="N675" s="567"/>
    </row>
    <row r="676" spans="2:14">
      <c r="B676" s="127" t="str">
        <f t="shared" si="22"/>
        <v xml:space="preserve">Category: </v>
      </c>
      <c r="C676" s="127" t="str">
        <f t="shared" si="23"/>
        <v>0 - P</v>
      </c>
      <c r="D676" s="569" t="s">
        <v>1123</v>
      </c>
      <c r="E676" s="569"/>
      <c r="F676" s="576">
        <v>98924</v>
      </c>
      <c r="G676" s="576">
        <v>98924</v>
      </c>
      <c r="H676" s="577">
        <v>7517.74</v>
      </c>
      <c r="I676" s="576">
        <v>95398.91</v>
      </c>
      <c r="J676" s="577">
        <v>3525.09</v>
      </c>
      <c r="K676" s="578">
        <v>3.5634325340665601E-2</v>
      </c>
      <c r="L676" s="590"/>
      <c r="M676" s="591"/>
      <c r="N676" s="567"/>
    </row>
    <row r="677" spans="2:14">
      <c r="B677" s="127" t="str">
        <f t="shared" si="22"/>
        <v/>
      </c>
      <c r="C677" s="127" t="str">
        <f t="shared" si="23"/>
        <v/>
      </c>
      <c r="F677" s="398"/>
      <c r="G677" s="398"/>
      <c r="H677" s="398"/>
      <c r="I677" s="398"/>
      <c r="J677" s="398"/>
      <c r="K677" s="398"/>
      <c r="L677"/>
      <c r="N677" s="567"/>
    </row>
    <row r="678" spans="2:14">
      <c r="B678" s="127" t="str">
        <f t="shared" si="22"/>
        <v xml:space="preserve">Division: </v>
      </c>
      <c r="C678" s="127" t="str">
        <f t="shared" si="23"/>
        <v xml:space="preserve">56 - </v>
      </c>
      <c r="D678" s="569" t="s">
        <v>1178</v>
      </c>
      <c r="E678" s="569"/>
      <c r="F678" s="576">
        <v>98924</v>
      </c>
      <c r="G678" s="576">
        <v>98924</v>
      </c>
      <c r="H678" s="577">
        <v>7517.74</v>
      </c>
      <c r="I678" s="576">
        <v>95398.91</v>
      </c>
      <c r="J678" s="577">
        <v>3525.09</v>
      </c>
      <c r="K678" s="578">
        <v>3.5634325340665601E-2</v>
      </c>
      <c r="L678" s="590"/>
      <c r="M678" s="591"/>
      <c r="N678" s="567"/>
    </row>
    <row r="679" spans="2:14">
      <c r="B679" s="127" t="str">
        <f t="shared" si="22"/>
        <v/>
      </c>
      <c r="C679" s="127" t="str">
        <f t="shared" si="23"/>
        <v/>
      </c>
      <c r="F679" s="398"/>
      <c r="G679" s="398"/>
      <c r="H679" s="398"/>
      <c r="I679" s="398"/>
      <c r="J679" s="398"/>
      <c r="K679" s="398"/>
      <c r="L679"/>
      <c r="N679" s="567"/>
    </row>
    <row r="680" spans="2:14">
      <c r="B680" s="127" t="str">
        <f t="shared" si="22"/>
        <v>Department</v>
      </c>
      <c r="C680" s="127" t="str">
        <f t="shared" si="23"/>
        <v xml:space="preserve"> 65 -</v>
      </c>
      <c r="D680" s="569" t="s">
        <v>1179</v>
      </c>
      <c r="E680" s="569"/>
      <c r="F680" s="576">
        <v>928705</v>
      </c>
      <c r="G680" s="576">
        <v>928705</v>
      </c>
      <c r="H680" s="577">
        <v>66812.539999999994</v>
      </c>
      <c r="I680" s="576">
        <v>867856.19</v>
      </c>
      <c r="J680" s="577">
        <v>60848.81</v>
      </c>
      <c r="K680" s="578">
        <v>6.5520062883262203E-2</v>
      </c>
      <c r="L680" s="590"/>
      <c r="M680" s="591"/>
      <c r="N680" s="567"/>
    </row>
    <row r="681" spans="2:14">
      <c r="B681" s="127" t="str">
        <f t="shared" si="22"/>
        <v/>
      </c>
      <c r="C681" s="127" t="str">
        <f t="shared" si="23"/>
        <v/>
      </c>
      <c r="F681" s="398"/>
      <c r="G681" s="398"/>
      <c r="H681" s="398"/>
      <c r="I681" s="398"/>
      <c r="J681" s="398"/>
      <c r="K681" s="398"/>
      <c r="L681"/>
      <c r="N681" s="567"/>
    </row>
    <row r="682" spans="2:14">
      <c r="B682" s="127" t="str">
        <f t="shared" si="22"/>
        <v xml:space="preserve">Fund: 125 </v>
      </c>
      <c r="C682" s="127" t="str">
        <f t="shared" si="23"/>
        <v xml:space="preserve"> RECR</v>
      </c>
      <c r="D682" s="569" t="s">
        <v>1909</v>
      </c>
      <c r="E682" s="569"/>
      <c r="F682" s="576">
        <v>928705</v>
      </c>
      <c r="G682" s="576">
        <v>928705</v>
      </c>
      <c r="H682" s="577">
        <v>66812.539999999994</v>
      </c>
      <c r="I682" s="576">
        <v>867856.19</v>
      </c>
      <c r="J682" s="577">
        <v>60848.81</v>
      </c>
      <c r="K682" s="578">
        <v>6.5520062883262203E-2</v>
      </c>
      <c r="L682" s="590"/>
      <c r="M682" s="591"/>
      <c r="N682" s="567"/>
    </row>
    <row r="683" spans="2:14">
      <c r="B683" s="127" t="str">
        <f t="shared" si="22"/>
        <v/>
      </c>
      <c r="C683" s="127" t="str">
        <f t="shared" si="23"/>
        <v/>
      </c>
      <c r="L683"/>
      <c r="N683" s="567"/>
    </row>
    <row r="684" spans="2:14">
      <c r="B684" s="127" t="str">
        <f t="shared" si="22"/>
        <v xml:space="preserve">Fund: 200 </v>
      </c>
      <c r="C684" s="127" t="str">
        <f t="shared" si="23"/>
        <v xml:space="preserve"> WATE</v>
      </c>
      <c r="D684" s="569" t="s">
        <v>1109</v>
      </c>
      <c r="E684" s="569"/>
      <c r="F684" s="569"/>
      <c r="G684" s="569"/>
      <c r="H684" s="569"/>
      <c r="I684" s="569"/>
      <c r="J684" s="569"/>
      <c r="K684" s="569"/>
      <c r="L684" s="587"/>
      <c r="M684" s="587"/>
      <c r="N684" s="567"/>
    </row>
    <row r="685" spans="2:14">
      <c r="B685" s="127" t="str">
        <f t="shared" si="22"/>
        <v/>
      </c>
      <c r="C685" s="127" t="str">
        <f t="shared" si="23"/>
        <v/>
      </c>
      <c r="E685" s="569"/>
      <c r="F685" s="569"/>
      <c r="G685" s="569"/>
      <c r="H685" s="569"/>
      <c r="I685" s="569"/>
      <c r="J685" s="569"/>
      <c r="K685" s="569"/>
      <c r="L685" s="587"/>
      <c r="M685" s="587"/>
      <c r="N685" s="567"/>
    </row>
    <row r="686" spans="2:14">
      <c r="B686" s="127" t="str">
        <f t="shared" si="22"/>
        <v/>
      </c>
      <c r="C686" s="127" t="str">
        <f t="shared" si="23"/>
        <v/>
      </c>
      <c r="E686" s="569"/>
      <c r="F686" s="569"/>
      <c r="G686" s="569"/>
      <c r="H686" s="569"/>
      <c r="I686" s="569"/>
      <c r="J686" s="569"/>
      <c r="K686" s="569"/>
      <c r="L686" s="587"/>
      <c r="M686" s="587"/>
      <c r="N686" s="567"/>
    </row>
    <row r="687" spans="2:14">
      <c r="B687" s="127" t="str">
        <f t="shared" si="22"/>
        <v/>
      </c>
      <c r="C687" s="127" t="str">
        <f t="shared" si="23"/>
        <v/>
      </c>
      <c r="E687" s="569"/>
      <c r="F687" s="569"/>
      <c r="G687" s="569"/>
      <c r="H687" s="569"/>
      <c r="I687" s="569"/>
      <c r="J687" s="569"/>
      <c r="K687" s="569"/>
      <c r="L687" s="587"/>
      <c r="M687" s="587"/>
      <c r="N687" s="567"/>
    </row>
    <row r="688" spans="2:14">
      <c r="B688" s="127" t="str">
        <f t="shared" si="22"/>
        <v>200-70-701</v>
      </c>
      <c r="C688" s="127" t="str">
        <f t="shared" si="23"/>
        <v>50101</v>
      </c>
      <c r="D688" s="570" t="s">
        <v>590</v>
      </c>
      <c r="E688" s="396" t="s">
        <v>316</v>
      </c>
      <c r="F688" s="414">
        <v>171465</v>
      </c>
      <c r="G688" s="414">
        <v>171465</v>
      </c>
      <c r="H688" s="571">
        <v>10946</v>
      </c>
      <c r="I688" s="414">
        <v>136387.16</v>
      </c>
      <c r="J688" s="571">
        <v>35077.839999999997</v>
      </c>
      <c r="K688" s="572">
        <v>20.46</v>
      </c>
      <c r="L688" s="588"/>
      <c r="M688" s="589"/>
      <c r="N688" s="567"/>
    </row>
    <row r="689" spans="2:14">
      <c r="B689" s="127" t="str">
        <f t="shared" si="22"/>
        <v>200-70-701</v>
      </c>
      <c r="C689" s="127" t="str">
        <f t="shared" si="23"/>
        <v>50102</v>
      </c>
      <c r="D689" s="570" t="s">
        <v>612</v>
      </c>
      <c r="E689" s="396" t="s">
        <v>317</v>
      </c>
      <c r="F689" s="414">
        <v>223468</v>
      </c>
      <c r="G689" s="414">
        <v>223468</v>
      </c>
      <c r="H689" s="571">
        <v>16861.62</v>
      </c>
      <c r="I689" s="414">
        <v>211416.95999999999</v>
      </c>
      <c r="J689" s="571">
        <v>12051.04</v>
      </c>
      <c r="K689" s="572">
        <v>5.39</v>
      </c>
      <c r="L689" s="588"/>
      <c r="M689" s="589"/>
      <c r="N689" s="567"/>
    </row>
    <row r="690" spans="2:14">
      <c r="B690" s="127" t="str">
        <f t="shared" si="22"/>
        <v>200-70-701</v>
      </c>
      <c r="C690" s="127" t="str">
        <f t="shared" si="23"/>
        <v>50109</v>
      </c>
      <c r="D690" s="570" t="s">
        <v>613</v>
      </c>
      <c r="E690" s="396" t="s">
        <v>12</v>
      </c>
      <c r="F690" s="414">
        <v>40000</v>
      </c>
      <c r="G690" s="414">
        <v>40000</v>
      </c>
      <c r="H690" s="571">
        <v>4185.7299999999996</v>
      </c>
      <c r="I690" s="414">
        <v>37578.800000000003</v>
      </c>
      <c r="J690" s="571">
        <v>2421.1999999999998</v>
      </c>
      <c r="K690" s="572">
        <v>6.05</v>
      </c>
      <c r="L690" s="588"/>
      <c r="M690" s="589"/>
      <c r="N690" s="567"/>
    </row>
    <row r="691" spans="2:14">
      <c r="B691" s="127" t="str">
        <f t="shared" si="22"/>
        <v>200-70-701</v>
      </c>
      <c r="C691" s="127" t="str">
        <f t="shared" si="23"/>
        <v>50111</v>
      </c>
      <c r="D691" s="570" t="s">
        <v>611</v>
      </c>
      <c r="E691" s="396" t="s">
        <v>318</v>
      </c>
      <c r="F691" s="414">
        <v>3799</v>
      </c>
      <c r="G691" s="414">
        <v>3799</v>
      </c>
      <c r="H691" s="571">
        <v>0</v>
      </c>
      <c r="I691" s="414">
        <v>3695</v>
      </c>
      <c r="J691" s="571">
        <v>104</v>
      </c>
      <c r="K691" s="572">
        <v>2.74</v>
      </c>
      <c r="L691" s="588"/>
      <c r="M691" s="589"/>
      <c r="N691" s="567"/>
    </row>
    <row r="692" spans="2:14">
      <c r="B692" s="127" t="str">
        <f t="shared" ref="B692" si="24">LEFT(D692,10)</f>
        <v>200-70-701</v>
      </c>
      <c r="C692" s="127" t="str">
        <f t="shared" ref="C692" si="25">MID(D692,12,5)</f>
        <v>50115</v>
      </c>
      <c r="D692" s="570" t="s">
        <v>747</v>
      </c>
      <c r="E692" s="396" t="s">
        <v>325</v>
      </c>
      <c r="F692" s="414">
        <v>600</v>
      </c>
      <c r="G692" s="414">
        <v>600</v>
      </c>
      <c r="H692" s="571">
        <v>0</v>
      </c>
      <c r="I692" s="414">
        <v>0</v>
      </c>
      <c r="J692" s="571">
        <v>600</v>
      </c>
      <c r="K692" s="572">
        <v>100</v>
      </c>
      <c r="L692" s="588"/>
      <c r="M692" s="589"/>
      <c r="N692" s="567"/>
    </row>
    <row r="693" spans="2:14">
      <c r="B693" s="127" t="str">
        <f t="shared" si="22"/>
        <v>200-70-701</v>
      </c>
      <c r="C693" s="127" t="str">
        <f t="shared" si="23"/>
        <v>50610</v>
      </c>
      <c r="D693" s="570" t="s">
        <v>896</v>
      </c>
      <c r="E693" s="396" t="s">
        <v>320</v>
      </c>
      <c r="F693" s="414">
        <v>35120</v>
      </c>
      <c r="G693" s="414">
        <v>35120</v>
      </c>
      <c r="H693" s="571">
        <v>2425.73</v>
      </c>
      <c r="I693" s="414">
        <v>29520.75</v>
      </c>
      <c r="J693" s="571">
        <v>5599.25</v>
      </c>
      <c r="K693" s="572">
        <v>15.94</v>
      </c>
      <c r="L693" s="588"/>
      <c r="M693" s="589"/>
      <c r="N693" s="567"/>
    </row>
    <row r="694" spans="2:14">
      <c r="B694" s="127" t="str">
        <f t="shared" si="22"/>
        <v>200-70-701</v>
      </c>
      <c r="C694" s="127" t="str">
        <f t="shared" si="23"/>
        <v>50620</v>
      </c>
      <c r="D694" s="570" t="s">
        <v>685</v>
      </c>
      <c r="E694" s="396" t="s">
        <v>321</v>
      </c>
      <c r="F694" s="414">
        <v>97445</v>
      </c>
      <c r="G694" s="414">
        <v>97445</v>
      </c>
      <c r="H694" s="571">
        <v>7427.48</v>
      </c>
      <c r="I694" s="414">
        <v>84513.56</v>
      </c>
      <c r="J694" s="571">
        <v>12931.44</v>
      </c>
      <c r="K694" s="572">
        <v>13.27</v>
      </c>
      <c r="L694" s="588"/>
      <c r="M694" s="589"/>
      <c r="N694" s="567"/>
    </row>
    <row r="695" spans="2:14">
      <c r="B695" s="127" t="str">
        <f t="shared" si="22"/>
        <v>200-70-701</v>
      </c>
      <c r="C695" s="127" t="str">
        <f t="shared" si="23"/>
        <v>50630</v>
      </c>
      <c r="D695" s="570" t="s">
        <v>897</v>
      </c>
      <c r="E695" s="396" t="s">
        <v>322</v>
      </c>
      <c r="F695" s="414">
        <v>1624</v>
      </c>
      <c r="G695" s="414">
        <v>1624</v>
      </c>
      <c r="H695" s="571">
        <v>0</v>
      </c>
      <c r="I695" s="414">
        <v>1622.68</v>
      </c>
      <c r="J695" s="571">
        <v>1.32</v>
      </c>
      <c r="K695" s="572">
        <v>0.08</v>
      </c>
      <c r="L695" s="588"/>
      <c r="M695" s="589"/>
      <c r="N695" s="567"/>
    </row>
    <row r="696" spans="2:14">
      <c r="B696" s="127" t="str">
        <f t="shared" si="22"/>
        <v>200-70-701</v>
      </c>
      <c r="C696" s="127" t="str">
        <f t="shared" si="23"/>
        <v>50650</v>
      </c>
      <c r="D696" s="570" t="s">
        <v>743</v>
      </c>
      <c r="E696" s="396" t="s">
        <v>323</v>
      </c>
      <c r="F696" s="573">
        <v>73110</v>
      </c>
      <c r="G696" s="573">
        <v>73110</v>
      </c>
      <c r="H696" s="574">
        <v>5389.14</v>
      </c>
      <c r="I696" s="573">
        <v>64935.53</v>
      </c>
      <c r="J696" s="574">
        <v>8174.47</v>
      </c>
      <c r="K696" s="575">
        <v>11.18</v>
      </c>
      <c r="L696" s="588"/>
      <c r="M696" s="589"/>
      <c r="N696" s="567"/>
    </row>
    <row r="697" spans="2:14">
      <c r="B697" s="127" t="str">
        <f t="shared" si="22"/>
        <v xml:space="preserve">Category: </v>
      </c>
      <c r="C697" s="127" t="str">
        <f t="shared" si="23"/>
        <v>0 - P</v>
      </c>
      <c r="D697" s="569" t="s">
        <v>1123</v>
      </c>
      <c r="E697" s="569"/>
      <c r="F697" s="576">
        <v>646631</v>
      </c>
      <c r="G697" s="576">
        <v>646631</v>
      </c>
      <c r="H697" s="577">
        <v>47235.7</v>
      </c>
      <c r="I697" s="576">
        <v>569670.43999999994</v>
      </c>
      <c r="J697" s="577">
        <v>76960.56</v>
      </c>
      <c r="K697" s="578">
        <v>0.119017739638217</v>
      </c>
      <c r="L697" s="590"/>
      <c r="M697" s="591"/>
      <c r="N697" s="567"/>
    </row>
    <row r="698" spans="2:14">
      <c r="B698" s="127" t="str">
        <f t="shared" si="22"/>
        <v/>
      </c>
      <c r="C698" s="127" t="str">
        <f t="shared" si="23"/>
        <v/>
      </c>
      <c r="F698" s="398"/>
      <c r="G698" s="398"/>
      <c r="H698" s="398"/>
      <c r="I698" s="398"/>
      <c r="J698" s="398"/>
      <c r="K698" s="398"/>
      <c r="L698"/>
      <c r="N698" s="567"/>
    </row>
    <row r="699" spans="2:14">
      <c r="B699" s="127" t="str">
        <f t="shared" si="22"/>
        <v xml:space="preserve">Division: </v>
      </c>
      <c r="C699" s="127" t="str">
        <f t="shared" si="23"/>
        <v xml:space="preserve">01 - </v>
      </c>
      <c r="D699" s="569" t="s">
        <v>1180</v>
      </c>
      <c r="E699" s="569"/>
      <c r="F699" s="576">
        <v>646631</v>
      </c>
      <c r="G699" s="576">
        <v>646631</v>
      </c>
      <c r="H699" s="577">
        <v>47235.7</v>
      </c>
      <c r="I699" s="576">
        <v>569670.43999999994</v>
      </c>
      <c r="J699" s="577">
        <v>76960.56</v>
      </c>
      <c r="K699" s="578">
        <v>0.119017739638217</v>
      </c>
      <c r="L699" s="590"/>
      <c r="M699" s="591"/>
      <c r="N699" s="567"/>
    </row>
    <row r="700" spans="2:14">
      <c r="B700" s="127" t="str">
        <f t="shared" si="22"/>
        <v/>
      </c>
      <c r="C700" s="127" t="str">
        <f t="shared" si="23"/>
        <v/>
      </c>
      <c r="F700" s="398"/>
      <c r="G700" s="398"/>
      <c r="H700" s="398"/>
      <c r="I700" s="398"/>
      <c r="J700" s="398"/>
      <c r="K700" s="398"/>
      <c r="L700"/>
      <c r="N700" s="567"/>
    </row>
    <row r="701" spans="2:14">
      <c r="B701" s="127" t="str">
        <f t="shared" si="22"/>
        <v>Department</v>
      </c>
      <c r="C701" s="127" t="str">
        <f t="shared" si="23"/>
        <v xml:space="preserve"> 70 -</v>
      </c>
      <c r="D701" s="569" t="s">
        <v>1181</v>
      </c>
      <c r="E701" s="569"/>
      <c r="F701" s="576">
        <v>646631</v>
      </c>
      <c r="G701" s="576">
        <v>646631</v>
      </c>
      <c r="H701" s="577">
        <v>47235.7</v>
      </c>
      <c r="I701" s="576">
        <v>569670.43999999994</v>
      </c>
      <c r="J701" s="577">
        <v>76960.56</v>
      </c>
      <c r="K701" s="578">
        <v>0.119017739638217</v>
      </c>
      <c r="L701" s="590"/>
      <c r="M701" s="591"/>
      <c r="N701" s="567"/>
    </row>
    <row r="702" spans="2:14">
      <c r="B702" s="127" t="str">
        <f t="shared" si="22"/>
        <v/>
      </c>
      <c r="C702" s="127" t="str">
        <f t="shared" si="23"/>
        <v/>
      </c>
      <c r="L702"/>
      <c r="N702" s="567"/>
    </row>
    <row r="703" spans="2:14">
      <c r="B703" s="127" t="str">
        <f t="shared" si="22"/>
        <v/>
      </c>
      <c r="C703" s="127" t="str">
        <f t="shared" si="23"/>
        <v/>
      </c>
      <c r="E703" s="569"/>
      <c r="F703" s="569"/>
      <c r="G703" s="569"/>
      <c r="H703" s="569"/>
      <c r="I703" s="569"/>
      <c r="J703" s="569"/>
      <c r="K703" s="569"/>
      <c r="L703" s="587"/>
      <c r="M703" s="587"/>
      <c r="N703" s="567"/>
    </row>
    <row r="704" spans="2:14">
      <c r="B704" s="127" t="str">
        <f t="shared" si="22"/>
        <v/>
      </c>
      <c r="C704" s="127" t="str">
        <f t="shared" si="23"/>
        <v/>
      </c>
      <c r="E704" s="569"/>
      <c r="F704" s="569"/>
      <c r="G704" s="569"/>
      <c r="H704" s="569"/>
      <c r="I704" s="569"/>
      <c r="J704" s="569"/>
      <c r="K704" s="569"/>
      <c r="L704" s="587"/>
      <c r="M704" s="587"/>
      <c r="N704" s="567"/>
    </row>
    <row r="705" spans="2:14">
      <c r="B705" s="127" t="str">
        <f t="shared" si="22"/>
        <v/>
      </c>
      <c r="C705" s="127" t="str">
        <f t="shared" si="23"/>
        <v/>
      </c>
      <c r="E705" s="569"/>
      <c r="F705" s="569"/>
      <c r="G705" s="569"/>
      <c r="H705" s="569"/>
      <c r="I705" s="569"/>
      <c r="J705" s="569"/>
      <c r="K705" s="569"/>
      <c r="L705" s="587"/>
      <c r="M705" s="587"/>
      <c r="N705" s="567"/>
    </row>
    <row r="706" spans="2:14">
      <c r="B706" s="127" t="str">
        <f t="shared" si="22"/>
        <v>200-71-711</v>
      </c>
      <c r="C706" s="127" t="str">
        <f t="shared" si="23"/>
        <v>50101</v>
      </c>
      <c r="D706" s="570" t="s">
        <v>521</v>
      </c>
      <c r="E706" s="396" t="s">
        <v>316</v>
      </c>
      <c r="F706" s="414">
        <v>225455</v>
      </c>
      <c r="G706" s="414">
        <v>225455</v>
      </c>
      <c r="H706" s="571">
        <v>11302.06</v>
      </c>
      <c r="I706" s="414">
        <v>205798.05</v>
      </c>
      <c r="J706" s="571">
        <v>19656.95</v>
      </c>
      <c r="K706" s="572">
        <v>8.7200000000000006</v>
      </c>
      <c r="L706" s="588"/>
      <c r="M706" s="589"/>
      <c r="N706" s="567"/>
    </row>
    <row r="707" spans="2:14">
      <c r="B707" s="127" t="str">
        <f t="shared" si="22"/>
        <v>200-71-711</v>
      </c>
      <c r="C707" s="127" t="str">
        <f t="shared" si="23"/>
        <v>50102</v>
      </c>
      <c r="D707" s="570" t="s">
        <v>609</v>
      </c>
      <c r="E707" s="396" t="s">
        <v>317</v>
      </c>
      <c r="F707" s="414">
        <v>121011</v>
      </c>
      <c r="G707" s="414">
        <v>121011</v>
      </c>
      <c r="H707" s="571">
        <v>9307.2000000000007</v>
      </c>
      <c r="I707" s="414">
        <v>116067.8</v>
      </c>
      <c r="J707" s="571">
        <v>4943.2</v>
      </c>
      <c r="K707" s="572">
        <v>4.08</v>
      </c>
      <c r="L707" s="588"/>
      <c r="M707" s="589"/>
      <c r="N707" s="567"/>
    </row>
    <row r="708" spans="2:14">
      <c r="B708" s="127" t="str">
        <f t="shared" si="22"/>
        <v>200-71-711</v>
      </c>
      <c r="C708" s="127" t="str">
        <f t="shared" si="23"/>
        <v>50109</v>
      </c>
      <c r="D708" s="570" t="s">
        <v>610</v>
      </c>
      <c r="E708" s="396" t="s">
        <v>12</v>
      </c>
      <c r="F708" s="414">
        <v>1000</v>
      </c>
      <c r="G708" s="414">
        <v>1000</v>
      </c>
      <c r="H708" s="571">
        <v>7.29</v>
      </c>
      <c r="I708" s="414">
        <v>43.75</v>
      </c>
      <c r="J708" s="571">
        <v>956.25</v>
      </c>
      <c r="K708" s="572">
        <v>95.63</v>
      </c>
      <c r="L708" s="588"/>
      <c r="M708" s="589"/>
      <c r="N708" s="567"/>
    </row>
    <row r="709" spans="2:14">
      <c r="B709" s="127" t="str">
        <f t="shared" si="22"/>
        <v>200-71-711</v>
      </c>
      <c r="C709" s="127" t="str">
        <f t="shared" si="23"/>
        <v>50111</v>
      </c>
      <c r="D709" s="570" t="s">
        <v>522</v>
      </c>
      <c r="E709" s="396" t="s">
        <v>318</v>
      </c>
      <c r="F709" s="414">
        <v>2622</v>
      </c>
      <c r="G709" s="414">
        <v>2622</v>
      </c>
      <c r="H709" s="571">
        <v>0</v>
      </c>
      <c r="I709" s="414">
        <v>2610</v>
      </c>
      <c r="J709" s="571">
        <v>12</v>
      </c>
      <c r="K709" s="572">
        <v>0.46</v>
      </c>
      <c r="L709" s="588"/>
      <c r="M709" s="589"/>
      <c r="N709" s="567"/>
    </row>
    <row r="710" spans="2:14">
      <c r="B710" s="127" t="str">
        <f t="shared" ref="B710:B773" si="26">LEFT(D710,10)</f>
        <v>200-71-711</v>
      </c>
      <c r="C710" s="127" t="str">
        <f t="shared" ref="C710:C773" si="27">MID(D710,12,5)</f>
        <v>50610</v>
      </c>
      <c r="D710" s="570" t="s">
        <v>898</v>
      </c>
      <c r="E710" s="396" t="s">
        <v>320</v>
      </c>
      <c r="F710" s="414">
        <v>26810</v>
      </c>
      <c r="G710" s="414">
        <v>26810</v>
      </c>
      <c r="H710" s="571">
        <v>1505.78</v>
      </c>
      <c r="I710" s="414">
        <v>23925.21</v>
      </c>
      <c r="J710" s="571">
        <v>2884.79</v>
      </c>
      <c r="K710" s="572">
        <v>10.76</v>
      </c>
      <c r="L710" s="588"/>
      <c r="M710" s="589"/>
      <c r="N710" s="567"/>
    </row>
    <row r="711" spans="2:14">
      <c r="B711" s="127" t="str">
        <f t="shared" si="26"/>
        <v>200-71-711</v>
      </c>
      <c r="C711" s="127" t="str">
        <f t="shared" si="27"/>
        <v>50620</v>
      </c>
      <c r="D711" s="570" t="s">
        <v>674</v>
      </c>
      <c r="E711" s="396" t="s">
        <v>321</v>
      </c>
      <c r="F711" s="414">
        <v>69849</v>
      </c>
      <c r="G711" s="414">
        <v>69849</v>
      </c>
      <c r="H711" s="571">
        <v>5069.38</v>
      </c>
      <c r="I711" s="414">
        <v>65006.51</v>
      </c>
      <c r="J711" s="571">
        <v>4842.49</v>
      </c>
      <c r="K711" s="572">
        <v>6.93</v>
      </c>
      <c r="L711" s="588"/>
      <c r="M711" s="589"/>
      <c r="N711" s="567"/>
    </row>
    <row r="712" spans="2:14">
      <c r="B712" s="127" t="str">
        <f t="shared" si="26"/>
        <v>200-71-711</v>
      </c>
      <c r="C712" s="127" t="str">
        <f t="shared" si="27"/>
        <v>50630</v>
      </c>
      <c r="D712" s="570" t="s">
        <v>899</v>
      </c>
      <c r="E712" s="396" t="s">
        <v>322</v>
      </c>
      <c r="F712" s="414">
        <v>500</v>
      </c>
      <c r="G712" s="414">
        <v>500</v>
      </c>
      <c r="H712" s="571">
        <v>0</v>
      </c>
      <c r="I712" s="414">
        <v>499.6</v>
      </c>
      <c r="J712" s="571">
        <v>0.4</v>
      </c>
      <c r="K712" s="572">
        <v>0.08</v>
      </c>
      <c r="L712" s="588"/>
      <c r="M712" s="589"/>
      <c r="N712" s="567"/>
    </row>
    <row r="713" spans="2:14">
      <c r="B713" s="127" t="str">
        <f t="shared" si="26"/>
        <v>200-71-711</v>
      </c>
      <c r="C713" s="127" t="str">
        <f t="shared" si="27"/>
        <v>50650</v>
      </c>
      <c r="D713" s="570" t="s">
        <v>711</v>
      </c>
      <c r="E713" s="396" t="s">
        <v>323</v>
      </c>
      <c r="F713" s="573">
        <v>57904</v>
      </c>
      <c r="G713" s="573">
        <v>57904</v>
      </c>
      <c r="H713" s="574">
        <v>3436.81</v>
      </c>
      <c r="I713" s="573">
        <v>53712.62</v>
      </c>
      <c r="J713" s="574">
        <v>4191.38</v>
      </c>
      <c r="K713" s="575">
        <v>7.24</v>
      </c>
      <c r="L713" s="588"/>
      <c r="M713" s="589"/>
      <c r="N713" s="567"/>
    </row>
    <row r="714" spans="2:14">
      <c r="B714" s="127" t="str">
        <f t="shared" si="26"/>
        <v xml:space="preserve">Category: </v>
      </c>
      <c r="C714" s="127" t="str">
        <f t="shared" si="27"/>
        <v>0 - P</v>
      </c>
      <c r="D714" s="569" t="s">
        <v>1123</v>
      </c>
      <c r="E714" s="569"/>
      <c r="F714" s="576">
        <v>505151</v>
      </c>
      <c r="G714" s="576">
        <v>505151</v>
      </c>
      <c r="H714" s="577">
        <v>30628.52</v>
      </c>
      <c r="I714" s="576">
        <v>467663.54</v>
      </c>
      <c r="J714" s="577">
        <v>37487.46</v>
      </c>
      <c r="K714" s="578">
        <v>7.4210404413729794E-2</v>
      </c>
      <c r="L714" s="590"/>
      <c r="M714" s="591"/>
      <c r="N714" s="567"/>
    </row>
    <row r="715" spans="2:14">
      <c r="B715" s="127" t="str">
        <f t="shared" si="26"/>
        <v/>
      </c>
      <c r="C715" s="127" t="str">
        <f t="shared" si="27"/>
        <v/>
      </c>
      <c r="F715" s="398"/>
      <c r="G715" s="398"/>
      <c r="H715" s="398"/>
      <c r="I715" s="398"/>
      <c r="J715" s="398"/>
      <c r="K715" s="398"/>
      <c r="L715"/>
      <c r="N715" s="567"/>
    </row>
    <row r="716" spans="2:14">
      <c r="B716" s="127" t="str">
        <f t="shared" si="26"/>
        <v xml:space="preserve">Division: </v>
      </c>
      <c r="C716" s="127" t="str">
        <f t="shared" si="27"/>
        <v xml:space="preserve">11 - </v>
      </c>
      <c r="D716" s="569" t="s">
        <v>1192</v>
      </c>
      <c r="E716" s="569"/>
      <c r="F716" s="576">
        <v>505151</v>
      </c>
      <c r="G716" s="576">
        <v>505151</v>
      </c>
      <c r="H716" s="577">
        <v>30628.52</v>
      </c>
      <c r="I716" s="576">
        <v>467663.54</v>
      </c>
      <c r="J716" s="577">
        <v>37487.46</v>
      </c>
      <c r="K716" s="578">
        <v>7.4210404413729794E-2</v>
      </c>
      <c r="L716" s="590"/>
      <c r="M716" s="591"/>
      <c r="N716" s="567"/>
    </row>
    <row r="717" spans="2:14">
      <c r="B717" s="127" t="str">
        <f t="shared" si="26"/>
        <v/>
      </c>
      <c r="C717" s="127" t="str">
        <f t="shared" si="27"/>
        <v/>
      </c>
      <c r="L717"/>
      <c r="N717" s="567"/>
    </row>
    <row r="718" spans="2:14">
      <c r="B718" s="127" t="str">
        <f t="shared" si="26"/>
        <v/>
      </c>
      <c r="C718" s="127" t="str">
        <f t="shared" si="27"/>
        <v/>
      </c>
      <c r="E718" s="569"/>
      <c r="F718" s="569"/>
      <c r="G718" s="569"/>
      <c r="H718" s="569"/>
      <c r="I718" s="569"/>
      <c r="J718" s="569"/>
      <c r="K718" s="569"/>
      <c r="L718" s="587"/>
      <c r="M718" s="587"/>
      <c r="N718" s="567"/>
    </row>
    <row r="719" spans="2:14">
      <c r="B719" s="127" t="str">
        <f t="shared" si="26"/>
        <v/>
      </c>
      <c r="C719" s="127" t="str">
        <f t="shared" si="27"/>
        <v/>
      </c>
      <c r="E719" s="569"/>
      <c r="F719" s="569"/>
      <c r="G719" s="569"/>
      <c r="H719" s="569"/>
      <c r="I719" s="569"/>
      <c r="J719" s="569"/>
      <c r="K719" s="569"/>
      <c r="L719" s="587"/>
      <c r="M719" s="587"/>
      <c r="N719" s="567"/>
    </row>
    <row r="720" spans="2:14">
      <c r="B720" s="127" t="str">
        <f t="shared" si="26"/>
        <v>200-71-712</v>
      </c>
      <c r="C720" s="127" t="str">
        <f t="shared" si="27"/>
        <v>50102</v>
      </c>
      <c r="D720" s="570" t="s">
        <v>568</v>
      </c>
      <c r="E720" s="396" t="s">
        <v>317</v>
      </c>
      <c r="F720" s="414">
        <v>194877</v>
      </c>
      <c r="G720" s="414">
        <v>194877</v>
      </c>
      <c r="H720" s="571">
        <v>14992.01</v>
      </c>
      <c r="I720" s="414">
        <v>186803.95</v>
      </c>
      <c r="J720" s="571">
        <v>8073.05</v>
      </c>
      <c r="K720" s="572">
        <v>4.1399999999999997</v>
      </c>
      <c r="L720" s="588"/>
      <c r="M720" s="589"/>
      <c r="N720" s="567"/>
    </row>
    <row r="721" spans="2:14">
      <c r="B721" s="127" t="str">
        <f t="shared" si="26"/>
        <v/>
      </c>
      <c r="C721" s="127" t="str">
        <f t="shared" si="27"/>
        <v/>
      </c>
      <c r="D721" s="579"/>
      <c r="E721" s="579"/>
      <c r="F721" s="579"/>
      <c r="G721" s="579"/>
      <c r="H721" s="579"/>
      <c r="I721" s="579"/>
      <c r="J721" s="579"/>
      <c r="K721" s="579"/>
      <c r="L721" s="592"/>
      <c r="M721" s="592"/>
      <c r="N721" s="567"/>
    </row>
    <row r="722" spans="2:14" ht="15.75" customHeight="1" thickBot="1">
      <c r="B722" s="127" t="str">
        <f t="shared" si="26"/>
        <v xml:space="preserve">9/25/2024 </v>
      </c>
      <c r="C722" s="127" t="str">
        <f t="shared" si="27"/>
        <v>:13:1</v>
      </c>
      <c r="D722" s="439" t="s">
        <v>2991</v>
      </c>
      <c r="E722" s="439"/>
      <c r="F722" s="440"/>
      <c r="G722" s="440"/>
      <c r="H722" s="440"/>
      <c r="I722" s="440"/>
      <c r="J722" s="439"/>
      <c r="K722" s="439"/>
      <c r="L722" s="593"/>
      <c r="N722" s="567"/>
    </row>
    <row r="723" spans="2:14" ht="34.5" customHeight="1">
      <c r="B723" s="127" t="str">
        <f t="shared" si="26"/>
        <v>Budget Rep</v>
      </c>
      <c r="C723" s="127" t="str">
        <f t="shared" si="27"/>
        <v>rt</v>
      </c>
      <c r="D723" s="441" t="s">
        <v>1122</v>
      </c>
      <c r="E723" s="441"/>
      <c r="F723" s="441"/>
      <c r="G723" s="442"/>
      <c r="H723" s="441"/>
      <c r="I723" s="441"/>
      <c r="J723" s="441"/>
      <c r="K723" s="441"/>
      <c r="L723" s="594"/>
      <c r="M723" s="594"/>
      <c r="N723" s="567"/>
    </row>
    <row r="724" spans="2:14">
      <c r="B724" s="127" t="str">
        <f t="shared" si="26"/>
        <v/>
      </c>
      <c r="C724" s="127" t="str">
        <f t="shared" si="27"/>
        <v/>
      </c>
      <c r="L724"/>
      <c r="N724" s="567"/>
    </row>
    <row r="725" spans="2:14" ht="31.8">
      <c r="B725" s="127" t="str">
        <f t="shared" si="26"/>
        <v/>
      </c>
      <c r="C725" s="127" t="str">
        <f t="shared" si="27"/>
        <v/>
      </c>
      <c r="J725" s="413" t="s">
        <v>1098</v>
      </c>
      <c r="L725"/>
      <c r="N725" s="567"/>
    </row>
    <row r="726" spans="2:14" ht="21.6">
      <c r="B726" s="127" t="str">
        <f t="shared" si="26"/>
        <v/>
      </c>
      <c r="C726" s="127" t="str">
        <f t="shared" si="27"/>
        <v/>
      </c>
      <c r="F726" s="413" t="s">
        <v>1099</v>
      </c>
      <c r="G726" s="413" t="s">
        <v>1100</v>
      </c>
      <c r="H726" s="568" t="s">
        <v>1101</v>
      </c>
      <c r="I726" s="413" t="s">
        <v>1102</v>
      </c>
      <c r="J726" s="413"/>
      <c r="K726" s="568" t="s">
        <v>1103</v>
      </c>
      <c r="L726" s="586"/>
      <c r="M726" s="540"/>
      <c r="N726" s="567"/>
    </row>
    <row r="727" spans="2:14">
      <c r="B727" s="127" t="str">
        <f t="shared" si="26"/>
        <v/>
      </c>
      <c r="C727" s="127" t="str">
        <f t="shared" si="27"/>
        <v/>
      </c>
      <c r="L727"/>
      <c r="N727" s="567"/>
    </row>
    <row r="728" spans="2:14">
      <c r="B728" s="127" t="str">
        <f t="shared" si="26"/>
        <v>200-71-712</v>
      </c>
      <c r="C728" s="127" t="str">
        <f t="shared" si="27"/>
        <v>50109</v>
      </c>
      <c r="D728" s="570" t="s">
        <v>569</v>
      </c>
      <c r="E728" s="396" t="s">
        <v>12</v>
      </c>
      <c r="F728" s="414">
        <v>2000</v>
      </c>
      <c r="G728" s="414">
        <v>2000</v>
      </c>
      <c r="H728" s="571">
        <v>71.73</v>
      </c>
      <c r="I728" s="414">
        <v>801.72</v>
      </c>
      <c r="J728" s="571">
        <v>1198.28</v>
      </c>
      <c r="K728" s="572">
        <v>59.91</v>
      </c>
      <c r="L728" s="588"/>
      <c r="M728" s="589"/>
      <c r="N728" s="567"/>
    </row>
    <row r="729" spans="2:14">
      <c r="B729" s="127" t="str">
        <f t="shared" si="26"/>
        <v>200-71-712</v>
      </c>
      <c r="C729" s="127" t="str">
        <f t="shared" si="27"/>
        <v>50111</v>
      </c>
      <c r="D729" s="570" t="s">
        <v>570</v>
      </c>
      <c r="E729" s="396" t="s">
        <v>318</v>
      </c>
      <c r="F729" s="414">
        <v>2076</v>
      </c>
      <c r="G729" s="414">
        <v>2076</v>
      </c>
      <c r="H729" s="571">
        <v>0</v>
      </c>
      <c r="I729" s="414">
        <v>2045</v>
      </c>
      <c r="J729" s="571">
        <v>31</v>
      </c>
      <c r="K729" s="572">
        <v>1.49</v>
      </c>
      <c r="L729" s="588"/>
      <c r="M729" s="589"/>
      <c r="N729" s="567"/>
    </row>
    <row r="730" spans="2:14">
      <c r="B730" s="127" t="str">
        <f t="shared" si="26"/>
        <v>200-71-712</v>
      </c>
      <c r="C730" s="127" t="str">
        <f t="shared" si="27"/>
        <v>50115</v>
      </c>
      <c r="D730" s="570" t="s">
        <v>719</v>
      </c>
      <c r="E730" s="396" t="s">
        <v>325</v>
      </c>
      <c r="F730" s="414">
        <v>900</v>
      </c>
      <c r="G730" s="414">
        <v>900</v>
      </c>
      <c r="H730" s="571">
        <v>75</v>
      </c>
      <c r="I730" s="414">
        <v>859.5</v>
      </c>
      <c r="J730" s="571">
        <v>40.5</v>
      </c>
      <c r="K730" s="572">
        <v>4.5</v>
      </c>
      <c r="L730" s="588"/>
      <c r="M730" s="589"/>
      <c r="N730" s="567"/>
    </row>
    <row r="731" spans="2:14">
      <c r="B731" s="127" t="str">
        <f t="shared" si="26"/>
        <v>200-71-712</v>
      </c>
      <c r="C731" s="127" t="str">
        <f t="shared" si="27"/>
        <v>50610</v>
      </c>
      <c r="D731" s="570" t="s">
        <v>900</v>
      </c>
      <c r="E731" s="396" t="s">
        <v>320</v>
      </c>
      <c r="F731" s="414">
        <v>15330</v>
      </c>
      <c r="G731" s="414">
        <v>15330</v>
      </c>
      <c r="H731" s="571">
        <v>1023.92</v>
      </c>
      <c r="I731" s="414">
        <v>13197.29</v>
      </c>
      <c r="J731" s="571">
        <v>2132.71</v>
      </c>
      <c r="K731" s="572">
        <v>13.91</v>
      </c>
      <c r="L731" s="588"/>
      <c r="M731" s="589"/>
      <c r="N731" s="567"/>
    </row>
    <row r="732" spans="2:14">
      <c r="B732" s="127" t="str">
        <f t="shared" si="26"/>
        <v>200-71-712</v>
      </c>
      <c r="C732" s="127" t="str">
        <f t="shared" si="27"/>
        <v>50620</v>
      </c>
      <c r="D732" s="570" t="s">
        <v>752</v>
      </c>
      <c r="E732" s="396" t="s">
        <v>321</v>
      </c>
      <c r="F732" s="414">
        <v>83394</v>
      </c>
      <c r="G732" s="414">
        <v>83394</v>
      </c>
      <c r="H732" s="571">
        <v>6547.02</v>
      </c>
      <c r="I732" s="414">
        <v>74160.69</v>
      </c>
      <c r="J732" s="571">
        <v>9233.31</v>
      </c>
      <c r="K732" s="572">
        <v>11.07</v>
      </c>
      <c r="L732" s="588"/>
      <c r="M732" s="589"/>
      <c r="N732" s="567"/>
    </row>
    <row r="733" spans="2:14">
      <c r="B733" s="127" t="str">
        <f t="shared" si="26"/>
        <v>200-71-712</v>
      </c>
      <c r="C733" s="127" t="str">
        <f t="shared" si="27"/>
        <v>50630</v>
      </c>
      <c r="D733" s="570" t="s">
        <v>901</v>
      </c>
      <c r="E733" s="396" t="s">
        <v>322</v>
      </c>
      <c r="F733" s="414">
        <v>3212</v>
      </c>
      <c r="G733" s="414">
        <v>3212</v>
      </c>
      <c r="H733" s="571">
        <v>0</v>
      </c>
      <c r="I733" s="414">
        <v>3209.37</v>
      </c>
      <c r="J733" s="571">
        <v>2.63</v>
      </c>
      <c r="K733" s="572">
        <v>0.08</v>
      </c>
      <c r="L733" s="588"/>
      <c r="M733" s="589"/>
      <c r="N733" s="567"/>
    </row>
    <row r="734" spans="2:14">
      <c r="B734" s="127" t="str">
        <f t="shared" si="26"/>
        <v>200-71-712</v>
      </c>
      <c r="C734" s="127" t="str">
        <f t="shared" si="27"/>
        <v>50650</v>
      </c>
      <c r="D734" s="570" t="s">
        <v>689</v>
      </c>
      <c r="E734" s="396" t="s">
        <v>323</v>
      </c>
      <c r="F734" s="573">
        <v>33056</v>
      </c>
      <c r="G734" s="573">
        <v>33056</v>
      </c>
      <c r="H734" s="574">
        <v>2523.62</v>
      </c>
      <c r="I734" s="573">
        <v>31822.240000000002</v>
      </c>
      <c r="J734" s="574">
        <v>1233.76</v>
      </c>
      <c r="K734" s="575">
        <v>3.73</v>
      </c>
      <c r="L734" s="588"/>
      <c r="M734" s="589"/>
      <c r="N734" s="567"/>
    </row>
    <row r="735" spans="2:14">
      <c r="B735" s="127" t="str">
        <f t="shared" si="26"/>
        <v xml:space="preserve">Category: </v>
      </c>
      <c r="C735" s="127" t="str">
        <f t="shared" si="27"/>
        <v>0 - P</v>
      </c>
      <c r="D735" s="569" t="s">
        <v>1123</v>
      </c>
      <c r="E735" s="569"/>
      <c r="F735" s="576">
        <v>334845</v>
      </c>
      <c r="G735" s="576">
        <v>334845</v>
      </c>
      <c r="H735" s="577">
        <v>25233.3</v>
      </c>
      <c r="I735" s="576">
        <v>312899.76</v>
      </c>
      <c r="J735" s="577">
        <v>21945.24</v>
      </c>
      <c r="K735" s="578">
        <v>6.5538502889396597E-2</v>
      </c>
      <c r="L735" s="590"/>
      <c r="M735" s="591"/>
      <c r="N735" s="567"/>
    </row>
    <row r="736" spans="2:14">
      <c r="B736" s="127" t="str">
        <f t="shared" si="26"/>
        <v/>
      </c>
      <c r="C736" s="127" t="str">
        <f t="shared" si="27"/>
        <v/>
      </c>
      <c r="F736" s="398"/>
      <c r="G736" s="398"/>
      <c r="H736" s="398"/>
      <c r="I736" s="398"/>
      <c r="J736" s="398"/>
      <c r="K736" s="398"/>
      <c r="L736"/>
      <c r="N736" s="567"/>
    </row>
    <row r="737" spans="2:14">
      <c r="B737" s="127" t="str">
        <f t="shared" si="26"/>
        <v xml:space="preserve">Division: </v>
      </c>
      <c r="C737" s="127" t="str">
        <f t="shared" si="27"/>
        <v xml:space="preserve">12 - </v>
      </c>
      <c r="D737" s="569" t="s">
        <v>1182</v>
      </c>
      <c r="E737" s="569"/>
      <c r="F737" s="576">
        <v>334845</v>
      </c>
      <c r="G737" s="576">
        <v>334845</v>
      </c>
      <c r="H737" s="577">
        <v>25233.3</v>
      </c>
      <c r="I737" s="576">
        <v>312899.76</v>
      </c>
      <c r="J737" s="577">
        <v>21945.24</v>
      </c>
      <c r="K737" s="578">
        <v>6.5538502889396597E-2</v>
      </c>
      <c r="L737" s="590"/>
      <c r="M737" s="591"/>
      <c r="N737" s="567"/>
    </row>
    <row r="738" spans="2:14">
      <c r="B738" s="127" t="str">
        <f t="shared" si="26"/>
        <v/>
      </c>
      <c r="C738" s="127" t="str">
        <f t="shared" si="27"/>
        <v/>
      </c>
      <c r="F738" s="398"/>
      <c r="G738" s="398"/>
      <c r="H738" s="398"/>
      <c r="I738" s="398"/>
      <c r="J738" s="398"/>
      <c r="K738" s="398"/>
      <c r="L738"/>
      <c r="N738" s="567"/>
    </row>
    <row r="739" spans="2:14">
      <c r="B739" s="127" t="str">
        <f t="shared" si="26"/>
        <v>Department</v>
      </c>
      <c r="C739" s="127" t="str">
        <f t="shared" si="27"/>
        <v xml:space="preserve"> 71 -</v>
      </c>
      <c r="D739" s="569" t="s">
        <v>1183</v>
      </c>
      <c r="E739" s="569"/>
      <c r="F739" s="576">
        <v>839996</v>
      </c>
      <c r="G739" s="576">
        <v>839996</v>
      </c>
      <c r="H739" s="577">
        <v>55861.82</v>
      </c>
      <c r="I739" s="576">
        <v>780563.3</v>
      </c>
      <c r="J739" s="577">
        <v>59432.7</v>
      </c>
      <c r="K739" s="578">
        <v>7.0753551207386703E-2</v>
      </c>
      <c r="L739" s="590"/>
      <c r="M739" s="591"/>
      <c r="N739" s="567"/>
    </row>
    <row r="740" spans="2:14">
      <c r="B740" s="127" t="str">
        <f t="shared" si="26"/>
        <v/>
      </c>
      <c r="C740" s="127" t="str">
        <f t="shared" si="27"/>
        <v/>
      </c>
      <c r="L740"/>
      <c r="N740" s="567"/>
    </row>
    <row r="741" spans="2:14">
      <c r="B741" s="127" t="str">
        <f t="shared" si="26"/>
        <v/>
      </c>
      <c r="C741" s="127" t="str">
        <f t="shared" si="27"/>
        <v/>
      </c>
      <c r="E741" s="569"/>
      <c r="F741" s="569"/>
      <c r="G741" s="569"/>
      <c r="H741" s="569"/>
      <c r="I741" s="569"/>
      <c r="J741" s="569"/>
      <c r="K741" s="569"/>
      <c r="L741" s="587"/>
      <c r="M741" s="587"/>
      <c r="N741" s="567"/>
    </row>
    <row r="742" spans="2:14">
      <c r="B742" s="127" t="str">
        <f t="shared" si="26"/>
        <v/>
      </c>
      <c r="C742" s="127" t="str">
        <f t="shared" si="27"/>
        <v/>
      </c>
      <c r="E742" s="569"/>
      <c r="F742" s="569"/>
      <c r="G742" s="569"/>
      <c r="H742" s="569"/>
      <c r="I742" s="569"/>
      <c r="J742" s="569"/>
      <c r="K742" s="569"/>
      <c r="L742" s="587"/>
      <c r="M742" s="587"/>
      <c r="N742" s="567"/>
    </row>
    <row r="743" spans="2:14">
      <c r="B743" s="127" t="str">
        <f t="shared" si="26"/>
        <v/>
      </c>
      <c r="C743" s="127" t="str">
        <f t="shared" si="27"/>
        <v/>
      </c>
      <c r="E743" s="569"/>
      <c r="F743" s="569"/>
      <c r="G743" s="569"/>
      <c r="H743" s="569"/>
      <c r="I743" s="569"/>
      <c r="J743" s="569"/>
      <c r="K743" s="569"/>
      <c r="L743" s="587"/>
      <c r="M743" s="587"/>
      <c r="N743" s="567"/>
    </row>
    <row r="744" spans="2:14">
      <c r="B744" s="127" t="str">
        <f t="shared" si="26"/>
        <v>200-73-734</v>
      </c>
      <c r="C744" s="127" t="str">
        <f t="shared" si="27"/>
        <v>50102</v>
      </c>
      <c r="D744" s="570" t="s">
        <v>507</v>
      </c>
      <c r="E744" s="396" t="s">
        <v>317</v>
      </c>
      <c r="F744" s="414">
        <v>299528</v>
      </c>
      <c r="G744" s="414">
        <v>299528</v>
      </c>
      <c r="H744" s="571">
        <v>24369.360000000001</v>
      </c>
      <c r="I744" s="414">
        <v>323154.64</v>
      </c>
      <c r="J744" s="571">
        <v>-23626.639999999999</v>
      </c>
      <c r="K744" s="572">
        <v>-7.89</v>
      </c>
      <c r="L744" s="588"/>
      <c r="M744" s="589"/>
      <c r="N744" s="567"/>
    </row>
    <row r="745" spans="2:14">
      <c r="B745" s="127" t="str">
        <f t="shared" si="26"/>
        <v>200-73-734</v>
      </c>
      <c r="C745" s="127" t="str">
        <f t="shared" si="27"/>
        <v>50109</v>
      </c>
      <c r="D745" s="570" t="s">
        <v>508</v>
      </c>
      <c r="E745" s="396" t="s">
        <v>12</v>
      </c>
      <c r="F745" s="414">
        <v>22937</v>
      </c>
      <c r="G745" s="414">
        <v>22937</v>
      </c>
      <c r="H745" s="571">
        <v>1258.54</v>
      </c>
      <c r="I745" s="414">
        <v>21671.29</v>
      </c>
      <c r="J745" s="571">
        <v>1265.71</v>
      </c>
      <c r="K745" s="572">
        <v>5.52</v>
      </c>
      <c r="L745" s="588"/>
      <c r="M745" s="589"/>
      <c r="N745" s="567"/>
    </row>
    <row r="746" spans="2:14">
      <c r="B746" s="127" t="str">
        <f t="shared" si="26"/>
        <v>200-73-734</v>
      </c>
      <c r="C746" s="127" t="str">
        <f t="shared" si="27"/>
        <v>50111</v>
      </c>
      <c r="D746" s="570" t="s">
        <v>509</v>
      </c>
      <c r="E746" s="396" t="s">
        <v>318</v>
      </c>
      <c r="F746" s="414">
        <v>6062</v>
      </c>
      <c r="G746" s="414">
        <v>6062</v>
      </c>
      <c r="H746" s="571">
        <v>0</v>
      </c>
      <c r="I746" s="414">
        <v>5980</v>
      </c>
      <c r="J746" s="571">
        <v>82</v>
      </c>
      <c r="K746" s="572">
        <v>1.35</v>
      </c>
      <c r="L746" s="588"/>
      <c r="M746" s="589"/>
      <c r="N746" s="567"/>
    </row>
    <row r="747" spans="2:14">
      <c r="B747" s="127" t="str">
        <f t="shared" si="26"/>
        <v>200-73-734</v>
      </c>
      <c r="C747" s="127" t="str">
        <f t="shared" si="27"/>
        <v>50115</v>
      </c>
      <c r="D747" s="570" t="s">
        <v>672</v>
      </c>
      <c r="E747" s="396" t="s">
        <v>325</v>
      </c>
      <c r="F747" s="414">
        <v>2400</v>
      </c>
      <c r="G747" s="414">
        <v>2400</v>
      </c>
      <c r="H747" s="571">
        <v>275</v>
      </c>
      <c r="I747" s="414">
        <v>2929.5</v>
      </c>
      <c r="J747" s="571">
        <v>-529.5</v>
      </c>
      <c r="K747" s="572">
        <v>-22.06</v>
      </c>
      <c r="L747" s="588"/>
      <c r="M747" s="589"/>
      <c r="N747" s="567"/>
    </row>
    <row r="748" spans="2:14">
      <c r="B748" s="127" t="str">
        <f t="shared" si="26"/>
        <v>200-73-734</v>
      </c>
      <c r="C748" s="127" t="str">
        <f t="shared" si="27"/>
        <v>50610</v>
      </c>
      <c r="D748" s="570" t="s">
        <v>902</v>
      </c>
      <c r="E748" s="396" t="s">
        <v>320</v>
      </c>
      <c r="F748" s="414">
        <v>25420</v>
      </c>
      <c r="G748" s="414">
        <v>25420</v>
      </c>
      <c r="H748" s="571">
        <v>1828.45</v>
      </c>
      <c r="I748" s="414">
        <v>25441.32</v>
      </c>
      <c r="J748" s="571">
        <v>-21.32</v>
      </c>
      <c r="K748" s="572">
        <v>-0.08</v>
      </c>
      <c r="L748" s="588"/>
      <c r="M748" s="589"/>
      <c r="N748" s="567"/>
    </row>
    <row r="749" spans="2:14">
      <c r="B749" s="127" t="str">
        <f t="shared" si="26"/>
        <v>200-73-734</v>
      </c>
      <c r="C749" s="127" t="str">
        <f t="shared" si="27"/>
        <v>50620</v>
      </c>
      <c r="D749" s="570" t="s">
        <v>657</v>
      </c>
      <c r="E749" s="396" t="s">
        <v>321</v>
      </c>
      <c r="F749" s="414">
        <v>86223</v>
      </c>
      <c r="G749" s="414">
        <v>86223</v>
      </c>
      <c r="H749" s="571">
        <v>8310.42</v>
      </c>
      <c r="I749" s="414">
        <v>89775.34</v>
      </c>
      <c r="J749" s="571">
        <v>-3552.34</v>
      </c>
      <c r="K749" s="572">
        <v>-4.12</v>
      </c>
      <c r="L749" s="588"/>
      <c r="M749" s="589"/>
      <c r="N749" s="567"/>
    </row>
    <row r="750" spans="2:14">
      <c r="B750" s="127" t="str">
        <f t="shared" si="26"/>
        <v>200-73-734</v>
      </c>
      <c r="C750" s="127" t="str">
        <f t="shared" si="27"/>
        <v>50630</v>
      </c>
      <c r="D750" s="570" t="s">
        <v>903</v>
      </c>
      <c r="E750" s="396" t="s">
        <v>322</v>
      </c>
      <c r="F750" s="414">
        <v>5335</v>
      </c>
      <c r="G750" s="414">
        <v>5335</v>
      </c>
      <c r="H750" s="571">
        <v>0</v>
      </c>
      <c r="I750" s="414">
        <v>5330.64</v>
      </c>
      <c r="J750" s="571">
        <v>4.3600000000000003</v>
      </c>
      <c r="K750" s="572">
        <v>0.08</v>
      </c>
      <c r="L750" s="588"/>
      <c r="M750" s="589"/>
      <c r="N750" s="567"/>
    </row>
    <row r="751" spans="2:14">
      <c r="B751" s="127" t="str">
        <f t="shared" si="26"/>
        <v>200-73-734</v>
      </c>
      <c r="C751" s="127" t="str">
        <f t="shared" si="27"/>
        <v>50650</v>
      </c>
      <c r="D751" s="570" t="s">
        <v>661</v>
      </c>
      <c r="E751" s="396" t="s">
        <v>323</v>
      </c>
      <c r="F751" s="573">
        <v>54907</v>
      </c>
      <c r="G751" s="573">
        <v>54907</v>
      </c>
      <c r="H751" s="574">
        <v>4334.84</v>
      </c>
      <c r="I751" s="573">
        <v>58733.82</v>
      </c>
      <c r="J751" s="574">
        <v>-3826.82</v>
      </c>
      <c r="K751" s="575">
        <v>-6.97</v>
      </c>
      <c r="L751" s="588"/>
      <c r="M751" s="589"/>
      <c r="N751" s="567"/>
    </row>
    <row r="752" spans="2:14">
      <c r="B752" s="127" t="str">
        <f t="shared" si="26"/>
        <v xml:space="preserve">Category: </v>
      </c>
      <c r="C752" s="127" t="str">
        <f t="shared" si="27"/>
        <v>0 - P</v>
      </c>
      <c r="D752" s="569" t="s">
        <v>1123</v>
      </c>
      <c r="E752" s="569"/>
      <c r="F752" s="576">
        <v>502812</v>
      </c>
      <c r="G752" s="576">
        <v>502812</v>
      </c>
      <c r="H752" s="577">
        <v>40376.61</v>
      </c>
      <c r="I752" s="576">
        <v>533016.55000000005</v>
      </c>
      <c r="J752" s="577">
        <v>-30204.55</v>
      </c>
      <c r="K752" s="578">
        <v>-6.0071259238045203E-2</v>
      </c>
      <c r="L752" s="590"/>
      <c r="M752" s="591"/>
      <c r="N752" s="567"/>
    </row>
    <row r="753" spans="2:14">
      <c r="B753" s="127" t="str">
        <f t="shared" si="26"/>
        <v/>
      </c>
      <c r="C753" s="127" t="str">
        <f t="shared" si="27"/>
        <v/>
      </c>
      <c r="F753" s="398"/>
      <c r="G753" s="398"/>
      <c r="H753" s="398"/>
      <c r="I753" s="398"/>
      <c r="J753" s="398"/>
      <c r="K753" s="398"/>
      <c r="L753"/>
      <c r="N753" s="567"/>
    </row>
    <row r="754" spans="2:14">
      <c r="B754" s="127" t="str">
        <f t="shared" si="26"/>
        <v xml:space="preserve">Division: </v>
      </c>
      <c r="C754" s="127" t="str">
        <f t="shared" si="27"/>
        <v xml:space="preserve">34 - </v>
      </c>
      <c r="D754" s="569" t="s">
        <v>1193</v>
      </c>
      <c r="E754" s="569"/>
      <c r="F754" s="576">
        <v>502812</v>
      </c>
      <c r="G754" s="576">
        <v>502812</v>
      </c>
      <c r="H754" s="577">
        <v>40376.61</v>
      </c>
      <c r="I754" s="576">
        <v>533016.55000000005</v>
      </c>
      <c r="J754" s="577">
        <v>-30204.55</v>
      </c>
      <c r="K754" s="578">
        <v>-6.0071259238045203E-2</v>
      </c>
      <c r="L754" s="590"/>
      <c r="M754" s="591"/>
      <c r="N754" s="567"/>
    </row>
    <row r="755" spans="2:14">
      <c r="B755" s="127" t="str">
        <f t="shared" si="26"/>
        <v/>
      </c>
      <c r="C755" s="127" t="str">
        <f t="shared" si="27"/>
        <v/>
      </c>
      <c r="L755"/>
      <c r="N755" s="567"/>
    </row>
    <row r="756" spans="2:14">
      <c r="B756" s="127" t="str">
        <f t="shared" si="26"/>
        <v/>
      </c>
      <c r="C756" s="127" t="str">
        <f t="shared" si="27"/>
        <v/>
      </c>
      <c r="E756" s="569"/>
      <c r="F756" s="569"/>
      <c r="G756" s="569"/>
      <c r="H756" s="569"/>
      <c r="I756" s="569"/>
      <c r="J756" s="569"/>
      <c r="K756" s="569"/>
      <c r="L756" s="587"/>
      <c r="M756" s="587"/>
      <c r="N756" s="567"/>
    </row>
    <row r="757" spans="2:14">
      <c r="B757" s="127" t="str">
        <f t="shared" si="26"/>
        <v/>
      </c>
      <c r="C757" s="127" t="str">
        <f t="shared" si="27"/>
        <v/>
      </c>
      <c r="E757" s="569"/>
      <c r="F757" s="569"/>
      <c r="G757" s="569"/>
      <c r="H757" s="569"/>
      <c r="I757" s="569"/>
      <c r="J757" s="569"/>
      <c r="K757" s="569"/>
      <c r="L757" s="587"/>
      <c r="M757" s="587"/>
      <c r="N757" s="567"/>
    </row>
    <row r="758" spans="2:14">
      <c r="B758" s="127" t="str">
        <f t="shared" si="26"/>
        <v>200-73-735</v>
      </c>
      <c r="C758" s="127" t="str">
        <f t="shared" si="27"/>
        <v>50102</v>
      </c>
      <c r="D758" s="570" t="s">
        <v>529</v>
      </c>
      <c r="E758" s="396" t="s">
        <v>317</v>
      </c>
      <c r="F758" s="414">
        <v>389672</v>
      </c>
      <c r="G758" s="414">
        <v>389672</v>
      </c>
      <c r="H758" s="571">
        <v>20695.73</v>
      </c>
      <c r="I758" s="414">
        <v>258635.29</v>
      </c>
      <c r="J758" s="571">
        <v>131036.71</v>
      </c>
      <c r="K758" s="572">
        <v>33.630000000000003</v>
      </c>
      <c r="L758" s="588"/>
      <c r="M758" s="589"/>
      <c r="N758" s="567"/>
    </row>
    <row r="759" spans="2:14">
      <c r="B759" s="127" t="str">
        <f t="shared" si="26"/>
        <v>200-73-735</v>
      </c>
      <c r="C759" s="127" t="str">
        <f t="shared" si="27"/>
        <v>50109</v>
      </c>
      <c r="D759" s="570" t="s">
        <v>531</v>
      </c>
      <c r="E759" s="396" t="s">
        <v>12</v>
      </c>
      <c r="F759" s="414">
        <v>34957</v>
      </c>
      <c r="G759" s="414">
        <v>34957</v>
      </c>
      <c r="H759" s="571">
        <v>1731.95</v>
      </c>
      <c r="I759" s="414">
        <v>16373.88</v>
      </c>
      <c r="J759" s="571">
        <v>18583.12</v>
      </c>
      <c r="K759" s="572">
        <v>53.16</v>
      </c>
      <c r="L759" s="588"/>
      <c r="M759" s="589"/>
      <c r="N759" s="567"/>
    </row>
    <row r="760" spans="2:14">
      <c r="B760" s="127" t="str">
        <f t="shared" si="26"/>
        <v>200-73-735</v>
      </c>
      <c r="C760" s="127" t="str">
        <f t="shared" si="27"/>
        <v>50111</v>
      </c>
      <c r="D760" s="570" t="s">
        <v>530</v>
      </c>
      <c r="E760" s="396" t="s">
        <v>318</v>
      </c>
      <c r="F760" s="414">
        <v>2799</v>
      </c>
      <c r="G760" s="414">
        <v>2799</v>
      </c>
      <c r="H760" s="571">
        <v>0</v>
      </c>
      <c r="I760" s="414">
        <v>1150</v>
      </c>
      <c r="J760" s="571">
        <v>1649</v>
      </c>
      <c r="K760" s="572">
        <v>58.91</v>
      </c>
      <c r="L760" s="588"/>
      <c r="M760" s="589"/>
      <c r="N760" s="567"/>
    </row>
    <row r="761" spans="2:14">
      <c r="B761" s="127" t="str">
        <f t="shared" si="26"/>
        <v>200-73-735</v>
      </c>
      <c r="C761" s="127" t="str">
        <f t="shared" si="27"/>
        <v>50115</v>
      </c>
      <c r="D761" s="570" t="s">
        <v>710</v>
      </c>
      <c r="E761" s="396" t="s">
        <v>325</v>
      </c>
      <c r="F761" s="414">
        <v>2750</v>
      </c>
      <c r="G761" s="414">
        <v>2750</v>
      </c>
      <c r="H761" s="571">
        <v>187.5</v>
      </c>
      <c r="I761" s="414">
        <v>2039.25</v>
      </c>
      <c r="J761" s="571">
        <v>710.75</v>
      </c>
      <c r="K761" s="572">
        <v>25.85</v>
      </c>
      <c r="L761" s="588"/>
      <c r="M761" s="589"/>
      <c r="N761" s="567"/>
    </row>
    <row r="762" spans="2:14">
      <c r="B762" s="127" t="str">
        <f t="shared" si="26"/>
        <v>200-73-735</v>
      </c>
      <c r="C762" s="127" t="str">
        <f t="shared" si="27"/>
        <v>50610</v>
      </c>
      <c r="D762" s="570" t="s">
        <v>904</v>
      </c>
      <c r="E762" s="396" t="s">
        <v>320</v>
      </c>
      <c r="F762" s="414">
        <v>33090</v>
      </c>
      <c r="G762" s="414">
        <v>33090</v>
      </c>
      <c r="H762" s="571">
        <v>1583.37</v>
      </c>
      <c r="I762" s="414">
        <v>19696.37</v>
      </c>
      <c r="J762" s="571">
        <v>13393.63</v>
      </c>
      <c r="K762" s="572">
        <v>40.479999999999997</v>
      </c>
      <c r="L762" s="588"/>
      <c r="M762" s="589"/>
      <c r="N762" s="567"/>
    </row>
    <row r="763" spans="2:14">
      <c r="B763" s="127" t="str">
        <f t="shared" si="26"/>
        <v>200-73-735</v>
      </c>
      <c r="C763" s="127" t="str">
        <f t="shared" si="27"/>
        <v>50620</v>
      </c>
      <c r="D763" s="570" t="s">
        <v>687</v>
      </c>
      <c r="E763" s="396" t="s">
        <v>321</v>
      </c>
      <c r="F763" s="414">
        <v>111039</v>
      </c>
      <c r="G763" s="414">
        <v>111039</v>
      </c>
      <c r="H763" s="571">
        <v>8397.48</v>
      </c>
      <c r="I763" s="414">
        <v>92455.7</v>
      </c>
      <c r="J763" s="571">
        <v>18583.3</v>
      </c>
      <c r="K763" s="572">
        <v>16.739999999999998</v>
      </c>
      <c r="L763" s="588"/>
      <c r="M763" s="589"/>
      <c r="N763" s="567"/>
    </row>
    <row r="764" spans="2:14">
      <c r="B764" s="127" t="str">
        <f t="shared" si="26"/>
        <v>200-73-735</v>
      </c>
      <c r="C764" s="127" t="str">
        <f t="shared" si="27"/>
        <v>50630</v>
      </c>
      <c r="D764" s="570" t="s">
        <v>905</v>
      </c>
      <c r="E764" s="396" t="s">
        <v>322</v>
      </c>
      <c r="F764" s="414">
        <v>7758</v>
      </c>
      <c r="G764" s="414">
        <v>7758</v>
      </c>
      <c r="H764" s="571">
        <v>0</v>
      </c>
      <c r="I764" s="414">
        <v>7751.67</v>
      </c>
      <c r="J764" s="571">
        <v>6.33</v>
      </c>
      <c r="K764" s="572">
        <v>0.08</v>
      </c>
      <c r="L764" s="588"/>
      <c r="M764" s="589"/>
      <c r="N764" s="567"/>
    </row>
    <row r="765" spans="2:14">
      <c r="B765" s="127" t="str">
        <f t="shared" si="26"/>
        <v>200-73-735</v>
      </c>
      <c r="C765" s="127" t="str">
        <f t="shared" si="27"/>
        <v>50650</v>
      </c>
      <c r="D765" s="570" t="s">
        <v>753</v>
      </c>
      <c r="E765" s="396" t="s">
        <v>323</v>
      </c>
      <c r="F765" s="573">
        <v>71424</v>
      </c>
      <c r="G765" s="573">
        <v>71424</v>
      </c>
      <c r="H765" s="574">
        <v>3798.79</v>
      </c>
      <c r="I765" s="573">
        <v>46274.41</v>
      </c>
      <c r="J765" s="574">
        <v>25149.59</v>
      </c>
      <c r="K765" s="575">
        <v>35.21</v>
      </c>
      <c r="L765" s="588"/>
      <c r="M765" s="589"/>
      <c r="N765" s="567"/>
    </row>
    <row r="766" spans="2:14">
      <c r="B766" s="127" t="str">
        <f t="shared" si="26"/>
        <v xml:space="preserve">Category: </v>
      </c>
      <c r="C766" s="127" t="str">
        <f t="shared" si="27"/>
        <v>0 - P</v>
      </c>
      <c r="D766" s="569" t="s">
        <v>1123</v>
      </c>
      <c r="E766" s="569"/>
      <c r="F766" s="576">
        <v>653489</v>
      </c>
      <c r="G766" s="576">
        <v>653489</v>
      </c>
      <c r="H766" s="577">
        <v>36394.82</v>
      </c>
      <c r="I766" s="576">
        <v>444376.57</v>
      </c>
      <c r="J766" s="577">
        <v>209112.43</v>
      </c>
      <c r="K766" s="578">
        <v>0.319993802497058</v>
      </c>
      <c r="L766" s="590"/>
      <c r="M766" s="591"/>
      <c r="N766" s="567"/>
    </row>
    <row r="767" spans="2:14">
      <c r="B767" s="127" t="str">
        <f t="shared" si="26"/>
        <v/>
      </c>
      <c r="C767" s="127" t="str">
        <f t="shared" si="27"/>
        <v/>
      </c>
      <c r="F767" s="398"/>
      <c r="G767" s="398"/>
      <c r="H767" s="398"/>
      <c r="I767" s="398"/>
      <c r="J767" s="398"/>
      <c r="K767" s="398"/>
      <c r="L767"/>
      <c r="N767" s="567"/>
    </row>
    <row r="768" spans="2:14">
      <c r="B768" s="127" t="str">
        <f t="shared" si="26"/>
        <v xml:space="preserve">Division: </v>
      </c>
      <c r="C768" s="127" t="str">
        <f t="shared" si="27"/>
        <v xml:space="preserve">35 - </v>
      </c>
      <c r="D768" s="569" t="s">
        <v>1184</v>
      </c>
      <c r="E768" s="569"/>
      <c r="F768" s="576">
        <v>653489</v>
      </c>
      <c r="G768" s="576">
        <v>653489</v>
      </c>
      <c r="H768" s="577">
        <v>36394.82</v>
      </c>
      <c r="I768" s="576">
        <v>444376.57</v>
      </c>
      <c r="J768" s="577">
        <v>209112.43</v>
      </c>
      <c r="K768" s="578">
        <v>0.319993802497058</v>
      </c>
      <c r="L768" s="590"/>
      <c r="M768" s="591"/>
      <c r="N768" s="567"/>
    </row>
    <row r="769" spans="2:14">
      <c r="B769" s="127" t="str">
        <f t="shared" si="26"/>
        <v/>
      </c>
      <c r="C769" s="127" t="str">
        <f t="shared" si="27"/>
        <v/>
      </c>
      <c r="F769" s="398"/>
      <c r="G769" s="398"/>
      <c r="H769" s="398"/>
      <c r="I769" s="398"/>
      <c r="J769" s="398"/>
      <c r="K769" s="398"/>
      <c r="L769"/>
      <c r="N769" s="567"/>
    </row>
    <row r="770" spans="2:14">
      <c r="B770" s="127" t="str">
        <f t="shared" si="26"/>
        <v>Department</v>
      </c>
      <c r="C770" s="127" t="str">
        <f t="shared" si="27"/>
        <v xml:space="preserve"> 73 -</v>
      </c>
      <c r="D770" s="569" t="s">
        <v>1185</v>
      </c>
      <c r="E770" s="569"/>
      <c r="F770" s="576">
        <v>1156301</v>
      </c>
      <c r="G770" s="576">
        <v>1156301</v>
      </c>
      <c r="H770" s="577">
        <v>76771.429999999993</v>
      </c>
      <c r="I770" s="576">
        <v>977393.12</v>
      </c>
      <c r="J770" s="577">
        <v>178907.88</v>
      </c>
      <c r="K770" s="578">
        <v>0.15472431486265301</v>
      </c>
      <c r="L770" s="590"/>
      <c r="M770" s="591"/>
      <c r="N770" s="567"/>
    </row>
    <row r="771" spans="2:14">
      <c r="B771" s="127" t="str">
        <f t="shared" si="26"/>
        <v/>
      </c>
      <c r="C771" s="127" t="str">
        <f t="shared" si="27"/>
        <v/>
      </c>
      <c r="L771"/>
      <c r="N771" s="567"/>
    </row>
    <row r="772" spans="2:14">
      <c r="B772" s="127" t="str">
        <f t="shared" si="26"/>
        <v/>
      </c>
      <c r="C772" s="127" t="str">
        <f t="shared" si="27"/>
        <v/>
      </c>
      <c r="E772" s="569"/>
      <c r="F772" s="569"/>
      <c r="G772" s="569"/>
      <c r="H772" s="569"/>
      <c r="I772" s="569"/>
      <c r="J772" s="569"/>
      <c r="K772" s="569"/>
      <c r="L772" s="587"/>
      <c r="M772" s="587"/>
      <c r="N772" s="567"/>
    </row>
    <row r="773" spans="2:14">
      <c r="B773" s="127" t="str">
        <f t="shared" si="26"/>
        <v/>
      </c>
      <c r="C773" s="127" t="str">
        <f t="shared" si="27"/>
        <v/>
      </c>
      <c r="E773" s="569"/>
      <c r="F773" s="569"/>
      <c r="G773" s="569"/>
      <c r="H773" s="569"/>
      <c r="I773" s="569"/>
      <c r="J773" s="569"/>
      <c r="K773" s="569"/>
      <c r="L773" s="587"/>
      <c r="M773" s="587"/>
      <c r="N773" s="567"/>
    </row>
    <row r="774" spans="2:14">
      <c r="B774" s="127" t="str">
        <f t="shared" ref="B774:B837" si="28">LEFT(D774,10)</f>
        <v/>
      </c>
      <c r="C774" s="127" t="str">
        <f t="shared" ref="C774:C837" si="29">MID(D774,12,5)</f>
        <v/>
      </c>
      <c r="E774" s="569"/>
      <c r="F774" s="569"/>
      <c r="G774" s="569"/>
      <c r="H774" s="569"/>
      <c r="I774" s="569"/>
      <c r="J774" s="569"/>
      <c r="K774" s="569"/>
      <c r="L774" s="587"/>
      <c r="M774" s="587"/>
      <c r="N774" s="567"/>
    </row>
    <row r="775" spans="2:14">
      <c r="B775" s="127" t="str">
        <f t="shared" si="28"/>
        <v>200-75-752</v>
      </c>
      <c r="C775" s="127" t="str">
        <f t="shared" si="29"/>
        <v>50102</v>
      </c>
      <c r="D775" s="570" t="s">
        <v>510</v>
      </c>
      <c r="E775" s="396" t="s">
        <v>317</v>
      </c>
      <c r="F775" s="414">
        <v>458226</v>
      </c>
      <c r="G775" s="414">
        <v>458226</v>
      </c>
      <c r="H775" s="571">
        <v>32768.400000000001</v>
      </c>
      <c r="I775" s="414">
        <v>385288.41</v>
      </c>
      <c r="J775" s="571">
        <v>72937.59</v>
      </c>
      <c r="K775" s="572">
        <v>15.92</v>
      </c>
      <c r="L775" s="588"/>
      <c r="M775" s="589"/>
      <c r="N775" s="567"/>
    </row>
    <row r="776" spans="2:14">
      <c r="B776" s="127" t="str">
        <f t="shared" si="28"/>
        <v>200-75-752</v>
      </c>
      <c r="C776" s="127" t="str">
        <f t="shared" si="29"/>
        <v>50109</v>
      </c>
      <c r="D776" s="570" t="s">
        <v>512</v>
      </c>
      <c r="E776" s="396" t="s">
        <v>12</v>
      </c>
      <c r="F776" s="414">
        <v>26277</v>
      </c>
      <c r="G776" s="414">
        <v>26277</v>
      </c>
      <c r="H776" s="571">
        <v>1322.58</v>
      </c>
      <c r="I776" s="414">
        <v>15901.69</v>
      </c>
      <c r="J776" s="571">
        <v>10375.31</v>
      </c>
      <c r="K776" s="572">
        <v>39.479999999999997</v>
      </c>
      <c r="L776" s="588"/>
      <c r="M776" s="589"/>
      <c r="N776" s="567"/>
    </row>
    <row r="777" spans="2:14">
      <c r="B777" s="127" t="str">
        <f t="shared" si="28"/>
        <v>200-75-752</v>
      </c>
      <c r="C777" s="127" t="str">
        <f t="shared" si="29"/>
        <v>50111</v>
      </c>
      <c r="D777" s="570" t="s">
        <v>511</v>
      </c>
      <c r="E777" s="396" t="s">
        <v>318</v>
      </c>
      <c r="F777" s="414">
        <v>2890</v>
      </c>
      <c r="G777" s="414">
        <v>2890</v>
      </c>
      <c r="H777" s="571">
        <v>0</v>
      </c>
      <c r="I777" s="414">
        <v>4055</v>
      </c>
      <c r="J777" s="571">
        <v>-1165</v>
      </c>
      <c r="K777" s="572">
        <v>-40.31</v>
      </c>
      <c r="L777" s="588"/>
      <c r="M777" s="589"/>
      <c r="N777" s="567"/>
    </row>
    <row r="778" spans="2:14">
      <c r="B778" s="127" t="str">
        <f t="shared" si="28"/>
        <v>200-75-752</v>
      </c>
      <c r="C778" s="127" t="str">
        <f t="shared" si="29"/>
        <v>50115</v>
      </c>
      <c r="D778" s="570" t="s">
        <v>668</v>
      </c>
      <c r="E778" s="396" t="s">
        <v>325</v>
      </c>
      <c r="F778" s="414">
        <v>2300</v>
      </c>
      <c r="G778" s="414">
        <v>2300</v>
      </c>
      <c r="H778" s="571">
        <v>150</v>
      </c>
      <c r="I778" s="414">
        <v>1941</v>
      </c>
      <c r="J778" s="571">
        <v>359</v>
      </c>
      <c r="K778" s="572">
        <v>15.61</v>
      </c>
      <c r="L778" s="588"/>
      <c r="M778" s="589"/>
      <c r="N778" s="567"/>
    </row>
    <row r="779" spans="2:14">
      <c r="B779" s="127" t="str">
        <f t="shared" si="28"/>
        <v>200-75-752</v>
      </c>
      <c r="C779" s="127" t="str">
        <f t="shared" si="29"/>
        <v>50610</v>
      </c>
      <c r="D779" s="570" t="s">
        <v>906</v>
      </c>
      <c r="E779" s="396" t="s">
        <v>320</v>
      </c>
      <c r="F779" s="414">
        <v>37510</v>
      </c>
      <c r="G779" s="414">
        <v>37510</v>
      </c>
      <c r="H779" s="571">
        <v>2457.89</v>
      </c>
      <c r="I779" s="414">
        <v>29525.5</v>
      </c>
      <c r="J779" s="571">
        <v>7984.5</v>
      </c>
      <c r="K779" s="572">
        <v>21.29</v>
      </c>
      <c r="L779" s="588"/>
      <c r="M779" s="589"/>
      <c r="N779" s="567"/>
    </row>
    <row r="780" spans="2:14">
      <c r="B780" s="127" t="str">
        <f t="shared" si="28"/>
        <v>200-75-752</v>
      </c>
      <c r="C780" s="127" t="str">
        <f t="shared" si="29"/>
        <v>50620</v>
      </c>
      <c r="D780" s="570" t="s">
        <v>744</v>
      </c>
      <c r="E780" s="396" t="s">
        <v>321</v>
      </c>
      <c r="F780" s="414">
        <v>164609</v>
      </c>
      <c r="G780" s="414">
        <v>164609</v>
      </c>
      <c r="H780" s="571">
        <v>12682.3</v>
      </c>
      <c r="I780" s="414">
        <v>127338.65</v>
      </c>
      <c r="J780" s="571">
        <v>37270.35</v>
      </c>
      <c r="K780" s="572">
        <v>22.64</v>
      </c>
      <c r="L780" s="588"/>
      <c r="M780" s="589"/>
      <c r="N780" s="567"/>
    </row>
    <row r="781" spans="2:14">
      <c r="B781" s="127" t="str">
        <f t="shared" si="28"/>
        <v>200-75-752</v>
      </c>
      <c r="C781" s="127" t="str">
        <f t="shared" si="29"/>
        <v>50630</v>
      </c>
      <c r="D781" s="570" t="s">
        <v>907</v>
      </c>
      <c r="E781" s="396" t="s">
        <v>322</v>
      </c>
      <c r="F781" s="414">
        <v>8313</v>
      </c>
      <c r="G781" s="414">
        <v>8313</v>
      </c>
      <c r="H781" s="571">
        <v>0</v>
      </c>
      <c r="I781" s="414">
        <v>8306.2099999999991</v>
      </c>
      <c r="J781" s="571">
        <v>6.79</v>
      </c>
      <c r="K781" s="572">
        <v>0.08</v>
      </c>
      <c r="L781" s="588"/>
      <c r="M781" s="589"/>
      <c r="N781" s="567"/>
    </row>
    <row r="782" spans="2:14">
      <c r="B782" s="127" t="str">
        <f t="shared" si="28"/>
        <v>200-75-752</v>
      </c>
      <c r="C782" s="127" t="str">
        <f t="shared" si="29"/>
        <v>50650</v>
      </c>
      <c r="D782" s="570" t="s">
        <v>728</v>
      </c>
      <c r="E782" s="396" t="s">
        <v>323</v>
      </c>
      <c r="F782" s="573">
        <v>80995</v>
      </c>
      <c r="G782" s="573">
        <v>80995</v>
      </c>
      <c r="H782" s="574">
        <v>5724.79</v>
      </c>
      <c r="I782" s="573">
        <v>67672.52</v>
      </c>
      <c r="J782" s="574">
        <v>13322.48</v>
      </c>
      <c r="K782" s="575">
        <v>16.45</v>
      </c>
      <c r="L782" s="588"/>
      <c r="M782" s="589"/>
      <c r="N782" s="567"/>
    </row>
    <row r="783" spans="2:14">
      <c r="B783" s="127" t="str">
        <f t="shared" si="28"/>
        <v xml:space="preserve">Category: </v>
      </c>
      <c r="C783" s="127" t="str">
        <f t="shared" si="29"/>
        <v>0 - P</v>
      </c>
      <c r="D783" s="569" t="s">
        <v>1123</v>
      </c>
      <c r="E783" s="569"/>
      <c r="F783" s="576">
        <v>781120</v>
      </c>
      <c r="G783" s="576">
        <v>781120</v>
      </c>
      <c r="H783" s="577">
        <v>55105.96</v>
      </c>
      <c r="I783" s="576">
        <v>640028.98</v>
      </c>
      <c r="J783" s="577">
        <v>141091.01999999999</v>
      </c>
      <c r="K783" s="578">
        <v>0.18062656185989301</v>
      </c>
      <c r="L783" s="590"/>
      <c r="M783" s="591"/>
      <c r="N783" s="567"/>
    </row>
    <row r="784" spans="2:14">
      <c r="B784" s="127" t="str">
        <f t="shared" si="28"/>
        <v/>
      </c>
      <c r="C784" s="127" t="str">
        <f t="shared" si="29"/>
        <v/>
      </c>
      <c r="F784" s="398"/>
      <c r="G784" s="398"/>
      <c r="H784" s="398"/>
      <c r="I784" s="398"/>
      <c r="J784" s="398"/>
      <c r="K784" s="398"/>
      <c r="L784"/>
      <c r="N784" s="567"/>
    </row>
    <row r="785" spans="2:14">
      <c r="B785" s="127" t="str">
        <f t="shared" si="28"/>
        <v xml:space="preserve">Division: </v>
      </c>
      <c r="C785" s="127" t="str">
        <f t="shared" si="29"/>
        <v xml:space="preserve">52 - </v>
      </c>
      <c r="D785" s="569" t="s">
        <v>1186</v>
      </c>
      <c r="E785" s="569"/>
      <c r="F785" s="576">
        <v>781120</v>
      </c>
      <c r="G785" s="576">
        <v>781120</v>
      </c>
      <c r="H785" s="577">
        <v>55105.96</v>
      </c>
      <c r="I785" s="576">
        <v>640028.98</v>
      </c>
      <c r="J785" s="577">
        <v>141091.01999999999</v>
      </c>
      <c r="K785" s="578">
        <v>0.18062656185989301</v>
      </c>
      <c r="L785" s="590"/>
      <c r="M785" s="591"/>
      <c r="N785" s="567"/>
    </row>
    <row r="786" spans="2:14">
      <c r="B786" s="127" t="str">
        <f t="shared" si="28"/>
        <v/>
      </c>
      <c r="C786" s="127" t="str">
        <f t="shared" si="29"/>
        <v/>
      </c>
      <c r="F786" s="398"/>
      <c r="G786" s="398"/>
      <c r="H786" s="398"/>
      <c r="I786" s="398"/>
      <c r="J786" s="398"/>
      <c r="K786" s="398"/>
      <c r="L786"/>
      <c r="N786" s="567"/>
    </row>
    <row r="787" spans="2:14">
      <c r="B787" s="127" t="str">
        <f t="shared" si="28"/>
        <v>Department</v>
      </c>
      <c r="C787" s="127" t="str">
        <f t="shared" si="29"/>
        <v xml:space="preserve"> 75 -</v>
      </c>
      <c r="D787" s="569" t="s">
        <v>1187</v>
      </c>
      <c r="E787" s="569"/>
      <c r="F787" s="576">
        <v>781120</v>
      </c>
      <c r="G787" s="576">
        <v>781120</v>
      </c>
      <c r="H787" s="577">
        <v>55105.96</v>
      </c>
      <c r="I787" s="576">
        <v>640028.98</v>
      </c>
      <c r="J787" s="577">
        <v>141091.01999999999</v>
      </c>
      <c r="K787" s="578">
        <v>0.18062656185989301</v>
      </c>
      <c r="L787" s="590"/>
      <c r="M787" s="591"/>
      <c r="N787" s="567"/>
    </row>
    <row r="788" spans="2:14">
      <c r="B788" s="127" t="str">
        <f t="shared" si="28"/>
        <v/>
      </c>
      <c r="C788" s="127" t="str">
        <f t="shared" si="29"/>
        <v/>
      </c>
      <c r="L788"/>
      <c r="N788" s="567"/>
    </row>
    <row r="789" spans="2:14">
      <c r="B789" s="127" t="str">
        <f t="shared" si="28"/>
        <v/>
      </c>
      <c r="C789" s="127" t="str">
        <f t="shared" si="29"/>
        <v/>
      </c>
      <c r="E789" s="569"/>
      <c r="F789" s="569"/>
      <c r="G789" s="569"/>
      <c r="H789" s="569"/>
      <c r="I789" s="569"/>
      <c r="J789" s="569"/>
      <c r="K789" s="569"/>
      <c r="L789" s="587"/>
      <c r="M789" s="587"/>
      <c r="N789" s="567"/>
    </row>
    <row r="790" spans="2:14">
      <c r="B790" s="127" t="str">
        <f t="shared" si="28"/>
        <v/>
      </c>
      <c r="C790" s="127" t="str">
        <f t="shared" si="29"/>
        <v/>
      </c>
      <c r="E790" s="569"/>
      <c r="F790" s="569"/>
      <c r="G790" s="569"/>
      <c r="H790" s="569"/>
      <c r="I790" s="569"/>
      <c r="J790" s="569"/>
      <c r="K790" s="569"/>
      <c r="L790" s="587"/>
      <c r="M790" s="587"/>
      <c r="N790" s="567"/>
    </row>
    <row r="791" spans="2:14">
      <c r="B791" s="127" t="str">
        <f t="shared" si="28"/>
        <v/>
      </c>
      <c r="C791" s="127" t="str">
        <f t="shared" si="29"/>
        <v/>
      </c>
      <c r="E791" s="569"/>
      <c r="F791" s="569"/>
      <c r="G791" s="569"/>
      <c r="H791" s="569"/>
      <c r="I791" s="569"/>
      <c r="J791" s="569"/>
      <c r="K791" s="569"/>
      <c r="L791" s="587"/>
      <c r="M791" s="587"/>
      <c r="N791" s="567"/>
    </row>
    <row r="792" spans="2:14">
      <c r="B792" s="127" t="str">
        <f t="shared" si="28"/>
        <v>200-77-772</v>
      </c>
      <c r="C792" s="127" t="str">
        <f t="shared" si="29"/>
        <v>50102</v>
      </c>
      <c r="D792" s="570" t="s">
        <v>629</v>
      </c>
      <c r="E792" s="396" t="s">
        <v>317</v>
      </c>
      <c r="F792" s="414">
        <v>104317</v>
      </c>
      <c r="G792" s="414">
        <v>104317</v>
      </c>
      <c r="H792" s="571">
        <v>8397.73</v>
      </c>
      <c r="I792" s="414">
        <v>103764.2</v>
      </c>
      <c r="J792" s="571">
        <v>552.79999999999995</v>
      </c>
      <c r="K792" s="572">
        <v>0.53</v>
      </c>
      <c r="L792" s="588"/>
      <c r="M792" s="589"/>
      <c r="N792" s="567"/>
    </row>
    <row r="793" spans="2:14">
      <c r="B793" s="127" t="str">
        <f t="shared" si="28"/>
        <v>200-77-772</v>
      </c>
      <c r="C793" s="127" t="str">
        <f t="shared" si="29"/>
        <v>50109</v>
      </c>
      <c r="D793" s="570" t="s">
        <v>630</v>
      </c>
      <c r="E793" s="396" t="s">
        <v>12</v>
      </c>
      <c r="F793" s="414">
        <v>1000</v>
      </c>
      <c r="G793" s="414">
        <v>1000</v>
      </c>
      <c r="H793" s="571">
        <v>57</v>
      </c>
      <c r="I793" s="414">
        <v>57</v>
      </c>
      <c r="J793" s="571">
        <v>943</v>
      </c>
      <c r="K793" s="572">
        <v>94.3</v>
      </c>
      <c r="L793" s="588"/>
      <c r="M793" s="589"/>
      <c r="N793" s="567"/>
    </row>
    <row r="794" spans="2:14" ht="15.75" customHeight="1">
      <c r="B794" s="127" t="str">
        <f t="shared" si="28"/>
        <v/>
      </c>
      <c r="C794" s="127" t="str">
        <f t="shared" si="29"/>
        <v/>
      </c>
      <c r="D794" s="579"/>
      <c r="E794" s="579"/>
      <c r="F794" s="579"/>
      <c r="G794" s="579"/>
      <c r="H794" s="579"/>
      <c r="I794" s="579"/>
      <c r="J794" s="579"/>
      <c r="K794" s="579"/>
      <c r="L794" s="592"/>
      <c r="M794" s="592"/>
      <c r="N794" s="567"/>
    </row>
    <row r="795" spans="2:14" ht="34.5" customHeight="1" thickBot="1">
      <c r="B795" s="127" t="str">
        <f t="shared" si="28"/>
        <v xml:space="preserve">9/25/2024 </v>
      </c>
      <c r="C795" s="127" t="str">
        <f t="shared" si="29"/>
        <v>:13:1</v>
      </c>
      <c r="D795" s="439" t="s">
        <v>2991</v>
      </c>
      <c r="E795" s="439"/>
      <c r="F795" s="440"/>
      <c r="G795" s="440"/>
      <c r="H795" s="440"/>
      <c r="I795" s="440"/>
      <c r="J795" s="439"/>
      <c r="K795" s="439"/>
      <c r="L795" s="593"/>
      <c r="N795" s="567"/>
    </row>
    <row r="796" spans="2:14">
      <c r="B796" s="127" t="str">
        <f t="shared" si="28"/>
        <v>Budget Rep</v>
      </c>
      <c r="C796" s="127" t="str">
        <f t="shared" si="29"/>
        <v>rt</v>
      </c>
      <c r="D796" s="441" t="s">
        <v>1122</v>
      </c>
      <c r="E796" s="441"/>
      <c r="F796" s="441"/>
      <c r="G796" s="442"/>
      <c r="H796" s="441"/>
      <c r="I796" s="441"/>
      <c r="J796" s="441"/>
      <c r="K796" s="441"/>
      <c r="L796" s="594"/>
      <c r="M796" s="594"/>
      <c r="N796" s="567"/>
    </row>
    <row r="797" spans="2:14">
      <c r="B797" s="127" t="str">
        <f t="shared" si="28"/>
        <v/>
      </c>
      <c r="C797" s="127" t="str">
        <f t="shared" si="29"/>
        <v/>
      </c>
      <c r="L797"/>
      <c r="N797" s="567"/>
    </row>
    <row r="798" spans="2:14" ht="31.8">
      <c r="B798" s="127" t="str">
        <f t="shared" si="28"/>
        <v/>
      </c>
      <c r="C798" s="127" t="str">
        <f t="shared" si="29"/>
        <v/>
      </c>
      <c r="J798" s="413" t="s">
        <v>1098</v>
      </c>
      <c r="L798"/>
      <c r="N798" s="567"/>
    </row>
    <row r="799" spans="2:14" ht="21.6">
      <c r="B799" s="127" t="str">
        <f t="shared" si="28"/>
        <v/>
      </c>
      <c r="C799" s="127" t="str">
        <f t="shared" si="29"/>
        <v/>
      </c>
      <c r="F799" s="413" t="s">
        <v>1099</v>
      </c>
      <c r="G799" s="413" t="s">
        <v>1100</v>
      </c>
      <c r="H799" s="568" t="s">
        <v>1101</v>
      </c>
      <c r="I799" s="413" t="s">
        <v>1102</v>
      </c>
      <c r="J799" s="413"/>
      <c r="K799" s="568" t="s">
        <v>1103</v>
      </c>
      <c r="L799" s="586"/>
      <c r="M799" s="540"/>
      <c r="N799" s="567"/>
    </row>
    <row r="800" spans="2:14">
      <c r="B800" s="127" t="str">
        <f t="shared" si="28"/>
        <v/>
      </c>
      <c r="C800" s="127" t="str">
        <f t="shared" si="29"/>
        <v/>
      </c>
      <c r="L800"/>
      <c r="N800" s="567"/>
    </row>
    <row r="801" spans="2:14">
      <c r="B801" s="127" t="str">
        <f t="shared" si="28"/>
        <v>200-77-772</v>
      </c>
      <c r="C801" s="127" t="str">
        <f t="shared" si="29"/>
        <v>50111</v>
      </c>
      <c r="D801" s="570" t="s">
        <v>631</v>
      </c>
      <c r="E801" s="396" t="s">
        <v>318</v>
      </c>
      <c r="F801" s="414">
        <v>1614</v>
      </c>
      <c r="G801" s="414">
        <v>1614</v>
      </c>
      <c r="H801" s="571">
        <v>0</v>
      </c>
      <c r="I801" s="414">
        <v>1500</v>
      </c>
      <c r="J801" s="571">
        <v>114</v>
      </c>
      <c r="K801" s="572">
        <v>7.06</v>
      </c>
      <c r="L801" s="588"/>
      <c r="M801" s="589"/>
      <c r="N801" s="567"/>
    </row>
    <row r="802" spans="2:14">
      <c r="B802" s="127" t="str">
        <f t="shared" si="28"/>
        <v>200-77-772</v>
      </c>
      <c r="C802" s="127" t="str">
        <f t="shared" si="29"/>
        <v>50610</v>
      </c>
      <c r="D802" s="570" t="s">
        <v>908</v>
      </c>
      <c r="E802" s="396" t="s">
        <v>320</v>
      </c>
      <c r="F802" s="414">
        <v>8240</v>
      </c>
      <c r="G802" s="414">
        <v>8240</v>
      </c>
      <c r="H802" s="571">
        <v>593.48</v>
      </c>
      <c r="I802" s="414">
        <v>7563.19</v>
      </c>
      <c r="J802" s="571">
        <v>676.81</v>
      </c>
      <c r="K802" s="572">
        <v>8.2100000000000009</v>
      </c>
      <c r="L802" s="588"/>
      <c r="M802" s="589"/>
      <c r="N802" s="567"/>
    </row>
    <row r="803" spans="2:14">
      <c r="B803" s="127" t="str">
        <f t="shared" si="28"/>
        <v>200-77-772</v>
      </c>
      <c r="C803" s="127" t="str">
        <f t="shared" si="29"/>
        <v>50620</v>
      </c>
      <c r="D803" s="570" t="s">
        <v>740</v>
      </c>
      <c r="E803" s="396" t="s">
        <v>321</v>
      </c>
      <c r="F803" s="414">
        <v>19557</v>
      </c>
      <c r="G803" s="414">
        <v>19557</v>
      </c>
      <c r="H803" s="571">
        <v>1717.18</v>
      </c>
      <c r="I803" s="414">
        <v>20978.75</v>
      </c>
      <c r="J803" s="571">
        <v>-1421.75</v>
      </c>
      <c r="K803" s="572">
        <v>-7.27</v>
      </c>
      <c r="L803" s="588"/>
      <c r="M803" s="589"/>
      <c r="N803" s="567"/>
    </row>
    <row r="804" spans="2:14">
      <c r="B804" s="127" t="str">
        <f t="shared" si="28"/>
        <v>200-77-772</v>
      </c>
      <c r="C804" s="127" t="str">
        <f t="shared" si="29"/>
        <v>50630</v>
      </c>
      <c r="D804" s="570" t="s">
        <v>909</v>
      </c>
      <c r="E804" s="396" t="s">
        <v>322</v>
      </c>
      <c r="F804" s="414">
        <v>1458</v>
      </c>
      <c r="G804" s="414">
        <v>1458</v>
      </c>
      <c r="H804" s="571">
        <v>0</v>
      </c>
      <c r="I804" s="414">
        <v>1456.81</v>
      </c>
      <c r="J804" s="571">
        <v>1.19</v>
      </c>
      <c r="K804" s="572">
        <v>0.08</v>
      </c>
      <c r="L804" s="588"/>
      <c r="M804" s="589"/>
      <c r="N804" s="567"/>
    </row>
    <row r="805" spans="2:14">
      <c r="B805" s="127" t="str">
        <f t="shared" si="28"/>
        <v>200-77-772</v>
      </c>
      <c r="C805" s="127" t="str">
        <f t="shared" si="29"/>
        <v>50650</v>
      </c>
      <c r="D805" s="570" t="s">
        <v>749</v>
      </c>
      <c r="E805" s="396" t="s">
        <v>323</v>
      </c>
      <c r="F805" s="573">
        <v>17788</v>
      </c>
      <c r="G805" s="573">
        <v>17788</v>
      </c>
      <c r="H805" s="574">
        <v>1416.9</v>
      </c>
      <c r="I805" s="573">
        <v>17520.490000000002</v>
      </c>
      <c r="J805" s="574">
        <v>267.51</v>
      </c>
      <c r="K805" s="575">
        <v>1.5</v>
      </c>
      <c r="L805" s="588"/>
      <c r="M805" s="589"/>
      <c r="N805" s="567"/>
    </row>
    <row r="806" spans="2:14">
      <c r="B806" s="127" t="str">
        <f t="shared" si="28"/>
        <v xml:space="preserve">Category: </v>
      </c>
      <c r="C806" s="127" t="str">
        <f t="shared" si="29"/>
        <v>0 - P</v>
      </c>
      <c r="D806" s="569" t="s">
        <v>1123</v>
      </c>
      <c r="E806" s="569"/>
      <c r="F806" s="576">
        <v>153974</v>
      </c>
      <c r="G806" s="576">
        <v>153974</v>
      </c>
      <c r="H806" s="577">
        <v>12182.29</v>
      </c>
      <c r="I806" s="576">
        <v>152840.44</v>
      </c>
      <c r="J806" s="577">
        <v>1133.56</v>
      </c>
      <c r="K806" s="578">
        <v>7.3620221595853798E-3</v>
      </c>
      <c r="L806" s="590"/>
      <c r="M806" s="591"/>
      <c r="N806" s="567"/>
    </row>
    <row r="807" spans="2:14">
      <c r="B807" s="127" t="str">
        <f t="shared" si="28"/>
        <v/>
      </c>
      <c r="C807" s="127" t="str">
        <f t="shared" si="29"/>
        <v/>
      </c>
      <c r="F807" s="398"/>
      <c r="G807" s="398"/>
      <c r="H807" s="398"/>
      <c r="I807" s="398"/>
      <c r="J807" s="398"/>
      <c r="K807" s="398"/>
      <c r="L807"/>
      <c r="N807" s="567"/>
    </row>
    <row r="808" spans="2:14">
      <c r="B808" s="127" t="str">
        <f t="shared" si="28"/>
        <v xml:space="preserve">Division: </v>
      </c>
      <c r="C808" s="127" t="str">
        <f t="shared" si="29"/>
        <v xml:space="preserve">72 - </v>
      </c>
      <c r="D808" s="569" t="s">
        <v>1188</v>
      </c>
      <c r="E808" s="569"/>
      <c r="F808" s="576">
        <v>153974</v>
      </c>
      <c r="G808" s="576">
        <v>153974</v>
      </c>
      <c r="H808" s="577">
        <v>12182.29</v>
      </c>
      <c r="I808" s="576">
        <v>152840.44</v>
      </c>
      <c r="J808" s="577">
        <v>1133.56</v>
      </c>
      <c r="K808" s="578">
        <v>7.3620221595853798E-3</v>
      </c>
      <c r="L808" s="590"/>
      <c r="M808" s="591"/>
      <c r="N808" s="567"/>
    </row>
    <row r="809" spans="2:14">
      <c r="B809" s="127" t="str">
        <f t="shared" si="28"/>
        <v/>
      </c>
      <c r="C809" s="127" t="str">
        <f t="shared" si="29"/>
        <v/>
      </c>
      <c r="F809" s="398"/>
      <c r="G809" s="398"/>
      <c r="H809" s="398"/>
      <c r="I809" s="398"/>
      <c r="J809" s="398"/>
      <c r="K809" s="398"/>
      <c r="L809"/>
      <c r="N809" s="567"/>
    </row>
    <row r="810" spans="2:14">
      <c r="B810" s="127" t="str">
        <f t="shared" si="28"/>
        <v>Department</v>
      </c>
      <c r="C810" s="127" t="str">
        <f t="shared" si="29"/>
        <v xml:space="preserve"> 77 -</v>
      </c>
      <c r="D810" s="569" t="s">
        <v>1189</v>
      </c>
      <c r="E810" s="569"/>
      <c r="F810" s="576">
        <v>153974</v>
      </c>
      <c r="G810" s="576">
        <v>153974</v>
      </c>
      <c r="H810" s="577">
        <v>12182.29</v>
      </c>
      <c r="I810" s="576">
        <v>152840.44</v>
      </c>
      <c r="J810" s="577">
        <v>1133.56</v>
      </c>
      <c r="K810" s="578">
        <v>7.3620221595853798E-3</v>
      </c>
      <c r="L810" s="590"/>
      <c r="M810" s="591"/>
      <c r="N810" s="567"/>
    </row>
    <row r="811" spans="2:14">
      <c r="B811" s="127" t="str">
        <f t="shared" si="28"/>
        <v/>
      </c>
      <c r="C811" s="127" t="str">
        <f t="shared" si="29"/>
        <v/>
      </c>
      <c r="F811" s="398"/>
      <c r="G811" s="398"/>
      <c r="H811" s="398"/>
      <c r="I811" s="398"/>
      <c r="J811" s="398"/>
      <c r="K811" s="398"/>
      <c r="L811"/>
      <c r="N811" s="567"/>
    </row>
    <row r="812" spans="2:14">
      <c r="B812" s="127" t="str">
        <f t="shared" si="28"/>
        <v xml:space="preserve">Fund: 200 </v>
      </c>
      <c r="C812" s="127" t="str">
        <f t="shared" si="29"/>
        <v xml:space="preserve"> WATE</v>
      </c>
      <c r="D812" s="569" t="s">
        <v>1910</v>
      </c>
      <c r="E812" s="569"/>
      <c r="F812" s="576">
        <v>3578022</v>
      </c>
      <c r="G812" s="576">
        <v>3578022</v>
      </c>
      <c r="H812" s="577">
        <v>247157.2</v>
      </c>
      <c r="I812" s="576">
        <v>3120496.28</v>
      </c>
      <c r="J812" s="577">
        <v>457525.72</v>
      </c>
      <c r="K812" s="578">
        <v>0.12787113103273301</v>
      </c>
      <c r="L812" s="590"/>
      <c r="M812" s="591"/>
      <c r="N812" s="567"/>
    </row>
    <row r="813" spans="2:14">
      <c r="B813" s="127" t="str">
        <f t="shared" si="28"/>
        <v/>
      </c>
      <c r="C813" s="127" t="str">
        <f t="shared" si="29"/>
        <v/>
      </c>
      <c r="L813"/>
      <c r="N813" s="567"/>
    </row>
    <row r="814" spans="2:14">
      <c r="B814" s="127" t="str">
        <f t="shared" si="28"/>
        <v xml:space="preserve">Fund: 400 </v>
      </c>
      <c r="C814" s="127" t="str">
        <f t="shared" si="29"/>
        <v xml:space="preserve"> DRAI</v>
      </c>
      <c r="D814" s="569" t="s">
        <v>1110</v>
      </c>
      <c r="E814" s="569"/>
      <c r="F814" s="569"/>
      <c r="G814" s="569"/>
      <c r="H814" s="569"/>
      <c r="I814" s="569"/>
      <c r="J814" s="569"/>
      <c r="K814" s="569"/>
      <c r="L814" s="587"/>
      <c r="M814" s="587"/>
      <c r="N814" s="567"/>
    </row>
    <row r="815" spans="2:14">
      <c r="B815" s="127" t="str">
        <f t="shared" si="28"/>
        <v/>
      </c>
      <c r="C815" s="127" t="str">
        <f t="shared" si="29"/>
        <v/>
      </c>
      <c r="E815" s="569"/>
      <c r="F815" s="569"/>
      <c r="G815" s="569"/>
      <c r="H815" s="569"/>
      <c r="I815" s="569"/>
      <c r="J815" s="569"/>
      <c r="K815" s="569"/>
      <c r="L815" s="587"/>
      <c r="M815" s="587"/>
      <c r="N815" s="567"/>
    </row>
    <row r="816" spans="2:14">
      <c r="B816" s="127" t="str">
        <f t="shared" si="28"/>
        <v/>
      </c>
      <c r="C816" s="127" t="str">
        <f t="shared" si="29"/>
        <v/>
      </c>
      <c r="E816" s="569"/>
      <c r="F816" s="569"/>
      <c r="G816" s="569"/>
      <c r="H816" s="569"/>
      <c r="I816" s="569"/>
      <c r="J816" s="569"/>
      <c r="K816" s="569"/>
      <c r="L816" s="587"/>
      <c r="M816" s="587"/>
      <c r="N816" s="567"/>
    </row>
    <row r="817" spans="2:14">
      <c r="B817" s="127" t="str">
        <f t="shared" si="28"/>
        <v/>
      </c>
      <c r="C817" s="127" t="str">
        <f t="shared" si="29"/>
        <v/>
      </c>
      <c r="E817" s="569"/>
      <c r="F817" s="569"/>
      <c r="G817" s="569"/>
      <c r="H817" s="569"/>
      <c r="I817" s="569"/>
      <c r="J817" s="569"/>
      <c r="K817" s="569"/>
      <c r="L817" s="587"/>
      <c r="M817" s="587"/>
      <c r="N817" s="567"/>
    </row>
    <row r="818" spans="2:14">
      <c r="B818" s="127" t="str">
        <f t="shared" si="28"/>
        <v>400-81-815</v>
      </c>
      <c r="C818" s="127" t="str">
        <f t="shared" si="29"/>
        <v>50102</v>
      </c>
      <c r="D818" s="570" t="s">
        <v>555</v>
      </c>
      <c r="E818" s="396" t="s">
        <v>317</v>
      </c>
      <c r="F818" s="414">
        <v>430437</v>
      </c>
      <c r="G818" s="414">
        <v>430437</v>
      </c>
      <c r="H818" s="571">
        <v>34467.480000000003</v>
      </c>
      <c r="I818" s="414">
        <v>412761.4</v>
      </c>
      <c r="J818" s="571">
        <v>17675.599999999999</v>
      </c>
      <c r="K818" s="572">
        <v>4.1100000000000003</v>
      </c>
      <c r="L818" s="588"/>
      <c r="M818" s="589"/>
      <c r="N818" s="567"/>
    </row>
    <row r="819" spans="2:14">
      <c r="B819" s="127" t="str">
        <f t="shared" si="28"/>
        <v>400-81-815</v>
      </c>
      <c r="C819" s="127" t="str">
        <f t="shared" si="29"/>
        <v>50109</v>
      </c>
      <c r="D819" s="570" t="s">
        <v>554</v>
      </c>
      <c r="E819" s="396" t="s">
        <v>12</v>
      </c>
      <c r="F819" s="414">
        <v>31387</v>
      </c>
      <c r="G819" s="414">
        <v>31387</v>
      </c>
      <c r="H819" s="571">
        <v>1014.19</v>
      </c>
      <c r="I819" s="414">
        <v>22080.89</v>
      </c>
      <c r="J819" s="571">
        <v>9306.11</v>
      </c>
      <c r="K819" s="572">
        <v>29.65</v>
      </c>
      <c r="L819" s="588"/>
      <c r="M819" s="589"/>
      <c r="N819" s="567"/>
    </row>
    <row r="820" spans="2:14">
      <c r="B820" s="127" t="str">
        <f t="shared" si="28"/>
        <v>400-81-815</v>
      </c>
      <c r="C820" s="127" t="str">
        <f t="shared" si="29"/>
        <v>50111</v>
      </c>
      <c r="D820" s="570" t="s">
        <v>556</v>
      </c>
      <c r="E820" s="396" t="s">
        <v>318</v>
      </c>
      <c r="F820" s="414">
        <v>4269</v>
      </c>
      <c r="G820" s="414">
        <v>4269</v>
      </c>
      <c r="H820" s="571">
        <v>0</v>
      </c>
      <c r="I820" s="414">
        <v>4290</v>
      </c>
      <c r="J820" s="571">
        <v>-21</v>
      </c>
      <c r="K820" s="572">
        <v>-0.49</v>
      </c>
      <c r="L820" s="588"/>
      <c r="M820" s="589"/>
      <c r="N820" s="567"/>
    </row>
    <row r="821" spans="2:14">
      <c r="B821" s="127" t="str">
        <f t="shared" si="28"/>
        <v>400-81-815</v>
      </c>
      <c r="C821" s="127" t="str">
        <f t="shared" si="29"/>
        <v>50610</v>
      </c>
      <c r="D821" s="570" t="s">
        <v>910</v>
      </c>
      <c r="E821" s="396" t="s">
        <v>320</v>
      </c>
      <c r="F821" s="414">
        <v>35790</v>
      </c>
      <c r="G821" s="414">
        <v>35790</v>
      </c>
      <c r="H821" s="571">
        <v>2598.4899999999998</v>
      </c>
      <c r="I821" s="414">
        <v>32347.91</v>
      </c>
      <c r="J821" s="571">
        <v>3442.09</v>
      </c>
      <c r="K821" s="572">
        <v>9.6199999999999992</v>
      </c>
      <c r="L821" s="588"/>
      <c r="M821" s="589"/>
      <c r="N821" s="567"/>
    </row>
    <row r="822" spans="2:14">
      <c r="B822" s="127" t="str">
        <f t="shared" si="28"/>
        <v>400-81-815</v>
      </c>
      <c r="C822" s="127" t="str">
        <f t="shared" si="29"/>
        <v>50620</v>
      </c>
      <c r="D822" s="570" t="s">
        <v>708</v>
      </c>
      <c r="E822" s="396" t="s">
        <v>321</v>
      </c>
      <c r="F822" s="414">
        <v>105314</v>
      </c>
      <c r="G822" s="414">
        <v>105314</v>
      </c>
      <c r="H822" s="571">
        <v>9860.2000000000007</v>
      </c>
      <c r="I822" s="414">
        <v>104118.23</v>
      </c>
      <c r="J822" s="571">
        <v>1195.77</v>
      </c>
      <c r="K822" s="572">
        <v>1.1399999999999999</v>
      </c>
      <c r="L822" s="588"/>
      <c r="M822" s="589"/>
      <c r="N822" s="567"/>
    </row>
    <row r="823" spans="2:14">
      <c r="B823" s="127" t="str">
        <f t="shared" si="28"/>
        <v>400-81-815</v>
      </c>
      <c r="C823" s="127" t="str">
        <f t="shared" si="29"/>
        <v>50630</v>
      </c>
      <c r="D823" s="570" t="s">
        <v>911</v>
      </c>
      <c r="E823" s="396" t="s">
        <v>322</v>
      </c>
      <c r="F823" s="414">
        <v>9989</v>
      </c>
      <c r="G823" s="414">
        <v>9989</v>
      </c>
      <c r="H823" s="571">
        <v>0</v>
      </c>
      <c r="I823" s="414">
        <v>9980.84</v>
      </c>
      <c r="J823" s="571">
        <v>8.16</v>
      </c>
      <c r="K823" s="572">
        <v>0.08</v>
      </c>
      <c r="L823" s="588"/>
      <c r="M823" s="589"/>
      <c r="N823" s="567"/>
    </row>
    <row r="824" spans="2:14">
      <c r="B824" s="127" t="str">
        <f t="shared" si="28"/>
        <v>400-81-815</v>
      </c>
      <c r="C824" s="127" t="str">
        <f t="shared" si="29"/>
        <v>50650</v>
      </c>
      <c r="D824" s="570" t="s">
        <v>746</v>
      </c>
      <c r="E824" s="396" t="s">
        <v>323</v>
      </c>
      <c r="F824" s="573">
        <v>77293</v>
      </c>
      <c r="G824" s="573">
        <v>77293</v>
      </c>
      <c r="H824" s="574">
        <v>5943.94</v>
      </c>
      <c r="I824" s="573">
        <v>73084.289999999994</v>
      </c>
      <c r="J824" s="574">
        <v>4208.71</v>
      </c>
      <c r="K824" s="575">
        <v>5.45</v>
      </c>
      <c r="L824" s="588"/>
      <c r="M824" s="589"/>
      <c r="N824" s="567"/>
    </row>
    <row r="825" spans="2:14">
      <c r="B825" s="127" t="str">
        <f t="shared" si="28"/>
        <v xml:space="preserve">Category: </v>
      </c>
      <c r="C825" s="127" t="str">
        <f t="shared" si="29"/>
        <v>0 - P</v>
      </c>
      <c r="D825" s="569" t="s">
        <v>1123</v>
      </c>
      <c r="E825" s="569"/>
      <c r="F825" s="576">
        <v>694479</v>
      </c>
      <c r="G825" s="576">
        <v>694479</v>
      </c>
      <c r="H825" s="577">
        <v>53884.3</v>
      </c>
      <c r="I825" s="576">
        <v>658663.56000000006</v>
      </c>
      <c r="J825" s="577">
        <v>35815.440000000002</v>
      </c>
      <c r="K825" s="578">
        <v>5.1571667393830498E-2</v>
      </c>
      <c r="L825" s="590"/>
      <c r="M825" s="591"/>
      <c r="N825" s="567"/>
    </row>
    <row r="826" spans="2:14">
      <c r="B826" s="127" t="str">
        <f t="shared" si="28"/>
        <v/>
      </c>
      <c r="C826" s="127" t="str">
        <f t="shared" si="29"/>
        <v/>
      </c>
      <c r="F826" s="398"/>
      <c r="G826" s="398"/>
      <c r="H826" s="398"/>
      <c r="I826" s="398"/>
      <c r="J826" s="398"/>
      <c r="K826" s="398"/>
      <c r="L826"/>
      <c r="N826" s="567"/>
    </row>
    <row r="827" spans="2:14">
      <c r="B827" s="127" t="str">
        <f t="shared" si="28"/>
        <v xml:space="preserve">Division: </v>
      </c>
      <c r="C827" s="127" t="str">
        <f t="shared" si="29"/>
        <v xml:space="preserve">15 - </v>
      </c>
      <c r="D827" s="569" t="s">
        <v>1190</v>
      </c>
      <c r="E827" s="569"/>
      <c r="F827" s="576">
        <v>694479</v>
      </c>
      <c r="G827" s="576">
        <v>694479</v>
      </c>
      <c r="H827" s="577">
        <v>53884.3</v>
      </c>
      <c r="I827" s="576">
        <v>658663.56000000006</v>
      </c>
      <c r="J827" s="577">
        <v>35815.440000000002</v>
      </c>
      <c r="K827" s="578">
        <v>5.1571667393830498E-2</v>
      </c>
      <c r="L827" s="590"/>
      <c r="M827" s="591"/>
      <c r="N827" s="567"/>
    </row>
    <row r="828" spans="2:14">
      <c r="B828" s="127" t="str">
        <f t="shared" si="28"/>
        <v/>
      </c>
      <c r="C828" s="127" t="str">
        <f t="shared" si="29"/>
        <v/>
      </c>
      <c r="F828" s="398"/>
      <c r="G828" s="398"/>
      <c r="H828" s="398"/>
      <c r="I828" s="398"/>
      <c r="J828" s="398"/>
      <c r="K828" s="398"/>
      <c r="L828"/>
      <c r="N828" s="567"/>
    </row>
    <row r="829" spans="2:14">
      <c r="B829" s="127" t="str">
        <f t="shared" si="28"/>
        <v>Department</v>
      </c>
      <c r="C829" s="127" t="str">
        <f t="shared" si="29"/>
        <v xml:space="preserve"> 81 -</v>
      </c>
      <c r="D829" s="569" t="s">
        <v>1191</v>
      </c>
      <c r="E829" s="569"/>
      <c r="F829" s="576">
        <v>694479</v>
      </c>
      <c r="G829" s="576">
        <v>694479</v>
      </c>
      <c r="H829" s="577">
        <v>53884.3</v>
      </c>
      <c r="I829" s="576">
        <v>658663.56000000006</v>
      </c>
      <c r="J829" s="577">
        <v>35815.440000000002</v>
      </c>
      <c r="K829" s="578">
        <v>5.1571667393830498E-2</v>
      </c>
      <c r="L829" s="590"/>
      <c r="M829" s="591"/>
      <c r="N829" s="567"/>
    </row>
    <row r="830" spans="2:14">
      <c r="B830" s="127" t="str">
        <f t="shared" si="28"/>
        <v/>
      </c>
      <c r="C830" s="127" t="str">
        <f t="shared" si="29"/>
        <v/>
      </c>
      <c r="F830" s="398"/>
      <c r="G830" s="398"/>
      <c r="H830" s="398"/>
      <c r="I830" s="398"/>
      <c r="J830" s="398"/>
      <c r="K830" s="398"/>
      <c r="L830"/>
      <c r="N830" s="567"/>
    </row>
    <row r="831" spans="2:14">
      <c r="B831" s="127" t="str">
        <f t="shared" si="28"/>
        <v xml:space="preserve">Fund: 400 </v>
      </c>
      <c r="C831" s="127" t="str">
        <f t="shared" si="29"/>
        <v xml:space="preserve"> DRAI</v>
      </c>
      <c r="D831" s="569" t="s">
        <v>1911</v>
      </c>
      <c r="E831" s="569"/>
      <c r="F831" s="576">
        <v>694479</v>
      </c>
      <c r="G831" s="576">
        <v>694479</v>
      </c>
      <c r="H831" s="577">
        <v>53884.3</v>
      </c>
      <c r="I831" s="576">
        <v>658663.56000000006</v>
      </c>
      <c r="J831" s="577">
        <v>35815.440000000002</v>
      </c>
      <c r="K831" s="578">
        <v>5.1571667393830498E-2</v>
      </c>
      <c r="L831" s="590"/>
      <c r="M831" s="591"/>
      <c r="N831" s="567"/>
    </row>
    <row r="832" spans="2:14" ht="16.2" thickBot="1">
      <c r="B832" s="127" t="str">
        <f t="shared" si="28"/>
        <v/>
      </c>
      <c r="C832" s="127" t="str">
        <f t="shared" si="29"/>
        <v/>
      </c>
      <c r="F832" s="448"/>
      <c r="G832" s="448"/>
      <c r="H832" s="448"/>
      <c r="I832" s="448"/>
      <c r="J832" s="448"/>
      <c r="K832" s="448"/>
      <c r="L832"/>
      <c r="N832" s="567"/>
    </row>
    <row r="833" spans="2:14" ht="16.2" thickTop="1">
      <c r="B833" s="127" t="str">
        <f t="shared" si="28"/>
        <v>Report Tot</v>
      </c>
      <c r="C833" s="127" t="str">
        <f t="shared" si="29"/>
        <v>l:</v>
      </c>
      <c r="D833" s="569" t="s">
        <v>1912</v>
      </c>
      <c r="E833" s="569"/>
      <c r="F833" s="580">
        <v>34227428</v>
      </c>
      <c r="G833" s="580">
        <v>34227428</v>
      </c>
      <c r="H833" s="581">
        <v>2534555.0699999998</v>
      </c>
      <c r="I833" s="580">
        <v>31718570.23</v>
      </c>
      <c r="J833" s="581">
        <v>2508857.77</v>
      </c>
      <c r="K833" s="582">
        <v>7.3299628882427303E-2</v>
      </c>
      <c r="L833" s="590"/>
      <c r="M833" s="591"/>
      <c r="N833" s="567"/>
    </row>
    <row r="834" spans="2:14">
      <c r="B834" s="127" t="str">
        <f t="shared" si="28"/>
        <v/>
      </c>
      <c r="C834" s="127" t="str">
        <f t="shared" si="29"/>
        <v/>
      </c>
      <c r="L834"/>
      <c r="N834" s="567"/>
    </row>
    <row r="835" spans="2:14">
      <c r="B835" s="127" t="str">
        <f t="shared" si="28"/>
        <v/>
      </c>
      <c r="C835" s="127" t="str">
        <f t="shared" si="29"/>
        <v/>
      </c>
      <c r="L835"/>
      <c r="N835" s="567"/>
    </row>
    <row r="836" spans="2:14">
      <c r="B836" s="127" t="str">
        <f t="shared" si="28"/>
        <v/>
      </c>
      <c r="C836" s="127" t="str">
        <f t="shared" si="29"/>
        <v/>
      </c>
      <c r="L836"/>
      <c r="N836" s="567"/>
    </row>
    <row r="837" spans="2:14">
      <c r="B837" s="127" t="str">
        <f t="shared" si="28"/>
        <v/>
      </c>
      <c r="C837" s="127" t="str">
        <f t="shared" si="29"/>
        <v/>
      </c>
      <c r="L837"/>
      <c r="N837" s="567"/>
    </row>
    <row r="838" spans="2:14">
      <c r="B838" s="127" t="str">
        <f t="shared" ref="B838:B901" si="30">LEFT(D838,10)</f>
        <v/>
      </c>
      <c r="C838" s="127" t="str">
        <f t="shared" ref="C838:C901" si="31">MID(D838,12,5)</f>
        <v/>
      </c>
      <c r="L838"/>
      <c r="N838" s="567"/>
    </row>
    <row r="839" spans="2:14">
      <c r="B839" s="127" t="str">
        <f t="shared" si="30"/>
        <v/>
      </c>
      <c r="C839" s="127" t="str">
        <f t="shared" si="31"/>
        <v/>
      </c>
      <c r="L839"/>
      <c r="N839" s="567"/>
    </row>
    <row r="840" spans="2:14">
      <c r="B840" s="127" t="str">
        <f t="shared" si="30"/>
        <v/>
      </c>
      <c r="C840" s="127" t="str">
        <f t="shared" si="31"/>
        <v/>
      </c>
      <c r="D840" s="579"/>
      <c r="E840" s="579"/>
      <c r="F840" s="579"/>
      <c r="G840" s="579"/>
      <c r="H840" s="579"/>
      <c r="I840" s="579"/>
      <c r="J840" s="579"/>
      <c r="K840" s="579"/>
      <c r="L840" s="592"/>
      <c r="M840" s="592"/>
      <c r="N840" s="567"/>
    </row>
    <row r="841" spans="2:14" ht="16.2" thickBot="1">
      <c r="B841" s="127" t="str">
        <f t="shared" si="30"/>
        <v xml:space="preserve">9/25/2024 </v>
      </c>
      <c r="C841" s="127" t="str">
        <f t="shared" si="31"/>
        <v>:13:1</v>
      </c>
      <c r="D841" s="439" t="s">
        <v>2991</v>
      </c>
      <c r="E841" s="439"/>
      <c r="F841" s="440"/>
      <c r="G841" s="440"/>
      <c r="H841" s="440"/>
      <c r="I841" s="440"/>
      <c r="J841" s="439"/>
      <c r="K841" s="439"/>
      <c r="L841" s="593"/>
      <c r="N841" s="567"/>
    </row>
    <row r="842" spans="2:14">
      <c r="B842" s="127" t="str">
        <f t="shared" si="30"/>
        <v>Budget Rep</v>
      </c>
      <c r="C842" s="127" t="str">
        <f t="shared" si="31"/>
        <v>rt</v>
      </c>
      <c r="D842" s="441" t="s">
        <v>1122</v>
      </c>
      <c r="E842" s="441"/>
      <c r="F842" s="441"/>
      <c r="G842" s="442"/>
      <c r="H842" s="441"/>
      <c r="I842" s="441"/>
      <c r="J842" s="441"/>
      <c r="K842" s="441"/>
      <c r="L842" s="594"/>
      <c r="M842" s="594"/>
      <c r="N842" s="567"/>
    </row>
    <row r="843" spans="2:14">
      <c r="B843" s="127" t="str">
        <f t="shared" si="30"/>
        <v/>
      </c>
      <c r="C843" s="127" t="str">
        <f t="shared" si="31"/>
        <v/>
      </c>
      <c r="L843"/>
      <c r="N843" s="567"/>
    </row>
    <row r="844" spans="2:14" ht="18">
      <c r="B844" s="127" t="str">
        <f t="shared" si="30"/>
        <v/>
      </c>
      <c r="C844" s="127" t="str">
        <f t="shared" si="31"/>
        <v/>
      </c>
      <c r="H844" s="452"/>
      <c r="I844" s="452"/>
      <c r="J844" s="452"/>
      <c r="K844" s="452"/>
      <c r="L844" s="595"/>
      <c r="M844" s="595"/>
      <c r="N844" s="567"/>
    </row>
    <row r="845" spans="2:14">
      <c r="B845" s="127" t="str">
        <f t="shared" si="30"/>
        <v/>
      </c>
      <c r="C845" s="127" t="str">
        <f t="shared" si="31"/>
        <v/>
      </c>
      <c r="L845"/>
      <c r="N845" s="567"/>
    </row>
    <row r="846" spans="2:14" ht="31.8">
      <c r="B846" s="127" t="str">
        <f t="shared" si="30"/>
        <v/>
      </c>
      <c r="C846" s="127" t="str">
        <f t="shared" si="31"/>
        <v/>
      </c>
      <c r="J846" s="413" t="s">
        <v>1098</v>
      </c>
      <c r="L846"/>
      <c r="N846" s="567"/>
    </row>
    <row r="847" spans="2:14" ht="21.6">
      <c r="B847" s="127" t="str">
        <f t="shared" si="30"/>
        <v/>
      </c>
      <c r="C847" s="127" t="str">
        <f t="shared" si="31"/>
        <v/>
      </c>
      <c r="F847" s="413" t="s">
        <v>1099</v>
      </c>
      <c r="G847" s="413" t="s">
        <v>1100</v>
      </c>
      <c r="H847" s="413" t="s">
        <v>1101</v>
      </c>
      <c r="I847" s="413" t="s">
        <v>1102</v>
      </c>
      <c r="J847" s="413"/>
      <c r="K847" s="413" t="s">
        <v>1103</v>
      </c>
      <c r="L847" s="540"/>
      <c r="M847" s="540"/>
      <c r="N847" s="567"/>
    </row>
    <row r="848" spans="2:14" ht="15.75" customHeight="1">
      <c r="B848" s="127" t="str">
        <f t="shared" si="30"/>
        <v/>
      </c>
      <c r="C848" s="127" t="str">
        <f t="shared" si="31"/>
        <v/>
      </c>
      <c r="E848" s="583"/>
      <c r="F848" s="413"/>
      <c r="G848" s="413"/>
      <c r="H848" s="413"/>
      <c r="I848" s="413"/>
      <c r="J848" s="413"/>
      <c r="K848" s="413"/>
      <c r="L848" s="540"/>
      <c r="M848" s="540"/>
      <c r="N848" s="567"/>
    </row>
    <row r="849" spans="2:14" ht="15.75" customHeight="1">
      <c r="B849" s="127" t="str">
        <f t="shared" si="30"/>
        <v/>
      </c>
      <c r="C849" s="127" t="str">
        <f t="shared" si="31"/>
        <v/>
      </c>
      <c r="L849"/>
      <c r="N849" s="567"/>
    </row>
    <row r="850" spans="2:14">
      <c r="B850" s="127" t="str">
        <f t="shared" si="30"/>
        <v xml:space="preserve">Fund: 100 </v>
      </c>
      <c r="C850" s="127" t="str">
        <f t="shared" si="31"/>
        <v xml:space="preserve"> GENE</v>
      </c>
      <c r="D850" s="569" t="s">
        <v>1104</v>
      </c>
      <c r="E850" s="569"/>
      <c r="L850"/>
      <c r="N850" s="567"/>
    </row>
    <row r="851" spans="2:14">
      <c r="B851" s="127" t="str">
        <f t="shared" si="30"/>
        <v/>
      </c>
      <c r="C851" s="127" t="str">
        <f t="shared" si="31"/>
        <v/>
      </c>
      <c r="E851" s="569"/>
      <c r="L851"/>
      <c r="N851" s="567"/>
    </row>
    <row r="852" spans="2:14">
      <c r="B852" s="127" t="str">
        <f t="shared" si="30"/>
        <v/>
      </c>
      <c r="C852" s="127" t="str">
        <f t="shared" si="31"/>
        <v/>
      </c>
      <c r="E852" s="569"/>
      <c r="L852"/>
      <c r="N852" s="567"/>
    </row>
    <row r="853" spans="2:14">
      <c r="B853" s="127" t="str">
        <f t="shared" si="30"/>
        <v/>
      </c>
      <c r="C853" s="127" t="str">
        <f t="shared" si="31"/>
        <v/>
      </c>
      <c r="E853" s="396"/>
      <c r="F853" s="573">
        <v>545408</v>
      </c>
      <c r="G853" s="573">
        <v>545408</v>
      </c>
      <c r="H853" s="574">
        <v>14251.6</v>
      </c>
      <c r="I853" s="573">
        <v>401295.71</v>
      </c>
      <c r="J853" s="574">
        <v>144112.29</v>
      </c>
      <c r="K853" s="575">
        <v>0.26422841249119899</v>
      </c>
      <c r="L853" s="588"/>
      <c r="M853" s="589"/>
      <c r="N853" s="567"/>
    </row>
    <row r="854" spans="2:14">
      <c r="B854" s="127" t="str">
        <f t="shared" si="30"/>
        <v xml:space="preserve">Division: </v>
      </c>
      <c r="C854" s="127" t="str">
        <f t="shared" si="31"/>
        <v xml:space="preserve">01 - </v>
      </c>
      <c r="D854" s="569" t="s">
        <v>1124</v>
      </c>
      <c r="E854" s="569"/>
      <c r="F854" s="576">
        <v>545408</v>
      </c>
      <c r="G854" s="576">
        <v>545408</v>
      </c>
      <c r="H854" s="577">
        <v>14251.6</v>
      </c>
      <c r="I854" s="576">
        <v>401295.71</v>
      </c>
      <c r="J854" s="577">
        <v>144112.29</v>
      </c>
      <c r="K854" s="578">
        <v>0.26422841249119899</v>
      </c>
      <c r="L854" s="590"/>
      <c r="M854" s="591"/>
      <c r="N854" s="567"/>
    </row>
    <row r="855" spans="2:14">
      <c r="B855" s="127" t="str">
        <f t="shared" si="30"/>
        <v/>
      </c>
      <c r="C855" s="127" t="str">
        <f t="shared" si="31"/>
        <v/>
      </c>
      <c r="L855"/>
      <c r="N855" s="567"/>
    </row>
    <row r="856" spans="2:14">
      <c r="B856" s="127" t="str">
        <f t="shared" si="30"/>
        <v/>
      </c>
      <c r="C856" s="127" t="str">
        <f t="shared" si="31"/>
        <v/>
      </c>
      <c r="E856" s="569"/>
      <c r="L856"/>
      <c r="N856" s="567"/>
    </row>
    <row r="857" spans="2:14">
      <c r="B857" s="127" t="str">
        <f t="shared" si="30"/>
        <v/>
      </c>
      <c r="C857" s="127" t="str">
        <f t="shared" si="31"/>
        <v/>
      </c>
      <c r="E857" s="396"/>
      <c r="F857" s="573">
        <v>2022</v>
      </c>
      <c r="G857" s="573">
        <v>2022</v>
      </c>
      <c r="H857" s="574">
        <v>0</v>
      </c>
      <c r="I857" s="573">
        <v>23.98</v>
      </c>
      <c r="J857" s="574">
        <v>1998.02</v>
      </c>
      <c r="K857" s="575">
        <v>0.98814045499505399</v>
      </c>
      <c r="L857" s="588"/>
      <c r="M857" s="589"/>
      <c r="N857" s="567"/>
    </row>
    <row r="858" spans="2:14">
      <c r="B858" s="127" t="str">
        <f t="shared" si="30"/>
        <v xml:space="preserve">Division: </v>
      </c>
      <c r="C858" s="127" t="str">
        <f t="shared" si="31"/>
        <v xml:space="preserve">02 - </v>
      </c>
      <c r="D858" s="569" t="s">
        <v>1125</v>
      </c>
      <c r="E858" s="569"/>
      <c r="F858" s="576">
        <v>2022</v>
      </c>
      <c r="G858" s="576">
        <v>2022</v>
      </c>
      <c r="H858" s="577">
        <v>0</v>
      </c>
      <c r="I858" s="576">
        <v>23.98</v>
      </c>
      <c r="J858" s="577">
        <v>1998.02</v>
      </c>
      <c r="K858" s="578">
        <v>0.98814045499505399</v>
      </c>
      <c r="L858" s="590"/>
      <c r="M858" s="591"/>
      <c r="N858" s="567"/>
    </row>
    <row r="859" spans="2:14">
      <c r="B859" s="127" t="str">
        <f t="shared" si="30"/>
        <v/>
      </c>
      <c r="C859" s="127" t="str">
        <f t="shared" si="31"/>
        <v/>
      </c>
      <c r="L859"/>
      <c r="N859" s="567"/>
    </row>
    <row r="860" spans="2:14">
      <c r="B860" s="127" t="str">
        <f t="shared" si="30"/>
        <v/>
      </c>
      <c r="C860" s="127" t="str">
        <f t="shared" si="31"/>
        <v/>
      </c>
      <c r="E860" s="569"/>
      <c r="L860"/>
      <c r="N860" s="567"/>
    </row>
    <row r="861" spans="2:14">
      <c r="B861" s="127" t="str">
        <f t="shared" si="30"/>
        <v/>
      </c>
      <c r="C861" s="127" t="str">
        <f t="shared" si="31"/>
        <v/>
      </c>
      <c r="E861" s="396"/>
      <c r="F861" s="573">
        <v>252257</v>
      </c>
      <c r="G861" s="573">
        <v>252257</v>
      </c>
      <c r="H861" s="574">
        <v>19448.12</v>
      </c>
      <c r="I861" s="573">
        <v>240216.39</v>
      </c>
      <c r="J861" s="574">
        <v>12040.61</v>
      </c>
      <c r="K861" s="575">
        <v>4.7731519838894503E-2</v>
      </c>
      <c r="L861" s="588"/>
      <c r="M861" s="589"/>
      <c r="N861" s="567"/>
    </row>
    <row r="862" spans="2:14">
      <c r="B862" s="127" t="str">
        <f t="shared" si="30"/>
        <v xml:space="preserve">Division: </v>
      </c>
      <c r="C862" s="127" t="str">
        <f t="shared" si="31"/>
        <v xml:space="preserve">03 - </v>
      </c>
      <c r="D862" s="569" t="s">
        <v>1126</v>
      </c>
      <c r="E862" s="569"/>
      <c r="F862" s="576">
        <v>252257</v>
      </c>
      <c r="G862" s="576">
        <v>252257</v>
      </c>
      <c r="H862" s="577">
        <v>19448.12</v>
      </c>
      <c r="I862" s="576">
        <v>240216.39</v>
      </c>
      <c r="J862" s="577">
        <v>12040.61</v>
      </c>
      <c r="K862" s="578">
        <v>4.7731519838894503E-2</v>
      </c>
      <c r="L862" s="590"/>
      <c r="M862" s="591"/>
      <c r="N862" s="567"/>
    </row>
    <row r="863" spans="2:14">
      <c r="B863" s="127" t="str">
        <f t="shared" si="30"/>
        <v/>
      </c>
      <c r="C863" s="127" t="str">
        <f t="shared" si="31"/>
        <v/>
      </c>
      <c r="L863"/>
      <c r="N863" s="567"/>
    </row>
    <row r="864" spans="2:14">
      <c r="B864" s="127" t="str">
        <f t="shared" si="30"/>
        <v/>
      </c>
      <c r="C864" s="127" t="str">
        <f t="shared" si="31"/>
        <v/>
      </c>
      <c r="E864" s="569"/>
      <c r="L864"/>
      <c r="N864" s="567"/>
    </row>
    <row r="865" spans="2:14">
      <c r="B865" s="127" t="str">
        <f t="shared" si="30"/>
        <v/>
      </c>
      <c r="C865" s="127" t="str">
        <f t="shared" si="31"/>
        <v/>
      </c>
      <c r="E865" s="396"/>
      <c r="F865" s="573">
        <v>240204</v>
      </c>
      <c r="G865" s="573">
        <v>240204</v>
      </c>
      <c r="H865" s="574">
        <v>17587.689999999999</v>
      </c>
      <c r="I865" s="573">
        <v>181957.44</v>
      </c>
      <c r="J865" s="574">
        <v>58246.559999999998</v>
      </c>
      <c r="K865" s="575">
        <v>0.24248788529749701</v>
      </c>
      <c r="L865" s="588"/>
      <c r="M865" s="589"/>
      <c r="N865" s="567"/>
    </row>
    <row r="866" spans="2:14">
      <c r="B866" s="127" t="str">
        <f t="shared" si="30"/>
        <v xml:space="preserve">Division: </v>
      </c>
      <c r="C866" s="127" t="str">
        <f t="shared" si="31"/>
        <v xml:space="preserve">04 - </v>
      </c>
      <c r="D866" s="569" t="s">
        <v>1127</v>
      </c>
      <c r="E866" s="569"/>
      <c r="F866" s="576">
        <v>240204</v>
      </c>
      <c r="G866" s="576">
        <v>240204</v>
      </c>
      <c r="H866" s="577">
        <v>17587.689999999999</v>
      </c>
      <c r="I866" s="576">
        <v>181957.44</v>
      </c>
      <c r="J866" s="577">
        <v>58246.559999999998</v>
      </c>
      <c r="K866" s="578">
        <v>0.24248788529749701</v>
      </c>
      <c r="L866" s="590"/>
      <c r="M866" s="591"/>
      <c r="N866" s="567"/>
    </row>
    <row r="867" spans="2:14">
      <c r="B867" s="127" t="str">
        <f t="shared" si="30"/>
        <v/>
      </c>
      <c r="C867" s="127" t="str">
        <f t="shared" si="31"/>
        <v/>
      </c>
      <c r="L867"/>
      <c r="N867" s="567"/>
    </row>
    <row r="868" spans="2:14">
      <c r="B868" s="127" t="str">
        <f t="shared" si="30"/>
        <v/>
      </c>
      <c r="C868" s="127" t="str">
        <f t="shared" si="31"/>
        <v/>
      </c>
      <c r="E868" s="569"/>
      <c r="L868"/>
      <c r="N868" s="567"/>
    </row>
    <row r="869" spans="2:14">
      <c r="B869" s="127" t="str">
        <f t="shared" si="30"/>
        <v/>
      </c>
      <c r="C869" s="127" t="str">
        <f t="shared" si="31"/>
        <v/>
      </c>
      <c r="E869" s="396"/>
      <c r="F869" s="573">
        <v>23094</v>
      </c>
      <c r="G869" s="573">
        <v>23094</v>
      </c>
      <c r="H869" s="574">
        <v>0</v>
      </c>
      <c r="I869" s="573">
        <v>277.77</v>
      </c>
      <c r="J869" s="574">
        <v>22816.23</v>
      </c>
      <c r="K869" s="575">
        <v>0.98797220057157698</v>
      </c>
      <c r="L869" s="588"/>
      <c r="M869" s="589"/>
      <c r="N869" s="567"/>
    </row>
    <row r="870" spans="2:14">
      <c r="B870" s="127" t="str">
        <f t="shared" si="30"/>
        <v xml:space="preserve">Division: </v>
      </c>
      <c r="C870" s="127" t="str">
        <f t="shared" si="31"/>
        <v xml:space="preserve">05 - </v>
      </c>
      <c r="D870" s="569" t="s">
        <v>1128</v>
      </c>
      <c r="E870" s="569"/>
      <c r="F870" s="576">
        <v>23094</v>
      </c>
      <c r="G870" s="576">
        <v>23094</v>
      </c>
      <c r="H870" s="577">
        <v>0</v>
      </c>
      <c r="I870" s="576">
        <v>277.77</v>
      </c>
      <c r="J870" s="577">
        <v>22816.23</v>
      </c>
      <c r="K870" s="578">
        <v>0.98797220057157698</v>
      </c>
      <c r="L870" s="590"/>
      <c r="M870" s="591"/>
      <c r="N870" s="567"/>
    </row>
    <row r="871" spans="2:14">
      <c r="B871" s="127" t="str">
        <f t="shared" si="30"/>
        <v/>
      </c>
      <c r="C871" s="127" t="str">
        <f t="shared" si="31"/>
        <v/>
      </c>
      <c r="F871" s="398"/>
      <c r="G871" s="398"/>
      <c r="H871" s="398"/>
      <c r="I871" s="398"/>
      <c r="J871" s="398"/>
      <c r="K871" s="398"/>
      <c r="L871"/>
      <c r="N871" s="567"/>
    </row>
    <row r="872" spans="2:14">
      <c r="B872" s="127" t="str">
        <f t="shared" si="30"/>
        <v>Department</v>
      </c>
      <c r="C872" s="127" t="str">
        <f t="shared" si="31"/>
        <v xml:space="preserve"> 10 -</v>
      </c>
      <c r="D872" s="569" t="s">
        <v>1129</v>
      </c>
      <c r="E872" s="569"/>
      <c r="F872" s="576">
        <v>1062985</v>
      </c>
      <c r="G872" s="576">
        <v>1062985</v>
      </c>
      <c r="H872" s="577">
        <v>51287.41</v>
      </c>
      <c r="I872" s="576">
        <v>823771.29</v>
      </c>
      <c r="J872" s="577">
        <v>239213.71</v>
      </c>
      <c r="K872" s="578">
        <v>0.22503959133948301</v>
      </c>
      <c r="L872" s="590"/>
      <c r="M872" s="591"/>
      <c r="N872" s="567"/>
    </row>
    <row r="873" spans="2:14">
      <c r="B873" s="127" t="str">
        <f t="shared" si="30"/>
        <v/>
      </c>
      <c r="C873" s="127" t="str">
        <f t="shared" si="31"/>
        <v/>
      </c>
      <c r="L873"/>
      <c r="N873" s="567"/>
    </row>
    <row r="874" spans="2:14">
      <c r="B874" s="127" t="str">
        <f t="shared" si="30"/>
        <v/>
      </c>
      <c r="C874" s="127" t="str">
        <f t="shared" si="31"/>
        <v/>
      </c>
      <c r="E874" s="569"/>
      <c r="L874"/>
      <c r="N874" s="567"/>
    </row>
    <row r="875" spans="2:14">
      <c r="B875" s="127" t="str">
        <f t="shared" si="30"/>
        <v/>
      </c>
      <c r="C875" s="127" t="str">
        <f t="shared" si="31"/>
        <v/>
      </c>
      <c r="E875" s="569"/>
      <c r="L875"/>
      <c r="N875" s="567"/>
    </row>
    <row r="876" spans="2:14">
      <c r="B876" s="127" t="str">
        <f t="shared" si="30"/>
        <v/>
      </c>
      <c r="C876" s="127" t="str">
        <f t="shared" si="31"/>
        <v/>
      </c>
      <c r="E876" s="396"/>
      <c r="F876" s="573">
        <v>262388</v>
      </c>
      <c r="G876" s="573">
        <v>262388</v>
      </c>
      <c r="H876" s="574">
        <v>19793.3</v>
      </c>
      <c r="I876" s="573">
        <v>249712</v>
      </c>
      <c r="J876" s="574">
        <v>12676</v>
      </c>
      <c r="K876" s="575">
        <v>4.8310136134274401E-2</v>
      </c>
      <c r="L876" s="588"/>
      <c r="M876" s="589"/>
      <c r="N876" s="567"/>
    </row>
    <row r="877" spans="2:14">
      <c r="B877" s="127" t="str">
        <f t="shared" si="30"/>
        <v xml:space="preserve">Division: </v>
      </c>
      <c r="C877" s="127" t="str">
        <f t="shared" si="31"/>
        <v xml:space="preserve">11 - </v>
      </c>
      <c r="D877" s="569" t="s">
        <v>1130</v>
      </c>
      <c r="E877" s="569"/>
      <c r="F877" s="576">
        <v>262388</v>
      </c>
      <c r="G877" s="576">
        <v>262388</v>
      </c>
      <c r="H877" s="577">
        <v>19793.3</v>
      </c>
      <c r="I877" s="576">
        <v>249712</v>
      </c>
      <c r="J877" s="577">
        <v>12676</v>
      </c>
      <c r="K877" s="578">
        <v>4.8310136134274401E-2</v>
      </c>
      <c r="L877" s="590"/>
      <c r="M877" s="591"/>
      <c r="N877" s="567"/>
    </row>
    <row r="878" spans="2:14">
      <c r="B878" s="127" t="str">
        <f t="shared" si="30"/>
        <v/>
      </c>
      <c r="C878" s="127" t="str">
        <f t="shared" si="31"/>
        <v/>
      </c>
      <c r="F878" s="398"/>
      <c r="G878" s="398"/>
      <c r="H878" s="398"/>
      <c r="I878" s="398"/>
      <c r="J878" s="398"/>
      <c r="K878" s="398"/>
      <c r="L878"/>
      <c r="N878" s="567"/>
    </row>
    <row r="879" spans="2:14">
      <c r="B879" s="127" t="str">
        <f t="shared" si="30"/>
        <v>Department</v>
      </c>
      <c r="C879" s="127" t="str">
        <f t="shared" si="31"/>
        <v xml:space="preserve"> 11 -</v>
      </c>
      <c r="D879" s="569" t="s">
        <v>1131</v>
      </c>
      <c r="E879" s="569"/>
      <c r="F879" s="576">
        <v>262388</v>
      </c>
      <c r="G879" s="576">
        <v>262388</v>
      </c>
      <c r="H879" s="577">
        <v>19793.3</v>
      </c>
      <c r="I879" s="576">
        <v>249712</v>
      </c>
      <c r="J879" s="577">
        <v>12676</v>
      </c>
      <c r="K879" s="578">
        <v>4.8310136134274401E-2</v>
      </c>
      <c r="L879" s="590"/>
      <c r="M879" s="591"/>
      <c r="N879" s="567"/>
    </row>
    <row r="880" spans="2:14">
      <c r="B880" s="127" t="str">
        <f t="shared" si="30"/>
        <v/>
      </c>
      <c r="C880" s="127" t="str">
        <f t="shared" si="31"/>
        <v/>
      </c>
      <c r="L880"/>
      <c r="N880" s="567"/>
    </row>
    <row r="881" spans="2:14">
      <c r="B881" s="127" t="str">
        <f t="shared" si="30"/>
        <v/>
      </c>
      <c r="C881" s="127" t="str">
        <f t="shared" si="31"/>
        <v/>
      </c>
      <c r="E881" s="569"/>
      <c r="L881"/>
      <c r="N881" s="567"/>
    </row>
    <row r="882" spans="2:14">
      <c r="B882" s="127" t="str">
        <f t="shared" si="30"/>
        <v/>
      </c>
      <c r="C882" s="127" t="str">
        <f t="shared" si="31"/>
        <v/>
      </c>
      <c r="E882" s="569"/>
      <c r="L882"/>
      <c r="N882" s="567"/>
    </row>
    <row r="883" spans="2:14">
      <c r="B883" s="127" t="str">
        <f t="shared" si="30"/>
        <v/>
      </c>
      <c r="C883" s="127" t="str">
        <f t="shared" si="31"/>
        <v/>
      </c>
      <c r="E883" s="396"/>
      <c r="F883" s="573">
        <v>889441</v>
      </c>
      <c r="G883" s="573">
        <v>889441</v>
      </c>
      <c r="H883" s="574">
        <v>72410.36</v>
      </c>
      <c r="I883" s="573">
        <v>876849.99</v>
      </c>
      <c r="J883" s="574">
        <v>12591.01</v>
      </c>
      <c r="K883" s="575">
        <v>1.4156093546395999E-2</v>
      </c>
      <c r="L883" s="588"/>
      <c r="M883" s="589"/>
      <c r="N883" s="567"/>
    </row>
    <row r="884" spans="2:14">
      <c r="B884" s="127" t="str">
        <f t="shared" si="30"/>
        <v xml:space="preserve">Division: </v>
      </c>
      <c r="C884" s="127" t="str">
        <f t="shared" si="31"/>
        <v xml:space="preserve">31 - </v>
      </c>
      <c r="D884" s="569" t="s">
        <v>1132</v>
      </c>
      <c r="E884" s="569"/>
      <c r="F884" s="576">
        <v>889441</v>
      </c>
      <c r="G884" s="576">
        <v>889441</v>
      </c>
      <c r="H884" s="577">
        <v>72410.36</v>
      </c>
      <c r="I884" s="576">
        <v>876849.99</v>
      </c>
      <c r="J884" s="577">
        <v>12591.01</v>
      </c>
      <c r="K884" s="578">
        <v>1.4156093546395999E-2</v>
      </c>
      <c r="L884" s="590"/>
      <c r="M884" s="591"/>
      <c r="N884" s="567"/>
    </row>
    <row r="885" spans="2:14">
      <c r="B885" s="127" t="str">
        <f t="shared" si="30"/>
        <v/>
      </c>
      <c r="C885" s="127" t="str">
        <f t="shared" si="31"/>
        <v/>
      </c>
      <c r="F885" s="398"/>
      <c r="G885" s="398"/>
      <c r="H885" s="398"/>
      <c r="I885" s="398"/>
      <c r="J885" s="398"/>
      <c r="K885" s="398"/>
      <c r="L885"/>
      <c r="N885" s="567"/>
    </row>
    <row r="886" spans="2:14">
      <c r="B886" s="127" t="str">
        <f t="shared" si="30"/>
        <v>Department</v>
      </c>
      <c r="C886" s="127" t="str">
        <f t="shared" si="31"/>
        <v xml:space="preserve"> 13 -</v>
      </c>
      <c r="D886" s="569" t="s">
        <v>1133</v>
      </c>
      <c r="E886" s="569"/>
      <c r="F886" s="576">
        <v>889441</v>
      </c>
      <c r="G886" s="576">
        <v>889441</v>
      </c>
      <c r="H886" s="577">
        <v>72410.36</v>
      </c>
      <c r="I886" s="576">
        <v>876849.99</v>
      </c>
      <c r="J886" s="577">
        <v>12591.01</v>
      </c>
      <c r="K886" s="578">
        <v>1.4156093546395999E-2</v>
      </c>
      <c r="L886" s="590"/>
      <c r="M886" s="591"/>
      <c r="N886" s="567"/>
    </row>
    <row r="887" spans="2:14">
      <c r="B887" s="127" t="str">
        <f t="shared" si="30"/>
        <v/>
      </c>
      <c r="C887" s="127" t="str">
        <f t="shared" si="31"/>
        <v/>
      </c>
      <c r="L887"/>
      <c r="N887" s="567"/>
    </row>
    <row r="888" spans="2:14">
      <c r="B888" s="127" t="str">
        <f t="shared" si="30"/>
        <v/>
      </c>
      <c r="C888" s="127" t="str">
        <f t="shared" si="31"/>
        <v/>
      </c>
      <c r="E888" s="569"/>
      <c r="L888"/>
      <c r="N888" s="567"/>
    </row>
    <row r="889" spans="2:14">
      <c r="B889" s="127" t="str">
        <f t="shared" si="30"/>
        <v/>
      </c>
      <c r="C889" s="127" t="str">
        <f t="shared" si="31"/>
        <v/>
      </c>
      <c r="E889" s="569"/>
      <c r="L889"/>
      <c r="N889" s="567"/>
    </row>
    <row r="890" spans="2:14">
      <c r="B890" s="127" t="str">
        <f t="shared" si="30"/>
        <v/>
      </c>
      <c r="C890" s="127" t="str">
        <f t="shared" si="31"/>
        <v/>
      </c>
      <c r="E890" s="396"/>
      <c r="F890" s="573">
        <v>280571</v>
      </c>
      <c r="G890" s="573">
        <v>280571</v>
      </c>
      <c r="H890" s="574">
        <v>20129.509999999998</v>
      </c>
      <c r="I890" s="573">
        <v>246980.64</v>
      </c>
      <c r="J890" s="574">
        <v>33590.36</v>
      </c>
      <c r="K890" s="575">
        <v>0.11972142523639299</v>
      </c>
      <c r="L890" s="588"/>
      <c r="M890" s="589"/>
      <c r="N890" s="567"/>
    </row>
    <row r="891" spans="2:14">
      <c r="B891" s="127" t="str">
        <f t="shared" si="30"/>
        <v xml:space="preserve">Division: </v>
      </c>
      <c r="C891" s="127" t="str">
        <f t="shared" si="31"/>
        <v xml:space="preserve">41 - </v>
      </c>
      <c r="D891" s="569" t="s">
        <v>1134</v>
      </c>
      <c r="E891" s="569"/>
      <c r="F891" s="576">
        <v>280571</v>
      </c>
      <c r="G891" s="576">
        <v>280571</v>
      </c>
      <c r="H891" s="577">
        <v>20129.509999999998</v>
      </c>
      <c r="I891" s="576">
        <v>246980.64</v>
      </c>
      <c r="J891" s="577">
        <v>33590.36</v>
      </c>
      <c r="K891" s="578">
        <v>0.11972142523639299</v>
      </c>
      <c r="L891" s="590"/>
      <c r="M891" s="591"/>
      <c r="N891" s="567"/>
    </row>
    <row r="892" spans="2:14">
      <c r="B892" s="127" t="str">
        <f t="shared" si="30"/>
        <v/>
      </c>
      <c r="C892" s="127" t="str">
        <f t="shared" si="31"/>
        <v/>
      </c>
      <c r="F892" s="398"/>
      <c r="G892" s="398"/>
      <c r="H892" s="398"/>
      <c r="I892" s="398"/>
      <c r="J892" s="398"/>
      <c r="K892" s="398"/>
      <c r="L892"/>
      <c r="N892" s="567"/>
    </row>
    <row r="893" spans="2:14">
      <c r="B893" s="127" t="str">
        <f t="shared" si="30"/>
        <v>Department</v>
      </c>
      <c r="C893" s="127" t="str">
        <f t="shared" si="31"/>
        <v xml:space="preserve"> 14 -</v>
      </c>
      <c r="D893" s="569" t="s">
        <v>1135</v>
      </c>
      <c r="E893" s="569"/>
      <c r="F893" s="576">
        <v>280571</v>
      </c>
      <c r="G893" s="576">
        <v>280571</v>
      </c>
      <c r="H893" s="577">
        <v>20129.509999999998</v>
      </c>
      <c r="I893" s="576">
        <v>246980.64</v>
      </c>
      <c r="J893" s="577">
        <v>33590.36</v>
      </c>
      <c r="K893" s="578">
        <v>0.11972142523639299</v>
      </c>
      <c r="L893" s="590"/>
      <c r="M893" s="591"/>
      <c r="N893" s="567"/>
    </row>
    <row r="894" spans="2:14">
      <c r="B894" s="127" t="str">
        <f t="shared" si="30"/>
        <v/>
      </c>
      <c r="C894" s="127" t="str">
        <f t="shared" si="31"/>
        <v/>
      </c>
      <c r="L894"/>
      <c r="N894" s="567"/>
    </row>
    <row r="895" spans="2:14">
      <c r="B895" s="127" t="str">
        <f t="shared" si="30"/>
        <v/>
      </c>
      <c r="C895" s="127" t="str">
        <f t="shared" si="31"/>
        <v/>
      </c>
      <c r="E895" s="569"/>
      <c r="L895"/>
      <c r="N895" s="567"/>
    </row>
    <row r="896" spans="2:14">
      <c r="B896" s="127" t="str">
        <f t="shared" si="30"/>
        <v/>
      </c>
      <c r="C896" s="127" t="str">
        <f t="shared" si="31"/>
        <v/>
      </c>
      <c r="E896" s="569"/>
      <c r="L896"/>
      <c r="N896" s="567"/>
    </row>
    <row r="897" spans="2:14">
      <c r="B897" s="127" t="str">
        <f t="shared" si="30"/>
        <v/>
      </c>
      <c r="C897" s="127" t="str">
        <f t="shared" si="31"/>
        <v/>
      </c>
      <c r="E897" s="396"/>
      <c r="F897" s="573">
        <v>520948</v>
      </c>
      <c r="G897" s="573">
        <v>520948</v>
      </c>
      <c r="H897" s="574">
        <v>40612.31</v>
      </c>
      <c r="I897" s="573">
        <v>501488.04</v>
      </c>
      <c r="J897" s="574">
        <v>19459.96</v>
      </c>
      <c r="K897" s="575">
        <v>3.73548991454042E-2</v>
      </c>
      <c r="L897" s="588"/>
      <c r="M897" s="589"/>
      <c r="N897" s="567"/>
    </row>
    <row r="898" spans="2:14">
      <c r="B898" s="127" t="str">
        <f t="shared" si="30"/>
        <v xml:space="preserve">Division: </v>
      </c>
      <c r="C898" s="127" t="str">
        <f t="shared" si="31"/>
        <v xml:space="preserve">71 - </v>
      </c>
      <c r="D898" s="569" t="s">
        <v>1136</v>
      </c>
      <c r="E898" s="569"/>
      <c r="F898" s="576">
        <v>520948</v>
      </c>
      <c r="G898" s="576">
        <v>520948</v>
      </c>
      <c r="H898" s="577">
        <v>40612.31</v>
      </c>
      <c r="I898" s="576">
        <v>501488.04</v>
      </c>
      <c r="J898" s="577">
        <v>19459.96</v>
      </c>
      <c r="K898" s="578">
        <v>3.73548991454042E-2</v>
      </c>
      <c r="L898" s="590"/>
      <c r="M898" s="591"/>
      <c r="N898" s="567"/>
    </row>
    <row r="899" spans="2:14">
      <c r="B899" s="127" t="str">
        <f t="shared" si="30"/>
        <v/>
      </c>
      <c r="C899" s="127" t="str">
        <f t="shared" si="31"/>
        <v/>
      </c>
      <c r="F899" s="398"/>
      <c r="G899" s="398"/>
      <c r="H899" s="398"/>
      <c r="I899" s="398"/>
      <c r="J899" s="398"/>
      <c r="K899" s="398"/>
      <c r="L899"/>
      <c r="N899" s="567"/>
    </row>
    <row r="900" spans="2:14">
      <c r="B900" s="127" t="str">
        <f t="shared" si="30"/>
        <v>Department</v>
      </c>
      <c r="C900" s="127" t="str">
        <f t="shared" si="31"/>
        <v xml:space="preserve"> 17 -</v>
      </c>
      <c r="D900" s="569" t="s">
        <v>1137</v>
      </c>
      <c r="E900" s="569"/>
      <c r="F900" s="576">
        <v>520948</v>
      </c>
      <c r="G900" s="576">
        <v>520948</v>
      </c>
      <c r="H900" s="577">
        <v>40612.31</v>
      </c>
      <c r="I900" s="576">
        <v>501488.04</v>
      </c>
      <c r="J900" s="577">
        <v>19459.96</v>
      </c>
      <c r="K900" s="578">
        <v>3.73548991454042E-2</v>
      </c>
      <c r="L900" s="590"/>
      <c r="M900" s="591"/>
      <c r="N900" s="567"/>
    </row>
    <row r="901" spans="2:14">
      <c r="B901" s="127" t="str">
        <f t="shared" si="30"/>
        <v/>
      </c>
      <c r="C901" s="127" t="str">
        <f t="shared" si="31"/>
        <v/>
      </c>
      <c r="L901"/>
      <c r="N901" s="567"/>
    </row>
    <row r="902" spans="2:14">
      <c r="B902" s="127" t="str">
        <f t="shared" ref="B902:B965" si="32">LEFT(D902,10)</f>
        <v/>
      </c>
      <c r="C902" s="127" t="str">
        <f t="shared" ref="C902:C965" si="33">MID(D902,12,5)</f>
        <v/>
      </c>
      <c r="E902" s="569"/>
      <c r="L902"/>
      <c r="N902" s="567"/>
    </row>
    <row r="903" spans="2:14">
      <c r="B903" s="127" t="str">
        <f t="shared" si="32"/>
        <v/>
      </c>
      <c r="C903" s="127" t="str">
        <f t="shared" si="33"/>
        <v/>
      </c>
      <c r="E903" s="569"/>
      <c r="L903"/>
      <c r="N903" s="567"/>
    </row>
    <row r="904" spans="2:14">
      <c r="B904" s="127" t="str">
        <f t="shared" si="32"/>
        <v/>
      </c>
      <c r="C904" s="127" t="str">
        <f t="shared" si="33"/>
        <v/>
      </c>
      <c r="E904" s="396"/>
      <c r="F904" s="573">
        <v>532492</v>
      </c>
      <c r="G904" s="573">
        <v>532492</v>
      </c>
      <c r="H904" s="574">
        <v>23980.28</v>
      </c>
      <c r="I904" s="573">
        <v>362899.87</v>
      </c>
      <c r="J904" s="574">
        <v>169592.13</v>
      </c>
      <c r="K904" s="575">
        <v>0.31848765803054302</v>
      </c>
      <c r="L904" s="588"/>
      <c r="M904" s="589"/>
      <c r="N904" s="567"/>
    </row>
    <row r="905" spans="2:14">
      <c r="B905" s="127" t="str">
        <f t="shared" si="32"/>
        <v xml:space="preserve">Division: </v>
      </c>
      <c r="C905" s="127" t="str">
        <f t="shared" si="33"/>
        <v xml:space="preserve">01 - </v>
      </c>
      <c r="D905" s="569" t="s">
        <v>1138</v>
      </c>
      <c r="E905" s="569"/>
      <c r="F905" s="576">
        <v>532492</v>
      </c>
      <c r="G905" s="576">
        <v>532492</v>
      </c>
      <c r="H905" s="577">
        <v>23980.28</v>
      </c>
      <c r="I905" s="576">
        <v>362899.87</v>
      </c>
      <c r="J905" s="577">
        <v>169592.13</v>
      </c>
      <c r="K905" s="578">
        <v>0.31848765803054302</v>
      </c>
      <c r="L905" s="590"/>
      <c r="M905" s="591"/>
      <c r="N905" s="567"/>
    </row>
    <row r="906" spans="2:14">
      <c r="B906" s="127" t="str">
        <f t="shared" si="32"/>
        <v/>
      </c>
      <c r="C906" s="127" t="str">
        <f t="shared" si="33"/>
        <v/>
      </c>
      <c r="L906"/>
      <c r="N906" s="567"/>
    </row>
    <row r="907" spans="2:14">
      <c r="B907" s="127" t="str">
        <f t="shared" si="32"/>
        <v/>
      </c>
      <c r="C907" s="127" t="str">
        <f t="shared" si="33"/>
        <v/>
      </c>
      <c r="E907" s="569"/>
      <c r="L907"/>
      <c r="N907" s="567"/>
    </row>
    <row r="908" spans="2:14">
      <c r="B908" s="127" t="str">
        <f t="shared" si="32"/>
        <v/>
      </c>
      <c r="C908" s="127" t="str">
        <f t="shared" si="33"/>
        <v/>
      </c>
      <c r="E908" s="396"/>
      <c r="F908" s="573">
        <v>363944</v>
      </c>
      <c r="G908" s="573">
        <v>363944</v>
      </c>
      <c r="H908" s="574">
        <v>27238.75</v>
      </c>
      <c r="I908" s="573">
        <v>337964.35</v>
      </c>
      <c r="J908" s="574">
        <v>25979.65</v>
      </c>
      <c r="K908" s="575">
        <v>7.1383646934693207E-2</v>
      </c>
      <c r="L908" s="588"/>
      <c r="M908" s="589"/>
      <c r="N908" s="567"/>
    </row>
    <row r="909" spans="2:14">
      <c r="B909" s="127" t="str">
        <f t="shared" si="32"/>
        <v xml:space="preserve">Division: </v>
      </c>
      <c r="C909" s="127" t="str">
        <f t="shared" si="33"/>
        <v xml:space="preserve">04 - </v>
      </c>
      <c r="D909" s="569" t="s">
        <v>1139</v>
      </c>
      <c r="E909" s="569"/>
      <c r="F909" s="576">
        <v>363944</v>
      </c>
      <c r="G909" s="576">
        <v>363944</v>
      </c>
      <c r="H909" s="577">
        <v>27238.75</v>
      </c>
      <c r="I909" s="576">
        <v>337964.35</v>
      </c>
      <c r="J909" s="577">
        <v>25979.65</v>
      </c>
      <c r="K909" s="578">
        <v>7.1383646934693207E-2</v>
      </c>
      <c r="L909" s="590"/>
      <c r="M909" s="591"/>
      <c r="N909" s="567"/>
    </row>
    <row r="910" spans="2:14">
      <c r="B910" s="127" t="str">
        <f t="shared" si="32"/>
        <v/>
      </c>
      <c r="C910" s="127" t="str">
        <f t="shared" si="33"/>
        <v/>
      </c>
      <c r="L910"/>
      <c r="N910" s="567"/>
    </row>
    <row r="911" spans="2:14">
      <c r="B911" s="127" t="str">
        <f t="shared" si="32"/>
        <v/>
      </c>
      <c r="C911" s="127" t="str">
        <f t="shared" si="33"/>
        <v/>
      </c>
      <c r="E911" s="569"/>
      <c r="L911"/>
      <c r="N911" s="567"/>
    </row>
    <row r="912" spans="2:14">
      <c r="B912" s="127" t="str">
        <f t="shared" si="32"/>
        <v/>
      </c>
      <c r="C912" s="127" t="str">
        <f t="shared" si="33"/>
        <v/>
      </c>
      <c r="E912" s="396"/>
      <c r="F912" s="573">
        <v>297130</v>
      </c>
      <c r="G912" s="573">
        <v>297130</v>
      </c>
      <c r="H912" s="574">
        <v>22105.85</v>
      </c>
      <c r="I912" s="573">
        <v>276374.2</v>
      </c>
      <c r="J912" s="574">
        <v>20755.8</v>
      </c>
      <c r="K912" s="575">
        <v>6.9854272540638807E-2</v>
      </c>
      <c r="L912" s="588"/>
      <c r="M912" s="589"/>
      <c r="N912" s="567"/>
    </row>
    <row r="913" spans="2:14">
      <c r="B913" s="127" t="str">
        <f t="shared" si="32"/>
        <v xml:space="preserve">Division: </v>
      </c>
      <c r="C913" s="127" t="str">
        <f t="shared" si="33"/>
        <v xml:space="preserve">08 - </v>
      </c>
      <c r="D913" s="569" t="s">
        <v>1140</v>
      </c>
      <c r="E913" s="569"/>
      <c r="F913" s="576">
        <v>297130</v>
      </c>
      <c r="G913" s="576">
        <v>297130</v>
      </c>
      <c r="H913" s="577">
        <v>22105.85</v>
      </c>
      <c r="I913" s="576">
        <v>276374.2</v>
      </c>
      <c r="J913" s="577">
        <v>20755.8</v>
      </c>
      <c r="K913" s="578">
        <v>6.9854272540638807E-2</v>
      </c>
      <c r="L913" s="590"/>
      <c r="M913" s="591"/>
      <c r="N913" s="567"/>
    </row>
    <row r="914" spans="2:14">
      <c r="B914" s="127" t="str">
        <f t="shared" si="32"/>
        <v/>
      </c>
      <c r="C914" s="127" t="str">
        <f t="shared" si="33"/>
        <v/>
      </c>
      <c r="F914" s="398"/>
      <c r="G914" s="398"/>
      <c r="H914" s="398"/>
      <c r="I914" s="398"/>
      <c r="J914" s="398"/>
      <c r="K914" s="398"/>
      <c r="L914"/>
      <c r="N914" s="567"/>
    </row>
    <row r="915" spans="2:14">
      <c r="B915" s="127" t="str">
        <f t="shared" si="32"/>
        <v>Department</v>
      </c>
      <c r="C915" s="127" t="str">
        <f t="shared" si="33"/>
        <v xml:space="preserve"> 20 -</v>
      </c>
      <c r="D915" s="569" t="s">
        <v>1141</v>
      </c>
      <c r="E915" s="569"/>
      <c r="F915" s="576">
        <v>1193566</v>
      </c>
      <c r="G915" s="576">
        <v>1193566</v>
      </c>
      <c r="H915" s="577">
        <v>73324.88</v>
      </c>
      <c r="I915" s="576">
        <v>977238.42</v>
      </c>
      <c r="J915" s="577">
        <v>216327.58</v>
      </c>
      <c r="K915" s="578">
        <v>0.18124475730709499</v>
      </c>
      <c r="L915" s="590"/>
      <c r="M915" s="591"/>
      <c r="N915" s="567"/>
    </row>
    <row r="916" spans="2:14">
      <c r="B916" s="127" t="str">
        <f t="shared" si="32"/>
        <v/>
      </c>
      <c r="C916" s="127" t="str">
        <f t="shared" si="33"/>
        <v/>
      </c>
      <c r="L916"/>
      <c r="N916" s="567"/>
    </row>
    <row r="917" spans="2:14">
      <c r="B917" s="127" t="str">
        <f t="shared" si="32"/>
        <v/>
      </c>
      <c r="C917" s="127" t="str">
        <f t="shared" si="33"/>
        <v/>
      </c>
      <c r="L917"/>
      <c r="N917" s="567"/>
    </row>
    <row r="918" spans="2:14">
      <c r="B918" s="127" t="str">
        <f t="shared" si="32"/>
        <v/>
      </c>
      <c r="C918" s="127" t="str">
        <f t="shared" si="33"/>
        <v/>
      </c>
      <c r="D918" s="579"/>
      <c r="E918" s="579"/>
      <c r="F918" s="579"/>
      <c r="G918" s="579"/>
      <c r="H918" s="579"/>
      <c r="I918" s="579"/>
      <c r="J918" s="579"/>
      <c r="K918" s="579"/>
      <c r="L918" s="592"/>
      <c r="M918" s="592"/>
      <c r="N918" s="567"/>
    </row>
    <row r="919" spans="2:14">
      <c r="B919" s="127" t="str">
        <f t="shared" si="32"/>
        <v xml:space="preserve">9/25/2024 </v>
      </c>
      <c r="C919" s="127" t="str">
        <f t="shared" si="33"/>
        <v>:13:1</v>
      </c>
      <c r="D919" s="454" t="s">
        <v>2991</v>
      </c>
      <c r="E919" s="454"/>
      <c r="F919" s="399"/>
      <c r="G919" s="399"/>
      <c r="H919" s="399"/>
      <c r="I919" s="399"/>
      <c r="J919" s="454"/>
      <c r="K919" s="454"/>
      <c r="L919" s="593"/>
      <c r="N919" s="567"/>
    </row>
    <row r="920" spans="2:14">
      <c r="B920" s="127" t="str">
        <f t="shared" si="32"/>
        <v>Budget Rep</v>
      </c>
      <c r="C920" s="127" t="str">
        <f t="shared" si="33"/>
        <v>rt</v>
      </c>
      <c r="D920" s="455" t="s">
        <v>1122</v>
      </c>
      <c r="E920" s="455"/>
      <c r="F920" s="455"/>
      <c r="H920" s="455"/>
      <c r="I920" s="455"/>
      <c r="J920" s="455"/>
      <c r="K920" s="455"/>
      <c r="L920" s="594"/>
      <c r="M920" s="594"/>
      <c r="N920" s="567"/>
    </row>
    <row r="921" spans="2:14">
      <c r="B921" s="127" t="str">
        <f t="shared" si="32"/>
        <v/>
      </c>
      <c r="C921" s="127" t="str">
        <f t="shared" si="33"/>
        <v/>
      </c>
      <c r="L921"/>
      <c r="N921" s="567"/>
    </row>
    <row r="922" spans="2:14" ht="31.8">
      <c r="B922" s="127" t="str">
        <f t="shared" si="32"/>
        <v/>
      </c>
      <c r="C922" s="127" t="str">
        <f t="shared" si="33"/>
        <v/>
      </c>
      <c r="J922" s="413" t="s">
        <v>1098</v>
      </c>
      <c r="L922"/>
      <c r="N922" s="567"/>
    </row>
    <row r="923" spans="2:14" ht="21.6">
      <c r="B923" s="127" t="str">
        <f t="shared" si="32"/>
        <v/>
      </c>
      <c r="C923" s="127" t="str">
        <f t="shared" si="33"/>
        <v/>
      </c>
      <c r="F923" s="413" t="s">
        <v>1099</v>
      </c>
      <c r="G923" s="413" t="s">
        <v>1100</v>
      </c>
      <c r="H923" s="413" t="s">
        <v>1101</v>
      </c>
      <c r="I923" s="413" t="s">
        <v>1102</v>
      </c>
      <c r="J923" s="413"/>
      <c r="K923" s="413" t="s">
        <v>1103</v>
      </c>
      <c r="L923" s="540"/>
      <c r="M923" s="540"/>
      <c r="N923" s="567"/>
    </row>
    <row r="924" spans="2:14">
      <c r="B924" s="127" t="str">
        <f t="shared" si="32"/>
        <v/>
      </c>
      <c r="C924" s="127" t="str">
        <f t="shared" si="33"/>
        <v/>
      </c>
      <c r="E924" s="583"/>
      <c r="F924" s="413"/>
      <c r="G924" s="413"/>
      <c r="H924" s="413"/>
      <c r="I924" s="413"/>
      <c r="J924" s="413"/>
      <c r="K924" s="413"/>
      <c r="L924" s="540"/>
      <c r="M924" s="540"/>
      <c r="N924" s="567"/>
    </row>
    <row r="925" spans="2:14">
      <c r="B925" s="127" t="str">
        <f t="shared" si="32"/>
        <v/>
      </c>
      <c r="C925" s="127" t="str">
        <f t="shared" si="33"/>
        <v/>
      </c>
      <c r="L925"/>
      <c r="N925" s="567"/>
    </row>
    <row r="926" spans="2:14">
      <c r="B926" s="127" t="str">
        <f t="shared" si="32"/>
        <v/>
      </c>
      <c r="C926" s="127" t="str">
        <f t="shared" si="33"/>
        <v/>
      </c>
      <c r="E926" s="569"/>
      <c r="L926"/>
      <c r="N926" s="567"/>
    </row>
    <row r="927" spans="2:14">
      <c r="B927" s="127" t="str">
        <f t="shared" si="32"/>
        <v/>
      </c>
      <c r="C927" s="127" t="str">
        <f t="shared" si="33"/>
        <v/>
      </c>
      <c r="E927" s="569"/>
      <c r="L927"/>
      <c r="N927" s="567"/>
    </row>
    <row r="928" spans="2:14">
      <c r="B928" s="127" t="str">
        <f t="shared" si="32"/>
        <v/>
      </c>
      <c r="C928" s="127" t="str">
        <f t="shared" si="33"/>
        <v/>
      </c>
      <c r="E928" s="396"/>
      <c r="F928" s="573">
        <v>556177</v>
      </c>
      <c r="G928" s="573">
        <v>556177</v>
      </c>
      <c r="H928" s="574">
        <v>39336.019999999997</v>
      </c>
      <c r="I928" s="573">
        <v>523678.61</v>
      </c>
      <c r="J928" s="574">
        <v>32498.39</v>
      </c>
      <c r="K928" s="575">
        <v>5.8431740255350403E-2</v>
      </c>
      <c r="L928" s="588"/>
      <c r="M928" s="589"/>
      <c r="N928" s="567"/>
    </row>
    <row r="929" spans="2:14">
      <c r="B929" s="127" t="str">
        <f t="shared" si="32"/>
        <v xml:space="preserve">Division: </v>
      </c>
      <c r="C929" s="127" t="str">
        <f t="shared" si="33"/>
        <v xml:space="preserve">01 - </v>
      </c>
      <c r="D929" s="569" t="s">
        <v>1142</v>
      </c>
      <c r="E929" s="569"/>
      <c r="F929" s="576">
        <v>556177</v>
      </c>
      <c r="G929" s="576">
        <v>556177</v>
      </c>
      <c r="H929" s="577">
        <v>39336.019999999997</v>
      </c>
      <c r="I929" s="576">
        <v>523678.61</v>
      </c>
      <c r="J929" s="577">
        <v>32498.39</v>
      </c>
      <c r="K929" s="578">
        <v>5.8431740255350403E-2</v>
      </c>
      <c r="L929" s="590"/>
      <c r="M929" s="591"/>
      <c r="N929" s="567"/>
    </row>
    <row r="930" spans="2:14">
      <c r="B930" s="127" t="str">
        <f t="shared" si="32"/>
        <v/>
      </c>
      <c r="C930" s="127" t="str">
        <f t="shared" si="33"/>
        <v/>
      </c>
      <c r="L930"/>
      <c r="N930" s="567"/>
    </row>
    <row r="931" spans="2:14">
      <c r="B931" s="127" t="str">
        <f t="shared" si="32"/>
        <v/>
      </c>
      <c r="C931" s="127" t="str">
        <f t="shared" si="33"/>
        <v/>
      </c>
      <c r="E931" s="569"/>
      <c r="L931"/>
      <c r="N931" s="567"/>
    </row>
    <row r="932" spans="2:14">
      <c r="B932" s="127" t="str">
        <f t="shared" si="32"/>
        <v/>
      </c>
      <c r="C932" s="127" t="str">
        <f t="shared" si="33"/>
        <v/>
      </c>
      <c r="E932" s="396"/>
      <c r="F932" s="573">
        <v>6647052</v>
      </c>
      <c r="G932" s="573">
        <v>6647052</v>
      </c>
      <c r="H932" s="574">
        <v>572122.43999999994</v>
      </c>
      <c r="I932" s="573">
        <v>6538777.6699999999</v>
      </c>
      <c r="J932" s="574">
        <v>108274.33</v>
      </c>
      <c r="K932" s="575">
        <v>1.62890752171038E-2</v>
      </c>
      <c r="L932" s="588"/>
      <c r="M932" s="589"/>
      <c r="N932" s="567"/>
    </row>
    <row r="933" spans="2:14">
      <c r="B933" s="127" t="str">
        <f t="shared" si="32"/>
        <v xml:space="preserve">Division: </v>
      </c>
      <c r="C933" s="127" t="str">
        <f t="shared" si="33"/>
        <v xml:space="preserve">02 - </v>
      </c>
      <c r="D933" s="569" t="s">
        <v>1143</v>
      </c>
      <c r="E933" s="569"/>
      <c r="F933" s="576">
        <v>6647052</v>
      </c>
      <c r="G933" s="576">
        <v>6647052</v>
      </c>
      <c r="H933" s="577">
        <v>572122.43999999994</v>
      </c>
      <c r="I933" s="576">
        <v>6538777.6699999999</v>
      </c>
      <c r="J933" s="577">
        <v>108274.33</v>
      </c>
      <c r="K933" s="578">
        <v>1.62890752171038E-2</v>
      </c>
      <c r="L933" s="590"/>
      <c r="M933" s="591"/>
      <c r="N933" s="567"/>
    </row>
    <row r="934" spans="2:14">
      <c r="B934" s="127" t="str">
        <f t="shared" si="32"/>
        <v/>
      </c>
      <c r="C934" s="127" t="str">
        <f t="shared" si="33"/>
        <v/>
      </c>
      <c r="L934"/>
      <c r="N934" s="567"/>
    </row>
    <row r="935" spans="2:14">
      <c r="B935" s="127" t="str">
        <f t="shared" si="32"/>
        <v/>
      </c>
      <c r="C935" s="127" t="str">
        <f t="shared" si="33"/>
        <v/>
      </c>
      <c r="E935" s="569"/>
      <c r="L935"/>
      <c r="N935" s="567"/>
    </row>
    <row r="936" spans="2:14">
      <c r="B936" s="127" t="str">
        <f t="shared" si="32"/>
        <v/>
      </c>
      <c r="C936" s="127" t="str">
        <f t="shared" si="33"/>
        <v/>
      </c>
      <c r="E936" s="396"/>
      <c r="F936" s="573">
        <v>2437501</v>
      </c>
      <c r="G936" s="573">
        <v>2437501</v>
      </c>
      <c r="H936" s="574">
        <v>187216.73</v>
      </c>
      <c r="I936" s="573">
        <v>2340582.1</v>
      </c>
      <c r="J936" s="574">
        <v>96918.9</v>
      </c>
      <c r="K936" s="575">
        <v>3.9761583687555398E-2</v>
      </c>
      <c r="L936" s="588"/>
      <c r="M936" s="589"/>
      <c r="N936" s="567"/>
    </row>
    <row r="937" spans="2:14">
      <c r="B937" s="127" t="str">
        <f t="shared" si="32"/>
        <v xml:space="preserve">Division: </v>
      </c>
      <c r="C937" s="127" t="str">
        <f t="shared" si="33"/>
        <v xml:space="preserve">03 - </v>
      </c>
      <c r="D937" s="569" t="s">
        <v>1144</v>
      </c>
      <c r="E937" s="569"/>
      <c r="F937" s="576">
        <v>2437501</v>
      </c>
      <c r="G937" s="576">
        <v>2437501</v>
      </c>
      <c r="H937" s="577">
        <v>187216.73</v>
      </c>
      <c r="I937" s="576">
        <v>2340582.1</v>
      </c>
      <c r="J937" s="577">
        <v>96918.9</v>
      </c>
      <c r="K937" s="578">
        <v>3.9761583687555398E-2</v>
      </c>
      <c r="L937" s="590"/>
      <c r="M937" s="591"/>
      <c r="N937" s="567"/>
    </row>
    <row r="938" spans="2:14">
      <c r="B938" s="127" t="str">
        <f t="shared" si="32"/>
        <v/>
      </c>
      <c r="C938" s="127" t="str">
        <f t="shared" si="33"/>
        <v/>
      </c>
      <c r="L938"/>
      <c r="N938" s="567"/>
    </row>
    <row r="939" spans="2:14">
      <c r="B939" s="127" t="str">
        <f t="shared" si="32"/>
        <v/>
      </c>
      <c r="C939" s="127" t="str">
        <f t="shared" si="33"/>
        <v/>
      </c>
      <c r="E939" s="569"/>
      <c r="L939"/>
      <c r="N939" s="567"/>
    </row>
    <row r="940" spans="2:14">
      <c r="B940" s="127" t="str">
        <f t="shared" si="32"/>
        <v/>
      </c>
      <c r="C940" s="127" t="str">
        <f t="shared" si="33"/>
        <v/>
      </c>
      <c r="E940" s="396"/>
      <c r="F940" s="573">
        <v>312546</v>
      </c>
      <c r="G940" s="573">
        <v>312546</v>
      </c>
      <c r="H940" s="574">
        <v>14294.31</v>
      </c>
      <c r="I940" s="573">
        <v>259433.53</v>
      </c>
      <c r="J940" s="574">
        <v>53112.47</v>
      </c>
      <c r="K940" s="575">
        <v>0.16993488958425301</v>
      </c>
      <c r="L940" s="588"/>
      <c r="M940" s="589"/>
      <c r="N940" s="567"/>
    </row>
    <row r="941" spans="2:14">
      <c r="B941" s="127" t="str">
        <f t="shared" si="32"/>
        <v xml:space="preserve">Division: </v>
      </c>
      <c r="C941" s="127" t="str">
        <f t="shared" si="33"/>
        <v xml:space="preserve">04 - </v>
      </c>
      <c r="D941" s="569" t="s">
        <v>1145</v>
      </c>
      <c r="E941" s="569"/>
      <c r="F941" s="576">
        <v>312546</v>
      </c>
      <c r="G941" s="576">
        <v>312546</v>
      </c>
      <c r="H941" s="577">
        <v>14294.31</v>
      </c>
      <c r="I941" s="576">
        <v>259433.53</v>
      </c>
      <c r="J941" s="577">
        <v>53112.47</v>
      </c>
      <c r="K941" s="578">
        <v>0.16993488958425301</v>
      </c>
      <c r="L941" s="590"/>
      <c r="M941" s="591"/>
      <c r="N941" s="567"/>
    </row>
    <row r="942" spans="2:14">
      <c r="B942" s="127" t="str">
        <f t="shared" si="32"/>
        <v/>
      </c>
      <c r="C942" s="127" t="str">
        <f t="shared" si="33"/>
        <v/>
      </c>
      <c r="L942"/>
      <c r="N942" s="567"/>
    </row>
    <row r="943" spans="2:14">
      <c r="B943" s="127" t="str">
        <f t="shared" si="32"/>
        <v/>
      </c>
      <c r="C943" s="127" t="str">
        <f t="shared" si="33"/>
        <v/>
      </c>
      <c r="E943" s="569"/>
      <c r="L943"/>
      <c r="N943" s="567"/>
    </row>
    <row r="944" spans="2:14">
      <c r="B944" s="127" t="str">
        <f t="shared" si="32"/>
        <v/>
      </c>
      <c r="C944" s="127" t="str">
        <f t="shared" si="33"/>
        <v/>
      </c>
      <c r="E944" s="396"/>
      <c r="F944" s="573">
        <v>860714</v>
      </c>
      <c r="G944" s="573">
        <v>860714</v>
      </c>
      <c r="H944" s="574">
        <v>69570.710000000006</v>
      </c>
      <c r="I944" s="573">
        <v>800451.58</v>
      </c>
      <c r="J944" s="574">
        <v>60262.42</v>
      </c>
      <c r="K944" s="575">
        <v>7.0014453116830896E-2</v>
      </c>
      <c r="L944" s="588"/>
      <c r="M944" s="589"/>
      <c r="N944" s="567"/>
    </row>
    <row r="945" spans="2:14">
      <c r="B945" s="127" t="str">
        <f t="shared" si="32"/>
        <v xml:space="preserve">Division: </v>
      </c>
      <c r="C945" s="127" t="str">
        <f t="shared" si="33"/>
        <v xml:space="preserve">05 - </v>
      </c>
      <c r="D945" s="569" t="s">
        <v>1146</v>
      </c>
      <c r="E945" s="569"/>
      <c r="F945" s="576">
        <v>860714</v>
      </c>
      <c r="G945" s="576">
        <v>860714</v>
      </c>
      <c r="H945" s="577">
        <v>69570.710000000006</v>
      </c>
      <c r="I945" s="576">
        <v>800451.58</v>
      </c>
      <c r="J945" s="577">
        <v>60262.42</v>
      </c>
      <c r="K945" s="578">
        <v>7.0014453116830896E-2</v>
      </c>
      <c r="L945" s="590"/>
      <c r="M945" s="591"/>
      <c r="N945" s="567"/>
    </row>
    <row r="946" spans="2:14">
      <c r="B946" s="127" t="str">
        <f t="shared" si="32"/>
        <v/>
      </c>
      <c r="C946" s="127" t="str">
        <f t="shared" si="33"/>
        <v/>
      </c>
      <c r="F946" s="398"/>
      <c r="G946" s="398"/>
      <c r="H946" s="398"/>
      <c r="I946" s="398"/>
      <c r="J946" s="398"/>
      <c r="K946" s="398"/>
      <c r="L946"/>
      <c r="N946" s="567"/>
    </row>
    <row r="947" spans="2:14">
      <c r="B947" s="127" t="str">
        <f t="shared" si="32"/>
        <v>Department</v>
      </c>
      <c r="C947" s="127" t="str">
        <f t="shared" si="33"/>
        <v xml:space="preserve"> 30 -</v>
      </c>
      <c r="D947" s="569" t="s">
        <v>1147</v>
      </c>
      <c r="E947" s="569"/>
      <c r="F947" s="576">
        <v>10813990</v>
      </c>
      <c r="G947" s="576">
        <v>10813990</v>
      </c>
      <c r="H947" s="577">
        <v>882540.21</v>
      </c>
      <c r="I947" s="576">
        <v>10462923.49</v>
      </c>
      <c r="J947" s="577">
        <v>351066.51</v>
      </c>
      <c r="K947" s="578">
        <v>3.2464105293235901E-2</v>
      </c>
      <c r="L947" s="590"/>
      <c r="M947" s="591"/>
      <c r="N947" s="567"/>
    </row>
    <row r="948" spans="2:14">
      <c r="B948" s="127" t="str">
        <f t="shared" si="32"/>
        <v/>
      </c>
      <c r="C948" s="127" t="str">
        <f t="shared" si="33"/>
        <v/>
      </c>
      <c r="L948"/>
      <c r="N948" s="567"/>
    </row>
    <row r="949" spans="2:14">
      <c r="B949" s="127" t="str">
        <f t="shared" si="32"/>
        <v/>
      </c>
      <c r="C949" s="127" t="str">
        <f t="shared" si="33"/>
        <v/>
      </c>
      <c r="E949" s="569"/>
      <c r="L949"/>
      <c r="N949" s="567"/>
    </row>
    <row r="950" spans="2:14">
      <c r="B950" s="127" t="str">
        <f t="shared" si="32"/>
        <v/>
      </c>
      <c r="C950" s="127" t="str">
        <f t="shared" si="33"/>
        <v/>
      </c>
      <c r="E950" s="569"/>
      <c r="L950"/>
      <c r="N950" s="567"/>
    </row>
    <row r="951" spans="2:14">
      <c r="B951" s="127" t="str">
        <f t="shared" si="32"/>
        <v/>
      </c>
      <c r="C951" s="127" t="str">
        <f t="shared" si="33"/>
        <v/>
      </c>
      <c r="E951" s="396"/>
      <c r="F951" s="573">
        <v>983833</v>
      </c>
      <c r="G951" s="573">
        <v>983833</v>
      </c>
      <c r="H951" s="574">
        <v>78458.009999999995</v>
      </c>
      <c r="I951" s="573">
        <v>916887.82</v>
      </c>
      <c r="J951" s="574">
        <v>66945.179999999993</v>
      </c>
      <c r="K951" s="575">
        <v>6.8045267845254206E-2</v>
      </c>
      <c r="L951" s="588"/>
      <c r="M951" s="589"/>
      <c r="N951" s="567"/>
    </row>
    <row r="952" spans="2:14">
      <c r="B952" s="127" t="str">
        <f t="shared" si="32"/>
        <v xml:space="preserve">Division: </v>
      </c>
      <c r="C952" s="127" t="str">
        <f t="shared" si="33"/>
        <v xml:space="preserve">51 - </v>
      </c>
      <c r="D952" s="569" t="s">
        <v>1148</v>
      </c>
      <c r="E952" s="569"/>
      <c r="F952" s="576">
        <v>983833</v>
      </c>
      <c r="G952" s="576">
        <v>983833</v>
      </c>
      <c r="H952" s="577">
        <v>78458.009999999995</v>
      </c>
      <c r="I952" s="576">
        <v>916887.82</v>
      </c>
      <c r="J952" s="577">
        <v>66945.179999999993</v>
      </c>
      <c r="K952" s="578">
        <v>6.8045267845254206E-2</v>
      </c>
      <c r="L952" s="590"/>
      <c r="M952" s="591"/>
      <c r="N952" s="567"/>
    </row>
    <row r="953" spans="2:14">
      <c r="B953" s="127" t="str">
        <f t="shared" si="32"/>
        <v/>
      </c>
      <c r="C953" s="127" t="str">
        <f t="shared" si="33"/>
        <v/>
      </c>
      <c r="L953"/>
      <c r="N953" s="567"/>
    </row>
    <row r="954" spans="2:14">
      <c r="B954" s="127" t="str">
        <f t="shared" si="32"/>
        <v/>
      </c>
      <c r="C954" s="127" t="str">
        <f t="shared" si="33"/>
        <v/>
      </c>
      <c r="E954" s="569"/>
      <c r="L954"/>
      <c r="N954" s="567"/>
    </row>
    <row r="955" spans="2:14">
      <c r="B955" s="127" t="str">
        <f t="shared" si="32"/>
        <v/>
      </c>
      <c r="C955" s="127" t="str">
        <f t="shared" si="33"/>
        <v/>
      </c>
      <c r="E955" s="396"/>
      <c r="F955" s="573">
        <v>7505915</v>
      </c>
      <c r="G955" s="573">
        <v>7505915</v>
      </c>
      <c r="H955" s="574">
        <v>544117.38</v>
      </c>
      <c r="I955" s="573">
        <v>7048142.9500000002</v>
      </c>
      <c r="J955" s="574">
        <v>457772.05</v>
      </c>
      <c r="K955" s="575">
        <v>6.0988173993443799E-2</v>
      </c>
      <c r="L955" s="588"/>
      <c r="M955" s="589"/>
      <c r="N955" s="567"/>
    </row>
    <row r="956" spans="2:14">
      <c r="B956" s="127" t="str">
        <f t="shared" si="32"/>
        <v xml:space="preserve">Division: </v>
      </c>
      <c r="C956" s="127" t="str">
        <f t="shared" si="33"/>
        <v xml:space="preserve">52 - </v>
      </c>
      <c r="D956" s="569" t="s">
        <v>1149</v>
      </c>
      <c r="E956" s="569"/>
      <c r="F956" s="576">
        <v>7505915</v>
      </c>
      <c r="G956" s="576">
        <v>7505915</v>
      </c>
      <c r="H956" s="577">
        <v>544117.38</v>
      </c>
      <c r="I956" s="576">
        <v>7048142.9500000002</v>
      </c>
      <c r="J956" s="577">
        <v>457772.05</v>
      </c>
      <c r="K956" s="578">
        <v>6.0988173993443799E-2</v>
      </c>
      <c r="L956" s="590"/>
      <c r="M956" s="591"/>
      <c r="N956" s="567"/>
    </row>
    <row r="957" spans="2:14">
      <c r="B957" s="127" t="str">
        <f t="shared" si="32"/>
        <v/>
      </c>
      <c r="C957" s="127" t="str">
        <f t="shared" si="33"/>
        <v/>
      </c>
      <c r="F957" s="398"/>
      <c r="G957" s="398"/>
      <c r="H957" s="398"/>
      <c r="I957" s="398"/>
      <c r="J957" s="398"/>
      <c r="K957" s="398"/>
      <c r="L957"/>
      <c r="N957" s="567"/>
    </row>
    <row r="958" spans="2:14">
      <c r="B958" s="127" t="str">
        <f t="shared" si="32"/>
        <v>Department</v>
      </c>
      <c r="C958" s="127" t="str">
        <f t="shared" si="33"/>
        <v xml:space="preserve"> 35 -</v>
      </c>
      <c r="D958" s="569" t="s">
        <v>1150</v>
      </c>
      <c r="E958" s="569"/>
      <c r="F958" s="576">
        <v>8489748</v>
      </c>
      <c r="G958" s="576">
        <v>8489748</v>
      </c>
      <c r="H958" s="577">
        <v>622575.39</v>
      </c>
      <c r="I958" s="576">
        <v>7965030.7699999996</v>
      </c>
      <c r="J958" s="577">
        <v>524717.23</v>
      </c>
      <c r="K958" s="578">
        <v>6.18059841116603E-2</v>
      </c>
      <c r="L958" s="590"/>
      <c r="M958" s="591"/>
      <c r="N958" s="567"/>
    </row>
    <row r="959" spans="2:14">
      <c r="B959" s="127" t="str">
        <f t="shared" si="32"/>
        <v/>
      </c>
      <c r="C959" s="127" t="str">
        <f t="shared" si="33"/>
        <v/>
      </c>
      <c r="L959"/>
      <c r="N959" s="567"/>
    </row>
    <row r="960" spans="2:14">
      <c r="B960" s="127" t="str">
        <f t="shared" si="32"/>
        <v/>
      </c>
      <c r="C960" s="127" t="str">
        <f t="shared" si="33"/>
        <v/>
      </c>
      <c r="E960" s="569"/>
      <c r="L960"/>
      <c r="N960" s="567"/>
    </row>
    <row r="961" spans="2:14">
      <c r="B961" s="127" t="str">
        <f t="shared" si="32"/>
        <v/>
      </c>
      <c r="C961" s="127" t="str">
        <f t="shared" si="33"/>
        <v/>
      </c>
      <c r="E961" s="569"/>
      <c r="L961"/>
      <c r="N961" s="567"/>
    </row>
    <row r="962" spans="2:14">
      <c r="B962" s="127" t="str">
        <f t="shared" si="32"/>
        <v/>
      </c>
      <c r="C962" s="127" t="str">
        <f t="shared" si="33"/>
        <v/>
      </c>
      <c r="E962" s="396"/>
      <c r="F962" s="573">
        <v>469207</v>
      </c>
      <c r="G962" s="573">
        <v>469207</v>
      </c>
      <c r="H962" s="574">
        <v>33412.089999999997</v>
      </c>
      <c r="I962" s="573">
        <v>445952.14</v>
      </c>
      <c r="J962" s="574">
        <v>23254.86</v>
      </c>
      <c r="K962" s="575">
        <v>4.9562048307037199E-2</v>
      </c>
      <c r="L962" s="588"/>
      <c r="M962" s="589"/>
      <c r="N962" s="567"/>
    </row>
    <row r="963" spans="2:14">
      <c r="B963" s="127" t="str">
        <f t="shared" si="32"/>
        <v xml:space="preserve">Division: </v>
      </c>
      <c r="C963" s="127" t="str">
        <f t="shared" si="33"/>
        <v xml:space="preserve">01 - </v>
      </c>
      <c r="D963" s="569" t="s">
        <v>1151</v>
      </c>
      <c r="E963" s="569"/>
      <c r="F963" s="576">
        <v>469207</v>
      </c>
      <c r="G963" s="576">
        <v>469207</v>
      </c>
      <c r="H963" s="577">
        <v>33412.089999999997</v>
      </c>
      <c r="I963" s="576">
        <v>445952.14</v>
      </c>
      <c r="J963" s="577">
        <v>23254.86</v>
      </c>
      <c r="K963" s="578">
        <v>4.9562048307037199E-2</v>
      </c>
      <c r="L963" s="590"/>
      <c r="M963" s="591"/>
      <c r="N963" s="567"/>
    </row>
    <row r="964" spans="2:14">
      <c r="B964" s="127" t="str">
        <f t="shared" si="32"/>
        <v/>
      </c>
      <c r="C964" s="127" t="str">
        <f t="shared" si="33"/>
        <v/>
      </c>
      <c r="L964"/>
      <c r="N964" s="567"/>
    </row>
    <row r="965" spans="2:14">
      <c r="B965" s="127" t="str">
        <f t="shared" si="32"/>
        <v/>
      </c>
      <c r="C965" s="127" t="str">
        <f t="shared" si="33"/>
        <v/>
      </c>
      <c r="E965" s="569"/>
      <c r="L965"/>
      <c r="N965" s="567"/>
    </row>
    <row r="966" spans="2:14">
      <c r="B966" s="127" t="str">
        <f t="shared" ref="B966:B1029" si="34">LEFT(D966,10)</f>
        <v/>
      </c>
      <c r="C966" s="127" t="str">
        <f t="shared" ref="C966:C1029" si="35">MID(D966,12,5)</f>
        <v/>
      </c>
      <c r="E966" s="396"/>
      <c r="F966" s="573">
        <v>584991</v>
      </c>
      <c r="G966" s="573">
        <v>584991</v>
      </c>
      <c r="H966" s="574">
        <v>38183.22</v>
      </c>
      <c r="I966" s="573">
        <v>460778.15</v>
      </c>
      <c r="J966" s="574">
        <v>124212.85</v>
      </c>
      <c r="K966" s="575">
        <v>0.21233292478003901</v>
      </c>
      <c r="L966" s="588"/>
      <c r="M966" s="589"/>
      <c r="N966" s="567"/>
    </row>
    <row r="967" spans="2:14">
      <c r="B967" s="127" t="str">
        <f t="shared" si="34"/>
        <v xml:space="preserve">Division: </v>
      </c>
      <c r="C967" s="127" t="str">
        <f t="shared" si="35"/>
        <v xml:space="preserve">02 - </v>
      </c>
      <c r="D967" s="569" t="s">
        <v>1152</v>
      </c>
      <c r="E967" s="569"/>
      <c r="F967" s="576">
        <v>584991</v>
      </c>
      <c r="G967" s="576">
        <v>584991</v>
      </c>
      <c r="H967" s="577">
        <v>38183.22</v>
      </c>
      <c r="I967" s="576">
        <v>460778.15</v>
      </c>
      <c r="J967" s="577">
        <v>124212.85</v>
      </c>
      <c r="K967" s="578">
        <v>0.21233292478003901</v>
      </c>
      <c r="L967" s="590"/>
      <c r="M967" s="591"/>
      <c r="N967" s="567"/>
    </row>
    <row r="968" spans="2:14">
      <c r="B968" s="127" t="str">
        <f t="shared" si="34"/>
        <v/>
      </c>
      <c r="C968" s="127" t="str">
        <f t="shared" si="35"/>
        <v/>
      </c>
      <c r="L968"/>
      <c r="N968" s="567"/>
    </row>
    <row r="969" spans="2:14">
      <c r="B969" s="127" t="str">
        <f t="shared" si="34"/>
        <v/>
      </c>
      <c r="C969" s="127" t="str">
        <f t="shared" si="35"/>
        <v/>
      </c>
      <c r="E969" s="569"/>
      <c r="L969"/>
      <c r="N969" s="567"/>
    </row>
    <row r="970" spans="2:14">
      <c r="B970" s="127" t="str">
        <f t="shared" si="34"/>
        <v/>
      </c>
      <c r="C970" s="127" t="str">
        <f t="shared" si="35"/>
        <v/>
      </c>
      <c r="E970" s="396"/>
      <c r="F970" s="573">
        <v>680070</v>
      </c>
      <c r="G970" s="573">
        <v>680070</v>
      </c>
      <c r="H970" s="574">
        <v>33288.050000000003</v>
      </c>
      <c r="I970" s="573">
        <v>505647.14</v>
      </c>
      <c r="J970" s="574">
        <v>174422.86</v>
      </c>
      <c r="K970" s="575">
        <v>0.256477803755496</v>
      </c>
      <c r="L970" s="588"/>
      <c r="M970" s="589"/>
      <c r="N970" s="567"/>
    </row>
    <row r="971" spans="2:14">
      <c r="B971" s="127" t="str">
        <f t="shared" si="34"/>
        <v xml:space="preserve">Division: </v>
      </c>
      <c r="C971" s="127" t="str">
        <f t="shared" si="35"/>
        <v xml:space="preserve">03 - </v>
      </c>
      <c r="D971" s="569" t="s">
        <v>1153</v>
      </c>
      <c r="E971" s="569"/>
      <c r="F971" s="576">
        <v>680070</v>
      </c>
      <c r="G971" s="576">
        <v>680070</v>
      </c>
      <c r="H971" s="577">
        <v>33288.050000000003</v>
      </c>
      <c r="I971" s="576">
        <v>505647.14</v>
      </c>
      <c r="J971" s="577">
        <v>174422.86</v>
      </c>
      <c r="K971" s="578">
        <v>0.256477803755496</v>
      </c>
      <c r="L971" s="590"/>
      <c r="M971" s="591"/>
      <c r="N971" s="567"/>
    </row>
    <row r="972" spans="2:14">
      <c r="B972" s="127" t="str">
        <f t="shared" si="34"/>
        <v/>
      </c>
      <c r="C972" s="127" t="str">
        <f t="shared" si="35"/>
        <v/>
      </c>
      <c r="F972" s="398"/>
      <c r="G972" s="398"/>
      <c r="H972" s="398"/>
      <c r="I972" s="398"/>
      <c r="J972" s="398"/>
      <c r="K972" s="398"/>
      <c r="L972"/>
      <c r="N972" s="567"/>
    </row>
    <row r="973" spans="2:14">
      <c r="B973" s="127" t="str">
        <f t="shared" si="34"/>
        <v>Department</v>
      </c>
      <c r="C973" s="127" t="str">
        <f t="shared" si="35"/>
        <v xml:space="preserve"> 50 -</v>
      </c>
      <c r="D973" s="569" t="s">
        <v>1154</v>
      </c>
      <c r="E973" s="569"/>
      <c r="F973" s="576">
        <v>1734268</v>
      </c>
      <c r="G973" s="576">
        <v>1734268</v>
      </c>
      <c r="H973" s="577">
        <v>104883.36</v>
      </c>
      <c r="I973" s="576">
        <v>1412377.43</v>
      </c>
      <c r="J973" s="577">
        <v>321890.57</v>
      </c>
      <c r="K973" s="578">
        <v>0.18560601360343401</v>
      </c>
      <c r="L973" s="590"/>
      <c r="M973" s="591"/>
      <c r="N973" s="567"/>
    </row>
    <row r="974" spans="2:14">
      <c r="B974" s="127" t="str">
        <f t="shared" si="34"/>
        <v/>
      </c>
      <c r="C974" s="127" t="str">
        <f t="shared" si="35"/>
        <v/>
      </c>
      <c r="L974"/>
      <c r="N974" s="567"/>
    </row>
    <row r="975" spans="2:14">
      <c r="B975" s="127" t="str">
        <f t="shared" si="34"/>
        <v/>
      </c>
      <c r="C975" s="127" t="str">
        <f t="shared" si="35"/>
        <v/>
      </c>
      <c r="E975" s="569"/>
      <c r="L975"/>
      <c r="N975" s="567"/>
    </row>
    <row r="976" spans="2:14">
      <c r="B976" s="127" t="str">
        <f t="shared" si="34"/>
        <v/>
      </c>
      <c r="C976" s="127" t="str">
        <f t="shared" si="35"/>
        <v/>
      </c>
      <c r="E976" s="569"/>
      <c r="L976"/>
      <c r="N976" s="567"/>
    </row>
    <row r="977" spans="2:14">
      <c r="B977" s="127" t="str">
        <f t="shared" si="34"/>
        <v/>
      </c>
      <c r="C977" s="127" t="str">
        <f t="shared" si="35"/>
        <v/>
      </c>
      <c r="E977" s="396"/>
      <c r="F977" s="573">
        <v>993849</v>
      </c>
      <c r="G977" s="573">
        <v>993849</v>
      </c>
      <c r="H977" s="574">
        <v>73307.350000000006</v>
      </c>
      <c r="I977" s="573">
        <v>956891.17</v>
      </c>
      <c r="J977" s="574">
        <v>36957.83</v>
      </c>
      <c r="K977" s="575">
        <v>3.7186564558599901E-2</v>
      </c>
      <c r="L977" s="588"/>
      <c r="M977" s="589"/>
      <c r="N977" s="567"/>
    </row>
    <row r="978" spans="2:14">
      <c r="B978" s="127" t="str">
        <f t="shared" si="34"/>
        <v xml:space="preserve">Division: </v>
      </c>
      <c r="C978" s="127" t="str">
        <f t="shared" si="35"/>
        <v xml:space="preserve">01 - </v>
      </c>
      <c r="D978" s="569" t="s">
        <v>1155</v>
      </c>
      <c r="E978" s="569"/>
      <c r="F978" s="576">
        <v>993849</v>
      </c>
      <c r="G978" s="576">
        <v>993849</v>
      </c>
      <c r="H978" s="577">
        <v>73307.350000000006</v>
      </c>
      <c r="I978" s="576">
        <v>956891.17</v>
      </c>
      <c r="J978" s="577">
        <v>36957.83</v>
      </c>
      <c r="K978" s="578">
        <v>3.7186564558599901E-2</v>
      </c>
      <c r="L978" s="590"/>
      <c r="M978" s="591"/>
      <c r="N978" s="567"/>
    </row>
    <row r="979" spans="2:14">
      <c r="B979" s="127" t="str">
        <f t="shared" si="34"/>
        <v/>
      </c>
      <c r="C979" s="127" t="str">
        <f t="shared" si="35"/>
        <v/>
      </c>
      <c r="F979" s="398"/>
      <c r="G979" s="398"/>
      <c r="H979" s="398"/>
      <c r="I979" s="398"/>
      <c r="J979" s="398"/>
      <c r="K979" s="398"/>
      <c r="L979"/>
      <c r="N979" s="567"/>
    </row>
    <row r="980" spans="2:14">
      <c r="B980" s="127" t="str">
        <f t="shared" si="34"/>
        <v>Department</v>
      </c>
      <c r="C980" s="127" t="str">
        <f t="shared" si="35"/>
        <v xml:space="preserve"> 60 -</v>
      </c>
      <c r="D980" s="569" t="s">
        <v>1156</v>
      </c>
      <c r="E980" s="569"/>
      <c r="F980" s="576">
        <v>993849</v>
      </c>
      <c r="G980" s="576">
        <v>993849</v>
      </c>
      <c r="H980" s="577">
        <v>73307.350000000006</v>
      </c>
      <c r="I980" s="576">
        <v>956891.17</v>
      </c>
      <c r="J980" s="577">
        <v>36957.83</v>
      </c>
      <c r="K980" s="578">
        <v>3.7186564558599901E-2</v>
      </c>
      <c r="L980" s="590"/>
      <c r="M980" s="591"/>
      <c r="N980" s="567"/>
    </row>
    <row r="981" spans="2:14">
      <c r="B981" s="127" t="str">
        <f t="shared" si="34"/>
        <v/>
      </c>
      <c r="C981" s="127" t="str">
        <f t="shared" si="35"/>
        <v/>
      </c>
      <c r="L981"/>
      <c r="N981" s="567"/>
    </row>
    <row r="982" spans="2:14">
      <c r="B982" s="127" t="str">
        <f t="shared" si="34"/>
        <v/>
      </c>
      <c r="C982" s="127" t="str">
        <f t="shared" si="35"/>
        <v/>
      </c>
      <c r="E982" s="569"/>
      <c r="L982"/>
      <c r="N982" s="567"/>
    </row>
    <row r="983" spans="2:14">
      <c r="B983" s="127" t="str">
        <f t="shared" si="34"/>
        <v/>
      </c>
      <c r="C983" s="127" t="str">
        <f t="shared" si="35"/>
        <v/>
      </c>
      <c r="E983" s="569"/>
      <c r="L983"/>
      <c r="N983" s="567"/>
    </row>
    <row r="984" spans="2:14">
      <c r="B984" s="127" t="str">
        <f t="shared" si="34"/>
        <v/>
      </c>
      <c r="C984" s="127" t="str">
        <f t="shared" si="35"/>
        <v/>
      </c>
      <c r="E984" s="396"/>
      <c r="F984" s="573">
        <v>296508</v>
      </c>
      <c r="G984" s="573">
        <v>296508</v>
      </c>
      <c r="H984" s="574">
        <v>21908.13</v>
      </c>
      <c r="I984" s="573">
        <v>293314.76</v>
      </c>
      <c r="J984" s="574">
        <v>3193.24</v>
      </c>
      <c r="K984" s="575">
        <v>1.07694901992526E-2</v>
      </c>
      <c r="L984" s="588"/>
      <c r="M984" s="589"/>
      <c r="N984" s="567"/>
    </row>
    <row r="985" spans="2:14">
      <c r="B985" s="127" t="str">
        <f t="shared" si="34"/>
        <v xml:space="preserve">Division: </v>
      </c>
      <c r="C985" s="127" t="str">
        <f t="shared" si="35"/>
        <v xml:space="preserve">31 - </v>
      </c>
      <c r="D985" s="569" t="s">
        <v>1157</v>
      </c>
      <c r="E985" s="569"/>
      <c r="F985" s="576">
        <v>296508</v>
      </c>
      <c r="G985" s="576">
        <v>296508</v>
      </c>
      <c r="H985" s="577">
        <v>21908.13</v>
      </c>
      <c r="I985" s="576">
        <v>293314.76</v>
      </c>
      <c r="J985" s="577">
        <v>3193.24</v>
      </c>
      <c r="K985" s="578">
        <v>1.07694901992526E-2</v>
      </c>
      <c r="L985" s="590"/>
      <c r="M985" s="591"/>
      <c r="N985" s="567"/>
    </row>
    <row r="986" spans="2:14">
      <c r="B986" s="127" t="str">
        <f t="shared" si="34"/>
        <v/>
      </c>
      <c r="C986" s="127" t="str">
        <f t="shared" si="35"/>
        <v/>
      </c>
      <c r="L986"/>
      <c r="N986" s="567"/>
    </row>
    <row r="987" spans="2:14">
      <c r="B987" s="127" t="str">
        <f t="shared" si="34"/>
        <v/>
      </c>
      <c r="C987" s="127" t="str">
        <f t="shared" si="35"/>
        <v/>
      </c>
      <c r="E987" s="569"/>
      <c r="L987"/>
      <c r="N987" s="567"/>
    </row>
    <row r="988" spans="2:14">
      <c r="B988" s="127" t="str">
        <f t="shared" si="34"/>
        <v/>
      </c>
      <c r="C988" s="127" t="str">
        <f t="shared" si="35"/>
        <v/>
      </c>
      <c r="E988" s="396"/>
      <c r="F988" s="573">
        <v>625012</v>
      </c>
      <c r="G988" s="573">
        <v>625012</v>
      </c>
      <c r="H988" s="574">
        <v>47354.42</v>
      </c>
      <c r="I988" s="573">
        <v>614861.98</v>
      </c>
      <c r="J988" s="574">
        <v>10150.02</v>
      </c>
      <c r="K988" s="575">
        <v>1.6239720197372201E-2</v>
      </c>
      <c r="L988" s="588"/>
      <c r="M988" s="589"/>
      <c r="N988" s="567"/>
    </row>
    <row r="989" spans="2:14">
      <c r="B989" s="127" t="str">
        <f t="shared" si="34"/>
        <v xml:space="preserve">Division: </v>
      </c>
      <c r="C989" s="127" t="str">
        <f t="shared" si="35"/>
        <v xml:space="preserve">32 - </v>
      </c>
      <c r="D989" s="569" t="s">
        <v>1158</v>
      </c>
      <c r="E989" s="569"/>
      <c r="F989" s="576">
        <v>625012</v>
      </c>
      <c r="G989" s="576">
        <v>625012</v>
      </c>
      <c r="H989" s="577">
        <v>47354.42</v>
      </c>
      <c r="I989" s="576">
        <v>614861.98</v>
      </c>
      <c r="J989" s="577">
        <v>10150.02</v>
      </c>
      <c r="K989" s="578">
        <v>1.6239720197372201E-2</v>
      </c>
      <c r="L989" s="590"/>
      <c r="M989" s="591"/>
      <c r="N989" s="567"/>
    </row>
    <row r="990" spans="2:14">
      <c r="B990" s="127" t="str">
        <f t="shared" si="34"/>
        <v/>
      </c>
      <c r="C990" s="127" t="str">
        <f t="shared" si="35"/>
        <v/>
      </c>
      <c r="L990"/>
      <c r="N990" s="567"/>
    </row>
    <row r="991" spans="2:14">
      <c r="B991" s="127" t="str">
        <f t="shared" si="34"/>
        <v/>
      </c>
      <c r="C991" s="127" t="str">
        <f t="shared" si="35"/>
        <v/>
      </c>
      <c r="E991" s="569"/>
      <c r="L991"/>
      <c r="N991" s="567"/>
    </row>
    <row r="992" spans="2:14">
      <c r="B992" s="127" t="str">
        <f t="shared" si="34"/>
        <v/>
      </c>
      <c r="C992" s="127" t="str">
        <f t="shared" si="35"/>
        <v/>
      </c>
      <c r="E992" s="396"/>
      <c r="F992" s="573">
        <v>91396</v>
      </c>
      <c r="G992" s="573">
        <v>91396</v>
      </c>
      <c r="H992" s="574">
        <v>7053.61</v>
      </c>
      <c r="I992" s="573">
        <v>87714.74</v>
      </c>
      <c r="J992" s="574">
        <v>3681.26</v>
      </c>
      <c r="K992" s="575">
        <v>4.0278130333931503E-2</v>
      </c>
      <c r="L992" s="588"/>
      <c r="M992" s="589"/>
      <c r="N992" s="567"/>
    </row>
    <row r="993" spans="2:14">
      <c r="B993" s="127" t="str">
        <f t="shared" si="34"/>
        <v xml:space="preserve">Division: </v>
      </c>
      <c r="C993" s="127" t="str">
        <f t="shared" si="35"/>
        <v xml:space="preserve">33 - </v>
      </c>
      <c r="D993" s="569" t="s">
        <v>1159</v>
      </c>
      <c r="E993" s="569"/>
      <c r="F993" s="576">
        <v>91396</v>
      </c>
      <c r="G993" s="576">
        <v>91396</v>
      </c>
      <c r="H993" s="577">
        <v>7053.61</v>
      </c>
      <c r="I993" s="576">
        <v>87714.74</v>
      </c>
      <c r="J993" s="577">
        <v>3681.26</v>
      </c>
      <c r="K993" s="578">
        <v>4.0278130333931503E-2</v>
      </c>
      <c r="L993" s="590"/>
      <c r="M993" s="591"/>
      <c r="N993" s="567"/>
    </row>
    <row r="994" spans="2:14">
      <c r="B994" s="127" t="str">
        <f t="shared" si="34"/>
        <v/>
      </c>
      <c r="C994" s="127" t="str">
        <f t="shared" si="35"/>
        <v/>
      </c>
      <c r="L994"/>
      <c r="N994" s="567"/>
    </row>
    <row r="995" spans="2:14">
      <c r="B995" s="127" t="str">
        <f t="shared" si="34"/>
        <v/>
      </c>
      <c r="C995" s="127" t="str">
        <f t="shared" si="35"/>
        <v/>
      </c>
      <c r="L995"/>
      <c r="N995" s="567"/>
    </row>
    <row r="996" spans="2:14">
      <c r="B996" s="127" t="str">
        <f t="shared" si="34"/>
        <v/>
      </c>
      <c r="C996" s="127" t="str">
        <f t="shared" si="35"/>
        <v/>
      </c>
      <c r="D996" s="579"/>
      <c r="E996" s="579"/>
      <c r="F996" s="579"/>
      <c r="G996" s="579"/>
      <c r="H996" s="579"/>
      <c r="I996" s="579"/>
      <c r="J996" s="579"/>
      <c r="K996" s="579"/>
      <c r="L996" s="592"/>
      <c r="M996" s="592"/>
      <c r="N996" s="567"/>
    </row>
    <row r="997" spans="2:14">
      <c r="B997" s="127" t="str">
        <f t="shared" si="34"/>
        <v xml:space="preserve">9/25/2024 </v>
      </c>
      <c r="C997" s="127" t="str">
        <f t="shared" si="35"/>
        <v>:13:1</v>
      </c>
      <c r="D997" s="454" t="s">
        <v>2991</v>
      </c>
      <c r="E997" s="454"/>
      <c r="F997" s="399"/>
      <c r="G997" s="399"/>
      <c r="H997" s="399"/>
      <c r="I997" s="399"/>
      <c r="J997" s="454"/>
      <c r="K997" s="454"/>
      <c r="L997" s="593"/>
      <c r="N997" s="567"/>
    </row>
    <row r="998" spans="2:14">
      <c r="B998" s="127" t="str">
        <f t="shared" si="34"/>
        <v>Budget Rep</v>
      </c>
      <c r="C998" s="127" t="str">
        <f t="shared" si="35"/>
        <v>rt</v>
      </c>
      <c r="D998" s="455" t="s">
        <v>1122</v>
      </c>
      <c r="E998" s="455"/>
      <c r="F998" s="455"/>
      <c r="H998" s="455"/>
      <c r="I998" s="455"/>
      <c r="J998" s="455"/>
      <c r="K998" s="455"/>
      <c r="L998" s="594"/>
      <c r="M998" s="594"/>
      <c r="N998" s="567"/>
    </row>
    <row r="999" spans="2:14">
      <c r="B999" s="127" t="str">
        <f t="shared" si="34"/>
        <v/>
      </c>
      <c r="C999" s="127" t="str">
        <f t="shared" si="35"/>
        <v/>
      </c>
      <c r="L999"/>
      <c r="N999" s="567"/>
    </row>
    <row r="1000" spans="2:14" ht="31.8">
      <c r="B1000" s="127" t="str">
        <f t="shared" si="34"/>
        <v/>
      </c>
      <c r="C1000" s="127" t="str">
        <f t="shared" si="35"/>
        <v/>
      </c>
      <c r="J1000" s="413" t="s">
        <v>1098</v>
      </c>
      <c r="L1000"/>
      <c r="N1000" s="567"/>
    </row>
    <row r="1001" spans="2:14" ht="21.6">
      <c r="B1001" s="127" t="str">
        <f t="shared" si="34"/>
        <v/>
      </c>
      <c r="C1001" s="127" t="str">
        <f t="shared" si="35"/>
        <v/>
      </c>
      <c r="F1001" s="413" t="s">
        <v>1099</v>
      </c>
      <c r="G1001" s="413" t="s">
        <v>1100</v>
      </c>
      <c r="H1001" s="413" t="s">
        <v>1101</v>
      </c>
      <c r="I1001" s="413" t="s">
        <v>1102</v>
      </c>
      <c r="J1001" s="413"/>
      <c r="K1001" s="413" t="s">
        <v>1103</v>
      </c>
      <c r="L1001" s="540"/>
      <c r="M1001" s="540"/>
      <c r="N1001" s="567"/>
    </row>
    <row r="1002" spans="2:14">
      <c r="B1002" s="127" t="str">
        <f t="shared" si="34"/>
        <v/>
      </c>
      <c r="C1002" s="127" t="str">
        <f t="shared" si="35"/>
        <v/>
      </c>
      <c r="E1002" s="583"/>
      <c r="F1002" s="413"/>
      <c r="G1002" s="413"/>
      <c r="H1002" s="413"/>
      <c r="I1002" s="413"/>
      <c r="J1002" s="413"/>
      <c r="K1002" s="413"/>
      <c r="L1002" s="540"/>
      <c r="M1002" s="540"/>
      <c r="N1002" s="567"/>
    </row>
    <row r="1003" spans="2:14">
      <c r="B1003" s="127" t="str">
        <f t="shared" si="34"/>
        <v/>
      </c>
      <c r="C1003" s="127" t="str">
        <f t="shared" si="35"/>
        <v/>
      </c>
      <c r="L1003"/>
      <c r="N1003" s="567"/>
    </row>
    <row r="1004" spans="2:14">
      <c r="B1004" s="127" t="str">
        <f t="shared" si="34"/>
        <v/>
      </c>
      <c r="C1004" s="127" t="str">
        <f t="shared" si="35"/>
        <v/>
      </c>
      <c r="E1004" s="569"/>
      <c r="L1004"/>
      <c r="N1004" s="567"/>
    </row>
    <row r="1005" spans="2:14">
      <c r="B1005" s="127" t="str">
        <f t="shared" si="34"/>
        <v/>
      </c>
      <c r="C1005" s="127" t="str">
        <f t="shared" si="35"/>
        <v/>
      </c>
      <c r="E1005" s="396"/>
      <c r="F1005" s="573">
        <v>321433</v>
      </c>
      <c r="G1005" s="573">
        <v>321433</v>
      </c>
      <c r="H1005" s="574">
        <v>22514.04</v>
      </c>
      <c r="I1005" s="573">
        <v>292492.13</v>
      </c>
      <c r="J1005" s="574">
        <v>28940.87</v>
      </c>
      <c r="K1005" s="575">
        <v>9.0037021712145296E-2</v>
      </c>
      <c r="L1005" s="588"/>
      <c r="M1005" s="589"/>
      <c r="N1005" s="567"/>
    </row>
    <row r="1006" spans="2:14">
      <c r="B1006" s="127" t="str">
        <f t="shared" si="34"/>
        <v xml:space="preserve">Division: </v>
      </c>
      <c r="C1006" s="127" t="str">
        <f t="shared" si="35"/>
        <v xml:space="preserve">34 - </v>
      </c>
      <c r="D1006" s="569" t="s">
        <v>1160</v>
      </c>
      <c r="E1006" s="569"/>
      <c r="F1006" s="576">
        <v>321433</v>
      </c>
      <c r="G1006" s="576">
        <v>321433</v>
      </c>
      <c r="H1006" s="577">
        <v>22514.04</v>
      </c>
      <c r="I1006" s="576">
        <v>292492.13</v>
      </c>
      <c r="J1006" s="577">
        <v>28940.87</v>
      </c>
      <c r="K1006" s="578">
        <v>9.0037021712145296E-2</v>
      </c>
      <c r="L1006" s="590"/>
      <c r="M1006" s="591"/>
      <c r="N1006" s="567"/>
    </row>
    <row r="1007" spans="2:14">
      <c r="B1007" s="127" t="str">
        <f t="shared" si="34"/>
        <v/>
      </c>
      <c r="C1007" s="127" t="str">
        <f t="shared" si="35"/>
        <v/>
      </c>
      <c r="L1007"/>
      <c r="N1007" s="567"/>
    </row>
    <row r="1008" spans="2:14">
      <c r="B1008" s="127" t="str">
        <f t="shared" si="34"/>
        <v/>
      </c>
      <c r="C1008" s="127" t="str">
        <f t="shared" si="35"/>
        <v/>
      </c>
      <c r="E1008" s="569"/>
      <c r="L1008"/>
      <c r="N1008" s="567"/>
    </row>
    <row r="1009" spans="2:14">
      <c r="B1009" s="127" t="str">
        <f t="shared" si="34"/>
        <v/>
      </c>
      <c r="C1009" s="127" t="str">
        <f t="shared" si="35"/>
        <v/>
      </c>
      <c r="E1009" s="396"/>
      <c r="F1009" s="573">
        <v>316676</v>
      </c>
      <c r="G1009" s="573">
        <v>316676</v>
      </c>
      <c r="H1009" s="574">
        <v>23803.39</v>
      </c>
      <c r="I1009" s="573">
        <v>279723.75</v>
      </c>
      <c r="J1009" s="574">
        <v>36952.25</v>
      </c>
      <c r="K1009" s="575">
        <v>0.116687876567849</v>
      </c>
      <c r="L1009" s="588"/>
      <c r="M1009" s="589"/>
      <c r="N1009" s="567"/>
    </row>
    <row r="1010" spans="2:14">
      <c r="B1010" s="127" t="str">
        <f t="shared" si="34"/>
        <v xml:space="preserve">Division: </v>
      </c>
      <c r="C1010" s="127" t="str">
        <f t="shared" si="35"/>
        <v xml:space="preserve">35 - </v>
      </c>
      <c r="D1010" s="569" t="s">
        <v>1161</v>
      </c>
      <c r="E1010" s="569"/>
      <c r="F1010" s="576">
        <v>316676</v>
      </c>
      <c r="G1010" s="576">
        <v>316676</v>
      </c>
      <c r="H1010" s="577">
        <v>23803.39</v>
      </c>
      <c r="I1010" s="576">
        <v>279723.75</v>
      </c>
      <c r="J1010" s="577">
        <v>36952.25</v>
      </c>
      <c r="K1010" s="578">
        <v>0.116687876567849</v>
      </c>
      <c r="L1010" s="590"/>
      <c r="M1010" s="591"/>
      <c r="N1010" s="567"/>
    </row>
    <row r="1011" spans="2:14">
      <c r="B1011" s="127" t="str">
        <f t="shared" si="34"/>
        <v/>
      </c>
      <c r="C1011" s="127" t="str">
        <f t="shared" si="35"/>
        <v/>
      </c>
      <c r="L1011"/>
      <c r="N1011" s="567"/>
    </row>
    <row r="1012" spans="2:14">
      <c r="B1012" s="127" t="str">
        <f t="shared" si="34"/>
        <v/>
      </c>
      <c r="C1012" s="127" t="str">
        <f t="shared" si="35"/>
        <v/>
      </c>
      <c r="E1012" s="569"/>
      <c r="L1012"/>
      <c r="N1012" s="567"/>
    </row>
    <row r="1013" spans="2:14">
      <c r="B1013" s="127" t="str">
        <f t="shared" si="34"/>
        <v/>
      </c>
      <c r="C1013" s="127" t="str">
        <f t="shared" si="35"/>
        <v/>
      </c>
      <c r="E1013" s="396"/>
      <c r="F1013" s="573">
        <v>36556</v>
      </c>
      <c r="G1013" s="573">
        <v>36556</v>
      </c>
      <c r="H1013" s="574">
        <v>3371.11</v>
      </c>
      <c r="I1013" s="573">
        <v>42421.72</v>
      </c>
      <c r="J1013" s="574">
        <v>-5865.72</v>
      </c>
      <c r="K1013" s="575">
        <v>-0.16045847466900101</v>
      </c>
      <c r="L1013" s="588"/>
      <c r="M1013" s="589"/>
      <c r="N1013" s="567"/>
    </row>
    <row r="1014" spans="2:14">
      <c r="B1014" s="127" t="str">
        <f t="shared" si="34"/>
        <v xml:space="preserve">Division: </v>
      </c>
      <c r="C1014" s="127" t="str">
        <f t="shared" si="35"/>
        <v xml:space="preserve">36 - </v>
      </c>
      <c r="D1014" s="569" t="s">
        <v>1162</v>
      </c>
      <c r="E1014" s="569"/>
      <c r="F1014" s="576">
        <v>36556</v>
      </c>
      <c r="G1014" s="576">
        <v>36556</v>
      </c>
      <c r="H1014" s="577">
        <v>3371.11</v>
      </c>
      <c r="I1014" s="576">
        <v>42421.72</v>
      </c>
      <c r="J1014" s="577">
        <v>-5865.72</v>
      </c>
      <c r="K1014" s="578">
        <v>-0.16045847466900101</v>
      </c>
      <c r="L1014" s="590"/>
      <c r="M1014" s="591"/>
      <c r="N1014" s="567"/>
    </row>
    <row r="1015" spans="2:14">
      <c r="B1015" s="127" t="str">
        <f t="shared" si="34"/>
        <v/>
      </c>
      <c r="C1015" s="127" t="str">
        <f t="shared" si="35"/>
        <v/>
      </c>
      <c r="F1015" s="398"/>
      <c r="G1015" s="398"/>
      <c r="H1015" s="398"/>
      <c r="I1015" s="398"/>
      <c r="J1015" s="398"/>
      <c r="K1015" s="398"/>
      <c r="L1015"/>
      <c r="N1015" s="567"/>
    </row>
    <row r="1016" spans="2:14">
      <c r="B1016" s="127" t="str">
        <f t="shared" si="34"/>
        <v>Department</v>
      </c>
      <c r="C1016" s="127" t="str">
        <f t="shared" si="35"/>
        <v xml:space="preserve"> 63 -</v>
      </c>
      <c r="D1016" s="569" t="s">
        <v>1163</v>
      </c>
      <c r="E1016" s="569"/>
      <c r="F1016" s="576">
        <v>1687581</v>
      </c>
      <c r="G1016" s="576">
        <v>1687581</v>
      </c>
      <c r="H1016" s="577">
        <v>126004.7</v>
      </c>
      <c r="I1016" s="576">
        <v>1610529.08</v>
      </c>
      <c r="J1016" s="577">
        <v>77051.92</v>
      </c>
      <c r="K1016" s="578">
        <v>4.5658205443175802E-2</v>
      </c>
      <c r="L1016" s="590"/>
      <c r="M1016" s="591"/>
      <c r="N1016" s="567"/>
    </row>
    <row r="1017" spans="2:14">
      <c r="B1017" s="127" t="str">
        <f t="shared" si="34"/>
        <v/>
      </c>
      <c r="C1017" s="127" t="str">
        <f t="shared" si="35"/>
        <v/>
      </c>
      <c r="L1017"/>
      <c r="N1017" s="567"/>
    </row>
    <row r="1018" spans="2:14">
      <c r="B1018" s="127" t="str">
        <f t="shared" si="34"/>
        <v/>
      </c>
      <c r="C1018" s="127" t="str">
        <f t="shared" si="35"/>
        <v/>
      </c>
      <c r="E1018" s="569"/>
      <c r="L1018"/>
      <c r="N1018" s="567"/>
    </row>
    <row r="1019" spans="2:14">
      <c r="B1019" s="127" t="str">
        <f t="shared" si="34"/>
        <v/>
      </c>
      <c r="C1019" s="127" t="str">
        <f t="shared" si="35"/>
        <v/>
      </c>
      <c r="E1019" s="569"/>
      <c r="L1019"/>
      <c r="N1019" s="567"/>
    </row>
    <row r="1020" spans="2:14">
      <c r="B1020" s="127" t="str">
        <f t="shared" si="34"/>
        <v/>
      </c>
      <c r="C1020" s="127" t="str">
        <f t="shared" si="35"/>
        <v/>
      </c>
      <c r="E1020" s="396"/>
      <c r="F1020" s="573">
        <v>30000</v>
      </c>
      <c r="G1020" s="573">
        <v>30000</v>
      </c>
      <c r="H1020" s="574">
        <v>0</v>
      </c>
      <c r="I1020" s="573">
        <v>0</v>
      </c>
      <c r="J1020" s="574">
        <v>30000</v>
      </c>
      <c r="K1020" s="575">
        <v>1</v>
      </c>
      <c r="L1020" s="588"/>
      <c r="M1020" s="589"/>
      <c r="N1020" s="567"/>
    </row>
    <row r="1021" spans="2:14">
      <c r="B1021" s="127" t="str">
        <f t="shared" si="34"/>
        <v xml:space="preserve">Division: </v>
      </c>
      <c r="C1021" s="127" t="str">
        <f t="shared" si="35"/>
        <v xml:space="preserve">94 - </v>
      </c>
      <c r="D1021" s="569" t="s">
        <v>1164</v>
      </c>
      <c r="E1021" s="569"/>
      <c r="F1021" s="576">
        <v>30000</v>
      </c>
      <c r="G1021" s="576">
        <v>30000</v>
      </c>
      <c r="H1021" s="577">
        <v>0</v>
      </c>
      <c r="I1021" s="576">
        <v>0</v>
      </c>
      <c r="J1021" s="577">
        <v>30000</v>
      </c>
      <c r="K1021" s="578">
        <v>1</v>
      </c>
      <c r="L1021" s="590"/>
      <c r="M1021" s="591"/>
      <c r="N1021" s="567"/>
    </row>
    <row r="1022" spans="2:14">
      <c r="B1022" s="127" t="str">
        <f t="shared" si="34"/>
        <v/>
      </c>
      <c r="C1022" s="127" t="str">
        <f t="shared" si="35"/>
        <v/>
      </c>
      <c r="F1022" s="398"/>
      <c r="G1022" s="398"/>
      <c r="H1022" s="398"/>
      <c r="I1022" s="398"/>
      <c r="J1022" s="398"/>
      <c r="K1022" s="398"/>
      <c r="L1022"/>
      <c r="N1022" s="567"/>
    </row>
    <row r="1023" spans="2:14">
      <c r="B1023" s="127" t="str">
        <f t="shared" si="34"/>
        <v>Department</v>
      </c>
      <c r="C1023" s="127" t="str">
        <f t="shared" si="35"/>
        <v xml:space="preserve"> 99 -</v>
      </c>
      <c r="D1023" s="569" t="s">
        <v>1165</v>
      </c>
      <c r="E1023" s="569"/>
      <c r="F1023" s="576">
        <v>30000</v>
      </c>
      <c r="G1023" s="576">
        <v>30000</v>
      </c>
      <c r="H1023" s="577">
        <v>0</v>
      </c>
      <c r="I1023" s="576">
        <v>0</v>
      </c>
      <c r="J1023" s="577">
        <v>30000</v>
      </c>
      <c r="K1023" s="578">
        <v>1</v>
      </c>
      <c r="L1023" s="590"/>
      <c r="M1023" s="591"/>
      <c r="N1023" s="567"/>
    </row>
    <row r="1024" spans="2:14">
      <c r="B1024" s="127" t="str">
        <f t="shared" si="34"/>
        <v/>
      </c>
      <c r="C1024" s="127" t="str">
        <f t="shared" si="35"/>
        <v/>
      </c>
      <c r="F1024" s="398"/>
      <c r="G1024" s="398"/>
      <c r="H1024" s="398"/>
      <c r="I1024" s="398"/>
      <c r="J1024" s="398"/>
      <c r="K1024" s="398"/>
      <c r="L1024"/>
      <c r="N1024" s="567"/>
    </row>
    <row r="1025" spans="2:14">
      <c r="B1025" s="127" t="str">
        <f t="shared" si="34"/>
        <v xml:space="preserve">Fund: 100 </v>
      </c>
      <c r="C1025" s="127" t="str">
        <f t="shared" si="35"/>
        <v xml:space="preserve"> GENE</v>
      </c>
      <c r="D1025" s="569" t="s">
        <v>1904</v>
      </c>
      <c r="E1025" s="569"/>
      <c r="F1025" s="576">
        <v>27959335</v>
      </c>
      <c r="G1025" s="576">
        <v>27959335</v>
      </c>
      <c r="H1025" s="577">
        <v>2086868.78</v>
      </c>
      <c r="I1025" s="576">
        <v>26083792.32</v>
      </c>
      <c r="J1025" s="577">
        <v>1875542.68</v>
      </c>
      <c r="K1025" s="578">
        <v>6.7081090447966701E-2</v>
      </c>
      <c r="L1025" s="590"/>
      <c r="M1025" s="591"/>
      <c r="N1025" s="567"/>
    </row>
    <row r="1026" spans="2:14">
      <c r="B1026" s="127" t="str">
        <f t="shared" si="34"/>
        <v/>
      </c>
      <c r="C1026" s="127" t="str">
        <f t="shared" si="35"/>
        <v/>
      </c>
      <c r="L1026"/>
      <c r="N1026" s="567"/>
    </row>
    <row r="1027" spans="2:14">
      <c r="B1027" s="127" t="str">
        <f t="shared" si="34"/>
        <v xml:space="preserve">Fund: 112 </v>
      </c>
      <c r="C1027" s="127" t="str">
        <f t="shared" si="35"/>
        <v xml:space="preserve"> RECR</v>
      </c>
      <c r="D1027" s="569" t="s">
        <v>1105</v>
      </c>
      <c r="E1027" s="569"/>
      <c r="L1027"/>
      <c r="N1027" s="567"/>
    </row>
    <row r="1028" spans="2:14">
      <c r="B1028" s="127" t="str">
        <f t="shared" si="34"/>
        <v/>
      </c>
      <c r="C1028" s="127" t="str">
        <f t="shared" si="35"/>
        <v/>
      </c>
      <c r="E1028" s="569"/>
      <c r="L1028"/>
      <c r="N1028" s="567"/>
    </row>
    <row r="1029" spans="2:14">
      <c r="B1029" s="127" t="str">
        <f t="shared" si="34"/>
        <v/>
      </c>
      <c r="C1029" s="127" t="str">
        <f t="shared" si="35"/>
        <v/>
      </c>
      <c r="E1029" s="569"/>
      <c r="L1029"/>
      <c r="N1029" s="567"/>
    </row>
    <row r="1030" spans="2:14">
      <c r="B1030" s="127" t="str">
        <f t="shared" ref="B1030:B1093" si="36">LEFT(D1030,10)</f>
        <v/>
      </c>
      <c r="C1030" s="127" t="str">
        <f t="shared" ref="C1030:C1093" si="37">MID(D1030,12,5)</f>
        <v/>
      </c>
      <c r="E1030" s="396"/>
      <c r="F1030" s="573">
        <v>0</v>
      </c>
      <c r="G1030" s="573">
        <v>0</v>
      </c>
      <c r="H1030" s="574">
        <v>0</v>
      </c>
      <c r="I1030" s="573">
        <v>643</v>
      </c>
      <c r="J1030" s="574">
        <v>-643</v>
      </c>
      <c r="K1030" s="575">
        <v>0</v>
      </c>
      <c r="L1030" s="588"/>
      <c r="M1030" s="589"/>
      <c r="N1030" s="567"/>
    </row>
    <row r="1031" spans="2:14">
      <c r="B1031" s="127" t="str">
        <f t="shared" si="36"/>
        <v xml:space="preserve">Division: </v>
      </c>
      <c r="C1031" s="127" t="str">
        <f t="shared" si="37"/>
        <v xml:space="preserve">22 - </v>
      </c>
      <c r="D1031" s="569" t="s">
        <v>2545</v>
      </c>
      <c r="E1031" s="569"/>
      <c r="F1031" s="576">
        <v>0</v>
      </c>
      <c r="G1031" s="576">
        <v>0</v>
      </c>
      <c r="H1031" s="577">
        <v>0</v>
      </c>
      <c r="I1031" s="576">
        <v>643</v>
      </c>
      <c r="J1031" s="577">
        <v>-643</v>
      </c>
      <c r="K1031" s="578">
        <v>0</v>
      </c>
      <c r="L1031" s="590"/>
      <c r="M1031" s="591"/>
      <c r="N1031" s="567"/>
    </row>
    <row r="1032" spans="2:14">
      <c r="B1032" s="127" t="str">
        <f t="shared" si="36"/>
        <v/>
      </c>
      <c r="C1032" s="127" t="str">
        <f t="shared" si="37"/>
        <v/>
      </c>
      <c r="L1032"/>
      <c r="N1032" s="567"/>
    </row>
    <row r="1033" spans="2:14">
      <c r="B1033" s="127" t="str">
        <f t="shared" si="36"/>
        <v/>
      </c>
      <c r="C1033" s="127" t="str">
        <f t="shared" si="37"/>
        <v/>
      </c>
      <c r="E1033" s="569"/>
      <c r="L1033"/>
      <c r="N1033" s="567"/>
    </row>
    <row r="1034" spans="2:14">
      <c r="B1034" s="127" t="str">
        <f t="shared" si="36"/>
        <v/>
      </c>
      <c r="C1034" s="127" t="str">
        <f t="shared" si="37"/>
        <v/>
      </c>
      <c r="E1034" s="396"/>
      <c r="F1034" s="573">
        <v>973</v>
      </c>
      <c r="G1034" s="573">
        <v>973</v>
      </c>
      <c r="H1034" s="574">
        <v>0</v>
      </c>
      <c r="I1034" s="573">
        <v>16.989999999999998</v>
      </c>
      <c r="J1034" s="574">
        <v>956.01</v>
      </c>
      <c r="K1034" s="575">
        <v>0.98253854059609502</v>
      </c>
      <c r="L1034" s="588"/>
      <c r="M1034" s="589"/>
      <c r="N1034" s="567"/>
    </row>
    <row r="1035" spans="2:14">
      <c r="B1035" s="127" t="str">
        <f t="shared" si="36"/>
        <v xml:space="preserve">Division: </v>
      </c>
      <c r="C1035" s="127" t="str">
        <f t="shared" si="37"/>
        <v xml:space="preserve">23 - </v>
      </c>
      <c r="D1035" s="569" t="s">
        <v>1166</v>
      </c>
      <c r="E1035" s="569"/>
      <c r="F1035" s="576">
        <v>973</v>
      </c>
      <c r="G1035" s="576">
        <v>973</v>
      </c>
      <c r="H1035" s="577">
        <v>0</v>
      </c>
      <c r="I1035" s="576">
        <v>16.989999999999998</v>
      </c>
      <c r="J1035" s="577">
        <v>956.01</v>
      </c>
      <c r="K1035" s="578">
        <v>0.98253854059609502</v>
      </c>
      <c r="L1035" s="590"/>
      <c r="M1035" s="591"/>
      <c r="N1035" s="567"/>
    </row>
    <row r="1036" spans="2:14">
      <c r="B1036" s="127" t="str">
        <f t="shared" si="36"/>
        <v/>
      </c>
      <c r="C1036" s="127" t="str">
        <f t="shared" si="37"/>
        <v/>
      </c>
      <c r="F1036" s="398"/>
      <c r="G1036" s="398"/>
      <c r="H1036" s="398"/>
      <c r="I1036" s="398"/>
      <c r="J1036" s="398"/>
      <c r="K1036" s="398"/>
      <c r="L1036"/>
      <c r="N1036" s="567"/>
    </row>
    <row r="1037" spans="2:14">
      <c r="B1037" s="127" t="str">
        <f t="shared" si="36"/>
        <v>Department</v>
      </c>
      <c r="C1037" s="127" t="str">
        <f t="shared" si="37"/>
        <v xml:space="preserve"> 62 -</v>
      </c>
      <c r="D1037" s="569" t="s">
        <v>1167</v>
      </c>
      <c r="E1037" s="569"/>
      <c r="F1037" s="576">
        <v>973</v>
      </c>
      <c r="G1037" s="576">
        <v>973</v>
      </c>
      <c r="H1037" s="577">
        <v>0</v>
      </c>
      <c r="I1037" s="576">
        <v>659.99</v>
      </c>
      <c r="J1037" s="577">
        <v>313.01</v>
      </c>
      <c r="K1037" s="578">
        <v>0.32169578622815997</v>
      </c>
      <c r="L1037" s="590"/>
      <c r="M1037" s="591"/>
      <c r="N1037" s="567"/>
    </row>
    <row r="1038" spans="2:14">
      <c r="B1038" s="127" t="str">
        <f t="shared" si="36"/>
        <v/>
      </c>
      <c r="C1038" s="127" t="str">
        <f t="shared" si="37"/>
        <v/>
      </c>
      <c r="F1038" s="398"/>
      <c r="G1038" s="398"/>
      <c r="H1038" s="398"/>
      <c r="I1038" s="398"/>
      <c r="J1038" s="398"/>
      <c r="K1038" s="398"/>
      <c r="L1038"/>
      <c r="N1038" s="567"/>
    </row>
    <row r="1039" spans="2:14">
      <c r="B1039" s="127" t="str">
        <f t="shared" si="36"/>
        <v xml:space="preserve">Fund: 112 </v>
      </c>
      <c r="C1039" s="127" t="str">
        <f t="shared" si="37"/>
        <v xml:space="preserve"> RECR</v>
      </c>
      <c r="D1039" s="569" t="s">
        <v>1905</v>
      </c>
      <c r="E1039" s="569"/>
      <c r="F1039" s="576">
        <v>973</v>
      </c>
      <c r="G1039" s="576">
        <v>973</v>
      </c>
      <c r="H1039" s="577">
        <v>0</v>
      </c>
      <c r="I1039" s="576">
        <v>659.99</v>
      </c>
      <c r="J1039" s="577">
        <v>313.01</v>
      </c>
      <c r="K1039" s="578">
        <v>0.32169578622815997</v>
      </c>
      <c r="L1039" s="590"/>
      <c r="M1039" s="591"/>
      <c r="N1039" s="567"/>
    </row>
    <row r="1040" spans="2:14">
      <c r="B1040" s="127" t="str">
        <f t="shared" si="36"/>
        <v/>
      </c>
      <c r="C1040" s="127" t="str">
        <f t="shared" si="37"/>
        <v/>
      </c>
      <c r="L1040"/>
      <c r="N1040" s="567"/>
    </row>
    <row r="1041" spans="2:14">
      <c r="B1041" s="127" t="str">
        <f t="shared" si="36"/>
        <v xml:space="preserve">Fund: 118 </v>
      </c>
      <c r="C1041" s="127" t="str">
        <f t="shared" si="37"/>
        <v xml:space="preserve"> CRIM</v>
      </c>
      <c r="D1041" s="569" t="s">
        <v>1106</v>
      </c>
      <c r="E1041" s="569"/>
      <c r="L1041"/>
      <c r="N1041" s="567"/>
    </row>
    <row r="1042" spans="2:14">
      <c r="B1042" s="127" t="str">
        <f t="shared" si="36"/>
        <v/>
      </c>
      <c r="C1042" s="127" t="str">
        <f t="shared" si="37"/>
        <v/>
      </c>
      <c r="E1042" s="569"/>
      <c r="L1042"/>
      <c r="N1042" s="567"/>
    </row>
    <row r="1043" spans="2:14">
      <c r="B1043" s="127" t="str">
        <f t="shared" si="36"/>
        <v/>
      </c>
      <c r="C1043" s="127" t="str">
        <f t="shared" si="37"/>
        <v/>
      </c>
      <c r="E1043" s="569"/>
      <c r="L1043"/>
      <c r="N1043" s="567"/>
    </row>
    <row r="1044" spans="2:14">
      <c r="B1044" s="127" t="str">
        <f t="shared" si="36"/>
        <v/>
      </c>
      <c r="C1044" s="127" t="str">
        <f t="shared" si="37"/>
        <v/>
      </c>
      <c r="E1044" s="396"/>
      <c r="F1044" s="573">
        <v>117625</v>
      </c>
      <c r="G1044" s="573">
        <v>117625</v>
      </c>
      <c r="H1044" s="574">
        <v>9590.48</v>
      </c>
      <c r="I1044" s="573">
        <v>119257.06</v>
      </c>
      <c r="J1044" s="574">
        <v>-1632.06</v>
      </c>
      <c r="K1044" s="575">
        <v>-1.38751115834219E-2</v>
      </c>
      <c r="L1044" s="588"/>
      <c r="M1044" s="589"/>
      <c r="N1044" s="567"/>
    </row>
    <row r="1045" spans="2:14">
      <c r="B1045" s="127" t="str">
        <f t="shared" si="36"/>
        <v xml:space="preserve">Division: </v>
      </c>
      <c r="C1045" s="127" t="str">
        <f t="shared" si="37"/>
        <v xml:space="preserve">11 - </v>
      </c>
      <c r="D1045" s="569" t="s">
        <v>1168</v>
      </c>
      <c r="E1045" s="569"/>
      <c r="F1045" s="576">
        <v>117625</v>
      </c>
      <c r="G1045" s="576">
        <v>117625</v>
      </c>
      <c r="H1045" s="577">
        <v>9590.48</v>
      </c>
      <c r="I1045" s="576">
        <v>119257.06</v>
      </c>
      <c r="J1045" s="577">
        <v>-1632.06</v>
      </c>
      <c r="K1045" s="578">
        <v>-1.38751115834219E-2</v>
      </c>
      <c r="L1045" s="590"/>
      <c r="M1045" s="591"/>
      <c r="N1045" s="567"/>
    </row>
    <row r="1046" spans="2:14">
      <c r="B1046" s="127" t="str">
        <f t="shared" si="36"/>
        <v/>
      </c>
      <c r="C1046" s="127" t="str">
        <f t="shared" si="37"/>
        <v/>
      </c>
      <c r="F1046" s="398"/>
      <c r="G1046" s="398"/>
      <c r="H1046" s="398"/>
      <c r="I1046" s="398"/>
      <c r="J1046" s="398"/>
      <c r="K1046" s="398"/>
      <c r="L1046"/>
      <c r="N1046" s="567"/>
    </row>
    <row r="1047" spans="2:14">
      <c r="B1047" s="127" t="str">
        <f t="shared" si="36"/>
        <v>Department</v>
      </c>
      <c r="C1047" s="127" t="str">
        <f t="shared" si="37"/>
        <v xml:space="preserve"> 31 -</v>
      </c>
      <c r="D1047" s="569" t="s">
        <v>1169</v>
      </c>
      <c r="E1047" s="569"/>
      <c r="F1047" s="576">
        <v>117625</v>
      </c>
      <c r="G1047" s="576">
        <v>117625</v>
      </c>
      <c r="H1047" s="577">
        <v>9590.48</v>
      </c>
      <c r="I1047" s="576">
        <v>119257.06</v>
      </c>
      <c r="J1047" s="577">
        <v>-1632.06</v>
      </c>
      <c r="K1047" s="578">
        <v>-1.38751115834219E-2</v>
      </c>
      <c r="L1047" s="590"/>
      <c r="M1047" s="591"/>
      <c r="N1047" s="567"/>
    </row>
    <row r="1048" spans="2:14">
      <c r="B1048" s="127" t="str">
        <f t="shared" si="36"/>
        <v/>
      </c>
      <c r="C1048" s="127" t="str">
        <f t="shared" si="37"/>
        <v/>
      </c>
      <c r="F1048" s="398"/>
      <c r="G1048" s="398"/>
      <c r="H1048" s="398"/>
      <c r="I1048" s="398"/>
      <c r="J1048" s="398"/>
      <c r="K1048" s="398"/>
      <c r="L1048"/>
      <c r="N1048" s="567"/>
    </row>
    <row r="1049" spans="2:14">
      <c r="B1049" s="127" t="str">
        <f t="shared" si="36"/>
        <v xml:space="preserve">Fund: 118 </v>
      </c>
      <c r="C1049" s="127" t="str">
        <f t="shared" si="37"/>
        <v xml:space="preserve"> CRIM</v>
      </c>
      <c r="D1049" s="569" t="s">
        <v>1906</v>
      </c>
      <c r="E1049" s="569"/>
      <c r="F1049" s="576">
        <v>117625</v>
      </c>
      <c r="G1049" s="576">
        <v>117625</v>
      </c>
      <c r="H1049" s="577">
        <v>9590.48</v>
      </c>
      <c r="I1049" s="576">
        <v>119257.06</v>
      </c>
      <c r="J1049" s="577">
        <v>-1632.06</v>
      </c>
      <c r="K1049" s="578">
        <v>-1.38751115834219E-2</v>
      </c>
      <c r="L1049" s="590"/>
      <c r="M1049" s="591"/>
      <c r="N1049" s="567"/>
    </row>
    <row r="1050" spans="2:14">
      <c r="B1050" s="127" t="str">
        <f t="shared" si="36"/>
        <v/>
      </c>
      <c r="C1050" s="127" t="str">
        <f t="shared" si="37"/>
        <v/>
      </c>
      <c r="L1050"/>
      <c r="N1050" s="567"/>
    </row>
    <row r="1051" spans="2:14">
      <c r="B1051" s="127" t="str">
        <f t="shared" si="36"/>
        <v xml:space="preserve">Fund: 119 </v>
      </c>
      <c r="C1051" s="127" t="str">
        <f t="shared" si="37"/>
        <v xml:space="preserve"> INFO</v>
      </c>
      <c r="D1051" s="569" t="s">
        <v>1107</v>
      </c>
      <c r="E1051" s="569"/>
      <c r="L1051"/>
      <c r="N1051" s="567"/>
    </row>
    <row r="1052" spans="2:14">
      <c r="B1052" s="127" t="str">
        <f t="shared" si="36"/>
        <v/>
      </c>
      <c r="C1052" s="127" t="str">
        <f t="shared" si="37"/>
        <v/>
      </c>
      <c r="E1052" s="569"/>
      <c r="L1052"/>
      <c r="N1052" s="567"/>
    </row>
    <row r="1053" spans="2:14">
      <c r="B1053" s="127" t="str">
        <f t="shared" si="36"/>
        <v/>
      </c>
      <c r="C1053" s="127" t="str">
        <f t="shared" si="37"/>
        <v/>
      </c>
      <c r="E1053" s="569"/>
      <c r="L1053"/>
      <c r="N1053" s="567"/>
    </row>
    <row r="1054" spans="2:14">
      <c r="B1054" s="127" t="str">
        <f t="shared" si="36"/>
        <v/>
      </c>
      <c r="C1054" s="127" t="str">
        <f t="shared" si="37"/>
        <v/>
      </c>
      <c r="E1054" s="396"/>
      <c r="F1054" s="573">
        <v>736935</v>
      </c>
      <c r="G1054" s="573">
        <v>736935</v>
      </c>
      <c r="H1054" s="574">
        <v>53688.35</v>
      </c>
      <c r="I1054" s="573">
        <v>661949.02</v>
      </c>
      <c r="J1054" s="574">
        <v>74985.98</v>
      </c>
      <c r="K1054" s="575">
        <v>0.101753858888504</v>
      </c>
      <c r="L1054" s="588"/>
      <c r="M1054" s="589"/>
      <c r="N1054" s="567"/>
    </row>
    <row r="1055" spans="2:14">
      <c r="B1055" s="127" t="str">
        <f t="shared" si="36"/>
        <v xml:space="preserve">Division: </v>
      </c>
      <c r="C1055" s="127" t="str">
        <f t="shared" si="37"/>
        <v xml:space="preserve">81 - </v>
      </c>
      <c r="D1055" s="569" t="s">
        <v>1170</v>
      </c>
      <c r="E1055" s="569"/>
      <c r="F1055" s="576">
        <v>736935</v>
      </c>
      <c r="G1055" s="576">
        <v>736935</v>
      </c>
      <c r="H1055" s="577">
        <v>53688.35</v>
      </c>
      <c r="I1055" s="576">
        <v>661949.02</v>
      </c>
      <c r="J1055" s="577">
        <v>74985.98</v>
      </c>
      <c r="K1055" s="578">
        <v>0.101753858888504</v>
      </c>
      <c r="L1055" s="590"/>
      <c r="M1055" s="591"/>
      <c r="N1055" s="567"/>
    </row>
    <row r="1056" spans="2:14">
      <c r="B1056" s="127" t="str">
        <f t="shared" si="36"/>
        <v/>
      </c>
      <c r="C1056" s="127" t="str">
        <f t="shared" si="37"/>
        <v/>
      </c>
      <c r="L1056"/>
      <c r="N1056" s="567"/>
    </row>
    <row r="1057" spans="2:14">
      <c r="B1057" s="127" t="str">
        <f t="shared" si="36"/>
        <v/>
      </c>
      <c r="C1057" s="127" t="str">
        <f t="shared" si="37"/>
        <v/>
      </c>
      <c r="E1057" s="569"/>
      <c r="L1057"/>
      <c r="N1057" s="567"/>
    </row>
    <row r="1058" spans="2:14">
      <c r="B1058" s="127" t="str">
        <f t="shared" si="36"/>
        <v/>
      </c>
      <c r="C1058" s="127" t="str">
        <f t="shared" si="37"/>
        <v/>
      </c>
      <c r="E1058" s="396"/>
      <c r="F1058" s="573">
        <v>211354</v>
      </c>
      <c r="G1058" s="573">
        <v>211354</v>
      </c>
      <c r="H1058" s="574">
        <v>16553.419999999998</v>
      </c>
      <c r="I1058" s="573">
        <v>205895.81</v>
      </c>
      <c r="J1058" s="574">
        <v>5458.19</v>
      </c>
      <c r="K1058" s="575">
        <v>2.5824872015670401E-2</v>
      </c>
      <c r="L1058" s="588"/>
      <c r="M1058" s="589"/>
      <c r="N1058" s="567"/>
    </row>
    <row r="1059" spans="2:14">
      <c r="B1059" s="127" t="str">
        <f t="shared" si="36"/>
        <v xml:space="preserve">Division: </v>
      </c>
      <c r="C1059" s="127" t="str">
        <f t="shared" si="37"/>
        <v xml:space="preserve">83 - </v>
      </c>
      <c r="D1059" s="569" t="s">
        <v>1171</v>
      </c>
      <c r="E1059" s="569"/>
      <c r="F1059" s="576">
        <v>211354</v>
      </c>
      <c r="G1059" s="576">
        <v>211354</v>
      </c>
      <c r="H1059" s="577">
        <v>16553.419999999998</v>
      </c>
      <c r="I1059" s="576">
        <v>205895.81</v>
      </c>
      <c r="J1059" s="577">
        <v>5458.19</v>
      </c>
      <c r="K1059" s="578">
        <v>2.5824872015670401E-2</v>
      </c>
      <c r="L1059" s="590"/>
      <c r="M1059" s="591"/>
      <c r="N1059" s="567"/>
    </row>
    <row r="1060" spans="2:14">
      <c r="B1060" s="127" t="str">
        <f t="shared" si="36"/>
        <v/>
      </c>
      <c r="C1060" s="127" t="str">
        <f t="shared" si="37"/>
        <v/>
      </c>
      <c r="F1060" s="398"/>
      <c r="G1060" s="398"/>
      <c r="H1060" s="398"/>
      <c r="I1060" s="398"/>
      <c r="J1060" s="398"/>
      <c r="K1060" s="398"/>
      <c r="L1060"/>
      <c r="N1060" s="567"/>
    </row>
    <row r="1061" spans="2:14">
      <c r="B1061" s="127" t="str">
        <f t="shared" si="36"/>
        <v>Department</v>
      </c>
      <c r="C1061" s="127" t="str">
        <f t="shared" si="37"/>
        <v xml:space="preserve"> 18 -</v>
      </c>
      <c r="D1061" s="569" t="s">
        <v>1172</v>
      </c>
      <c r="E1061" s="569"/>
      <c r="F1061" s="576">
        <v>948289</v>
      </c>
      <c r="G1061" s="576">
        <v>948289</v>
      </c>
      <c r="H1061" s="577">
        <v>70241.77</v>
      </c>
      <c r="I1061" s="576">
        <v>867844.83</v>
      </c>
      <c r="J1061" s="577">
        <v>80444.17</v>
      </c>
      <c r="K1061" s="578">
        <v>8.4830858525196395E-2</v>
      </c>
      <c r="L1061" s="590"/>
      <c r="M1061" s="591"/>
      <c r="N1061" s="567"/>
    </row>
    <row r="1062" spans="2:14">
      <c r="B1062" s="127" t="str">
        <f t="shared" si="36"/>
        <v/>
      </c>
      <c r="C1062" s="127" t="str">
        <f t="shared" si="37"/>
        <v/>
      </c>
      <c r="F1062" s="398"/>
      <c r="G1062" s="398"/>
      <c r="H1062" s="398"/>
      <c r="I1062" s="398"/>
      <c r="J1062" s="398"/>
      <c r="K1062" s="398"/>
      <c r="L1062"/>
      <c r="N1062" s="567"/>
    </row>
    <row r="1063" spans="2:14">
      <c r="B1063" s="127" t="str">
        <f t="shared" si="36"/>
        <v xml:space="preserve">Fund: 119 </v>
      </c>
      <c r="C1063" s="127" t="str">
        <f t="shared" si="37"/>
        <v xml:space="preserve"> INFO</v>
      </c>
      <c r="D1063" s="569" t="s">
        <v>1907</v>
      </c>
      <c r="E1063" s="569"/>
      <c r="F1063" s="576">
        <v>948289</v>
      </c>
      <c r="G1063" s="576">
        <v>948289</v>
      </c>
      <c r="H1063" s="577">
        <v>70241.77</v>
      </c>
      <c r="I1063" s="576">
        <v>867844.83</v>
      </c>
      <c r="J1063" s="577">
        <v>80444.17</v>
      </c>
      <c r="K1063" s="578">
        <v>8.4830858525196395E-2</v>
      </c>
      <c r="L1063" s="590"/>
      <c r="M1063" s="591"/>
      <c r="N1063" s="567"/>
    </row>
    <row r="1064" spans="2:14">
      <c r="B1064" s="127" t="str">
        <f t="shared" si="36"/>
        <v/>
      </c>
      <c r="C1064" s="127" t="str">
        <f t="shared" si="37"/>
        <v/>
      </c>
      <c r="L1064"/>
      <c r="N1064" s="567"/>
    </row>
    <row r="1065" spans="2:14">
      <c r="B1065" s="127" t="str">
        <f t="shared" si="36"/>
        <v xml:space="preserve">Fund: 125 </v>
      </c>
      <c r="C1065" s="127" t="str">
        <f t="shared" si="37"/>
        <v xml:space="preserve"> RECR</v>
      </c>
      <c r="D1065" s="569" t="s">
        <v>1108</v>
      </c>
      <c r="E1065" s="569"/>
      <c r="L1065"/>
      <c r="N1065" s="567"/>
    </row>
    <row r="1066" spans="2:14">
      <c r="B1066" s="127" t="str">
        <f t="shared" si="36"/>
        <v/>
      </c>
      <c r="C1066" s="127" t="str">
        <f t="shared" si="37"/>
        <v/>
      </c>
      <c r="E1066" s="569"/>
      <c r="L1066"/>
      <c r="N1066" s="567"/>
    </row>
    <row r="1067" spans="2:14">
      <c r="B1067" s="127" t="str">
        <f t="shared" si="36"/>
        <v/>
      </c>
      <c r="C1067" s="127" t="str">
        <f t="shared" si="37"/>
        <v/>
      </c>
      <c r="E1067" s="569"/>
      <c r="L1067"/>
      <c r="N1067" s="567"/>
    </row>
    <row r="1068" spans="2:14">
      <c r="B1068" s="127" t="str">
        <f t="shared" si="36"/>
        <v/>
      </c>
      <c r="C1068" s="127" t="str">
        <f t="shared" si="37"/>
        <v/>
      </c>
      <c r="E1068" s="396"/>
      <c r="F1068" s="573">
        <v>351838</v>
      </c>
      <c r="G1068" s="573">
        <v>351838</v>
      </c>
      <c r="H1068" s="574">
        <v>22656.04</v>
      </c>
      <c r="I1068" s="573">
        <v>319161.06</v>
      </c>
      <c r="J1068" s="574">
        <v>32676.94</v>
      </c>
      <c r="K1068" s="575">
        <v>9.2874959498405504E-2</v>
      </c>
      <c r="L1068" s="588"/>
      <c r="M1068" s="589"/>
      <c r="N1068" s="567"/>
    </row>
    <row r="1069" spans="2:14">
      <c r="B1069" s="127" t="str">
        <f t="shared" si="36"/>
        <v xml:space="preserve">Division: </v>
      </c>
      <c r="C1069" s="127" t="str">
        <f t="shared" si="37"/>
        <v xml:space="preserve">51 - </v>
      </c>
      <c r="D1069" s="569" t="s">
        <v>1173</v>
      </c>
      <c r="E1069" s="569"/>
      <c r="F1069" s="576">
        <v>351838</v>
      </c>
      <c r="G1069" s="576">
        <v>351838</v>
      </c>
      <c r="H1069" s="577">
        <v>22656.04</v>
      </c>
      <c r="I1069" s="576">
        <v>319161.06</v>
      </c>
      <c r="J1069" s="577">
        <v>32676.94</v>
      </c>
      <c r="K1069" s="578">
        <v>9.2874959498405504E-2</v>
      </c>
      <c r="L1069" s="590"/>
      <c r="M1069" s="591"/>
      <c r="N1069" s="567"/>
    </row>
    <row r="1070" spans="2:14">
      <c r="B1070" s="127" t="str">
        <f t="shared" si="36"/>
        <v/>
      </c>
      <c r="C1070" s="127" t="str">
        <f t="shared" si="37"/>
        <v/>
      </c>
      <c r="L1070"/>
      <c r="N1070" s="567"/>
    </row>
    <row r="1071" spans="2:14">
      <c r="B1071" s="127" t="str">
        <f t="shared" si="36"/>
        <v/>
      </c>
      <c r="C1071" s="127" t="str">
        <f t="shared" si="37"/>
        <v/>
      </c>
      <c r="E1071" s="569"/>
      <c r="L1071"/>
      <c r="N1071" s="567"/>
    </row>
    <row r="1072" spans="2:14">
      <c r="B1072" s="127" t="str">
        <f t="shared" si="36"/>
        <v/>
      </c>
      <c r="C1072" s="127" t="str">
        <f t="shared" si="37"/>
        <v/>
      </c>
      <c r="E1072" s="396"/>
      <c r="F1072" s="573">
        <v>188446</v>
      </c>
      <c r="G1072" s="573">
        <v>188446</v>
      </c>
      <c r="H1072" s="574">
        <v>15475.61</v>
      </c>
      <c r="I1072" s="573">
        <v>176949.47</v>
      </c>
      <c r="J1072" s="574">
        <v>11496.53</v>
      </c>
      <c r="K1072" s="575">
        <v>6.1007025885399503E-2</v>
      </c>
      <c r="L1072" s="588"/>
      <c r="M1072" s="589"/>
      <c r="N1072" s="567"/>
    </row>
    <row r="1073" spans="2:14">
      <c r="B1073" s="127" t="str">
        <f t="shared" si="36"/>
        <v xml:space="preserve">Division: </v>
      </c>
      <c r="C1073" s="127" t="str">
        <f t="shared" si="37"/>
        <v xml:space="preserve">52 - </v>
      </c>
      <c r="D1073" s="569" t="s">
        <v>1174</v>
      </c>
      <c r="E1073" s="569"/>
      <c r="F1073" s="576">
        <v>188446</v>
      </c>
      <c r="G1073" s="576">
        <v>188446</v>
      </c>
      <c r="H1073" s="577">
        <v>15475.61</v>
      </c>
      <c r="I1073" s="576">
        <v>176949.47</v>
      </c>
      <c r="J1073" s="577">
        <v>11496.53</v>
      </c>
      <c r="K1073" s="578">
        <v>6.1007025885399503E-2</v>
      </c>
      <c r="L1073" s="590"/>
      <c r="M1073" s="591"/>
      <c r="N1073" s="567"/>
    </row>
    <row r="1074" spans="2:14">
      <c r="B1074" s="127" t="str">
        <f t="shared" si="36"/>
        <v/>
      </c>
      <c r="C1074" s="127" t="str">
        <f t="shared" si="37"/>
        <v/>
      </c>
      <c r="L1074"/>
      <c r="N1074" s="567"/>
    </row>
    <row r="1075" spans="2:14">
      <c r="B1075" s="127" t="str">
        <f t="shared" si="36"/>
        <v/>
      </c>
      <c r="C1075" s="127" t="str">
        <f t="shared" si="37"/>
        <v/>
      </c>
      <c r="L1075"/>
      <c r="N1075" s="567"/>
    </row>
    <row r="1076" spans="2:14">
      <c r="B1076" s="127" t="str">
        <f t="shared" si="36"/>
        <v/>
      </c>
      <c r="C1076" s="127" t="str">
        <f t="shared" si="37"/>
        <v/>
      </c>
      <c r="D1076" s="579"/>
      <c r="E1076" s="579"/>
      <c r="F1076" s="579"/>
      <c r="G1076" s="579"/>
      <c r="H1076" s="579"/>
      <c r="I1076" s="579"/>
      <c r="J1076" s="579"/>
      <c r="K1076" s="579"/>
      <c r="L1076" s="592"/>
      <c r="M1076" s="592"/>
      <c r="N1076" s="567"/>
    </row>
    <row r="1077" spans="2:14">
      <c r="B1077" s="127" t="str">
        <f t="shared" si="36"/>
        <v xml:space="preserve">9/25/2024 </v>
      </c>
      <c r="C1077" s="127" t="str">
        <f t="shared" si="37"/>
        <v>:13:1</v>
      </c>
      <c r="D1077" s="454" t="s">
        <v>2991</v>
      </c>
      <c r="E1077" s="454"/>
      <c r="F1077" s="399"/>
      <c r="G1077" s="399"/>
      <c r="H1077" s="399"/>
      <c r="I1077" s="399"/>
      <c r="J1077" s="454"/>
      <c r="K1077" s="454"/>
      <c r="L1077" s="593"/>
      <c r="N1077" s="567"/>
    </row>
    <row r="1078" spans="2:14">
      <c r="B1078" s="127" t="str">
        <f t="shared" si="36"/>
        <v>Budget Rep</v>
      </c>
      <c r="C1078" s="127" t="str">
        <f t="shared" si="37"/>
        <v>rt</v>
      </c>
      <c r="D1078" s="455" t="s">
        <v>1122</v>
      </c>
      <c r="E1078" s="455"/>
      <c r="F1078" s="455"/>
      <c r="H1078" s="455"/>
      <c r="I1078" s="455"/>
      <c r="J1078" s="455"/>
      <c r="K1078" s="455"/>
      <c r="L1078" s="594"/>
      <c r="M1078" s="594"/>
      <c r="N1078" s="567"/>
    </row>
    <row r="1079" spans="2:14">
      <c r="B1079" s="127" t="str">
        <f t="shared" si="36"/>
        <v/>
      </c>
      <c r="C1079" s="127" t="str">
        <f t="shared" si="37"/>
        <v/>
      </c>
      <c r="L1079"/>
      <c r="N1079" s="567"/>
    </row>
    <row r="1080" spans="2:14" ht="31.8">
      <c r="B1080" s="127" t="str">
        <f t="shared" si="36"/>
        <v/>
      </c>
      <c r="C1080" s="127" t="str">
        <f t="shared" si="37"/>
        <v/>
      </c>
      <c r="J1080" s="413" t="s">
        <v>1098</v>
      </c>
      <c r="L1080"/>
      <c r="N1080" s="567"/>
    </row>
    <row r="1081" spans="2:14" ht="21.6">
      <c r="B1081" s="127" t="str">
        <f t="shared" si="36"/>
        <v/>
      </c>
      <c r="C1081" s="127" t="str">
        <f t="shared" si="37"/>
        <v/>
      </c>
      <c r="F1081" s="413" t="s">
        <v>1099</v>
      </c>
      <c r="G1081" s="413" t="s">
        <v>1100</v>
      </c>
      <c r="H1081" s="413" t="s">
        <v>1101</v>
      </c>
      <c r="I1081" s="413" t="s">
        <v>1102</v>
      </c>
      <c r="J1081" s="413"/>
      <c r="K1081" s="413" t="s">
        <v>1103</v>
      </c>
      <c r="L1081" s="540"/>
      <c r="M1081" s="540"/>
      <c r="N1081" s="567"/>
    </row>
    <row r="1082" spans="2:14">
      <c r="B1082" s="127" t="str">
        <f t="shared" si="36"/>
        <v/>
      </c>
      <c r="C1082" s="127" t="str">
        <f t="shared" si="37"/>
        <v/>
      </c>
      <c r="E1082" s="583"/>
      <c r="F1082" s="413"/>
      <c r="G1082" s="413"/>
      <c r="H1082" s="413"/>
      <c r="I1082" s="413"/>
      <c r="J1082" s="413"/>
      <c r="K1082" s="413"/>
      <c r="L1082" s="540"/>
      <c r="M1082" s="540"/>
      <c r="N1082" s="567"/>
    </row>
    <row r="1083" spans="2:14">
      <c r="B1083" s="127" t="str">
        <f t="shared" si="36"/>
        <v/>
      </c>
      <c r="C1083" s="127" t="str">
        <f t="shared" si="37"/>
        <v/>
      </c>
      <c r="L1083"/>
      <c r="N1083" s="567"/>
    </row>
    <row r="1084" spans="2:14">
      <c r="B1084" s="127" t="str">
        <f t="shared" si="36"/>
        <v/>
      </c>
      <c r="C1084" s="127" t="str">
        <f t="shared" si="37"/>
        <v/>
      </c>
      <c r="E1084" s="569"/>
      <c r="L1084"/>
      <c r="N1084" s="567"/>
    </row>
    <row r="1085" spans="2:14">
      <c r="B1085" s="127" t="str">
        <f t="shared" si="36"/>
        <v/>
      </c>
      <c r="C1085" s="127" t="str">
        <f t="shared" si="37"/>
        <v/>
      </c>
      <c r="E1085" s="396"/>
      <c r="F1085" s="573">
        <v>1419</v>
      </c>
      <c r="G1085" s="573">
        <v>1419</v>
      </c>
      <c r="H1085" s="574">
        <v>554.25</v>
      </c>
      <c r="I1085" s="573">
        <v>5246.72</v>
      </c>
      <c r="J1085" s="574">
        <v>-3827.72</v>
      </c>
      <c r="K1085" s="575">
        <v>-2.69747709654686</v>
      </c>
      <c r="L1085" s="588"/>
      <c r="M1085" s="589"/>
      <c r="N1085" s="567"/>
    </row>
    <row r="1086" spans="2:14">
      <c r="B1086" s="127" t="str">
        <f t="shared" si="36"/>
        <v xml:space="preserve">Division: </v>
      </c>
      <c r="C1086" s="127" t="str">
        <f t="shared" si="37"/>
        <v xml:space="preserve">53 - </v>
      </c>
      <c r="D1086" s="569" t="s">
        <v>1175</v>
      </c>
      <c r="E1086" s="569"/>
      <c r="F1086" s="576">
        <v>1419</v>
      </c>
      <c r="G1086" s="576">
        <v>1419</v>
      </c>
      <c r="H1086" s="577">
        <v>554.25</v>
      </c>
      <c r="I1086" s="576">
        <v>5246.72</v>
      </c>
      <c r="J1086" s="577">
        <v>-3827.72</v>
      </c>
      <c r="K1086" s="578">
        <v>-2.69747709654686</v>
      </c>
      <c r="L1086" s="590"/>
      <c r="M1086" s="591"/>
      <c r="N1086" s="567"/>
    </row>
    <row r="1087" spans="2:14">
      <c r="B1087" s="127" t="str">
        <f t="shared" si="36"/>
        <v/>
      </c>
      <c r="C1087" s="127" t="str">
        <f t="shared" si="37"/>
        <v/>
      </c>
      <c r="L1087"/>
      <c r="N1087" s="567"/>
    </row>
    <row r="1088" spans="2:14">
      <c r="B1088" s="127" t="str">
        <f t="shared" si="36"/>
        <v/>
      </c>
      <c r="C1088" s="127" t="str">
        <f t="shared" si="37"/>
        <v/>
      </c>
      <c r="E1088" s="569"/>
      <c r="L1088"/>
      <c r="N1088" s="567"/>
    </row>
    <row r="1089" spans="2:14">
      <c r="B1089" s="127" t="str">
        <f t="shared" si="36"/>
        <v/>
      </c>
      <c r="C1089" s="127" t="str">
        <f t="shared" si="37"/>
        <v/>
      </c>
      <c r="E1089" s="396"/>
      <c r="F1089" s="573">
        <v>191383</v>
      </c>
      <c r="G1089" s="573">
        <v>191383</v>
      </c>
      <c r="H1089" s="574">
        <v>13830.91</v>
      </c>
      <c r="I1089" s="573">
        <v>186003.67</v>
      </c>
      <c r="J1089" s="574">
        <v>5379.33</v>
      </c>
      <c r="K1089" s="575">
        <v>2.8107668915211902E-2</v>
      </c>
      <c r="L1089" s="588"/>
      <c r="M1089" s="589"/>
      <c r="N1089" s="567"/>
    </row>
    <row r="1090" spans="2:14">
      <c r="B1090" s="127" t="str">
        <f t="shared" si="36"/>
        <v xml:space="preserve">Division: </v>
      </c>
      <c r="C1090" s="127" t="str">
        <f t="shared" si="37"/>
        <v xml:space="preserve">54 - </v>
      </c>
      <c r="D1090" s="569" t="s">
        <v>1176</v>
      </c>
      <c r="E1090" s="569"/>
      <c r="F1090" s="576">
        <v>191383</v>
      </c>
      <c r="G1090" s="576">
        <v>191383</v>
      </c>
      <c r="H1090" s="577">
        <v>13830.91</v>
      </c>
      <c r="I1090" s="576">
        <v>186003.67</v>
      </c>
      <c r="J1090" s="577">
        <v>5379.33</v>
      </c>
      <c r="K1090" s="578">
        <v>2.8107668915211902E-2</v>
      </c>
      <c r="L1090" s="590"/>
      <c r="M1090" s="591"/>
      <c r="N1090" s="567"/>
    </row>
    <row r="1091" spans="2:14">
      <c r="B1091" s="127" t="str">
        <f t="shared" si="36"/>
        <v/>
      </c>
      <c r="C1091" s="127" t="str">
        <f t="shared" si="37"/>
        <v/>
      </c>
      <c r="L1091"/>
      <c r="N1091" s="567"/>
    </row>
    <row r="1092" spans="2:14">
      <c r="B1092" s="127" t="str">
        <f t="shared" si="36"/>
        <v/>
      </c>
      <c r="C1092" s="127" t="str">
        <f t="shared" si="37"/>
        <v/>
      </c>
      <c r="E1092" s="569"/>
      <c r="L1092"/>
      <c r="N1092" s="567"/>
    </row>
    <row r="1093" spans="2:14">
      <c r="B1093" s="127" t="str">
        <f t="shared" si="36"/>
        <v/>
      </c>
      <c r="C1093" s="127" t="str">
        <f t="shared" si="37"/>
        <v/>
      </c>
      <c r="E1093" s="396"/>
      <c r="F1093" s="573">
        <v>96695</v>
      </c>
      <c r="G1093" s="573">
        <v>96695</v>
      </c>
      <c r="H1093" s="574">
        <v>6777.99</v>
      </c>
      <c r="I1093" s="573">
        <v>85096.36</v>
      </c>
      <c r="J1093" s="574">
        <v>11598.64</v>
      </c>
      <c r="K1093" s="575">
        <v>0.11995077304927899</v>
      </c>
      <c r="L1093" s="588"/>
      <c r="M1093" s="589"/>
      <c r="N1093" s="567"/>
    </row>
    <row r="1094" spans="2:14">
      <c r="B1094" s="127" t="str">
        <f t="shared" ref="B1094:B1125" si="38">LEFT(D1094,10)</f>
        <v xml:space="preserve">Division: </v>
      </c>
      <c r="C1094" s="127" t="str">
        <f t="shared" ref="C1094:C1125" si="39">MID(D1094,12,5)</f>
        <v xml:space="preserve">55 - </v>
      </c>
      <c r="D1094" s="569" t="s">
        <v>1177</v>
      </c>
      <c r="E1094" s="569"/>
      <c r="F1094" s="576">
        <v>96695</v>
      </c>
      <c r="G1094" s="576">
        <v>96695</v>
      </c>
      <c r="H1094" s="577">
        <v>6777.99</v>
      </c>
      <c r="I1094" s="576">
        <v>85096.36</v>
      </c>
      <c r="J1094" s="577">
        <v>11598.64</v>
      </c>
      <c r="K1094" s="578">
        <v>0.11995077304927899</v>
      </c>
      <c r="L1094" s="590"/>
      <c r="M1094" s="591"/>
      <c r="N1094" s="567"/>
    </row>
    <row r="1095" spans="2:14">
      <c r="B1095" s="127" t="str">
        <f t="shared" si="38"/>
        <v/>
      </c>
      <c r="C1095" s="127" t="str">
        <f t="shared" si="39"/>
        <v/>
      </c>
      <c r="L1095"/>
      <c r="N1095" s="567"/>
    </row>
    <row r="1096" spans="2:14">
      <c r="B1096" s="127" t="str">
        <f t="shared" si="38"/>
        <v/>
      </c>
      <c r="C1096" s="127" t="str">
        <f t="shared" si="39"/>
        <v/>
      </c>
      <c r="E1096" s="569"/>
      <c r="L1096"/>
      <c r="N1096" s="567"/>
    </row>
    <row r="1097" spans="2:14">
      <c r="B1097" s="127" t="str">
        <f t="shared" si="38"/>
        <v/>
      </c>
      <c r="C1097" s="127" t="str">
        <f t="shared" si="39"/>
        <v/>
      </c>
      <c r="E1097" s="396"/>
      <c r="F1097" s="573">
        <v>98924</v>
      </c>
      <c r="G1097" s="573">
        <v>98924</v>
      </c>
      <c r="H1097" s="574">
        <v>7517.74</v>
      </c>
      <c r="I1097" s="573">
        <v>95398.91</v>
      </c>
      <c r="J1097" s="574">
        <v>3525.09</v>
      </c>
      <c r="K1097" s="575">
        <v>3.5634325340665601E-2</v>
      </c>
      <c r="L1097" s="588"/>
      <c r="M1097" s="589"/>
      <c r="N1097" s="567"/>
    </row>
    <row r="1098" spans="2:14">
      <c r="B1098" s="127" t="str">
        <f t="shared" si="38"/>
        <v xml:space="preserve">Division: </v>
      </c>
      <c r="C1098" s="127" t="str">
        <f t="shared" si="39"/>
        <v xml:space="preserve">56 - </v>
      </c>
      <c r="D1098" s="569" t="s">
        <v>1178</v>
      </c>
      <c r="E1098" s="569"/>
      <c r="F1098" s="576">
        <v>98924</v>
      </c>
      <c r="G1098" s="576">
        <v>98924</v>
      </c>
      <c r="H1098" s="577">
        <v>7517.74</v>
      </c>
      <c r="I1098" s="576">
        <v>95398.91</v>
      </c>
      <c r="J1098" s="577">
        <v>3525.09</v>
      </c>
      <c r="K1098" s="578">
        <v>3.5634325340665601E-2</v>
      </c>
      <c r="L1098" s="590"/>
      <c r="M1098" s="591"/>
      <c r="N1098" s="567"/>
    </row>
    <row r="1099" spans="2:14">
      <c r="B1099" s="127" t="str">
        <f t="shared" si="38"/>
        <v/>
      </c>
      <c r="C1099" s="127" t="str">
        <f t="shared" si="39"/>
        <v/>
      </c>
      <c r="F1099" s="398"/>
      <c r="G1099" s="398"/>
      <c r="H1099" s="398"/>
      <c r="I1099" s="398"/>
      <c r="J1099" s="398"/>
      <c r="K1099" s="398"/>
      <c r="L1099"/>
      <c r="N1099" s="567"/>
    </row>
    <row r="1100" spans="2:14">
      <c r="B1100" s="127" t="str">
        <f t="shared" si="38"/>
        <v>Department</v>
      </c>
      <c r="C1100" s="127" t="str">
        <f t="shared" si="39"/>
        <v xml:space="preserve"> 65 -</v>
      </c>
      <c r="D1100" s="569" t="s">
        <v>1179</v>
      </c>
      <c r="E1100" s="569"/>
      <c r="F1100" s="576">
        <v>928705</v>
      </c>
      <c r="G1100" s="576">
        <v>928705</v>
      </c>
      <c r="H1100" s="577">
        <v>66812.539999999994</v>
      </c>
      <c r="I1100" s="576">
        <v>867856.19</v>
      </c>
      <c r="J1100" s="577">
        <v>60848.81</v>
      </c>
      <c r="K1100" s="578">
        <v>6.5520062883262203E-2</v>
      </c>
      <c r="L1100" s="590"/>
      <c r="M1100" s="591"/>
      <c r="N1100" s="567"/>
    </row>
    <row r="1101" spans="2:14">
      <c r="B1101" s="127" t="str">
        <f t="shared" si="38"/>
        <v/>
      </c>
      <c r="C1101" s="127" t="str">
        <f t="shared" si="39"/>
        <v/>
      </c>
      <c r="F1101" s="398"/>
      <c r="G1101" s="398"/>
      <c r="H1101" s="398"/>
      <c r="I1101" s="398"/>
      <c r="J1101" s="398"/>
      <c r="K1101" s="398"/>
      <c r="L1101"/>
      <c r="N1101" s="567"/>
    </row>
    <row r="1102" spans="2:14">
      <c r="B1102" s="127" t="str">
        <f t="shared" si="38"/>
        <v xml:space="preserve">Fund: 125 </v>
      </c>
      <c r="C1102" s="127" t="str">
        <f t="shared" si="39"/>
        <v xml:space="preserve"> RECR</v>
      </c>
      <c r="D1102" s="569" t="s">
        <v>1909</v>
      </c>
      <c r="E1102" s="569"/>
      <c r="F1102" s="576">
        <v>928705</v>
      </c>
      <c r="G1102" s="576">
        <v>928705</v>
      </c>
      <c r="H1102" s="577">
        <v>66812.539999999994</v>
      </c>
      <c r="I1102" s="576">
        <v>867856.19</v>
      </c>
      <c r="J1102" s="577">
        <v>60848.81</v>
      </c>
      <c r="K1102" s="578">
        <v>6.5520062883262203E-2</v>
      </c>
      <c r="L1102" s="590"/>
      <c r="M1102" s="591"/>
      <c r="N1102" s="567"/>
    </row>
    <row r="1103" spans="2:14">
      <c r="B1103" s="127" t="str">
        <f t="shared" si="38"/>
        <v/>
      </c>
      <c r="C1103" s="127" t="str">
        <f t="shared" si="39"/>
        <v/>
      </c>
      <c r="L1103"/>
      <c r="N1103" s="567"/>
    </row>
    <row r="1104" spans="2:14">
      <c r="B1104" s="127" t="str">
        <f t="shared" si="38"/>
        <v xml:space="preserve">Fund: 200 </v>
      </c>
      <c r="C1104" s="127" t="str">
        <f t="shared" si="39"/>
        <v xml:space="preserve"> WATE</v>
      </c>
      <c r="D1104" s="569" t="s">
        <v>1109</v>
      </c>
      <c r="E1104" s="569"/>
      <c r="L1104"/>
      <c r="N1104" s="567"/>
    </row>
    <row r="1105" spans="2:14">
      <c r="B1105" s="127" t="str">
        <f t="shared" si="38"/>
        <v/>
      </c>
      <c r="C1105" s="127" t="str">
        <f t="shared" si="39"/>
        <v/>
      </c>
      <c r="E1105" s="569"/>
      <c r="L1105"/>
      <c r="N1105" s="567"/>
    </row>
    <row r="1106" spans="2:14">
      <c r="B1106" s="127" t="str">
        <f t="shared" si="38"/>
        <v/>
      </c>
      <c r="C1106" s="127" t="str">
        <f t="shared" si="39"/>
        <v/>
      </c>
      <c r="E1106" s="569"/>
      <c r="L1106"/>
      <c r="N1106" s="567"/>
    </row>
    <row r="1107" spans="2:14">
      <c r="B1107" s="127" t="str">
        <f t="shared" si="38"/>
        <v/>
      </c>
      <c r="C1107" s="127" t="str">
        <f t="shared" si="39"/>
        <v/>
      </c>
      <c r="E1107" s="396"/>
      <c r="F1107" s="573">
        <v>646631</v>
      </c>
      <c r="G1107" s="573">
        <v>646631</v>
      </c>
      <c r="H1107" s="574">
        <v>47235.7</v>
      </c>
      <c r="I1107" s="573">
        <v>569670.43999999994</v>
      </c>
      <c r="J1107" s="574">
        <v>76960.56</v>
      </c>
      <c r="K1107" s="575">
        <v>0.119017739638217</v>
      </c>
      <c r="L1107" s="588"/>
      <c r="M1107" s="589"/>
      <c r="N1107" s="567"/>
    </row>
    <row r="1108" spans="2:14">
      <c r="B1108" s="127" t="str">
        <f t="shared" si="38"/>
        <v xml:space="preserve">Division: </v>
      </c>
      <c r="C1108" s="127" t="str">
        <f t="shared" si="39"/>
        <v xml:space="preserve">01 - </v>
      </c>
      <c r="D1108" s="569" t="s">
        <v>1180</v>
      </c>
      <c r="E1108" s="569"/>
      <c r="F1108" s="576">
        <v>646631</v>
      </c>
      <c r="G1108" s="576">
        <v>646631</v>
      </c>
      <c r="H1108" s="577">
        <v>47235.7</v>
      </c>
      <c r="I1108" s="576">
        <v>569670.43999999994</v>
      </c>
      <c r="J1108" s="577">
        <v>76960.56</v>
      </c>
      <c r="K1108" s="578">
        <v>0.119017739638217</v>
      </c>
      <c r="L1108" s="590"/>
      <c r="M1108" s="591"/>
      <c r="N1108" s="567"/>
    </row>
    <row r="1109" spans="2:14">
      <c r="B1109" s="127" t="str">
        <f t="shared" si="38"/>
        <v/>
      </c>
      <c r="C1109" s="127" t="str">
        <f t="shared" si="39"/>
        <v/>
      </c>
      <c r="F1109" s="398"/>
      <c r="G1109" s="398"/>
      <c r="H1109" s="398"/>
      <c r="I1109" s="398"/>
      <c r="J1109" s="398"/>
      <c r="K1109" s="398"/>
      <c r="L1109"/>
      <c r="N1109" s="567"/>
    </row>
    <row r="1110" spans="2:14">
      <c r="B1110" s="127" t="str">
        <f t="shared" si="38"/>
        <v>Department</v>
      </c>
      <c r="C1110" s="127" t="str">
        <f t="shared" si="39"/>
        <v xml:space="preserve"> 70 -</v>
      </c>
      <c r="D1110" s="569" t="s">
        <v>1181</v>
      </c>
      <c r="E1110" s="569"/>
      <c r="F1110" s="576">
        <v>646631</v>
      </c>
      <c r="G1110" s="576">
        <v>646631</v>
      </c>
      <c r="H1110" s="577">
        <v>47235.7</v>
      </c>
      <c r="I1110" s="576">
        <v>569670.43999999994</v>
      </c>
      <c r="J1110" s="577">
        <v>76960.56</v>
      </c>
      <c r="K1110" s="578">
        <v>0.119017739638217</v>
      </c>
      <c r="L1110" s="590"/>
      <c r="M1110" s="591"/>
      <c r="N1110" s="567"/>
    </row>
    <row r="1111" spans="2:14">
      <c r="B1111" s="127" t="str">
        <f t="shared" si="38"/>
        <v/>
      </c>
      <c r="C1111" s="127" t="str">
        <f t="shared" si="39"/>
        <v/>
      </c>
      <c r="L1111"/>
      <c r="N1111" s="567"/>
    </row>
    <row r="1112" spans="2:14">
      <c r="B1112" s="127" t="str">
        <f t="shared" si="38"/>
        <v/>
      </c>
      <c r="C1112" s="127" t="str">
        <f t="shared" si="39"/>
        <v/>
      </c>
      <c r="E1112" s="569"/>
      <c r="L1112"/>
      <c r="N1112" s="567"/>
    </row>
    <row r="1113" spans="2:14">
      <c r="B1113" s="127" t="str">
        <f t="shared" si="38"/>
        <v/>
      </c>
      <c r="C1113" s="127" t="str">
        <f t="shared" si="39"/>
        <v/>
      </c>
      <c r="E1113" s="569"/>
      <c r="L1113"/>
      <c r="N1113" s="567"/>
    </row>
    <row r="1114" spans="2:14">
      <c r="B1114" s="127" t="str">
        <f t="shared" si="38"/>
        <v/>
      </c>
      <c r="C1114" s="127" t="str">
        <f t="shared" si="39"/>
        <v/>
      </c>
      <c r="E1114" s="396"/>
      <c r="F1114" s="573">
        <v>505151</v>
      </c>
      <c r="G1114" s="573">
        <v>505151</v>
      </c>
      <c r="H1114" s="574">
        <v>30628.52</v>
      </c>
      <c r="I1114" s="573">
        <v>467663.54</v>
      </c>
      <c r="J1114" s="574">
        <v>37487.46</v>
      </c>
      <c r="K1114" s="575">
        <v>7.4210404413729794E-2</v>
      </c>
      <c r="L1114" s="588"/>
      <c r="M1114" s="589"/>
      <c r="N1114" s="567"/>
    </row>
    <row r="1115" spans="2:14">
      <c r="B1115" s="127" t="str">
        <f t="shared" si="38"/>
        <v xml:space="preserve">Division: </v>
      </c>
      <c r="C1115" s="127" t="str">
        <f t="shared" si="39"/>
        <v xml:space="preserve">11 - </v>
      </c>
      <c r="D1115" s="569" t="s">
        <v>1192</v>
      </c>
      <c r="E1115" s="569"/>
      <c r="F1115" s="576">
        <v>505151</v>
      </c>
      <c r="G1115" s="576">
        <v>505151</v>
      </c>
      <c r="H1115" s="577">
        <v>30628.52</v>
      </c>
      <c r="I1115" s="576">
        <v>467663.54</v>
      </c>
      <c r="J1115" s="577">
        <v>37487.46</v>
      </c>
      <c r="K1115" s="578">
        <v>7.4210404413729794E-2</v>
      </c>
      <c r="L1115" s="590"/>
      <c r="M1115" s="591"/>
      <c r="N1115" s="567"/>
    </row>
    <row r="1116" spans="2:14">
      <c r="B1116" s="127" t="str">
        <f t="shared" si="38"/>
        <v/>
      </c>
      <c r="C1116" s="127" t="str">
        <f t="shared" si="39"/>
        <v/>
      </c>
      <c r="L1116"/>
      <c r="N1116" s="567"/>
    </row>
    <row r="1117" spans="2:14">
      <c r="B1117" s="127" t="str">
        <f t="shared" si="38"/>
        <v/>
      </c>
      <c r="C1117" s="127" t="str">
        <f t="shared" si="39"/>
        <v/>
      </c>
      <c r="E1117" s="569"/>
      <c r="L1117"/>
      <c r="N1117" s="567"/>
    </row>
    <row r="1118" spans="2:14">
      <c r="B1118" s="127" t="str">
        <f t="shared" si="38"/>
        <v/>
      </c>
      <c r="C1118" s="127" t="str">
        <f t="shared" si="39"/>
        <v/>
      </c>
      <c r="E1118" s="396"/>
      <c r="F1118" s="573">
        <v>334845</v>
      </c>
      <c r="G1118" s="573">
        <v>334845</v>
      </c>
      <c r="H1118" s="574">
        <v>25233.3</v>
      </c>
      <c r="I1118" s="573">
        <v>312899.76</v>
      </c>
      <c r="J1118" s="574">
        <v>21945.24</v>
      </c>
      <c r="K1118" s="575">
        <v>6.5538502889396597E-2</v>
      </c>
      <c r="L1118" s="588"/>
      <c r="M1118" s="589"/>
      <c r="N1118" s="567"/>
    </row>
    <row r="1119" spans="2:14">
      <c r="B1119" s="127" t="str">
        <f t="shared" si="38"/>
        <v xml:space="preserve">Division: </v>
      </c>
      <c r="C1119" s="127" t="str">
        <f t="shared" si="39"/>
        <v xml:space="preserve">12 - </v>
      </c>
      <c r="D1119" s="569" t="s">
        <v>1182</v>
      </c>
      <c r="E1119" s="569"/>
      <c r="F1119" s="576">
        <v>334845</v>
      </c>
      <c r="G1119" s="576">
        <v>334845</v>
      </c>
      <c r="H1119" s="577">
        <v>25233.3</v>
      </c>
      <c r="I1119" s="576">
        <v>312899.76</v>
      </c>
      <c r="J1119" s="577">
        <v>21945.24</v>
      </c>
      <c r="K1119" s="578">
        <v>6.5538502889396597E-2</v>
      </c>
      <c r="L1119" s="590"/>
      <c r="M1119" s="591"/>
      <c r="N1119" s="567"/>
    </row>
    <row r="1120" spans="2:14">
      <c r="B1120" s="127" t="str">
        <f t="shared" si="38"/>
        <v/>
      </c>
      <c r="C1120" s="127" t="str">
        <f t="shared" si="39"/>
        <v/>
      </c>
      <c r="F1120" s="398"/>
      <c r="G1120" s="398"/>
      <c r="H1120" s="398"/>
      <c r="I1120" s="398"/>
      <c r="J1120" s="398"/>
      <c r="K1120" s="398"/>
      <c r="L1120"/>
      <c r="N1120" s="567"/>
    </row>
    <row r="1121" spans="2:14">
      <c r="B1121" s="127" t="str">
        <f t="shared" si="38"/>
        <v>Department</v>
      </c>
      <c r="C1121" s="127" t="str">
        <f t="shared" si="39"/>
        <v xml:space="preserve"> 71 -</v>
      </c>
      <c r="D1121" s="569" t="s">
        <v>1183</v>
      </c>
      <c r="E1121" s="569"/>
      <c r="F1121" s="576">
        <v>839996</v>
      </c>
      <c r="G1121" s="576">
        <v>839996</v>
      </c>
      <c r="H1121" s="577">
        <v>55861.82</v>
      </c>
      <c r="I1121" s="576">
        <v>780563.3</v>
      </c>
      <c r="J1121" s="577">
        <v>59432.7</v>
      </c>
      <c r="K1121" s="578">
        <v>7.0753551207386703E-2</v>
      </c>
      <c r="L1121" s="590"/>
      <c r="M1121" s="591"/>
      <c r="N1121" s="567"/>
    </row>
    <row r="1122" spans="2:14">
      <c r="B1122" s="127" t="str">
        <f t="shared" si="38"/>
        <v/>
      </c>
      <c r="C1122" s="127" t="str">
        <f t="shared" si="39"/>
        <v/>
      </c>
      <c r="L1122"/>
      <c r="N1122" s="567"/>
    </row>
    <row r="1123" spans="2:14">
      <c r="B1123" s="127" t="str">
        <f t="shared" si="38"/>
        <v/>
      </c>
      <c r="C1123" s="127" t="str">
        <f t="shared" si="39"/>
        <v/>
      </c>
      <c r="E1123" s="569"/>
      <c r="L1123"/>
      <c r="N1123" s="567"/>
    </row>
    <row r="1124" spans="2:14">
      <c r="B1124" s="127" t="str">
        <f t="shared" si="38"/>
        <v/>
      </c>
      <c r="C1124" s="127" t="str">
        <f t="shared" si="39"/>
        <v/>
      </c>
      <c r="E1124" s="569"/>
      <c r="L1124"/>
      <c r="N1124" s="567"/>
    </row>
    <row r="1125" spans="2:14">
      <c r="B1125" s="127" t="str">
        <f t="shared" si="38"/>
        <v/>
      </c>
      <c r="C1125" s="127" t="str">
        <f t="shared" si="39"/>
        <v/>
      </c>
      <c r="E1125" s="396"/>
      <c r="F1125" s="573">
        <v>502812</v>
      </c>
      <c r="G1125" s="573">
        <v>502812</v>
      </c>
      <c r="H1125" s="574">
        <v>40376.61</v>
      </c>
      <c r="I1125" s="573">
        <v>533016.55000000005</v>
      </c>
      <c r="J1125" s="574">
        <v>-30204.55</v>
      </c>
      <c r="K1125" s="575">
        <v>-6.0071259238045203E-2</v>
      </c>
      <c r="L1125" s="588"/>
      <c r="M1125" s="589"/>
      <c r="N1125" s="567"/>
    </row>
    <row r="1126" spans="2:14">
      <c r="B1126" s="127" t="str">
        <f t="shared" ref="B1126:B1189" si="40">LEFT(D1126,10)</f>
        <v xml:space="preserve">Division: </v>
      </c>
      <c r="C1126" s="127" t="str">
        <f t="shared" ref="C1126:C1189" si="41">MID(D1126,12,5)</f>
        <v xml:space="preserve">34 - </v>
      </c>
      <c r="D1126" s="569" t="s">
        <v>1193</v>
      </c>
      <c r="E1126" s="569"/>
      <c r="F1126" s="576">
        <v>502812</v>
      </c>
      <c r="G1126" s="576">
        <v>502812</v>
      </c>
      <c r="H1126" s="577">
        <v>40376.61</v>
      </c>
      <c r="I1126" s="576">
        <v>533016.55000000005</v>
      </c>
      <c r="J1126" s="577">
        <v>-30204.55</v>
      </c>
      <c r="K1126" s="578">
        <v>-6.0071259238045203E-2</v>
      </c>
      <c r="L1126" s="590"/>
      <c r="M1126" s="591"/>
      <c r="N1126" s="567"/>
    </row>
    <row r="1127" spans="2:14">
      <c r="B1127" s="127" t="str">
        <f t="shared" si="40"/>
        <v/>
      </c>
      <c r="C1127" s="127" t="str">
        <f t="shared" si="41"/>
        <v/>
      </c>
      <c r="L1127"/>
      <c r="N1127" s="567"/>
    </row>
    <row r="1128" spans="2:14">
      <c r="B1128" s="127" t="str">
        <f t="shared" si="40"/>
        <v/>
      </c>
      <c r="C1128" s="127" t="str">
        <f t="shared" si="41"/>
        <v/>
      </c>
      <c r="E1128" s="569"/>
      <c r="L1128"/>
      <c r="N1128" s="567"/>
    </row>
    <row r="1129" spans="2:14">
      <c r="B1129" s="127" t="str">
        <f t="shared" si="40"/>
        <v/>
      </c>
      <c r="C1129" s="127" t="str">
        <f t="shared" si="41"/>
        <v/>
      </c>
      <c r="E1129" s="396"/>
      <c r="F1129" s="573">
        <v>653489</v>
      </c>
      <c r="G1129" s="573">
        <v>653489</v>
      </c>
      <c r="H1129" s="574">
        <v>36394.82</v>
      </c>
      <c r="I1129" s="573">
        <v>444376.57</v>
      </c>
      <c r="J1129" s="574">
        <v>209112.43</v>
      </c>
      <c r="K1129" s="575">
        <v>0.319993802497058</v>
      </c>
      <c r="L1129" s="588"/>
      <c r="M1129" s="589"/>
      <c r="N1129" s="567"/>
    </row>
    <row r="1130" spans="2:14">
      <c r="B1130" s="127" t="str">
        <f t="shared" si="40"/>
        <v xml:space="preserve">Division: </v>
      </c>
      <c r="C1130" s="127" t="str">
        <f t="shared" si="41"/>
        <v xml:space="preserve">35 - </v>
      </c>
      <c r="D1130" s="569" t="s">
        <v>1184</v>
      </c>
      <c r="E1130" s="569"/>
      <c r="F1130" s="576">
        <v>653489</v>
      </c>
      <c r="G1130" s="576">
        <v>653489</v>
      </c>
      <c r="H1130" s="577">
        <v>36394.82</v>
      </c>
      <c r="I1130" s="576">
        <v>444376.57</v>
      </c>
      <c r="J1130" s="577">
        <v>209112.43</v>
      </c>
      <c r="K1130" s="578">
        <v>0.319993802497058</v>
      </c>
      <c r="L1130" s="590"/>
      <c r="M1130" s="591"/>
      <c r="N1130" s="567"/>
    </row>
    <row r="1131" spans="2:14">
      <c r="B1131" s="127" t="str">
        <f t="shared" si="40"/>
        <v/>
      </c>
      <c r="C1131" s="127" t="str">
        <f t="shared" si="41"/>
        <v/>
      </c>
      <c r="F1131" s="398"/>
      <c r="G1131" s="398"/>
      <c r="H1131" s="398"/>
      <c r="I1131" s="398"/>
      <c r="J1131" s="398"/>
      <c r="K1131" s="398"/>
      <c r="L1131"/>
      <c r="N1131" s="567"/>
    </row>
    <row r="1132" spans="2:14">
      <c r="B1132" s="127" t="str">
        <f t="shared" si="40"/>
        <v>Department</v>
      </c>
      <c r="C1132" s="127" t="str">
        <f t="shared" si="41"/>
        <v xml:space="preserve"> 73 -</v>
      </c>
      <c r="D1132" s="569" t="s">
        <v>1185</v>
      </c>
      <c r="E1132" s="569"/>
      <c r="F1132" s="576">
        <v>1156301</v>
      </c>
      <c r="G1132" s="576">
        <v>1156301</v>
      </c>
      <c r="H1132" s="577">
        <v>76771.429999999993</v>
      </c>
      <c r="I1132" s="576">
        <v>977393.12</v>
      </c>
      <c r="J1132" s="577">
        <v>178907.88</v>
      </c>
      <c r="K1132" s="578">
        <v>0.15472431486265301</v>
      </c>
      <c r="L1132" s="590"/>
      <c r="M1132" s="591"/>
      <c r="N1132" s="567"/>
    </row>
    <row r="1133" spans="2:14">
      <c r="B1133" s="127" t="str">
        <f t="shared" si="40"/>
        <v/>
      </c>
      <c r="C1133" s="127" t="str">
        <f t="shared" si="41"/>
        <v/>
      </c>
      <c r="L1133"/>
      <c r="N1133" s="567"/>
    </row>
    <row r="1134" spans="2:14">
      <c r="B1134" s="127" t="str">
        <f t="shared" si="40"/>
        <v/>
      </c>
      <c r="C1134" s="127" t="str">
        <f t="shared" si="41"/>
        <v/>
      </c>
      <c r="E1134" s="569"/>
      <c r="L1134"/>
      <c r="N1134" s="567"/>
    </row>
    <row r="1135" spans="2:14">
      <c r="B1135" s="127" t="str">
        <f t="shared" si="40"/>
        <v/>
      </c>
      <c r="C1135" s="127" t="str">
        <f t="shared" si="41"/>
        <v/>
      </c>
      <c r="E1135" s="569"/>
      <c r="L1135"/>
      <c r="N1135" s="567"/>
    </row>
    <row r="1136" spans="2:14">
      <c r="B1136" s="127" t="str">
        <f t="shared" si="40"/>
        <v/>
      </c>
      <c r="C1136" s="127" t="str">
        <f t="shared" si="41"/>
        <v/>
      </c>
      <c r="E1136" s="396"/>
      <c r="F1136" s="573">
        <v>781120</v>
      </c>
      <c r="G1136" s="573">
        <v>781120</v>
      </c>
      <c r="H1136" s="574">
        <v>55105.96</v>
      </c>
      <c r="I1136" s="573">
        <v>640028.98</v>
      </c>
      <c r="J1136" s="574">
        <v>141091.01999999999</v>
      </c>
      <c r="K1136" s="575">
        <v>0.18062656185989301</v>
      </c>
      <c r="L1136" s="588"/>
      <c r="M1136" s="589"/>
      <c r="N1136" s="567"/>
    </row>
    <row r="1137" spans="2:14">
      <c r="B1137" s="127" t="str">
        <f t="shared" si="40"/>
        <v xml:space="preserve">Division: </v>
      </c>
      <c r="C1137" s="127" t="str">
        <f t="shared" si="41"/>
        <v xml:space="preserve">52 - </v>
      </c>
      <c r="D1137" s="569" t="s">
        <v>1186</v>
      </c>
      <c r="E1137" s="569"/>
      <c r="F1137" s="576">
        <v>781120</v>
      </c>
      <c r="G1137" s="576">
        <v>781120</v>
      </c>
      <c r="H1137" s="577">
        <v>55105.96</v>
      </c>
      <c r="I1137" s="576">
        <v>640028.98</v>
      </c>
      <c r="J1137" s="577">
        <v>141091.01999999999</v>
      </c>
      <c r="K1137" s="578">
        <v>0.18062656185989301</v>
      </c>
      <c r="L1137" s="590"/>
      <c r="M1137" s="591"/>
      <c r="N1137" s="567"/>
    </row>
    <row r="1138" spans="2:14">
      <c r="B1138" s="127" t="str">
        <f t="shared" si="40"/>
        <v/>
      </c>
      <c r="C1138" s="127" t="str">
        <f t="shared" si="41"/>
        <v/>
      </c>
      <c r="F1138" s="398"/>
      <c r="G1138" s="398"/>
      <c r="H1138" s="398"/>
      <c r="I1138" s="398"/>
      <c r="J1138" s="398"/>
      <c r="K1138" s="398"/>
      <c r="L1138"/>
      <c r="N1138" s="567"/>
    </row>
    <row r="1139" spans="2:14">
      <c r="B1139" s="127" t="str">
        <f t="shared" si="40"/>
        <v>Department</v>
      </c>
      <c r="C1139" s="127" t="str">
        <f t="shared" si="41"/>
        <v xml:space="preserve"> 75 -</v>
      </c>
      <c r="D1139" s="569" t="s">
        <v>1187</v>
      </c>
      <c r="E1139" s="569"/>
      <c r="F1139" s="576">
        <v>781120</v>
      </c>
      <c r="G1139" s="576">
        <v>781120</v>
      </c>
      <c r="H1139" s="577">
        <v>55105.96</v>
      </c>
      <c r="I1139" s="576">
        <v>640028.98</v>
      </c>
      <c r="J1139" s="577">
        <v>141091.01999999999</v>
      </c>
      <c r="K1139" s="578">
        <v>0.18062656185989301</v>
      </c>
      <c r="L1139" s="590"/>
      <c r="M1139" s="591"/>
      <c r="N1139" s="567"/>
    </row>
    <row r="1140" spans="2:14">
      <c r="B1140" s="127" t="str">
        <f t="shared" si="40"/>
        <v/>
      </c>
      <c r="C1140" s="127" t="str">
        <f t="shared" si="41"/>
        <v/>
      </c>
      <c r="L1140"/>
      <c r="N1140" s="567"/>
    </row>
    <row r="1141" spans="2:14">
      <c r="B1141" s="127" t="str">
        <f t="shared" si="40"/>
        <v/>
      </c>
      <c r="C1141" s="127" t="str">
        <f t="shared" si="41"/>
        <v/>
      </c>
      <c r="E1141" s="569"/>
      <c r="L1141"/>
      <c r="N1141" s="567"/>
    </row>
    <row r="1142" spans="2:14">
      <c r="B1142" s="127" t="str">
        <f t="shared" si="40"/>
        <v/>
      </c>
      <c r="C1142" s="127" t="str">
        <f t="shared" si="41"/>
        <v/>
      </c>
      <c r="E1142" s="569"/>
      <c r="L1142"/>
      <c r="N1142" s="567"/>
    </row>
    <row r="1143" spans="2:14">
      <c r="B1143" s="127" t="str">
        <f t="shared" si="40"/>
        <v/>
      </c>
      <c r="C1143" s="127" t="str">
        <f t="shared" si="41"/>
        <v/>
      </c>
      <c r="E1143" s="396"/>
      <c r="F1143" s="573">
        <v>153974</v>
      </c>
      <c r="G1143" s="573">
        <v>153974</v>
      </c>
      <c r="H1143" s="574">
        <v>12182.29</v>
      </c>
      <c r="I1143" s="573">
        <v>152840.44</v>
      </c>
      <c r="J1143" s="574">
        <v>1133.56</v>
      </c>
      <c r="K1143" s="575">
        <v>7.3620221595853798E-3</v>
      </c>
      <c r="L1143" s="588"/>
      <c r="M1143" s="589"/>
      <c r="N1143" s="567"/>
    </row>
    <row r="1144" spans="2:14">
      <c r="B1144" s="127" t="str">
        <f t="shared" si="40"/>
        <v xml:space="preserve">Division: </v>
      </c>
      <c r="C1144" s="127" t="str">
        <f t="shared" si="41"/>
        <v xml:space="preserve">72 - </v>
      </c>
      <c r="D1144" s="569" t="s">
        <v>1188</v>
      </c>
      <c r="E1144" s="569"/>
      <c r="F1144" s="576">
        <v>153974</v>
      </c>
      <c r="G1144" s="576">
        <v>153974</v>
      </c>
      <c r="H1144" s="577">
        <v>12182.29</v>
      </c>
      <c r="I1144" s="576">
        <v>152840.44</v>
      </c>
      <c r="J1144" s="577">
        <v>1133.56</v>
      </c>
      <c r="K1144" s="578">
        <v>7.3620221595853798E-3</v>
      </c>
      <c r="L1144" s="590"/>
      <c r="M1144" s="591"/>
      <c r="N1144" s="567"/>
    </row>
    <row r="1145" spans="2:14">
      <c r="B1145" s="127" t="str">
        <f t="shared" si="40"/>
        <v/>
      </c>
      <c r="C1145" s="127" t="str">
        <f t="shared" si="41"/>
        <v/>
      </c>
      <c r="F1145" s="398"/>
      <c r="G1145" s="398"/>
      <c r="H1145" s="398"/>
      <c r="I1145" s="398"/>
      <c r="J1145" s="398"/>
      <c r="K1145" s="398"/>
      <c r="L1145"/>
      <c r="N1145" s="567"/>
    </row>
    <row r="1146" spans="2:14">
      <c r="B1146" s="127" t="str">
        <f t="shared" si="40"/>
        <v>Department</v>
      </c>
      <c r="C1146" s="127" t="str">
        <f t="shared" si="41"/>
        <v xml:space="preserve"> 77 -</v>
      </c>
      <c r="D1146" s="569" t="s">
        <v>1189</v>
      </c>
      <c r="E1146" s="569"/>
      <c r="F1146" s="576">
        <v>153974</v>
      </c>
      <c r="G1146" s="576">
        <v>153974</v>
      </c>
      <c r="H1146" s="577">
        <v>12182.29</v>
      </c>
      <c r="I1146" s="576">
        <v>152840.44</v>
      </c>
      <c r="J1146" s="577">
        <v>1133.56</v>
      </c>
      <c r="K1146" s="578">
        <v>7.3620221595853798E-3</v>
      </c>
      <c r="L1146" s="590"/>
      <c r="M1146" s="591"/>
      <c r="N1146" s="567"/>
    </row>
    <row r="1147" spans="2:14">
      <c r="B1147" s="127" t="str">
        <f t="shared" si="40"/>
        <v/>
      </c>
      <c r="C1147" s="127" t="str">
        <f t="shared" si="41"/>
        <v/>
      </c>
      <c r="F1147" s="398"/>
      <c r="G1147" s="398"/>
      <c r="H1147" s="398"/>
      <c r="I1147" s="398"/>
      <c r="J1147" s="398"/>
      <c r="K1147" s="398"/>
      <c r="L1147"/>
      <c r="N1147" s="567"/>
    </row>
    <row r="1148" spans="2:14">
      <c r="B1148" s="127" t="str">
        <f t="shared" si="40"/>
        <v xml:space="preserve">Fund: 200 </v>
      </c>
      <c r="C1148" s="127" t="str">
        <f t="shared" si="41"/>
        <v xml:space="preserve"> WATE</v>
      </c>
      <c r="D1148" s="569" t="s">
        <v>1910</v>
      </c>
      <c r="E1148" s="569"/>
      <c r="F1148" s="576">
        <v>3578022</v>
      </c>
      <c r="G1148" s="576">
        <v>3578022</v>
      </c>
      <c r="H1148" s="577">
        <v>247157.2</v>
      </c>
      <c r="I1148" s="576">
        <v>3120496.28</v>
      </c>
      <c r="J1148" s="577">
        <v>457525.72</v>
      </c>
      <c r="K1148" s="578">
        <v>0.12787113103273301</v>
      </c>
      <c r="L1148" s="590"/>
      <c r="M1148" s="591"/>
      <c r="N1148" s="567"/>
    </row>
    <row r="1149" spans="2:14">
      <c r="B1149" s="127" t="str">
        <f t="shared" si="40"/>
        <v/>
      </c>
      <c r="C1149" s="127" t="str">
        <f t="shared" si="41"/>
        <v/>
      </c>
      <c r="L1149"/>
      <c r="N1149" s="567"/>
    </row>
    <row r="1150" spans="2:14">
      <c r="B1150" s="127" t="str">
        <f t="shared" si="40"/>
        <v xml:space="preserve">Fund: 400 </v>
      </c>
      <c r="C1150" s="127" t="str">
        <f t="shared" si="41"/>
        <v xml:space="preserve"> DRAI</v>
      </c>
      <c r="D1150" s="569" t="s">
        <v>1110</v>
      </c>
      <c r="E1150" s="569"/>
      <c r="L1150"/>
      <c r="N1150" s="567"/>
    </row>
    <row r="1151" spans="2:14">
      <c r="B1151" s="127" t="str">
        <f t="shared" si="40"/>
        <v/>
      </c>
      <c r="C1151" s="127" t="str">
        <f t="shared" si="41"/>
        <v/>
      </c>
      <c r="E1151" s="569"/>
      <c r="L1151"/>
      <c r="N1151" s="567"/>
    </row>
    <row r="1152" spans="2:14">
      <c r="B1152" s="127" t="str">
        <f t="shared" si="40"/>
        <v/>
      </c>
      <c r="C1152" s="127" t="str">
        <f t="shared" si="41"/>
        <v/>
      </c>
      <c r="E1152" s="569"/>
      <c r="L1152"/>
      <c r="N1152" s="567"/>
    </row>
    <row r="1153" spans="2:14">
      <c r="B1153" s="127" t="str">
        <f t="shared" si="40"/>
        <v/>
      </c>
      <c r="C1153" s="127" t="str">
        <f t="shared" si="41"/>
        <v/>
      </c>
      <c r="E1153" s="396"/>
      <c r="F1153" s="414">
        <v>694479</v>
      </c>
      <c r="G1153" s="414">
        <v>694479</v>
      </c>
      <c r="H1153" s="571">
        <v>53884.3</v>
      </c>
      <c r="I1153" s="414">
        <v>658663.56000000006</v>
      </c>
      <c r="J1153" s="571">
        <v>35815.440000000002</v>
      </c>
      <c r="K1153" s="572">
        <v>5.1571667393830498E-2</v>
      </c>
      <c r="L1153" s="588"/>
      <c r="M1153" s="589"/>
      <c r="N1153" s="567"/>
    </row>
    <row r="1154" spans="2:14">
      <c r="B1154" s="127" t="str">
        <f t="shared" si="40"/>
        <v/>
      </c>
      <c r="C1154" s="127" t="str">
        <f t="shared" si="41"/>
        <v/>
      </c>
      <c r="L1154"/>
      <c r="N1154" s="567"/>
    </row>
    <row r="1155" spans="2:14">
      <c r="B1155" s="127" t="str">
        <f t="shared" si="40"/>
        <v/>
      </c>
      <c r="C1155" s="127" t="str">
        <f t="shared" si="41"/>
        <v/>
      </c>
      <c r="D1155" s="579"/>
      <c r="E1155" s="579"/>
      <c r="F1155" s="579"/>
      <c r="G1155" s="579"/>
      <c r="H1155" s="579"/>
      <c r="I1155" s="579"/>
      <c r="J1155" s="579"/>
      <c r="K1155" s="579"/>
      <c r="L1155" s="592"/>
      <c r="M1155" s="592"/>
      <c r="N1155" s="567"/>
    </row>
    <row r="1156" spans="2:14">
      <c r="B1156" s="127" t="str">
        <f t="shared" si="40"/>
        <v xml:space="preserve">9/25/2024 </v>
      </c>
      <c r="C1156" s="127" t="str">
        <f t="shared" si="41"/>
        <v>:13:1</v>
      </c>
      <c r="D1156" s="454" t="s">
        <v>2991</v>
      </c>
      <c r="E1156" s="454"/>
      <c r="F1156" s="399"/>
      <c r="G1156" s="399"/>
      <c r="H1156" s="399"/>
      <c r="I1156" s="399"/>
      <c r="J1156" s="454"/>
      <c r="K1156" s="454"/>
      <c r="L1156" s="593"/>
      <c r="N1156" s="567"/>
    </row>
    <row r="1157" spans="2:14">
      <c r="B1157" s="127" t="str">
        <f t="shared" si="40"/>
        <v>Budget Rep</v>
      </c>
      <c r="C1157" s="127" t="str">
        <f t="shared" si="41"/>
        <v>rt</v>
      </c>
      <c r="D1157" s="455" t="s">
        <v>1122</v>
      </c>
      <c r="E1157" s="455"/>
      <c r="F1157" s="455"/>
      <c r="H1157" s="455"/>
      <c r="I1157" s="455"/>
      <c r="J1157" s="455"/>
      <c r="K1157" s="455"/>
      <c r="L1157" s="594"/>
      <c r="M1157" s="594"/>
      <c r="N1157" s="567"/>
    </row>
    <row r="1158" spans="2:14">
      <c r="B1158" s="127" t="str">
        <f t="shared" si="40"/>
        <v/>
      </c>
      <c r="C1158" s="127" t="str">
        <f t="shared" si="41"/>
        <v/>
      </c>
      <c r="L1158"/>
      <c r="N1158" s="567"/>
    </row>
    <row r="1159" spans="2:14" ht="31.8">
      <c r="B1159" s="127" t="str">
        <f t="shared" si="40"/>
        <v/>
      </c>
      <c r="C1159" s="127" t="str">
        <f t="shared" si="41"/>
        <v/>
      </c>
      <c r="J1159" s="413" t="s">
        <v>1098</v>
      </c>
      <c r="L1159"/>
      <c r="N1159" s="567"/>
    </row>
    <row r="1160" spans="2:14" ht="21.6">
      <c r="B1160" s="127" t="str">
        <f t="shared" si="40"/>
        <v/>
      </c>
      <c r="C1160" s="127" t="str">
        <f t="shared" si="41"/>
        <v/>
      </c>
      <c r="F1160" s="413" t="s">
        <v>1099</v>
      </c>
      <c r="G1160" s="413" t="s">
        <v>1100</v>
      </c>
      <c r="H1160" s="413" t="s">
        <v>1101</v>
      </c>
      <c r="I1160" s="413" t="s">
        <v>1102</v>
      </c>
      <c r="J1160" s="413"/>
      <c r="K1160" s="413" t="s">
        <v>1103</v>
      </c>
      <c r="L1160" s="540"/>
      <c r="M1160" s="540"/>
      <c r="N1160" s="567"/>
    </row>
    <row r="1161" spans="2:14">
      <c r="B1161" s="127" t="str">
        <f t="shared" si="40"/>
        <v/>
      </c>
      <c r="C1161" s="127" t="str">
        <f t="shared" si="41"/>
        <v/>
      </c>
      <c r="E1161" s="583"/>
      <c r="F1161" s="413"/>
      <c r="G1161" s="413"/>
      <c r="H1161" s="413"/>
      <c r="I1161" s="413"/>
      <c r="J1161" s="413"/>
      <c r="K1161" s="413"/>
      <c r="L1161" s="540"/>
      <c r="M1161" s="540"/>
      <c r="N1161" s="567"/>
    </row>
    <row r="1162" spans="2:14">
      <c r="B1162" s="127" t="str">
        <f t="shared" si="40"/>
        <v/>
      </c>
      <c r="C1162" s="127" t="str">
        <f t="shared" si="41"/>
        <v/>
      </c>
      <c r="F1162" s="398"/>
      <c r="G1162" s="398"/>
      <c r="H1162" s="398"/>
      <c r="I1162" s="398"/>
      <c r="J1162" s="398"/>
      <c r="K1162" s="398"/>
      <c r="L1162"/>
      <c r="N1162" s="567"/>
    </row>
    <row r="1163" spans="2:14">
      <c r="B1163" s="127" t="str">
        <f t="shared" si="40"/>
        <v xml:space="preserve">Division: </v>
      </c>
      <c r="C1163" s="127" t="str">
        <f t="shared" si="41"/>
        <v xml:space="preserve">15 - </v>
      </c>
      <c r="D1163" s="569" t="s">
        <v>1190</v>
      </c>
      <c r="E1163" s="569"/>
      <c r="F1163" s="576">
        <v>694479</v>
      </c>
      <c r="G1163" s="576">
        <v>694479</v>
      </c>
      <c r="H1163" s="577">
        <v>53884.3</v>
      </c>
      <c r="I1163" s="576">
        <v>658663.56000000006</v>
      </c>
      <c r="J1163" s="577">
        <v>35815.440000000002</v>
      </c>
      <c r="K1163" s="578">
        <v>5.1571667393830498E-2</v>
      </c>
      <c r="L1163" s="590"/>
      <c r="M1163" s="591"/>
      <c r="N1163" s="567"/>
    </row>
    <row r="1164" spans="2:14">
      <c r="B1164" s="127" t="str">
        <f t="shared" si="40"/>
        <v/>
      </c>
      <c r="C1164" s="127" t="str">
        <f t="shared" si="41"/>
        <v/>
      </c>
      <c r="F1164" s="398"/>
      <c r="G1164" s="398"/>
      <c r="H1164" s="398"/>
      <c r="I1164" s="398"/>
      <c r="J1164" s="398"/>
      <c r="K1164" s="398"/>
      <c r="L1164"/>
      <c r="N1164" s="567"/>
    </row>
    <row r="1165" spans="2:14">
      <c r="B1165" s="127" t="str">
        <f t="shared" si="40"/>
        <v>Department</v>
      </c>
      <c r="C1165" s="127" t="str">
        <f t="shared" si="41"/>
        <v xml:space="preserve"> 81 -</v>
      </c>
      <c r="D1165" s="569" t="s">
        <v>1191</v>
      </c>
      <c r="E1165" s="569"/>
      <c r="F1165" s="576">
        <v>694479</v>
      </c>
      <c r="G1165" s="576">
        <v>694479</v>
      </c>
      <c r="H1165" s="577">
        <v>53884.3</v>
      </c>
      <c r="I1165" s="576">
        <v>658663.56000000006</v>
      </c>
      <c r="J1165" s="577">
        <v>35815.440000000002</v>
      </c>
      <c r="K1165" s="578">
        <v>5.1571667393830498E-2</v>
      </c>
      <c r="L1165" s="590"/>
      <c r="M1165" s="591"/>
      <c r="N1165" s="567"/>
    </row>
    <row r="1166" spans="2:14">
      <c r="B1166" s="127" t="str">
        <f t="shared" si="40"/>
        <v/>
      </c>
      <c r="C1166" s="127" t="str">
        <f t="shared" si="41"/>
        <v/>
      </c>
      <c r="F1166" s="398"/>
      <c r="G1166" s="398"/>
      <c r="H1166" s="398"/>
      <c r="I1166" s="398"/>
      <c r="J1166" s="398"/>
      <c r="K1166" s="398"/>
      <c r="L1166"/>
      <c r="N1166" s="567"/>
    </row>
    <row r="1167" spans="2:14">
      <c r="B1167" s="127" t="str">
        <f t="shared" si="40"/>
        <v xml:space="preserve">Fund: 400 </v>
      </c>
      <c r="C1167" s="127" t="str">
        <f t="shared" si="41"/>
        <v xml:space="preserve"> DRAI</v>
      </c>
      <c r="D1167" s="569" t="s">
        <v>1911</v>
      </c>
      <c r="E1167" s="569"/>
      <c r="F1167" s="576">
        <v>694479</v>
      </c>
      <c r="G1167" s="576">
        <v>694479</v>
      </c>
      <c r="H1167" s="577">
        <v>53884.3</v>
      </c>
      <c r="I1167" s="576">
        <v>658663.56000000006</v>
      </c>
      <c r="J1167" s="577">
        <v>35815.440000000002</v>
      </c>
      <c r="K1167" s="578">
        <v>5.1571667393830498E-2</v>
      </c>
      <c r="L1167" s="590"/>
      <c r="M1167" s="591"/>
      <c r="N1167" s="567"/>
    </row>
    <row r="1168" spans="2:14" ht="16.2" thickBot="1">
      <c r="B1168" s="127" t="str">
        <f t="shared" si="40"/>
        <v/>
      </c>
      <c r="C1168" s="127" t="str">
        <f t="shared" si="41"/>
        <v/>
      </c>
      <c r="F1168" s="448"/>
      <c r="G1168" s="448"/>
      <c r="H1168" s="448"/>
      <c r="I1168" s="448"/>
      <c r="J1168" s="448"/>
      <c r="K1168" s="448"/>
      <c r="L1168"/>
      <c r="N1168" s="567"/>
    </row>
    <row r="1169" spans="2:14" ht="16.2" thickTop="1">
      <c r="B1169" s="127" t="str">
        <f t="shared" si="40"/>
        <v>Report Tot</v>
      </c>
      <c r="C1169" s="127" t="str">
        <f t="shared" si="41"/>
        <v>l:</v>
      </c>
      <c r="D1169" s="569" t="s">
        <v>1912</v>
      </c>
      <c r="E1169" s="569"/>
      <c r="F1169" s="580">
        <v>34227428</v>
      </c>
      <c r="G1169" s="580">
        <v>34227428</v>
      </c>
      <c r="H1169" s="581">
        <v>2534555.0699999998</v>
      </c>
      <c r="I1169" s="580">
        <v>31718570.23</v>
      </c>
      <c r="J1169" s="581">
        <v>2508857.77</v>
      </c>
      <c r="K1169" s="582">
        <v>7.3299628882427303E-2</v>
      </c>
      <c r="L1169" s="590"/>
      <c r="M1169" s="591"/>
      <c r="N1169" s="567"/>
    </row>
    <row r="1170" spans="2:14">
      <c r="B1170" s="127" t="str">
        <f t="shared" si="40"/>
        <v/>
      </c>
      <c r="C1170" s="127" t="str">
        <f t="shared" si="41"/>
        <v/>
      </c>
      <c r="L1170"/>
      <c r="N1170" s="567"/>
    </row>
    <row r="1171" spans="2:14">
      <c r="B1171" s="127" t="str">
        <f t="shared" si="40"/>
        <v/>
      </c>
      <c r="C1171" s="127" t="str">
        <f t="shared" si="41"/>
        <v/>
      </c>
      <c r="L1171"/>
      <c r="N1171" s="567"/>
    </row>
    <row r="1172" spans="2:14">
      <c r="B1172" s="127" t="str">
        <f t="shared" si="40"/>
        <v/>
      </c>
      <c r="C1172" s="127" t="str">
        <f t="shared" si="41"/>
        <v/>
      </c>
      <c r="L1172"/>
      <c r="N1172" s="567"/>
    </row>
    <row r="1173" spans="2:14">
      <c r="B1173" s="127" t="str">
        <f t="shared" si="40"/>
        <v/>
      </c>
      <c r="C1173" s="127" t="str">
        <f t="shared" si="41"/>
        <v/>
      </c>
      <c r="L1173"/>
      <c r="N1173" s="567"/>
    </row>
    <row r="1174" spans="2:14">
      <c r="B1174" s="127" t="str">
        <f t="shared" si="40"/>
        <v/>
      </c>
      <c r="C1174" s="127" t="str">
        <f t="shared" si="41"/>
        <v/>
      </c>
      <c r="L1174"/>
      <c r="N1174" s="567"/>
    </row>
    <row r="1175" spans="2:14">
      <c r="B1175" s="127" t="str">
        <f t="shared" si="40"/>
        <v/>
      </c>
      <c r="C1175" s="127" t="str">
        <f t="shared" si="41"/>
        <v/>
      </c>
      <c r="L1175"/>
      <c r="N1175" s="567"/>
    </row>
    <row r="1176" spans="2:14">
      <c r="B1176" s="127" t="str">
        <f t="shared" si="40"/>
        <v/>
      </c>
      <c r="C1176" s="127" t="str">
        <f t="shared" si="41"/>
        <v/>
      </c>
      <c r="L1176"/>
      <c r="N1176" s="567"/>
    </row>
    <row r="1177" spans="2:14">
      <c r="B1177" s="127" t="str">
        <f t="shared" si="40"/>
        <v/>
      </c>
      <c r="C1177" s="127" t="str">
        <f t="shared" si="41"/>
        <v/>
      </c>
      <c r="L1177"/>
      <c r="N1177" s="567"/>
    </row>
    <row r="1178" spans="2:14">
      <c r="B1178" s="127" t="str">
        <f t="shared" si="40"/>
        <v/>
      </c>
      <c r="C1178" s="127" t="str">
        <f t="shared" si="41"/>
        <v/>
      </c>
      <c r="L1178"/>
      <c r="N1178" s="567"/>
    </row>
    <row r="1179" spans="2:14">
      <c r="B1179" s="127" t="str">
        <f t="shared" si="40"/>
        <v/>
      </c>
      <c r="C1179" s="127" t="str">
        <f t="shared" si="41"/>
        <v/>
      </c>
      <c r="D1179" s="579"/>
      <c r="E1179" s="579"/>
      <c r="F1179" s="579"/>
      <c r="G1179" s="579"/>
      <c r="H1179" s="579"/>
      <c r="I1179" s="579"/>
      <c r="J1179" s="579"/>
      <c r="K1179" s="579"/>
      <c r="L1179" s="592"/>
      <c r="M1179" s="592"/>
      <c r="N1179" s="567"/>
    </row>
    <row r="1180" spans="2:14">
      <c r="B1180" s="127" t="str">
        <f t="shared" si="40"/>
        <v xml:space="preserve">9/25/2024 </v>
      </c>
      <c r="C1180" s="127" t="str">
        <f t="shared" si="41"/>
        <v>:13:1</v>
      </c>
      <c r="D1180" s="454" t="s">
        <v>2991</v>
      </c>
      <c r="E1180" s="454"/>
      <c r="F1180" s="399"/>
      <c r="G1180" s="399"/>
      <c r="H1180" s="399"/>
      <c r="I1180" s="399"/>
      <c r="J1180" s="454"/>
      <c r="K1180" s="454"/>
      <c r="L1180" s="593"/>
      <c r="N1180" s="567"/>
    </row>
    <row r="1181" spans="2:14">
      <c r="B1181" s="127" t="str">
        <f t="shared" si="40"/>
        <v>Budget Rep</v>
      </c>
      <c r="C1181" s="127" t="str">
        <f t="shared" si="41"/>
        <v>rt</v>
      </c>
      <c r="D1181" s="455" t="s">
        <v>1122</v>
      </c>
      <c r="E1181" s="455"/>
      <c r="F1181" s="455"/>
      <c r="H1181" s="455"/>
      <c r="I1181" s="455"/>
      <c r="J1181" s="455"/>
      <c r="K1181" s="455"/>
      <c r="L1181" s="594"/>
      <c r="M1181" s="594"/>
      <c r="N1181" s="567"/>
    </row>
    <row r="1182" spans="2:14">
      <c r="B1182" s="127" t="str">
        <f t="shared" si="40"/>
        <v/>
      </c>
      <c r="C1182" s="127" t="str">
        <f t="shared" si="41"/>
        <v/>
      </c>
      <c r="L1182"/>
      <c r="N1182" s="567"/>
    </row>
    <row r="1183" spans="2:14" ht="18">
      <c r="B1183" s="127" t="str">
        <f t="shared" si="40"/>
        <v/>
      </c>
      <c r="C1183" s="127" t="str">
        <f t="shared" si="41"/>
        <v/>
      </c>
      <c r="H1183" s="452"/>
      <c r="I1183" s="452"/>
      <c r="J1183" s="452"/>
      <c r="K1183" s="452"/>
      <c r="L1183" s="595"/>
      <c r="M1183" s="595"/>
      <c r="N1183" s="567"/>
    </row>
    <row r="1184" spans="2:14">
      <c r="B1184" s="127" t="str">
        <f t="shared" si="40"/>
        <v/>
      </c>
      <c r="C1184" s="127" t="str">
        <f t="shared" si="41"/>
        <v/>
      </c>
      <c r="L1184"/>
      <c r="N1184" s="567"/>
    </row>
    <row r="1185" spans="2:14" ht="31.8">
      <c r="B1185" s="127" t="str">
        <f t="shared" si="40"/>
        <v/>
      </c>
      <c r="C1185" s="127" t="str">
        <f t="shared" si="41"/>
        <v/>
      </c>
      <c r="J1185" s="413" t="s">
        <v>1098</v>
      </c>
      <c r="L1185"/>
      <c r="N1185" s="567"/>
    </row>
    <row r="1186" spans="2:14" ht="21.6">
      <c r="B1186" s="127" t="str">
        <f t="shared" si="40"/>
        <v/>
      </c>
      <c r="C1186" s="127" t="str">
        <f t="shared" si="41"/>
        <v/>
      </c>
      <c r="F1186" s="413" t="s">
        <v>1099</v>
      </c>
      <c r="G1186" s="413" t="s">
        <v>1100</v>
      </c>
      <c r="H1186" s="413" t="s">
        <v>1101</v>
      </c>
      <c r="I1186" s="413" t="s">
        <v>1102</v>
      </c>
      <c r="J1186" s="413"/>
      <c r="K1186" s="413" t="s">
        <v>1103</v>
      </c>
      <c r="L1186" s="540"/>
      <c r="M1186" s="540"/>
      <c r="N1186" s="567"/>
    </row>
    <row r="1187" spans="2:14">
      <c r="B1187" s="127" t="str">
        <f t="shared" si="40"/>
        <v/>
      </c>
      <c r="C1187" s="127" t="str">
        <f t="shared" si="41"/>
        <v/>
      </c>
      <c r="F1187" s="413"/>
      <c r="G1187" s="413"/>
      <c r="H1187" s="413"/>
      <c r="I1187" s="413"/>
      <c r="J1187" s="413"/>
      <c r="K1187" s="413"/>
      <c r="L1187" s="540"/>
      <c r="M1187" s="540"/>
      <c r="N1187" s="567"/>
    </row>
    <row r="1188" spans="2:14">
      <c r="B1188" s="127" t="str">
        <f t="shared" si="40"/>
        <v/>
      </c>
      <c r="C1188" s="127" t="str">
        <f t="shared" si="41"/>
        <v/>
      </c>
      <c r="L1188"/>
      <c r="N1188" s="567"/>
    </row>
    <row r="1189" spans="2:14">
      <c r="B1189" s="127" t="str">
        <f t="shared" si="40"/>
        <v/>
      </c>
      <c r="C1189" s="127" t="str">
        <f t="shared" si="41"/>
        <v/>
      </c>
      <c r="F1189" s="414">
        <v>27959335</v>
      </c>
      <c r="G1189" s="414">
        <v>27959335</v>
      </c>
      <c r="H1189" s="571">
        <v>2086868.78</v>
      </c>
      <c r="I1189" s="414">
        <v>26083792.32</v>
      </c>
      <c r="J1189" s="571">
        <v>1875542.68</v>
      </c>
      <c r="K1189" s="572">
        <v>6.7081090447966701E-2</v>
      </c>
      <c r="L1189" s="588"/>
      <c r="M1189" s="589"/>
      <c r="N1189" s="567"/>
    </row>
    <row r="1190" spans="2:14">
      <c r="B1190" s="127" t="str">
        <f t="shared" ref="B1190:B1218" si="42">LEFT(D1190,10)</f>
        <v/>
      </c>
      <c r="C1190" s="127" t="str">
        <f t="shared" ref="C1190:C1218" si="43">MID(D1190,12,5)</f>
        <v/>
      </c>
      <c r="F1190" s="414">
        <v>973</v>
      </c>
      <c r="G1190" s="414">
        <v>973</v>
      </c>
      <c r="H1190" s="571">
        <v>0</v>
      </c>
      <c r="I1190" s="414">
        <v>659.99</v>
      </c>
      <c r="J1190" s="571">
        <v>313.01</v>
      </c>
      <c r="K1190" s="572">
        <v>0.32169578622815997</v>
      </c>
      <c r="L1190" s="588"/>
      <c r="M1190" s="589"/>
      <c r="N1190" s="567"/>
    </row>
    <row r="1191" spans="2:14">
      <c r="B1191" s="127" t="str">
        <f t="shared" si="42"/>
        <v/>
      </c>
      <c r="C1191" s="127" t="str">
        <f t="shared" si="43"/>
        <v/>
      </c>
      <c r="F1191" s="414">
        <v>117625</v>
      </c>
      <c r="G1191" s="414">
        <v>117625</v>
      </c>
      <c r="H1191" s="571">
        <v>9590.48</v>
      </c>
      <c r="I1191" s="414">
        <v>119257.06</v>
      </c>
      <c r="J1191" s="571">
        <v>-1632.06</v>
      </c>
      <c r="K1191" s="572">
        <v>-1.38751115834219E-2</v>
      </c>
      <c r="L1191" s="588"/>
      <c r="M1191" s="589"/>
      <c r="N1191" s="567"/>
    </row>
    <row r="1192" spans="2:14">
      <c r="B1192" s="127" t="str">
        <f t="shared" si="42"/>
        <v/>
      </c>
      <c r="C1192" s="127" t="str">
        <f t="shared" si="43"/>
        <v/>
      </c>
      <c r="F1192" s="414">
        <v>948289</v>
      </c>
      <c r="G1192" s="414">
        <v>948289</v>
      </c>
      <c r="H1192" s="571">
        <v>70241.77</v>
      </c>
      <c r="I1192" s="414">
        <v>867844.83</v>
      </c>
      <c r="J1192" s="571">
        <v>80444.17</v>
      </c>
      <c r="K1192" s="572">
        <v>8.4830858525196395E-2</v>
      </c>
      <c r="L1192" s="588"/>
      <c r="M1192" s="589"/>
      <c r="N1192" s="567"/>
    </row>
    <row r="1193" spans="2:14">
      <c r="B1193" s="127" t="str">
        <f t="shared" si="42"/>
        <v/>
      </c>
      <c r="C1193" s="127" t="str">
        <f t="shared" si="43"/>
        <v/>
      </c>
      <c r="F1193" s="414">
        <v>928705</v>
      </c>
      <c r="G1193" s="414">
        <v>928705</v>
      </c>
      <c r="H1193" s="571">
        <v>66812.539999999994</v>
      </c>
      <c r="I1193" s="414">
        <v>867856.19</v>
      </c>
      <c r="J1193" s="571">
        <v>60848.81</v>
      </c>
      <c r="K1193" s="572">
        <v>6.5520062883262203E-2</v>
      </c>
      <c r="L1193" s="588"/>
      <c r="M1193" s="589"/>
      <c r="N1193" s="567"/>
    </row>
    <row r="1194" spans="2:14">
      <c r="B1194" s="127" t="str">
        <f t="shared" si="42"/>
        <v/>
      </c>
      <c r="C1194" s="127" t="str">
        <f t="shared" si="43"/>
        <v/>
      </c>
      <c r="F1194" s="414">
        <v>3578022</v>
      </c>
      <c r="G1194" s="414">
        <v>3578022</v>
      </c>
      <c r="H1194" s="571">
        <v>247157.2</v>
      </c>
      <c r="I1194" s="414">
        <v>3120496.28</v>
      </c>
      <c r="J1194" s="571">
        <v>457525.72</v>
      </c>
      <c r="K1194" s="572">
        <v>0.12787113103273301</v>
      </c>
      <c r="L1194" s="588"/>
      <c r="M1194" s="589"/>
      <c r="N1194" s="567"/>
    </row>
    <row r="1195" spans="2:14">
      <c r="B1195" s="127" t="str">
        <f t="shared" si="42"/>
        <v/>
      </c>
      <c r="C1195" s="127" t="str">
        <f t="shared" si="43"/>
        <v/>
      </c>
      <c r="F1195" s="573">
        <v>694479</v>
      </c>
      <c r="G1195" s="573">
        <v>694479</v>
      </c>
      <c r="H1195" s="574">
        <v>53884.3</v>
      </c>
      <c r="I1195" s="573">
        <v>658663.56000000006</v>
      </c>
      <c r="J1195" s="574">
        <v>35815.440000000002</v>
      </c>
      <c r="K1195" s="575">
        <v>5.1571667393830498E-2</v>
      </c>
      <c r="L1195" s="588"/>
      <c r="M1195" s="589"/>
      <c r="N1195" s="567"/>
    </row>
    <row r="1196" spans="2:14">
      <c r="B1196" s="127" t="str">
        <f t="shared" si="42"/>
        <v>Report Tot</v>
      </c>
      <c r="C1196" s="127" t="str">
        <f t="shared" si="43"/>
        <v>l:</v>
      </c>
      <c r="D1196" s="569" t="s">
        <v>1912</v>
      </c>
      <c r="E1196" s="569"/>
      <c r="F1196" s="576">
        <v>34227428</v>
      </c>
      <c r="G1196" s="576">
        <v>34227428</v>
      </c>
      <c r="H1196" s="577">
        <v>2534555.0699999998</v>
      </c>
      <c r="I1196" s="576">
        <v>31718570.23</v>
      </c>
      <c r="J1196" s="577">
        <v>2508857.77</v>
      </c>
      <c r="K1196" s="578">
        <v>7.3299628882427303E-2</v>
      </c>
      <c r="L1196" s="590"/>
      <c r="M1196" s="591"/>
      <c r="N1196" s="567"/>
    </row>
    <row r="1197" spans="2:14">
      <c r="B1197" s="127" t="str">
        <f t="shared" si="42"/>
        <v/>
      </c>
      <c r="C1197" s="127" t="str">
        <f t="shared" si="43"/>
        <v/>
      </c>
      <c r="L1197"/>
      <c r="N1197" s="567"/>
    </row>
    <row r="1198" spans="2:14">
      <c r="B1198" s="127" t="str">
        <f t="shared" si="42"/>
        <v/>
      </c>
      <c r="C1198" s="127" t="str">
        <f t="shared" si="43"/>
        <v/>
      </c>
      <c r="L1198"/>
      <c r="N1198" s="567"/>
    </row>
    <row r="1199" spans="2:14">
      <c r="B1199" s="127" t="str">
        <f t="shared" si="42"/>
        <v/>
      </c>
      <c r="C1199" s="127" t="str">
        <f t="shared" si="43"/>
        <v/>
      </c>
      <c r="L1199"/>
      <c r="N1199" s="567"/>
    </row>
    <row r="1200" spans="2:14">
      <c r="B1200" s="127" t="str">
        <f t="shared" si="42"/>
        <v/>
      </c>
      <c r="C1200" s="127" t="str">
        <f t="shared" si="43"/>
        <v/>
      </c>
      <c r="L1200"/>
      <c r="N1200" s="567"/>
    </row>
    <row r="1201" spans="2:14">
      <c r="B1201" s="127" t="str">
        <f t="shared" si="42"/>
        <v/>
      </c>
      <c r="C1201" s="127" t="str">
        <f t="shared" si="43"/>
        <v/>
      </c>
      <c r="L1201"/>
      <c r="M1201" s="589"/>
      <c r="N1201" s="567"/>
    </row>
    <row r="1202" spans="2:14">
      <c r="B1202" s="127" t="str">
        <f t="shared" si="42"/>
        <v/>
      </c>
      <c r="C1202" s="127" t="str">
        <f t="shared" si="43"/>
        <v/>
      </c>
      <c r="L1202"/>
      <c r="M1202" s="589"/>
      <c r="N1202" s="567"/>
    </row>
    <row r="1203" spans="2:14">
      <c r="B1203" s="127" t="str">
        <f t="shared" si="42"/>
        <v/>
      </c>
      <c r="C1203" s="127" t="str">
        <f t="shared" si="43"/>
        <v/>
      </c>
      <c r="L1203"/>
      <c r="M1203" s="589"/>
      <c r="N1203" s="567"/>
    </row>
    <row r="1204" spans="2:14">
      <c r="B1204" s="127" t="str">
        <f t="shared" si="42"/>
        <v/>
      </c>
      <c r="C1204" s="127" t="str">
        <f t="shared" si="43"/>
        <v/>
      </c>
      <c r="L1204"/>
      <c r="M1204" s="589"/>
      <c r="N1204" s="567"/>
    </row>
    <row r="1205" spans="2:14">
      <c r="B1205" s="127" t="str">
        <f t="shared" si="42"/>
        <v/>
      </c>
      <c r="C1205" s="127" t="str">
        <f t="shared" si="43"/>
        <v/>
      </c>
      <c r="L1205"/>
      <c r="M1205" s="589"/>
      <c r="N1205" s="567"/>
    </row>
    <row r="1206" spans="2:14">
      <c r="B1206" s="127" t="str">
        <f t="shared" si="42"/>
        <v/>
      </c>
      <c r="C1206" s="127" t="str">
        <f t="shared" si="43"/>
        <v/>
      </c>
      <c r="D1206" s="579"/>
      <c r="E1206" s="579"/>
      <c r="F1206" s="579"/>
      <c r="G1206" s="579"/>
      <c r="H1206" s="579"/>
      <c r="I1206" s="579"/>
      <c r="J1206" s="579"/>
      <c r="K1206" s="579"/>
      <c r="L1206" s="592"/>
      <c r="M1206" s="589"/>
      <c r="N1206" s="567"/>
    </row>
    <row r="1207" spans="2:14">
      <c r="B1207" s="127" t="str">
        <f t="shared" si="42"/>
        <v xml:space="preserve">9/25/2024 </v>
      </c>
      <c r="C1207" s="127" t="str">
        <f t="shared" si="43"/>
        <v>:13:1</v>
      </c>
      <c r="D1207" s="454" t="s">
        <v>2991</v>
      </c>
      <c r="E1207" s="454"/>
      <c r="F1207" s="399"/>
      <c r="G1207" s="399"/>
      <c r="H1207" s="399"/>
      <c r="I1207" s="399"/>
      <c r="J1207" s="454"/>
      <c r="K1207" s="454"/>
      <c r="L1207" s="593"/>
      <c r="M1207" s="589"/>
      <c r="N1207" s="567"/>
    </row>
    <row r="1208" spans="2:14">
      <c r="B1208" s="127" t="str">
        <f t="shared" si="42"/>
        <v/>
      </c>
      <c r="C1208" s="127" t="str">
        <f t="shared" si="43"/>
        <v/>
      </c>
      <c r="L1208"/>
      <c r="M1208" s="589"/>
      <c r="N1208" s="567"/>
    </row>
    <row r="1209" spans="2:14">
      <c r="B1209" s="127" t="str">
        <f t="shared" si="42"/>
        <v/>
      </c>
      <c r="C1209" s="127" t="str">
        <f t="shared" si="43"/>
        <v/>
      </c>
      <c r="L1209"/>
      <c r="M1209" s="589"/>
      <c r="N1209" s="567"/>
    </row>
    <row r="1210" spans="2:14">
      <c r="B1210" s="127" t="str">
        <f t="shared" si="42"/>
        <v/>
      </c>
      <c r="C1210" s="127" t="str">
        <f t="shared" si="43"/>
        <v/>
      </c>
      <c r="L1210"/>
      <c r="M1210" s="589"/>
      <c r="N1210" s="567"/>
    </row>
    <row r="1211" spans="2:14">
      <c r="B1211" s="127" t="str">
        <f t="shared" si="42"/>
        <v/>
      </c>
      <c r="C1211" s="127" t="str">
        <f t="shared" si="43"/>
        <v/>
      </c>
      <c r="L1211"/>
      <c r="M1211" s="589"/>
      <c r="N1211" s="567"/>
    </row>
    <row r="1212" spans="2:14">
      <c r="B1212" s="127" t="str">
        <f t="shared" si="42"/>
        <v/>
      </c>
      <c r="C1212" s="127" t="str">
        <f t="shared" si="43"/>
        <v/>
      </c>
      <c r="L1212"/>
      <c r="M1212" s="589"/>
      <c r="N1212" s="567"/>
    </row>
    <row r="1213" spans="2:14">
      <c r="B1213" s="127" t="str">
        <f t="shared" si="42"/>
        <v/>
      </c>
      <c r="C1213" s="127" t="str">
        <f t="shared" si="43"/>
        <v/>
      </c>
      <c r="L1213"/>
      <c r="M1213" s="589"/>
      <c r="N1213" s="567"/>
    </row>
    <row r="1214" spans="2:14">
      <c r="B1214" s="127" t="str">
        <f t="shared" si="42"/>
        <v/>
      </c>
      <c r="C1214" s="127" t="str">
        <f t="shared" si="43"/>
        <v/>
      </c>
      <c r="L1214"/>
      <c r="M1214" s="589"/>
      <c r="N1214" s="567"/>
    </row>
    <row r="1215" spans="2:14">
      <c r="B1215" s="127" t="str">
        <f t="shared" si="42"/>
        <v/>
      </c>
      <c r="C1215" s="127" t="str">
        <f t="shared" si="43"/>
        <v/>
      </c>
      <c r="L1215"/>
      <c r="M1215" s="589"/>
      <c r="N1215" s="567"/>
    </row>
    <row r="1216" spans="2:14">
      <c r="B1216" s="127" t="str">
        <f t="shared" si="42"/>
        <v/>
      </c>
      <c r="C1216" s="127" t="str">
        <f t="shared" si="43"/>
        <v/>
      </c>
      <c r="L1216"/>
      <c r="M1216" s="589"/>
      <c r="N1216" s="567"/>
    </row>
    <row r="1217" spans="2:14">
      <c r="B1217" s="127" t="str">
        <f t="shared" si="42"/>
        <v/>
      </c>
      <c r="C1217" s="127" t="str">
        <f t="shared" si="43"/>
        <v/>
      </c>
      <c r="L1217"/>
      <c r="M1217" s="589"/>
      <c r="N1217" s="567"/>
    </row>
    <row r="1218" spans="2:14">
      <c r="B1218" s="127" t="str">
        <f t="shared" si="42"/>
        <v/>
      </c>
      <c r="C1218" s="127" t="str">
        <f t="shared" si="43"/>
        <v/>
      </c>
      <c r="L1218"/>
      <c r="M1218" s="589"/>
      <c r="N1218" s="567"/>
    </row>
    <row r="1219" spans="2:14">
      <c r="B1219" s="127"/>
      <c r="C1219" s="127"/>
      <c r="L1219"/>
      <c r="M1219" s="589"/>
      <c r="N1219" s="567"/>
    </row>
    <row r="1220" spans="2:14">
      <c r="B1220" s="127"/>
      <c r="C1220" s="127"/>
      <c r="L1220"/>
      <c r="M1220" s="589"/>
      <c r="N1220" s="567"/>
    </row>
    <row r="1221" spans="2:14">
      <c r="B1221" s="127"/>
      <c r="C1221" s="127"/>
      <c r="L1221"/>
      <c r="M1221" s="589"/>
      <c r="N1221" s="567"/>
    </row>
    <row r="1222" spans="2:14">
      <c r="B1222" s="127"/>
      <c r="C1222" s="127"/>
      <c r="L1222"/>
      <c r="M1222" s="589"/>
      <c r="N1222" s="567"/>
    </row>
    <row r="1223" spans="2:14">
      <c r="B1223" s="127"/>
      <c r="C1223" s="127"/>
      <c r="L1223"/>
      <c r="M1223" s="589"/>
      <c r="N1223" s="567"/>
    </row>
    <row r="1224" spans="2:14">
      <c r="B1224" s="127"/>
      <c r="C1224" s="127"/>
      <c r="L1224"/>
      <c r="M1224" s="589"/>
      <c r="N1224" s="567"/>
    </row>
    <row r="1225" spans="2:14">
      <c r="B1225" s="127"/>
      <c r="C1225" s="127"/>
      <c r="L1225"/>
      <c r="M1225" s="589"/>
      <c r="N1225" s="567"/>
    </row>
    <row r="1226" spans="2:14">
      <c r="B1226" s="127"/>
      <c r="C1226" s="127"/>
      <c r="L1226"/>
      <c r="M1226" s="589"/>
      <c r="N1226" s="567"/>
    </row>
    <row r="1227" spans="2:14">
      <c r="B1227" s="127"/>
      <c r="C1227" s="127"/>
      <c r="L1227"/>
      <c r="M1227" s="589"/>
      <c r="N1227" s="567"/>
    </row>
    <row r="1228" spans="2:14">
      <c r="B1228" s="127"/>
      <c r="C1228" s="127"/>
      <c r="L1228"/>
      <c r="M1228" s="589"/>
      <c r="N1228" s="567"/>
    </row>
    <row r="1229" spans="2:14">
      <c r="B1229" s="127"/>
      <c r="C1229" s="127"/>
      <c r="L1229"/>
      <c r="M1229" s="589"/>
      <c r="N1229" s="567"/>
    </row>
    <row r="1230" spans="2:14">
      <c r="B1230" s="127"/>
      <c r="C1230" s="127"/>
      <c r="L1230"/>
      <c r="M1230" s="589"/>
      <c r="N1230" s="567"/>
    </row>
    <row r="1231" spans="2:14">
      <c r="B1231" s="127"/>
      <c r="C1231" s="127"/>
      <c r="L1231"/>
      <c r="M1231" s="589"/>
      <c r="N1231" s="567"/>
    </row>
    <row r="1232" spans="2:14">
      <c r="B1232" s="127"/>
      <c r="C1232" s="127"/>
      <c r="L1232"/>
      <c r="M1232" s="589"/>
      <c r="N1232" s="567"/>
    </row>
    <row r="1233" spans="2:14">
      <c r="B1233" s="127"/>
      <c r="C1233" s="127"/>
      <c r="L1233"/>
      <c r="M1233" s="589"/>
      <c r="N1233" s="567"/>
    </row>
    <row r="1234" spans="2:14">
      <c r="B1234" s="127"/>
      <c r="C1234" s="127"/>
      <c r="L1234"/>
      <c r="M1234" s="589"/>
      <c r="N1234" s="567"/>
    </row>
    <row r="1235" spans="2:14">
      <c r="B1235" s="127"/>
      <c r="C1235" s="127"/>
      <c r="L1235"/>
      <c r="M1235" s="589"/>
      <c r="N1235" s="567"/>
    </row>
    <row r="1236" spans="2:14">
      <c r="B1236" s="127"/>
      <c r="C1236" s="127"/>
      <c r="L1236"/>
      <c r="M1236" s="589"/>
      <c r="N1236" s="567"/>
    </row>
    <row r="1237" spans="2:14">
      <c r="B1237" s="127"/>
      <c r="C1237" s="127"/>
      <c r="L1237"/>
      <c r="M1237" s="589"/>
      <c r="N1237" s="567"/>
    </row>
    <row r="1238" spans="2:14">
      <c r="B1238" s="127"/>
      <c r="C1238" s="127"/>
      <c r="L1238"/>
      <c r="M1238" s="589"/>
      <c r="N1238" s="567"/>
    </row>
    <row r="1239" spans="2:14">
      <c r="B1239" s="127"/>
      <c r="C1239" s="127"/>
      <c r="L1239"/>
      <c r="M1239" s="589"/>
      <c r="N1239" s="567"/>
    </row>
    <row r="1240" spans="2:14">
      <c r="B1240" s="127"/>
      <c r="C1240" s="127"/>
      <c r="L1240"/>
      <c r="N1240" s="567"/>
    </row>
    <row r="1241" spans="2:14">
      <c r="B1241" s="127"/>
      <c r="C1241" s="127"/>
      <c r="L1241"/>
      <c r="N1241" s="567"/>
    </row>
    <row r="1242" spans="2:14">
      <c r="B1242" s="127"/>
      <c r="C1242" s="127"/>
      <c r="L1242"/>
      <c r="N1242" s="567"/>
    </row>
    <row r="1243" spans="2:14">
      <c r="B1243" s="127"/>
      <c r="C1243" s="127"/>
      <c r="L1243"/>
      <c r="N1243" s="567"/>
    </row>
    <row r="1244" spans="2:14">
      <c r="B1244" s="127"/>
      <c r="C1244" s="127"/>
      <c r="L1244"/>
      <c r="N1244" s="567"/>
    </row>
    <row r="1245" spans="2:14">
      <c r="B1245" s="127"/>
      <c r="C1245" s="127"/>
      <c r="L1245"/>
      <c r="N1245" s="567"/>
    </row>
    <row r="1246" spans="2:14">
      <c r="B1246" s="127"/>
      <c r="C1246" s="127"/>
      <c r="L1246"/>
      <c r="N1246" s="567"/>
    </row>
    <row r="1247" spans="2:14">
      <c r="B1247" s="127"/>
      <c r="C1247" s="127"/>
      <c r="L1247"/>
      <c r="N1247" s="567"/>
    </row>
    <row r="1248" spans="2:14">
      <c r="B1248" s="127"/>
      <c r="C1248" s="127"/>
      <c r="L1248"/>
    </row>
    <row r="1249" spans="2:12">
      <c r="B1249" s="127"/>
      <c r="C1249" s="127"/>
      <c r="L1249"/>
    </row>
    <row r="1250" spans="2:12">
      <c r="B1250" s="127"/>
      <c r="C1250" s="127"/>
      <c r="L1250"/>
    </row>
    <row r="1251" spans="2:12">
      <c r="B1251" s="127"/>
      <c r="C1251" s="127"/>
      <c r="L1251"/>
    </row>
    <row r="1252" spans="2:12">
      <c r="B1252" s="127"/>
      <c r="C1252" s="127"/>
      <c r="L1252"/>
    </row>
    <row r="1253" spans="2:12">
      <c r="B1253" s="127"/>
      <c r="C1253" s="127"/>
      <c r="L1253"/>
    </row>
    <row r="1254" spans="2:12">
      <c r="B1254" s="127"/>
      <c r="C1254" s="127"/>
      <c r="L1254"/>
    </row>
    <row r="1255" spans="2:12">
      <c r="B1255" s="127"/>
      <c r="C1255" s="127"/>
      <c r="L1255"/>
    </row>
    <row r="1256" spans="2:12">
      <c r="B1256" s="127"/>
      <c r="C1256" s="127"/>
      <c r="L1256"/>
    </row>
    <row r="1257" spans="2:12">
      <c r="B1257" s="127"/>
      <c r="C1257" s="127"/>
      <c r="L1257"/>
    </row>
    <row r="1258" spans="2:12">
      <c r="B1258" s="127"/>
      <c r="C1258" s="127"/>
      <c r="L1258"/>
    </row>
    <row r="1259" spans="2:12">
      <c r="B1259" s="127"/>
      <c r="C1259" s="127"/>
      <c r="L1259"/>
    </row>
    <row r="1260" spans="2:12">
      <c r="B1260" s="127"/>
      <c r="C1260" s="127"/>
      <c r="L1260"/>
    </row>
    <row r="1261" spans="2:12">
      <c r="B1261" s="127"/>
      <c r="C1261" s="127"/>
      <c r="L1261"/>
    </row>
    <row r="1262" spans="2:12">
      <c r="B1262" s="127"/>
      <c r="C1262" s="127"/>
      <c r="L1262"/>
    </row>
    <row r="1263" spans="2:12">
      <c r="B1263" s="127"/>
      <c r="C1263" s="127"/>
      <c r="L1263"/>
    </row>
    <row r="1264" spans="2:12">
      <c r="B1264" s="127"/>
      <c r="C1264" s="127"/>
      <c r="L1264"/>
    </row>
    <row r="1265" spans="2:12">
      <c r="B1265" s="127"/>
      <c r="C1265" s="127"/>
      <c r="L1265"/>
    </row>
    <row r="1266" spans="2:12">
      <c r="B1266" s="127"/>
      <c r="C1266" s="127"/>
      <c r="L1266"/>
    </row>
    <row r="1267" spans="2:12">
      <c r="B1267" s="127"/>
      <c r="C1267" s="127"/>
      <c r="L1267"/>
    </row>
    <row r="1268" spans="2:12">
      <c r="B1268" s="127"/>
      <c r="C1268" s="127"/>
      <c r="L1268"/>
    </row>
    <row r="1269" spans="2:12">
      <c r="B1269" s="127"/>
      <c r="C1269" s="127"/>
      <c r="L1269"/>
    </row>
    <row r="1270" spans="2:12">
      <c r="B1270" s="127"/>
      <c r="C1270" s="127"/>
      <c r="L1270"/>
    </row>
    <row r="1271" spans="2:12">
      <c r="B1271" s="127"/>
      <c r="C1271" s="127"/>
      <c r="L1271"/>
    </row>
    <row r="1272" spans="2:12">
      <c r="B1272" s="127"/>
      <c r="C1272" s="127"/>
      <c r="L1272"/>
    </row>
    <row r="1273" spans="2:12">
      <c r="B1273" s="127"/>
      <c r="C1273" s="127"/>
      <c r="L1273"/>
    </row>
    <row r="1274" spans="2:12">
      <c r="B1274" s="127"/>
      <c r="C1274" s="127"/>
      <c r="L1274"/>
    </row>
    <row r="1275" spans="2:12">
      <c r="B1275" s="127"/>
      <c r="C1275" s="127"/>
      <c r="L1275"/>
    </row>
    <row r="1276" spans="2:12">
      <c r="B1276" s="127"/>
      <c r="C1276" s="127"/>
      <c r="L1276"/>
    </row>
    <row r="1277" spans="2:12">
      <c r="B1277" s="127"/>
      <c r="C1277" s="127"/>
      <c r="L1277"/>
    </row>
    <row r="1278" spans="2:12">
      <c r="B1278" s="127"/>
      <c r="C1278" s="127"/>
      <c r="L1278"/>
    </row>
    <row r="1279" spans="2:12">
      <c r="B1279" s="127"/>
      <c r="C1279" s="127"/>
      <c r="L1279"/>
    </row>
    <row r="1280" spans="2:12">
      <c r="B1280" s="127"/>
      <c r="C1280" s="127"/>
      <c r="L1280"/>
    </row>
    <row r="1281" spans="2:12">
      <c r="B1281" s="127"/>
      <c r="C1281" s="127"/>
      <c r="L1281" s="585"/>
    </row>
    <row r="1282" spans="2:12">
      <c r="B1282" s="127"/>
      <c r="C1282" s="127"/>
      <c r="L1282" s="585"/>
    </row>
    <row r="1283" spans="2:12">
      <c r="B1283" s="127"/>
      <c r="C1283" s="127"/>
      <c r="L1283" s="585"/>
    </row>
    <row r="1284" spans="2:12">
      <c r="B1284" s="127"/>
      <c r="C1284" s="127"/>
      <c r="L1284" s="585"/>
    </row>
    <row r="1285" spans="2:12">
      <c r="B1285" s="127"/>
      <c r="C1285" s="127"/>
      <c r="L1285" s="585"/>
    </row>
    <row r="1286" spans="2:12">
      <c r="B1286" s="127"/>
      <c r="C1286" s="127"/>
      <c r="L1286" s="585"/>
    </row>
    <row r="1287" spans="2:12">
      <c r="B1287" s="127"/>
      <c r="C1287" s="127"/>
      <c r="L1287" s="585"/>
    </row>
    <row r="1288" spans="2:12">
      <c r="B1288" s="127"/>
      <c r="C1288" s="127"/>
      <c r="L1288" s="585"/>
    </row>
    <row r="1289" spans="2:12">
      <c r="B1289" s="127"/>
      <c r="C1289" s="127"/>
      <c r="L1289" s="584"/>
    </row>
    <row r="1290" spans="2:12">
      <c r="B1290" s="127"/>
      <c r="C1290" s="127"/>
      <c r="L1290" s="585"/>
    </row>
    <row r="1291" spans="2:12">
      <c r="B1291" s="127"/>
      <c r="C1291" s="127"/>
      <c r="L1291" s="585"/>
    </row>
    <row r="1292" spans="2:12">
      <c r="B1292" s="127"/>
      <c r="C1292" s="127"/>
      <c r="L1292" s="584"/>
    </row>
    <row r="1293" spans="2:12">
      <c r="B1293" s="127"/>
      <c r="C1293" s="127"/>
      <c r="L1293" s="584"/>
    </row>
    <row r="1294" spans="2:12">
      <c r="B1294" s="127"/>
      <c r="C1294" s="127"/>
      <c r="L1294" s="585"/>
    </row>
    <row r="1295" spans="2:12">
      <c r="B1295" s="127"/>
      <c r="C1295" s="127"/>
      <c r="L1295" s="585"/>
    </row>
    <row r="1296" spans="2:12">
      <c r="B1296" s="127"/>
      <c r="C1296" s="127"/>
      <c r="L1296" s="585"/>
    </row>
    <row r="1297" spans="2:12">
      <c r="B1297" s="127"/>
      <c r="C1297" s="127"/>
      <c r="L1297" s="585"/>
    </row>
    <row r="1298" spans="2:12">
      <c r="B1298" s="127"/>
      <c r="C1298" s="127"/>
      <c r="L1298" s="585"/>
    </row>
    <row r="1299" spans="2:12">
      <c r="B1299" s="127"/>
      <c r="C1299" s="127"/>
      <c r="L1299" s="585"/>
    </row>
    <row r="1300" spans="2:12">
      <c r="B1300" s="127"/>
      <c r="C1300" s="127"/>
      <c r="L1300" s="585"/>
    </row>
    <row r="1301" spans="2:12">
      <c r="B1301" s="127"/>
      <c r="C1301" s="127"/>
      <c r="L1301" s="585"/>
    </row>
    <row r="1302" spans="2:12">
      <c r="B1302" s="127"/>
      <c r="C1302" s="127"/>
      <c r="L1302" s="585"/>
    </row>
    <row r="1303" spans="2:12">
      <c r="B1303" s="127"/>
      <c r="C1303" s="127"/>
      <c r="L1303" s="585"/>
    </row>
    <row r="1304" spans="2:12">
      <c r="B1304" s="127"/>
      <c r="C1304" s="127"/>
      <c r="L1304" s="585"/>
    </row>
    <row r="1305" spans="2:12">
      <c r="B1305" s="127"/>
      <c r="C1305" s="127"/>
      <c r="L1305" s="585"/>
    </row>
    <row r="1306" spans="2:12">
      <c r="B1306" s="127"/>
      <c r="C1306" s="127"/>
      <c r="L1306" s="585"/>
    </row>
    <row r="1307" spans="2:12">
      <c r="B1307" s="127"/>
      <c r="C1307" s="127"/>
      <c r="L1307" s="585"/>
    </row>
    <row r="1308" spans="2:12">
      <c r="B1308" s="127"/>
      <c r="C1308" s="127"/>
      <c r="L1308" s="585"/>
    </row>
    <row r="1309" spans="2:12">
      <c r="B1309" s="127"/>
      <c r="C1309" s="127"/>
      <c r="L1309" s="585"/>
    </row>
    <row r="1310" spans="2:12">
      <c r="B1310" s="127"/>
      <c r="C1310" s="127"/>
      <c r="L1310" s="585"/>
    </row>
    <row r="1311" spans="2:12">
      <c r="B1311" s="127"/>
      <c r="C1311" s="127"/>
      <c r="L1311" s="585"/>
    </row>
    <row r="1312" spans="2:12">
      <c r="B1312" s="127"/>
      <c r="C1312" s="127"/>
      <c r="L1312" s="585"/>
    </row>
    <row r="1313" spans="2:12">
      <c r="B1313" s="127"/>
      <c r="C1313" s="127"/>
      <c r="L1313" s="585"/>
    </row>
    <row r="1314" spans="2:12">
      <c r="B1314" s="127"/>
      <c r="C1314" s="127"/>
      <c r="L1314" s="585"/>
    </row>
    <row r="1315" spans="2:12">
      <c r="B1315" s="127"/>
      <c r="C1315" s="127"/>
      <c r="L1315" s="585"/>
    </row>
    <row r="1316" spans="2:12">
      <c r="B1316" s="127"/>
      <c r="C1316" s="127"/>
      <c r="L1316" s="585"/>
    </row>
    <row r="1317" spans="2:12">
      <c r="B1317" s="127"/>
      <c r="C1317" s="127"/>
      <c r="L1317" s="585"/>
    </row>
    <row r="1318" spans="2:12">
      <c r="B1318" s="127"/>
      <c r="C1318" s="127"/>
      <c r="L1318" s="585"/>
    </row>
    <row r="1319" spans="2:12">
      <c r="B1319" s="127"/>
      <c r="C1319" s="127"/>
      <c r="L1319" s="585"/>
    </row>
    <row r="1320" spans="2:12">
      <c r="B1320" s="127"/>
      <c r="C1320" s="127"/>
      <c r="L1320" s="585"/>
    </row>
    <row r="1321" spans="2:12">
      <c r="B1321" s="127"/>
      <c r="C1321" s="127"/>
      <c r="L1321" s="585"/>
    </row>
    <row r="1322" spans="2:12">
      <c r="B1322" s="127"/>
      <c r="C1322" s="127"/>
      <c r="L1322" s="585"/>
    </row>
    <row r="1323" spans="2:12">
      <c r="B1323" s="127"/>
      <c r="C1323" s="127"/>
      <c r="L1323" s="585"/>
    </row>
    <row r="1324" spans="2:12">
      <c r="B1324" s="127"/>
      <c r="C1324" s="127"/>
      <c r="L1324" s="585"/>
    </row>
    <row r="1325" spans="2:12">
      <c r="B1325" s="127"/>
      <c r="C1325" s="127"/>
      <c r="L1325" s="585"/>
    </row>
    <row r="1326" spans="2:12">
      <c r="B1326" s="127"/>
      <c r="C1326" s="127"/>
      <c r="L1326" s="585"/>
    </row>
    <row r="1327" spans="2:12">
      <c r="B1327" s="127"/>
      <c r="C1327" s="127"/>
      <c r="L1327" s="585"/>
    </row>
    <row r="1328" spans="2:12">
      <c r="B1328" s="127"/>
      <c r="C1328" s="127"/>
      <c r="L1328" s="585"/>
    </row>
    <row r="1329" spans="2:12">
      <c r="B1329" s="127"/>
      <c r="C1329" s="127"/>
      <c r="L1329" s="584"/>
    </row>
    <row r="1330" spans="2:12">
      <c r="B1330" s="127"/>
      <c r="C1330" s="127"/>
      <c r="L1330" s="584"/>
    </row>
    <row r="1331" spans="2:12">
      <c r="B1331" s="127"/>
      <c r="C1331" s="127"/>
      <c r="L1331" s="585"/>
    </row>
    <row r="1332" spans="2:12">
      <c r="B1332" s="127"/>
      <c r="C1332" s="127"/>
      <c r="L1332" s="584"/>
    </row>
    <row r="1333" spans="2:12">
      <c r="B1333" s="127"/>
      <c r="C1333" s="127"/>
      <c r="L1333" s="585"/>
    </row>
    <row r="1334" spans="2:12">
      <c r="B1334" s="127"/>
      <c r="C1334" s="127"/>
      <c r="L1334" s="585"/>
    </row>
    <row r="1335" spans="2:12">
      <c r="B1335" s="127"/>
      <c r="C1335" s="127"/>
      <c r="L1335" s="585"/>
    </row>
    <row r="1336" spans="2:12">
      <c r="B1336" s="127"/>
      <c r="C1336" s="127"/>
      <c r="L1336" s="585"/>
    </row>
    <row r="1337" spans="2:12">
      <c r="B1337" s="127"/>
      <c r="C1337" s="127"/>
      <c r="L1337" s="585"/>
    </row>
    <row r="1338" spans="2:12">
      <c r="B1338" s="127"/>
      <c r="C1338" s="127"/>
      <c r="L1338" s="585"/>
    </row>
    <row r="1339" spans="2:12">
      <c r="B1339" s="127"/>
      <c r="C1339" s="127"/>
      <c r="L1339" s="585"/>
    </row>
    <row r="1340" spans="2:12">
      <c r="B1340" s="127"/>
      <c r="C1340" s="127"/>
      <c r="L1340" s="585"/>
    </row>
    <row r="1341" spans="2:12">
      <c r="B1341" s="127"/>
      <c r="C1341" s="127"/>
      <c r="L1341" s="585"/>
    </row>
    <row r="1342" spans="2:12">
      <c r="B1342" s="127"/>
      <c r="C1342" s="127"/>
      <c r="L1342" s="584"/>
    </row>
    <row r="1343" spans="2:12">
      <c r="B1343" s="127"/>
      <c r="C1343" s="127"/>
      <c r="L1343" s="585"/>
    </row>
    <row r="1344" spans="2:12">
      <c r="B1344" s="127"/>
      <c r="C1344" s="127"/>
      <c r="L1344" s="585"/>
    </row>
    <row r="1345" spans="2:12">
      <c r="B1345" s="127"/>
      <c r="C1345" s="127"/>
      <c r="L1345" s="584"/>
    </row>
    <row r="1346" spans="2:12">
      <c r="B1346" s="127"/>
      <c r="C1346" s="127"/>
      <c r="L1346" s="584"/>
    </row>
    <row r="1347" spans="2:12">
      <c r="B1347" s="127"/>
      <c r="C1347" s="127"/>
      <c r="L1347" s="585"/>
    </row>
    <row r="1348" spans="2:12">
      <c r="B1348" s="127"/>
      <c r="C1348" s="127"/>
      <c r="L1348" s="585"/>
    </row>
    <row r="1349" spans="2:12">
      <c r="B1349" s="127"/>
      <c r="C1349" s="127"/>
      <c r="L1349" s="585"/>
    </row>
    <row r="1350" spans="2:12">
      <c r="B1350" s="127"/>
      <c r="C1350" s="127"/>
      <c r="L1350" s="585"/>
    </row>
    <row r="1351" spans="2:12">
      <c r="B1351" s="127"/>
      <c r="C1351" s="127"/>
      <c r="L1351" s="585"/>
    </row>
    <row r="1352" spans="2:12">
      <c r="B1352" s="127"/>
      <c r="C1352" s="127"/>
      <c r="L1352" s="585"/>
    </row>
    <row r="1353" spans="2:12">
      <c r="B1353" s="127"/>
      <c r="C1353" s="127"/>
      <c r="L1353" s="585"/>
    </row>
    <row r="1354" spans="2:12">
      <c r="B1354" s="127"/>
      <c r="C1354" s="127"/>
      <c r="L1354" s="585"/>
    </row>
    <row r="1355" spans="2:12">
      <c r="B1355" s="127"/>
      <c r="C1355" s="127"/>
      <c r="L1355" s="585"/>
    </row>
    <row r="1356" spans="2:12">
      <c r="B1356" s="127"/>
      <c r="C1356" s="127"/>
      <c r="L1356" s="585"/>
    </row>
    <row r="1357" spans="2:12">
      <c r="B1357" s="127"/>
      <c r="C1357" s="127"/>
      <c r="L1357" s="585"/>
    </row>
    <row r="1358" spans="2:12">
      <c r="B1358" s="127"/>
      <c r="C1358" s="127"/>
      <c r="L1358" s="585"/>
    </row>
    <row r="1359" spans="2:12">
      <c r="B1359" s="127"/>
      <c r="C1359" s="127"/>
      <c r="L1359" s="585"/>
    </row>
    <row r="1360" spans="2:12">
      <c r="B1360" s="127"/>
      <c r="C1360" s="127"/>
      <c r="L1360" s="584"/>
    </row>
    <row r="1361" spans="2:12">
      <c r="B1361" s="127"/>
      <c r="C1361" s="127"/>
      <c r="L1361" s="585"/>
    </row>
    <row r="1362" spans="2:12">
      <c r="B1362" s="127"/>
      <c r="C1362" s="127"/>
      <c r="L1362" s="585"/>
    </row>
    <row r="1363" spans="2:12">
      <c r="B1363" s="127"/>
      <c r="C1363" s="127"/>
      <c r="L1363" s="584"/>
    </row>
    <row r="1364" spans="2:12">
      <c r="B1364" s="127"/>
      <c r="C1364" s="127"/>
      <c r="L1364" s="585"/>
    </row>
    <row r="1365" spans="2:12">
      <c r="B1365" s="127"/>
      <c r="C1365" s="127"/>
      <c r="L1365" s="585"/>
    </row>
    <row r="1366" spans="2:12">
      <c r="B1366" s="127"/>
      <c r="C1366" s="127"/>
      <c r="L1366" s="585"/>
    </row>
    <row r="1367" spans="2:12">
      <c r="B1367" s="127"/>
      <c r="C1367" s="127"/>
      <c r="L1367" s="584"/>
    </row>
    <row r="1368" spans="2:12">
      <c r="B1368" s="127"/>
      <c r="C1368" s="127"/>
      <c r="L1368" s="584"/>
    </row>
    <row r="1369" spans="2:12">
      <c r="B1369" s="127"/>
      <c r="C1369" s="127"/>
      <c r="L1369" s="585"/>
    </row>
    <row r="1370" spans="2:12">
      <c r="B1370" s="127"/>
      <c r="C1370" s="127"/>
      <c r="L1370" s="585"/>
    </row>
    <row r="1371" spans="2:12">
      <c r="B1371" s="127"/>
      <c r="C1371" s="127"/>
      <c r="L1371" s="585"/>
    </row>
    <row r="1372" spans="2:12">
      <c r="B1372" s="127"/>
      <c r="C1372" s="127"/>
      <c r="L1372" s="585"/>
    </row>
    <row r="1373" spans="2:12">
      <c r="B1373" s="127"/>
      <c r="C1373" s="127"/>
      <c r="L1373" s="585"/>
    </row>
    <row r="1374" spans="2:12">
      <c r="B1374" s="127"/>
      <c r="C1374" s="127"/>
      <c r="L1374" s="585"/>
    </row>
    <row r="1375" spans="2:12">
      <c r="B1375" s="127"/>
      <c r="C1375" s="127"/>
      <c r="L1375" s="585"/>
    </row>
    <row r="1376" spans="2:12">
      <c r="B1376" s="127"/>
      <c r="C1376" s="127"/>
      <c r="L1376" s="585"/>
    </row>
    <row r="1377" spans="2:12">
      <c r="B1377" s="127"/>
      <c r="C1377" s="127"/>
      <c r="L1377" s="585"/>
    </row>
    <row r="1378" spans="2:12">
      <c r="B1378" s="127"/>
      <c r="C1378" s="127"/>
      <c r="L1378" s="584"/>
    </row>
    <row r="1379" spans="2:12">
      <c r="B1379" s="127"/>
      <c r="C1379" s="127"/>
      <c r="L1379" s="585"/>
    </row>
    <row r="1380" spans="2:12">
      <c r="B1380" s="127"/>
      <c r="C1380" s="127"/>
      <c r="L1380" s="585"/>
    </row>
    <row r="1381" spans="2:12">
      <c r="B1381" s="127"/>
      <c r="C1381" s="127"/>
      <c r="L1381" s="585"/>
    </row>
    <row r="1382" spans="2:12">
      <c r="B1382" s="127"/>
      <c r="C1382" s="127"/>
      <c r="L1382" s="585"/>
    </row>
    <row r="1383" spans="2:12">
      <c r="B1383" s="127"/>
      <c r="C1383" s="127"/>
      <c r="L1383" s="585"/>
    </row>
    <row r="1384" spans="2:12">
      <c r="B1384" s="127"/>
      <c r="C1384" s="127"/>
      <c r="L1384" s="585"/>
    </row>
    <row r="1385" spans="2:12">
      <c r="B1385" s="127"/>
      <c r="C1385" s="127"/>
      <c r="L1385" s="585"/>
    </row>
    <row r="1386" spans="2:12">
      <c r="B1386" s="127"/>
      <c r="C1386" s="127"/>
      <c r="L1386" s="585"/>
    </row>
    <row r="1387" spans="2:12">
      <c r="B1387" s="127"/>
      <c r="C1387" s="127"/>
      <c r="L1387" s="585"/>
    </row>
    <row r="1388" spans="2:12">
      <c r="B1388" s="127"/>
      <c r="C1388" s="127"/>
      <c r="L1388" s="585"/>
    </row>
    <row r="1389" spans="2:12">
      <c r="B1389" s="127"/>
      <c r="C1389" s="127"/>
      <c r="L1389" s="585"/>
    </row>
    <row r="1390" spans="2:12">
      <c r="B1390" s="127"/>
      <c r="C1390" s="127"/>
      <c r="L1390" s="585"/>
    </row>
    <row r="1391" spans="2:12">
      <c r="B1391" s="127"/>
      <c r="C1391" s="127"/>
      <c r="L1391" s="585"/>
    </row>
    <row r="1392" spans="2:12">
      <c r="B1392" s="127"/>
      <c r="C1392" s="127"/>
      <c r="L1392" s="585"/>
    </row>
    <row r="1393" spans="2:12">
      <c r="B1393" s="127"/>
      <c r="C1393" s="127"/>
      <c r="L1393" s="585"/>
    </row>
    <row r="1394" spans="2:12">
      <c r="B1394" s="127"/>
      <c r="C1394" s="127"/>
      <c r="L1394" s="584"/>
    </row>
    <row r="1395" spans="2:12">
      <c r="B1395" s="127"/>
      <c r="C1395" s="127"/>
      <c r="L1395" s="585"/>
    </row>
    <row r="1396" spans="2:12">
      <c r="B1396" s="127"/>
      <c r="C1396" s="127"/>
      <c r="L1396" s="585"/>
    </row>
    <row r="1397" spans="2:12">
      <c r="B1397" s="127"/>
      <c r="C1397" s="127"/>
      <c r="L1397" s="585"/>
    </row>
    <row r="1398" spans="2:12">
      <c r="B1398" s="127"/>
      <c r="C1398" s="127"/>
      <c r="L1398" s="584"/>
    </row>
    <row r="1399" spans="2:12">
      <c r="B1399" s="127"/>
      <c r="C1399" s="127"/>
      <c r="L1399" s="585"/>
    </row>
    <row r="1400" spans="2:12">
      <c r="B1400" s="127"/>
      <c r="C1400" s="127"/>
      <c r="L1400" s="585"/>
    </row>
    <row r="1401" spans="2:12">
      <c r="B1401" s="127"/>
      <c r="C1401" s="127"/>
      <c r="L1401" s="585"/>
    </row>
    <row r="1402" spans="2:12">
      <c r="B1402" s="127"/>
      <c r="C1402" s="127"/>
      <c r="L1402" s="585"/>
    </row>
    <row r="1403" spans="2:12">
      <c r="B1403" s="127"/>
      <c r="C1403" s="127"/>
      <c r="L1403" s="585"/>
    </row>
    <row r="1404" spans="2:12">
      <c r="B1404" s="127"/>
      <c r="C1404" s="127"/>
      <c r="L1404" s="584"/>
    </row>
    <row r="1405" spans="2:12">
      <c r="B1405" s="127"/>
      <c r="C1405" s="127"/>
      <c r="L1405" s="585"/>
    </row>
    <row r="1406" spans="2:12">
      <c r="B1406" s="127"/>
      <c r="C1406" s="127"/>
      <c r="L1406" s="585"/>
    </row>
    <row r="1407" spans="2:12">
      <c r="B1407" s="127"/>
      <c r="C1407" s="127"/>
      <c r="L1407" s="585"/>
    </row>
    <row r="1408" spans="2:12">
      <c r="B1408" s="127"/>
      <c r="C1408" s="127"/>
      <c r="L1408" s="585"/>
    </row>
    <row r="1409" spans="2:12">
      <c r="B1409" s="127"/>
      <c r="C1409" s="127"/>
      <c r="L1409" s="585"/>
    </row>
    <row r="1410" spans="2:12">
      <c r="B1410" s="127"/>
      <c r="C1410" s="127"/>
      <c r="L1410" s="585"/>
    </row>
    <row r="1411" spans="2:12">
      <c r="B1411" s="127"/>
      <c r="C1411" s="127"/>
      <c r="L1411" s="585"/>
    </row>
    <row r="1412" spans="2:12">
      <c r="B1412" s="127"/>
      <c r="C1412" s="127"/>
      <c r="L1412" s="585"/>
    </row>
    <row r="1413" spans="2:12">
      <c r="B1413" s="127"/>
      <c r="C1413" s="127"/>
      <c r="L1413" s="585"/>
    </row>
    <row r="1414" spans="2:12">
      <c r="B1414" s="127"/>
      <c r="C1414" s="127"/>
      <c r="L1414" s="584"/>
    </row>
    <row r="1415" spans="2:12">
      <c r="B1415" s="127"/>
      <c r="C1415" s="127"/>
      <c r="L1415" s="585"/>
    </row>
    <row r="1416" spans="2:12">
      <c r="B1416" s="127"/>
      <c r="C1416" s="127"/>
      <c r="L1416" s="585"/>
    </row>
    <row r="1417" spans="2:12">
      <c r="B1417" s="127"/>
      <c r="C1417" s="127"/>
      <c r="L1417" s="585"/>
    </row>
    <row r="1418" spans="2:12">
      <c r="B1418" s="127"/>
      <c r="C1418" s="127"/>
      <c r="L1418" s="585"/>
    </row>
    <row r="1419" spans="2:12">
      <c r="B1419" s="127"/>
      <c r="C1419" s="127"/>
      <c r="L1419" s="585"/>
    </row>
    <row r="1420" spans="2:12">
      <c r="B1420" s="127"/>
      <c r="C1420" s="127"/>
      <c r="L1420" s="584"/>
    </row>
    <row r="1421" spans="2:12">
      <c r="B1421" s="127"/>
      <c r="C1421" s="127"/>
      <c r="L1421" s="585"/>
    </row>
    <row r="1422" spans="2:12">
      <c r="B1422" s="127"/>
      <c r="C1422" s="127"/>
      <c r="L1422" s="585"/>
    </row>
    <row r="1423" spans="2:12">
      <c r="B1423" s="127"/>
      <c r="C1423" s="127"/>
      <c r="L1423" s="585"/>
    </row>
    <row r="1424" spans="2:12">
      <c r="B1424" s="127"/>
      <c r="C1424" s="127"/>
      <c r="L1424" s="585"/>
    </row>
    <row r="1425" spans="2:12">
      <c r="B1425" s="127"/>
      <c r="C1425" s="127"/>
      <c r="L1425" s="585"/>
    </row>
    <row r="1426" spans="2:12">
      <c r="B1426" s="127"/>
      <c r="C1426" s="127"/>
      <c r="L1426" s="585"/>
    </row>
    <row r="1427" spans="2:12">
      <c r="B1427" s="127"/>
      <c r="C1427" s="127"/>
      <c r="L1427" s="584"/>
    </row>
    <row r="1428" spans="2:12">
      <c r="B1428" s="127"/>
      <c r="C1428" s="127"/>
      <c r="L1428" s="585"/>
    </row>
    <row r="1429" spans="2:12">
      <c r="B1429" s="127"/>
      <c r="C1429" s="127"/>
      <c r="L1429" s="585"/>
    </row>
    <row r="1430" spans="2:12">
      <c r="B1430" s="127"/>
      <c r="C1430" s="127"/>
      <c r="L1430" s="585"/>
    </row>
    <row r="1431" spans="2:12">
      <c r="B1431" s="127"/>
      <c r="C1431" s="127"/>
      <c r="L1431" s="585"/>
    </row>
    <row r="1432" spans="2:12">
      <c r="B1432" s="127"/>
      <c r="C1432" s="127"/>
      <c r="L1432" s="585"/>
    </row>
    <row r="1433" spans="2:12">
      <c r="B1433" s="127"/>
      <c r="C1433" s="127"/>
      <c r="L1433" s="585"/>
    </row>
    <row r="1434" spans="2:12">
      <c r="B1434" s="127"/>
      <c r="C1434" s="127"/>
      <c r="L1434" s="585"/>
    </row>
    <row r="1435" spans="2:12">
      <c r="B1435" s="127"/>
      <c r="C1435" s="127"/>
      <c r="L1435" s="585"/>
    </row>
    <row r="1436" spans="2:12">
      <c r="B1436" s="127"/>
      <c r="C1436" s="127"/>
      <c r="L1436" s="585"/>
    </row>
    <row r="1437" spans="2:12">
      <c r="B1437" s="127"/>
      <c r="C1437" s="127"/>
      <c r="L1437" s="584"/>
    </row>
    <row r="1438" spans="2:12">
      <c r="B1438" s="127"/>
      <c r="C1438" s="127"/>
      <c r="L1438" s="585"/>
    </row>
    <row r="1439" spans="2:12">
      <c r="B1439" s="127"/>
      <c r="C1439" s="127"/>
      <c r="L1439" s="585"/>
    </row>
    <row r="1440" spans="2:12">
      <c r="B1440" s="127"/>
      <c r="C1440" s="127"/>
      <c r="L1440" s="585"/>
    </row>
    <row r="1441" spans="2:12">
      <c r="B1441" s="127"/>
      <c r="C1441" s="127"/>
      <c r="L1441" s="584"/>
    </row>
    <row r="1442" spans="2:12">
      <c r="B1442" s="127"/>
      <c r="C1442" s="127"/>
      <c r="L1442" s="584"/>
    </row>
    <row r="1443" spans="2:12">
      <c r="B1443" s="127"/>
      <c r="C1443" s="127"/>
      <c r="L1443" s="585"/>
    </row>
    <row r="1444" spans="2:12">
      <c r="B1444" s="127"/>
      <c r="C1444" s="127"/>
      <c r="L1444" s="585"/>
    </row>
    <row r="1445" spans="2:12">
      <c r="B1445" s="127"/>
      <c r="C1445" s="127"/>
      <c r="L1445" s="585"/>
    </row>
    <row r="1446" spans="2:12">
      <c r="B1446" s="127"/>
      <c r="C1446" s="127"/>
      <c r="L1446" s="585"/>
    </row>
    <row r="1447" spans="2:12">
      <c r="B1447" s="127"/>
      <c r="C1447" s="127"/>
      <c r="L1447" s="585"/>
    </row>
    <row r="1448" spans="2:12">
      <c r="B1448" s="127"/>
      <c r="C1448" s="127"/>
      <c r="L1448" s="585"/>
    </row>
    <row r="1449" spans="2:12">
      <c r="B1449" s="127"/>
      <c r="C1449" s="127"/>
      <c r="L1449" s="585"/>
    </row>
    <row r="1450" spans="2:12">
      <c r="B1450" s="127"/>
      <c r="C1450" s="127"/>
      <c r="L1450" s="585"/>
    </row>
    <row r="1451" spans="2:12">
      <c r="B1451" s="127"/>
      <c r="C1451" s="127"/>
      <c r="L1451" s="585"/>
    </row>
    <row r="1452" spans="2:12">
      <c r="B1452" s="127"/>
      <c r="C1452" s="127"/>
      <c r="L1452" s="585"/>
    </row>
    <row r="1453" spans="2:12">
      <c r="B1453" s="127"/>
      <c r="C1453" s="127"/>
      <c r="L1453" s="585"/>
    </row>
    <row r="1454" spans="2:12">
      <c r="B1454" s="127"/>
      <c r="C1454" s="127"/>
      <c r="L1454" s="584"/>
    </row>
    <row r="1455" spans="2:12">
      <c r="B1455" s="127"/>
      <c r="C1455" s="127"/>
      <c r="L1455" s="585"/>
    </row>
    <row r="1456" spans="2:12">
      <c r="B1456" s="127"/>
      <c r="C1456" s="127"/>
      <c r="L1456" s="585"/>
    </row>
    <row r="1457" spans="2:12">
      <c r="B1457" s="127"/>
      <c r="C1457" s="127"/>
      <c r="L1457" s="585"/>
    </row>
    <row r="1458" spans="2:12">
      <c r="B1458" s="127"/>
      <c r="C1458" s="127"/>
      <c r="L1458" s="585"/>
    </row>
    <row r="1459" spans="2:12">
      <c r="B1459" s="127"/>
      <c r="C1459" s="127"/>
      <c r="L1459" s="585"/>
    </row>
    <row r="1460" spans="2:12">
      <c r="B1460" s="127"/>
      <c r="C1460" s="127"/>
      <c r="L1460" s="585"/>
    </row>
    <row r="1461" spans="2:12">
      <c r="B1461" s="127"/>
      <c r="C1461" s="127"/>
      <c r="L1461" s="585"/>
    </row>
    <row r="1462" spans="2:12">
      <c r="B1462" s="127"/>
      <c r="C1462" s="127"/>
      <c r="L1462" s="585"/>
    </row>
    <row r="1463" spans="2:12">
      <c r="B1463" s="127"/>
      <c r="C1463" s="127"/>
      <c r="L1463" s="585"/>
    </row>
    <row r="1464" spans="2:12">
      <c r="B1464" s="127"/>
      <c r="C1464" s="127"/>
      <c r="L1464" s="584"/>
    </row>
    <row r="1465" spans="2:12">
      <c r="B1465" s="127"/>
      <c r="C1465" s="127"/>
      <c r="L1465" s="585"/>
    </row>
    <row r="1466" spans="2:12">
      <c r="B1466" s="127"/>
      <c r="C1466" s="127"/>
      <c r="L1466" s="584"/>
    </row>
    <row r="1467" spans="2:12">
      <c r="B1467" s="127"/>
      <c r="C1467" s="127"/>
      <c r="L1467" s="585"/>
    </row>
    <row r="1468" spans="2:12">
      <c r="B1468" s="127"/>
      <c r="C1468" s="127"/>
      <c r="L1468" s="585"/>
    </row>
    <row r="1469" spans="2:12">
      <c r="B1469" s="127"/>
      <c r="C1469" s="127"/>
      <c r="L1469" s="584"/>
    </row>
    <row r="1470" spans="2:12">
      <c r="B1470" s="127"/>
      <c r="C1470" s="127"/>
      <c r="L1470" s="585"/>
    </row>
    <row r="1471" spans="2:12">
      <c r="B1471" s="127"/>
      <c r="C1471" s="127"/>
      <c r="L1471" s="584"/>
    </row>
    <row r="1472" spans="2:12">
      <c r="B1472" s="127"/>
      <c r="C1472" s="127"/>
      <c r="L1472" s="585"/>
    </row>
    <row r="1473" spans="2:12">
      <c r="B1473" s="127"/>
      <c r="C1473" s="127"/>
      <c r="L1473" s="585"/>
    </row>
    <row r="1474" spans="2:12">
      <c r="B1474" s="127"/>
      <c r="C1474" s="127"/>
      <c r="L1474" s="585"/>
    </row>
    <row r="1475" spans="2:12">
      <c r="B1475" s="127"/>
      <c r="C1475" s="127"/>
      <c r="L1475" s="585"/>
    </row>
    <row r="1476" spans="2:12">
      <c r="B1476" s="127"/>
      <c r="C1476" s="127"/>
      <c r="L1476" s="585"/>
    </row>
    <row r="1477" spans="2:12">
      <c r="B1477" s="127"/>
      <c r="C1477" s="127"/>
      <c r="L1477" s="585"/>
    </row>
    <row r="1478" spans="2:12">
      <c r="B1478" s="127"/>
      <c r="C1478" s="127"/>
      <c r="L1478" s="585"/>
    </row>
    <row r="1479" spans="2:12">
      <c r="B1479" s="127"/>
      <c r="C1479" s="127"/>
      <c r="L1479" s="585"/>
    </row>
    <row r="1480" spans="2:12">
      <c r="B1480" s="127"/>
      <c r="C1480" s="127"/>
      <c r="L1480" s="585"/>
    </row>
    <row r="1481" spans="2:12">
      <c r="B1481" s="127"/>
      <c r="C1481" s="127"/>
      <c r="L1481" s="585"/>
    </row>
    <row r="1482" spans="2:12">
      <c r="B1482" s="127"/>
      <c r="C1482" s="127"/>
      <c r="L1482" s="585"/>
    </row>
    <row r="1483" spans="2:12">
      <c r="B1483" s="127"/>
      <c r="C1483" s="127"/>
      <c r="L1483" s="585"/>
    </row>
    <row r="1484" spans="2:12">
      <c r="B1484" s="127"/>
      <c r="C1484" s="127"/>
      <c r="L1484" s="585"/>
    </row>
    <row r="1485" spans="2:12">
      <c r="B1485" s="127"/>
      <c r="C1485" s="127"/>
      <c r="L1485" s="584"/>
    </row>
    <row r="1486" spans="2:12">
      <c r="B1486" s="127"/>
      <c r="C1486" s="127"/>
      <c r="L1486" s="584"/>
    </row>
    <row r="1487" spans="2:12">
      <c r="B1487" s="127"/>
      <c r="C1487" s="127"/>
      <c r="L1487" s="585"/>
    </row>
    <row r="1488" spans="2:12">
      <c r="B1488" s="127"/>
      <c r="C1488" s="127"/>
      <c r="L1488" s="585"/>
    </row>
    <row r="1489" spans="2:12">
      <c r="B1489" s="127"/>
      <c r="C1489" s="127"/>
      <c r="L1489" s="585"/>
    </row>
    <row r="1490" spans="2:12">
      <c r="B1490" s="127"/>
      <c r="C1490" s="127"/>
      <c r="L1490" s="585"/>
    </row>
    <row r="1491" spans="2:12">
      <c r="B1491" s="127"/>
      <c r="C1491" s="127"/>
      <c r="L1491" s="585"/>
    </row>
    <row r="1492" spans="2:12">
      <c r="B1492" s="127"/>
      <c r="C1492" s="127"/>
      <c r="L1492" s="585"/>
    </row>
    <row r="1493" spans="2:12">
      <c r="B1493" s="127"/>
      <c r="C1493" s="127"/>
      <c r="L1493" s="585"/>
    </row>
    <row r="1494" spans="2:12">
      <c r="B1494" s="127"/>
      <c r="C1494" s="127"/>
      <c r="L1494" s="585"/>
    </row>
    <row r="1495" spans="2:12">
      <c r="B1495" s="127"/>
      <c r="C1495" s="127"/>
      <c r="L1495" s="585"/>
    </row>
    <row r="1496" spans="2:12">
      <c r="B1496" s="127"/>
      <c r="C1496" s="127"/>
      <c r="L1496" s="585"/>
    </row>
    <row r="1497" spans="2:12">
      <c r="B1497" s="127"/>
      <c r="C1497" s="127"/>
      <c r="L1497" s="585"/>
    </row>
    <row r="1498" spans="2:12">
      <c r="B1498" s="127"/>
      <c r="C1498" s="127"/>
      <c r="L1498" s="585"/>
    </row>
    <row r="1499" spans="2:12">
      <c r="B1499" s="127"/>
      <c r="C1499" s="127"/>
      <c r="L1499" s="585"/>
    </row>
    <row r="1500" spans="2:12">
      <c r="B1500" s="127"/>
      <c r="C1500" s="127"/>
      <c r="L1500" s="585"/>
    </row>
    <row r="1501" spans="2:12">
      <c r="B1501" s="127"/>
      <c r="C1501" s="127"/>
      <c r="L1501" s="584"/>
    </row>
    <row r="1502" spans="2:12">
      <c r="B1502" s="127"/>
      <c r="C1502" s="127"/>
      <c r="L1502" s="584"/>
    </row>
    <row r="1503" spans="2:12">
      <c r="B1503" s="127"/>
      <c r="C1503" s="127"/>
      <c r="L1503" s="584"/>
    </row>
    <row r="1504" spans="2:12">
      <c r="B1504" s="127"/>
      <c r="C1504" s="127"/>
      <c r="L1504" s="585"/>
    </row>
    <row r="1505" spans="2:12">
      <c r="B1505" s="127"/>
      <c r="C1505" s="127"/>
      <c r="L1505" s="585"/>
    </row>
    <row r="1506" spans="2:12">
      <c r="B1506" s="127"/>
      <c r="C1506" s="127"/>
      <c r="L1506" s="584"/>
    </row>
    <row r="1507" spans="2:12">
      <c r="B1507" s="127"/>
      <c r="C1507" s="127"/>
      <c r="L1507" s="585"/>
    </row>
    <row r="1508" spans="2:12">
      <c r="B1508" s="127"/>
      <c r="C1508" s="127"/>
    </row>
    <row r="1509" spans="2:12">
      <c r="B1509" s="127"/>
      <c r="C1509" s="127"/>
    </row>
    <row r="1510" spans="2:12">
      <c r="B1510" s="127"/>
      <c r="C1510" s="127"/>
    </row>
    <row r="1511" spans="2:12">
      <c r="B1511" s="127"/>
      <c r="C1511" s="127"/>
    </row>
    <row r="1512" spans="2:12">
      <c r="B1512" s="127"/>
      <c r="C1512" s="127"/>
    </row>
    <row r="1513" spans="2:12">
      <c r="B1513" s="127"/>
      <c r="C1513" s="127"/>
    </row>
    <row r="1514" spans="2:12">
      <c r="B1514" s="127"/>
      <c r="C1514" s="127"/>
    </row>
    <row r="1515" spans="2:12">
      <c r="B1515" s="127"/>
      <c r="C1515" s="127"/>
    </row>
    <row r="1516" spans="2:12">
      <c r="B1516" s="127"/>
      <c r="C1516" s="127"/>
    </row>
    <row r="1517" spans="2:12">
      <c r="B1517" s="127"/>
      <c r="C1517" s="127"/>
    </row>
    <row r="1518" spans="2:12">
      <c r="B1518" s="127"/>
      <c r="C1518" s="127"/>
    </row>
    <row r="1519" spans="2:12">
      <c r="B1519" s="127"/>
      <c r="C1519" s="127"/>
    </row>
    <row r="1520" spans="2:12">
      <c r="B1520" s="127"/>
      <c r="C1520" s="127"/>
    </row>
    <row r="1521" spans="2:3">
      <c r="B1521" s="127"/>
      <c r="C1521" s="127"/>
    </row>
    <row r="1522" spans="2:3">
      <c r="B1522" s="127"/>
      <c r="C1522" s="127"/>
    </row>
    <row r="1523" spans="2:3">
      <c r="B1523" s="127"/>
      <c r="C1523" s="127"/>
    </row>
    <row r="1524" spans="2:3">
      <c r="B1524" s="127"/>
      <c r="C1524" s="127"/>
    </row>
    <row r="1525" spans="2:3">
      <c r="B1525" s="127"/>
      <c r="C1525" s="127"/>
    </row>
    <row r="1526" spans="2:3">
      <c r="B1526" s="127"/>
      <c r="C1526" s="127"/>
    </row>
    <row r="1527" spans="2:3">
      <c r="B1527" s="127"/>
      <c r="C1527" s="127"/>
    </row>
    <row r="1528" spans="2:3">
      <c r="B1528" s="127"/>
      <c r="C1528" s="127"/>
    </row>
    <row r="1529" spans="2:3">
      <c r="B1529" s="127"/>
      <c r="C1529" s="127"/>
    </row>
    <row r="1530" spans="2:3">
      <c r="B1530" s="127"/>
      <c r="C1530" s="127"/>
    </row>
    <row r="1531" spans="2:3">
      <c r="B1531" s="127"/>
      <c r="C1531" s="127"/>
    </row>
    <row r="1532" spans="2:3">
      <c r="B1532" s="127"/>
      <c r="C1532" s="127"/>
    </row>
    <row r="1533" spans="2:3">
      <c r="B1533" s="127"/>
      <c r="C1533" s="127"/>
    </row>
    <row r="1534" spans="2:3">
      <c r="B1534" s="127"/>
      <c r="C1534" s="127"/>
    </row>
    <row r="1535" spans="2:3">
      <c r="B1535" s="127"/>
      <c r="C1535" s="127"/>
    </row>
    <row r="1536" spans="2:3">
      <c r="B1536" s="127"/>
      <c r="C1536" s="127"/>
    </row>
    <row r="1537" spans="2:3">
      <c r="B1537" s="127"/>
      <c r="C1537" s="127"/>
    </row>
    <row r="1538" spans="2:3">
      <c r="B1538" s="127"/>
      <c r="C1538" s="127"/>
    </row>
    <row r="1539" spans="2:3">
      <c r="B1539" s="127"/>
      <c r="C1539" s="127"/>
    </row>
    <row r="1540" spans="2:3">
      <c r="B1540" s="127"/>
      <c r="C1540" s="127"/>
    </row>
    <row r="1541" spans="2:3">
      <c r="B1541" s="127"/>
      <c r="C1541" s="127"/>
    </row>
    <row r="1542" spans="2:3">
      <c r="B1542" s="127"/>
      <c r="C1542" s="127"/>
    </row>
    <row r="1543" spans="2:3">
      <c r="B1543" s="127"/>
      <c r="C1543" s="127"/>
    </row>
    <row r="1544" spans="2:3">
      <c r="B1544" s="127"/>
      <c r="C1544" s="127"/>
    </row>
    <row r="1545" spans="2:3">
      <c r="B1545" s="127"/>
      <c r="C1545" s="127"/>
    </row>
    <row r="1546" spans="2:3">
      <c r="B1546" s="127"/>
      <c r="C1546" s="127"/>
    </row>
    <row r="1547" spans="2:3">
      <c r="B1547" s="127"/>
      <c r="C1547" s="127"/>
    </row>
    <row r="1548" spans="2:3">
      <c r="B1548" s="127"/>
      <c r="C1548" s="127"/>
    </row>
    <row r="1549" spans="2:3">
      <c r="B1549" s="127"/>
      <c r="C1549" s="127"/>
    </row>
    <row r="1550" spans="2:3">
      <c r="B1550" s="127"/>
      <c r="C1550" s="127"/>
    </row>
    <row r="1551" spans="2:3">
      <c r="B1551" s="127"/>
      <c r="C1551" s="127"/>
    </row>
    <row r="1552" spans="2:3">
      <c r="B1552" s="127"/>
      <c r="C1552" s="127"/>
    </row>
    <row r="1553" spans="2:3">
      <c r="B1553" s="127"/>
      <c r="C1553" s="127"/>
    </row>
    <row r="1554" spans="2:3">
      <c r="B1554" s="127"/>
      <c r="C1554" s="127"/>
    </row>
    <row r="1555" spans="2:3">
      <c r="B1555" s="127"/>
      <c r="C1555" s="127"/>
    </row>
    <row r="1556" spans="2:3">
      <c r="B1556" s="127"/>
      <c r="C1556" s="127"/>
    </row>
    <row r="1557" spans="2:3">
      <c r="B1557" s="127"/>
      <c r="C1557" s="127"/>
    </row>
    <row r="1558" spans="2:3">
      <c r="B1558" s="127"/>
      <c r="C1558" s="127"/>
    </row>
    <row r="1559" spans="2:3">
      <c r="B1559" s="127"/>
      <c r="C1559" s="127"/>
    </row>
    <row r="1560" spans="2:3">
      <c r="B1560" s="127"/>
      <c r="C1560" s="127"/>
    </row>
    <row r="1561" spans="2:3">
      <c r="B1561" s="127"/>
      <c r="C1561" s="127"/>
    </row>
    <row r="1562" spans="2:3">
      <c r="B1562" s="127"/>
      <c r="C1562" s="127"/>
    </row>
    <row r="1563" spans="2:3">
      <c r="B1563" s="127"/>
      <c r="C1563" s="127"/>
    </row>
    <row r="1564" spans="2:3">
      <c r="B1564" s="127"/>
      <c r="C1564" s="127"/>
    </row>
    <row r="1565" spans="2:3">
      <c r="B1565" s="127"/>
      <c r="C1565" s="127"/>
    </row>
    <row r="1566" spans="2:3">
      <c r="B1566" s="127"/>
      <c r="C1566" s="127"/>
    </row>
    <row r="1567" spans="2:3">
      <c r="B1567" s="127"/>
      <c r="C1567" s="127"/>
    </row>
    <row r="1568" spans="2:3">
      <c r="B1568" s="127"/>
      <c r="C1568" s="127"/>
    </row>
    <row r="1569" spans="2:3">
      <c r="B1569" s="127"/>
      <c r="C1569" s="127"/>
    </row>
    <row r="1570" spans="2:3">
      <c r="B1570" s="127"/>
      <c r="C1570" s="127"/>
    </row>
    <row r="1571" spans="2:3">
      <c r="B1571" s="127"/>
      <c r="C1571" s="127"/>
    </row>
    <row r="1572" spans="2:3">
      <c r="B1572" s="127"/>
      <c r="C1572" s="127"/>
    </row>
    <row r="1573" spans="2:3">
      <c r="B1573" s="127"/>
      <c r="C1573" s="127"/>
    </row>
    <row r="1574" spans="2:3">
      <c r="B1574" s="127"/>
      <c r="C1574" s="127"/>
    </row>
    <row r="1575" spans="2:3">
      <c r="B1575" s="127"/>
      <c r="C1575" s="127"/>
    </row>
    <row r="1576" spans="2:3">
      <c r="B1576" s="127"/>
      <c r="C1576" s="127"/>
    </row>
    <row r="1577" spans="2:3">
      <c r="B1577" s="127"/>
      <c r="C1577" s="127"/>
    </row>
    <row r="1578" spans="2:3">
      <c r="B1578" s="127"/>
      <c r="C1578" s="127"/>
    </row>
    <row r="1579" spans="2:3">
      <c r="B1579" s="127"/>
      <c r="C1579" s="127"/>
    </row>
    <row r="1580" spans="2:3">
      <c r="B1580" s="127"/>
      <c r="C1580" s="127"/>
    </row>
    <row r="1581" spans="2:3">
      <c r="B1581" s="127"/>
      <c r="C1581" s="127"/>
    </row>
    <row r="1582" spans="2:3">
      <c r="B1582" s="127"/>
      <c r="C1582" s="127"/>
    </row>
    <row r="1583" spans="2:3">
      <c r="B1583" s="127"/>
      <c r="C1583" s="127"/>
    </row>
    <row r="1584" spans="2:3">
      <c r="B1584" s="127"/>
      <c r="C1584" s="127"/>
    </row>
    <row r="1585" spans="2:3">
      <c r="B1585" s="127"/>
      <c r="C1585" s="127"/>
    </row>
    <row r="1586" spans="2:3">
      <c r="B1586" s="127"/>
      <c r="C1586" s="127"/>
    </row>
    <row r="1587" spans="2:3">
      <c r="B1587" s="127"/>
      <c r="C1587" s="127"/>
    </row>
    <row r="1588" spans="2:3">
      <c r="B1588" s="127"/>
      <c r="C1588" s="127"/>
    </row>
    <row r="1589" spans="2:3">
      <c r="B1589" s="127"/>
      <c r="C1589" s="127"/>
    </row>
    <row r="1590" spans="2:3">
      <c r="B1590" s="127"/>
      <c r="C1590" s="127"/>
    </row>
    <row r="1591" spans="2:3">
      <c r="B1591" s="127"/>
      <c r="C1591" s="127"/>
    </row>
    <row r="1592" spans="2:3">
      <c r="B1592" s="127"/>
      <c r="C1592" s="127"/>
    </row>
    <row r="1593" spans="2:3">
      <c r="B1593" s="127"/>
      <c r="C1593" s="127"/>
    </row>
    <row r="1594" spans="2:3">
      <c r="B1594" s="127"/>
      <c r="C1594" s="127"/>
    </row>
    <row r="1595" spans="2:3">
      <c r="B1595" s="127"/>
      <c r="C1595" s="127"/>
    </row>
    <row r="1596" spans="2:3">
      <c r="B1596" s="127"/>
      <c r="C1596" s="127"/>
    </row>
    <row r="1597" spans="2:3">
      <c r="B1597" s="127"/>
      <c r="C1597" s="127"/>
    </row>
    <row r="1598" spans="2:3">
      <c r="B1598" s="127"/>
      <c r="C1598" s="127"/>
    </row>
    <row r="1599" spans="2:3">
      <c r="B1599" s="127"/>
      <c r="C1599" s="127"/>
    </row>
    <row r="1600" spans="2:3">
      <c r="B1600" s="127"/>
      <c r="C1600" s="127"/>
    </row>
    <row r="1601" spans="2:3">
      <c r="B1601" s="127"/>
      <c r="C1601" s="127"/>
    </row>
    <row r="1602" spans="2:3">
      <c r="B1602" s="127"/>
      <c r="C1602" s="127"/>
    </row>
    <row r="1603" spans="2:3">
      <c r="B1603" s="127"/>
      <c r="C1603" s="127"/>
    </row>
    <row r="1604" spans="2:3">
      <c r="B1604" s="127"/>
      <c r="C1604" s="127"/>
    </row>
    <row r="1605" spans="2:3">
      <c r="B1605" s="127"/>
      <c r="C1605" s="127"/>
    </row>
    <row r="1606" spans="2:3">
      <c r="B1606" s="127"/>
      <c r="C1606" s="127"/>
    </row>
    <row r="1607" spans="2:3">
      <c r="B1607" s="127"/>
      <c r="C1607" s="127"/>
    </row>
    <row r="1608" spans="2:3">
      <c r="B1608" s="127"/>
      <c r="C1608" s="127"/>
    </row>
    <row r="1609" spans="2:3">
      <c r="B1609" s="127"/>
      <c r="C1609" s="127"/>
    </row>
    <row r="1610" spans="2:3">
      <c r="B1610" s="127"/>
      <c r="C1610" s="127"/>
    </row>
    <row r="1611" spans="2:3">
      <c r="B1611" s="127"/>
      <c r="C1611" s="127"/>
    </row>
    <row r="1612" spans="2:3">
      <c r="B1612" s="127"/>
      <c r="C1612" s="127"/>
    </row>
    <row r="1613" spans="2:3">
      <c r="B1613" s="127"/>
      <c r="C1613" s="127"/>
    </row>
    <row r="1614" spans="2:3">
      <c r="B1614" s="127"/>
      <c r="C1614" s="127"/>
    </row>
    <row r="1615" spans="2:3">
      <c r="B1615" s="127"/>
      <c r="C1615" s="127"/>
    </row>
    <row r="1616" spans="2:3">
      <c r="B1616" s="127"/>
      <c r="C1616" s="127"/>
    </row>
    <row r="1617" spans="2:3">
      <c r="B1617" s="127"/>
      <c r="C1617" s="127"/>
    </row>
    <row r="1618" spans="2:3">
      <c r="B1618" s="127"/>
      <c r="C1618" s="127"/>
    </row>
    <row r="1619" spans="2:3">
      <c r="B1619" s="127"/>
      <c r="C1619" s="127"/>
    </row>
    <row r="1620" spans="2:3">
      <c r="B1620" s="127"/>
      <c r="C1620" s="127"/>
    </row>
    <row r="1621" spans="2:3">
      <c r="B1621" s="127"/>
      <c r="C1621" s="127"/>
    </row>
    <row r="1622" spans="2:3">
      <c r="B1622" s="127"/>
      <c r="C1622" s="127"/>
    </row>
    <row r="1623" spans="2:3">
      <c r="B1623" s="127"/>
      <c r="C1623" s="127"/>
    </row>
    <row r="1624" spans="2:3">
      <c r="B1624" s="127"/>
      <c r="C1624" s="127"/>
    </row>
    <row r="1625" spans="2:3">
      <c r="B1625" s="127"/>
      <c r="C1625" s="127"/>
    </row>
    <row r="1626" spans="2:3">
      <c r="B1626" s="127"/>
      <c r="C1626" s="127"/>
    </row>
    <row r="1627" spans="2:3">
      <c r="B1627" s="127"/>
      <c r="C1627" s="127"/>
    </row>
    <row r="1628" spans="2:3">
      <c r="B1628" s="127"/>
      <c r="C1628" s="127"/>
    </row>
    <row r="1629" spans="2:3">
      <c r="B1629" s="127"/>
      <c r="C1629" s="127"/>
    </row>
    <row r="1630" spans="2:3">
      <c r="B1630" s="127"/>
      <c r="C1630" s="127"/>
    </row>
    <row r="1631" spans="2:3">
      <c r="B1631" s="127"/>
      <c r="C1631" s="127"/>
    </row>
    <row r="1632" spans="2:3">
      <c r="B1632" s="127"/>
      <c r="C1632" s="127"/>
    </row>
    <row r="1633" spans="2:3">
      <c r="B1633" s="127"/>
      <c r="C1633" s="127"/>
    </row>
    <row r="1634" spans="2:3">
      <c r="B1634" s="127"/>
      <c r="C1634" s="127"/>
    </row>
    <row r="1635" spans="2:3">
      <c r="B1635" s="127"/>
      <c r="C1635" s="127"/>
    </row>
    <row r="1636" spans="2:3">
      <c r="B1636" s="127"/>
      <c r="C1636" s="127"/>
    </row>
    <row r="1637" spans="2:3">
      <c r="B1637" s="127"/>
      <c r="C1637" s="127"/>
    </row>
    <row r="1638" spans="2:3">
      <c r="B1638" s="127"/>
      <c r="C1638" s="127"/>
    </row>
    <row r="1639" spans="2:3">
      <c r="B1639" s="127"/>
      <c r="C1639" s="127"/>
    </row>
    <row r="1640" spans="2:3">
      <c r="B1640" s="127"/>
      <c r="C1640" s="127"/>
    </row>
    <row r="1641" spans="2:3">
      <c r="B1641" s="127"/>
      <c r="C1641" s="127"/>
    </row>
    <row r="1642" spans="2:3">
      <c r="B1642" s="127"/>
      <c r="C1642" s="127"/>
    </row>
    <row r="1643" spans="2:3">
      <c r="B1643" s="127"/>
      <c r="C1643" s="127"/>
    </row>
    <row r="1644" spans="2:3">
      <c r="B1644" s="127"/>
      <c r="C1644" s="127"/>
    </row>
    <row r="1645" spans="2:3">
      <c r="B1645" s="127"/>
      <c r="C1645" s="127"/>
    </row>
    <row r="1646" spans="2:3">
      <c r="B1646" s="127"/>
      <c r="C1646" s="127"/>
    </row>
    <row r="1647" spans="2:3">
      <c r="B1647" s="127"/>
      <c r="C1647" s="127"/>
    </row>
    <row r="1648" spans="2:3">
      <c r="B1648" s="127"/>
      <c r="C1648" s="127"/>
    </row>
    <row r="1649" spans="2:3">
      <c r="B1649" s="127"/>
      <c r="C1649" s="127"/>
    </row>
    <row r="1650" spans="2:3">
      <c r="B1650" s="127"/>
      <c r="C1650" s="127"/>
    </row>
    <row r="1651" spans="2:3">
      <c r="B1651" s="127"/>
      <c r="C1651" s="127"/>
    </row>
    <row r="1652" spans="2:3">
      <c r="B1652" s="127"/>
      <c r="C1652" s="127"/>
    </row>
    <row r="1653" spans="2:3">
      <c r="B1653" s="127"/>
      <c r="C1653" s="127"/>
    </row>
    <row r="1654" spans="2:3">
      <c r="B1654" s="127"/>
      <c r="C1654" s="127"/>
    </row>
    <row r="1655" spans="2:3">
      <c r="B1655" s="127"/>
      <c r="C1655" s="127"/>
    </row>
    <row r="1656" spans="2:3">
      <c r="B1656" s="127"/>
      <c r="C1656" s="127"/>
    </row>
    <row r="1657" spans="2:3">
      <c r="B1657" s="127"/>
      <c r="C1657" s="127"/>
    </row>
    <row r="1658" spans="2:3">
      <c r="B1658" s="127"/>
      <c r="C1658" s="127"/>
    </row>
    <row r="1659" spans="2:3">
      <c r="B1659" s="127"/>
      <c r="C1659" s="127"/>
    </row>
    <row r="1660" spans="2:3">
      <c r="B1660" s="127"/>
      <c r="C1660" s="127"/>
    </row>
    <row r="1661" spans="2:3">
      <c r="B1661" s="127"/>
      <c r="C1661" s="127"/>
    </row>
    <row r="1662" spans="2:3">
      <c r="B1662" s="127"/>
      <c r="C1662" s="127"/>
    </row>
    <row r="1663" spans="2:3">
      <c r="B1663" s="127"/>
      <c r="C1663" s="127"/>
    </row>
    <row r="1664" spans="2:3">
      <c r="B1664" s="127"/>
      <c r="C1664" s="127"/>
    </row>
    <row r="1665" spans="2:3">
      <c r="B1665" s="127"/>
      <c r="C1665" s="127"/>
    </row>
    <row r="1666" spans="2:3">
      <c r="B1666" s="127"/>
      <c r="C1666" s="127"/>
    </row>
    <row r="1667" spans="2:3">
      <c r="B1667" s="127"/>
      <c r="C1667" s="127"/>
    </row>
    <row r="1668" spans="2:3">
      <c r="B1668" s="127"/>
      <c r="C1668" s="127"/>
    </row>
    <row r="1669" spans="2:3">
      <c r="B1669" s="127"/>
      <c r="C1669" s="127"/>
    </row>
    <row r="1670" spans="2:3">
      <c r="B1670" s="127"/>
      <c r="C1670" s="127"/>
    </row>
    <row r="1671" spans="2:3">
      <c r="B1671" s="127"/>
      <c r="C1671" s="127"/>
    </row>
    <row r="1672" spans="2:3">
      <c r="B1672" s="127"/>
      <c r="C1672" s="127"/>
    </row>
    <row r="1673" spans="2:3">
      <c r="B1673" s="127"/>
      <c r="C1673" s="127"/>
    </row>
    <row r="1674" spans="2:3">
      <c r="B1674" s="127"/>
      <c r="C1674" s="127"/>
    </row>
    <row r="1675" spans="2:3">
      <c r="B1675" s="127"/>
      <c r="C1675" s="127"/>
    </row>
    <row r="1676" spans="2:3">
      <c r="B1676" s="127"/>
      <c r="C1676" s="127"/>
    </row>
    <row r="1677" spans="2:3">
      <c r="B1677" s="127"/>
      <c r="C1677" s="127"/>
    </row>
    <row r="1678" spans="2:3">
      <c r="B1678" s="127"/>
      <c r="C1678" s="127"/>
    </row>
    <row r="1679" spans="2:3">
      <c r="B1679" s="127"/>
      <c r="C1679" s="127"/>
    </row>
    <row r="1680" spans="2:3">
      <c r="B1680" s="127"/>
      <c r="C1680" s="127"/>
    </row>
    <row r="1681" spans="2:3">
      <c r="B1681" s="127"/>
      <c r="C1681" s="127"/>
    </row>
    <row r="1682" spans="2:3">
      <c r="B1682" s="127"/>
      <c r="C1682" s="127"/>
    </row>
    <row r="1683" spans="2:3">
      <c r="B1683" s="127"/>
      <c r="C1683" s="127"/>
    </row>
    <row r="1684" spans="2:3">
      <c r="B1684" s="127"/>
      <c r="C1684" s="127"/>
    </row>
    <row r="1685" spans="2:3">
      <c r="B1685" s="127"/>
      <c r="C1685" s="127"/>
    </row>
    <row r="1686" spans="2:3">
      <c r="B1686" s="127"/>
      <c r="C1686" s="127"/>
    </row>
    <row r="1687" spans="2:3">
      <c r="B1687" s="127"/>
      <c r="C1687" s="127"/>
    </row>
    <row r="1688" spans="2:3">
      <c r="B1688" s="127"/>
      <c r="C1688" s="127"/>
    </row>
    <row r="1689" spans="2:3">
      <c r="B1689" s="127"/>
      <c r="C1689" s="127"/>
    </row>
    <row r="1690" spans="2:3">
      <c r="B1690" s="127"/>
      <c r="C1690" s="127"/>
    </row>
    <row r="1691" spans="2:3">
      <c r="B1691" s="127"/>
      <c r="C1691" s="127"/>
    </row>
    <row r="1692" spans="2:3">
      <c r="B1692" s="127"/>
      <c r="C1692" s="127"/>
    </row>
    <row r="1693" spans="2:3">
      <c r="B1693" s="127"/>
      <c r="C1693" s="127"/>
    </row>
    <row r="1694" spans="2:3">
      <c r="B1694" s="127"/>
      <c r="C1694" s="127"/>
    </row>
    <row r="1695" spans="2:3">
      <c r="B1695" s="127"/>
      <c r="C1695" s="127"/>
    </row>
    <row r="1696" spans="2:3">
      <c r="B1696" s="127"/>
      <c r="C1696" s="127"/>
    </row>
    <row r="1697" spans="2:3">
      <c r="B1697" s="127"/>
      <c r="C1697" s="127"/>
    </row>
    <row r="1698" spans="2:3">
      <c r="B1698" s="127"/>
      <c r="C1698" s="127"/>
    </row>
    <row r="1699" spans="2:3">
      <c r="B1699" s="127"/>
      <c r="C1699" s="127"/>
    </row>
    <row r="1700" spans="2:3">
      <c r="B1700" s="127"/>
      <c r="C1700" s="127"/>
    </row>
    <row r="1701" spans="2:3">
      <c r="B1701" s="127"/>
      <c r="C1701" s="127"/>
    </row>
    <row r="1702" spans="2:3">
      <c r="B1702" s="127"/>
      <c r="C1702" s="127"/>
    </row>
    <row r="1703" spans="2:3">
      <c r="B1703" s="127"/>
      <c r="C1703" s="127"/>
    </row>
    <row r="1704" spans="2:3">
      <c r="B1704" s="127"/>
      <c r="C1704" s="127"/>
    </row>
    <row r="1705" spans="2:3">
      <c r="B1705" s="127"/>
      <c r="C1705" s="127"/>
    </row>
    <row r="1706" spans="2:3">
      <c r="B1706" s="127"/>
      <c r="C1706" s="127"/>
    </row>
    <row r="1707" spans="2:3">
      <c r="B1707" s="127"/>
      <c r="C1707" s="127"/>
    </row>
    <row r="1708" spans="2:3">
      <c r="B1708" s="127"/>
      <c r="C1708" s="127"/>
    </row>
    <row r="1709" spans="2:3">
      <c r="B1709" s="127"/>
      <c r="C1709" s="127"/>
    </row>
    <row r="1710" spans="2:3">
      <c r="B1710" s="127"/>
      <c r="C1710" s="127"/>
    </row>
    <row r="1711" spans="2:3">
      <c r="B1711" s="127"/>
      <c r="C1711" s="127"/>
    </row>
    <row r="1712" spans="2:3">
      <c r="B1712" s="127"/>
      <c r="C1712" s="127"/>
    </row>
    <row r="1713" spans="2:3">
      <c r="B1713" s="127"/>
      <c r="C1713" s="127"/>
    </row>
    <row r="1714" spans="2:3">
      <c r="B1714" s="127"/>
      <c r="C1714" s="127"/>
    </row>
    <row r="1715" spans="2:3">
      <c r="B1715" s="127"/>
      <c r="C1715" s="127"/>
    </row>
    <row r="1716" spans="2:3">
      <c r="B1716" s="127"/>
      <c r="C1716" s="127"/>
    </row>
    <row r="1717" spans="2:3">
      <c r="B1717" s="127"/>
      <c r="C1717" s="127"/>
    </row>
    <row r="1718" spans="2:3">
      <c r="B1718" s="127"/>
      <c r="C1718" s="127"/>
    </row>
    <row r="1719" spans="2:3">
      <c r="B1719" s="127"/>
      <c r="C1719" s="127"/>
    </row>
    <row r="1720" spans="2:3">
      <c r="B1720" s="127"/>
      <c r="C1720" s="127"/>
    </row>
    <row r="1721" spans="2:3">
      <c r="B1721" s="127"/>
      <c r="C1721" s="127"/>
    </row>
    <row r="1722" spans="2:3">
      <c r="B1722" s="127"/>
      <c r="C1722" s="127"/>
    </row>
    <row r="1723" spans="2:3">
      <c r="B1723" s="127"/>
      <c r="C1723" s="127"/>
    </row>
    <row r="1724" spans="2:3">
      <c r="B1724" s="127"/>
      <c r="C1724" s="127"/>
    </row>
    <row r="1725" spans="2:3">
      <c r="B1725" s="127"/>
      <c r="C1725" s="127"/>
    </row>
    <row r="1726" spans="2:3">
      <c r="B1726" s="127"/>
      <c r="C1726" s="127"/>
    </row>
    <row r="1727" spans="2:3">
      <c r="B1727" s="127"/>
      <c r="C1727" s="127"/>
    </row>
    <row r="1728" spans="2:3">
      <c r="B1728" s="127"/>
      <c r="C1728" s="127"/>
    </row>
    <row r="1729" spans="2:3">
      <c r="B1729" s="127"/>
      <c r="C1729" s="127"/>
    </row>
    <row r="1730" spans="2:3">
      <c r="B1730" s="127"/>
      <c r="C1730" s="127"/>
    </row>
    <row r="1731" spans="2:3">
      <c r="B1731" s="127"/>
      <c r="C1731" s="127"/>
    </row>
    <row r="1732" spans="2:3">
      <c r="B1732" s="127"/>
      <c r="C1732" s="127"/>
    </row>
    <row r="1733" spans="2:3">
      <c r="B1733" s="127"/>
      <c r="C1733" s="127"/>
    </row>
    <row r="1734" spans="2:3">
      <c r="B1734" s="127"/>
      <c r="C1734" s="127"/>
    </row>
    <row r="1735" spans="2:3">
      <c r="B1735" s="127"/>
      <c r="C1735" s="127"/>
    </row>
    <row r="1736" spans="2:3">
      <c r="B1736" s="127"/>
      <c r="C1736" s="127"/>
    </row>
    <row r="1737" spans="2:3">
      <c r="B1737" s="127"/>
      <c r="C1737" s="127"/>
    </row>
    <row r="1738" spans="2:3">
      <c r="B1738" s="127"/>
      <c r="C1738" s="127"/>
    </row>
    <row r="1739" spans="2:3">
      <c r="B1739" s="127"/>
      <c r="C1739" s="127"/>
    </row>
    <row r="1740" spans="2:3">
      <c r="B1740" s="127"/>
      <c r="C1740" s="127"/>
    </row>
    <row r="1741" spans="2:3">
      <c r="B1741" s="127"/>
      <c r="C1741" s="127"/>
    </row>
    <row r="1742" spans="2:3">
      <c r="B1742" s="127"/>
      <c r="C1742" s="127"/>
    </row>
    <row r="1743" spans="2:3">
      <c r="B1743" s="127"/>
      <c r="C1743" s="127"/>
    </row>
    <row r="1744" spans="2:3">
      <c r="B1744" s="127"/>
      <c r="C1744" s="127"/>
    </row>
    <row r="1745" spans="2:3">
      <c r="B1745" s="127"/>
      <c r="C1745" s="127"/>
    </row>
    <row r="1746" spans="2:3">
      <c r="B1746" s="127"/>
      <c r="C1746" s="127"/>
    </row>
    <row r="1747" spans="2:3">
      <c r="B1747" s="127"/>
      <c r="C1747" s="127"/>
    </row>
    <row r="1748" spans="2:3">
      <c r="B1748" s="127"/>
      <c r="C1748" s="127"/>
    </row>
    <row r="1749" spans="2:3">
      <c r="B1749" s="127"/>
      <c r="C1749" s="127"/>
    </row>
    <row r="1750" spans="2:3">
      <c r="B1750" s="127"/>
      <c r="C1750" s="127"/>
    </row>
    <row r="1751" spans="2:3">
      <c r="B1751" s="127"/>
      <c r="C1751" s="127"/>
    </row>
    <row r="1752" spans="2:3">
      <c r="B1752" s="127"/>
      <c r="C1752" s="127"/>
    </row>
    <row r="1753" spans="2:3">
      <c r="B1753" s="127"/>
      <c r="C1753" s="127"/>
    </row>
    <row r="1754" spans="2:3">
      <c r="B1754" s="127"/>
      <c r="C1754" s="127"/>
    </row>
    <row r="1755" spans="2:3">
      <c r="B1755" s="127"/>
      <c r="C1755" s="127"/>
    </row>
    <row r="1756" spans="2:3">
      <c r="B1756" s="127"/>
      <c r="C1756" s="127"/>
    </row>
    <row r="1757" spans="2:3">
      <c r="B1757" s="127"/>
      <c r="C1757" s="127"/>
    </row>
    <row r="1758" spans="2:3">
      <c r="B1758" s="127"/>
      <c r="C1758" s="127"/>
    </row>
    <row r="1759" spans="2:3">
      <c r="B1759" s="127"/>
      <c r="C1759" s="127"/>
    </row>
    <row r="1760" spans="2:3">
      <c r="B1760" s="127"/>
      <c r="C1760" s="127"/>
    </row>
    <row r="1761" spans="2:3">
      <c r="B1761" s="127"/>
      <c r="C1761" s="127"/>
    </row>
    <row r="1762" spans="2:3">
      <c r="B1762" s="127"/>
      <c r="C1762" s="127"/>
    </row>
    <row r="1763" spans="2:3">
      <c r="B1763" s="127"/>
      <c r="C1763" s="127"/>
    </row>
    <row r="1764" spans="2:3">
      <c r="B1764" s="127"/>
      <c r="C1764" s="127"/>
    </row>
    <row r="1765" spans="2:3">
      <c r="B1765" s="127"/>
      <c r="C1765" s="127"/>
    </row>
    <row r="1766" spans="2:3">
      <c r="B1766" s="127"/>
      <c r="C1766" s="127"/>
    </row>
    <row r="1767" spans="2:3">
      <c r="B1767" s="127"/>
      <c r="C1767" s="127"/>
    </row>
    <row r="1768" spans="2:3">
      <c r="B1768" s="127"/>
      <c r="C1768" s="127"/>
    </row>
    <row r="1769" spans="2:3">
      <c r="B1769" s="127"/>
      <c r="C1769" s="127"/>
    </row>
    <row r="1770" spans="2:3">
      <c r="B1770" s="127"/>
      <c r="C1770" s="127"/>
    </row>
    <row r="1771" spans="2:3">
      <c r="B1771" s="127"/>
      <c r="C1771" s="127"/>
    </row>
    <row r="1772" spans="2:3">
      <c r="B1772" s="127"/>
      <c r="C1772" s="127"/>
    </row>
    <row r="1773" spans="2:3">
      <c r="B1773" s="127"/>
      <c r="C1773" s="127"/>
    </row>
    <row r="1774" spans="2:3">
      <c r="B1774" s="127"/>
      <c r="C1774" s="127"/>
    </row>
    <row r="1775" spans="2:3">
      <c r="B1775" s="127"/>
      <c r="C1775" s="127"/>
    </row>
    <row r="1776" spans="2:3">
      <c r="B1776" s="127"/>
      <c r="C1776" s="127"/>
    </row>
    <row r="1777" spans="2:13">
      <c r="B1777" s="127"/>
      <c r="C1777" s="127"/>
    </row>
    <row r="1778" spans="2:13">
      <c r="B1778" s="127"/>
      <c r="C1778" s="127"/>
    </row>
    <row r="1779" spans="2:13">
      <c r="B1779" s="127"/>
      <c r="C1779" s="127"/>
    </row>
    <row r="1780" spans="2:13">
      <c r="B1780" s="127"/>
      <c r="C1780" s="127"/>
    </row>
    <row r="1781" spans="2:13">
      <c r="B1781" s="127"/>
      <c r="C1781" s="127"/>
      <c r="D1781" s="427"/>
      <c r="E1781" s="427"/>
      <c r="F1781" s="445"/>
      <c r="G1781" s="445"/>
      <c r="H1781" s="446"/>
      <c r="I1781" s="445"/>
      <c r="J1781" s="446"/>
      <c r="K1781" s="447"/>
      <c r="M1781" s="596"/>
    </row>
    <row r="1782" spans="2:13">
      <c r="B1782" s="127"/>
      <c r="C1782" s="127"/>
      <c r="F1782" s="398"/>
      <c r="G1782" s="398"/>
      <c r="H1782" s="398"/>
      <c r="I1782" s="398"/>
      <c r="J1782" s="398"/>
      <c r="K1782" s="398"/>
    </row>
    <row r="1783" spans="2:13">
      <c r="B1783" s="127"/>
      <c r="C1783" s="127"/>
      <c r="D1783" s="427"/>
      <c r="E1783" s="427"/>
      <c r="F1783" s="445"/>
      <c r="G1783" s="445"/>
      <c r="H1783" s="446"/>
      <c r="I1783" s="445"/>
      <c r="J1783" s="446"/>
      <c r="K1783" s="447"/>
      <c r="M1783" s="596"/>
    </row>
    <row r="1784" spans="2:13">
      <c r="B1784" s="127"/>
      <c r="C1784" s="127"/>
      <c r="F1784" s="398"/>
      <c r="G1784" s="398"/>
      <c r="H1784" s="398"/>
      <c r="I1784" s="398"/>
      <c r="J1784" s="398"/>
      <c r="K1784" s="398"/>
    </row>
    <row r="1785" spans="2:13">
      <c r="B1785" s="127"/>
      <c r="C1785" s="127"/>
      <c r="D1785" s="427"/>
      <c r="E1785" s="427"/>
      <c r="F1785" s="445"/>
      <c r="G1785" s="445"/>
      <c r="H1785" s="446"/>
      <c r="I1785" s="445"/>
      <c r="J1785" s="446"/>
      <c r="K1785" s="447"/>
      <c r="M1785" s="596"/>
    </row>
    <row r="1786" spans="2:13">
      <c r="B1786" s="127"/>
      <c r="C1786" s="127"/>
    </row>
    <row r="1787" spans="2:13">
      <c r="B1787" s="127"/>
      <c r="C1787" s="127"/>
      <c r="D1787" s="427"/>
      <c r="E1787" s="427"/>
      <c r="F1787" s="427"/>
      <c r="G1787" s="427"/>
      <c r="H1787" s="427"/>
      <c r="I1787" s="427"/>
      <c r="J1787" s="427"/>
      <c r="K1787" s="427"/>
      <c r="M1787" s="427"/>
    </row>
    <row r="1788" spans="2:13">
      <c r="B1788" s="127"/>
      <c r="C1788" s="127"/>
      <c r="E1788" s="427"/>
      <c r="F1788" s="427"/>
      <c r="G1788" s="427"/>
      <c r="H1788" s="427"/>
      <c r="I1788" s="427"/>
      <c r="J1788" s="427"/>
      <c r="K1788" s="427"/>
      <c r="M1788" s="427"/>
    </row>
    <row r="1789" spans="2:13">
      <c r="B1789" s="127"/>
      <c r="C1789" s="127"/>
      <c r="E1789" s="427"/>
      <c r="F1789" s="427"/>
      <c r="G1789" s="427"/>
      <c r="H1789" s="427"/>
      <c r="I1789" s="427"/>
      <c r="J1789" s="427"/>
      <c r="K1789" s="427"/>
      <c r="M1789" s="427"/>
    </row>
    <row r="1790" spans="2:13">
      <c r="B1790" s="127"/>
      <c r="C1790" s="127"/>
      <c r="E1790" s="427"/>
      <c r="F1790" s="427"/>
      <c r="G1790" s="427"/>
      <c r="H1790" s="427"/>
      <c r="I1790" s="427"/>
      <c r="J1790" s="427"/>
      <c r="K1790" s="427"/>
      <c r="M1790" s="427"/>
    </row>
    <row r="1791" spans="2:13">
      <c r="B1791" s="127"/>
      <c r="C1791" s="127"/>
      <c r="E1791" s="427"/>
      <c r="F1791" s="427"/>
      <c r="G1791" s="427"/>
      <c r="H1791" s="427"/>
      <c r="I1791" s="427"/>
      <c r="J1791" s="427"/>
      <c r="K1791" s="427"/>
      <c r="M1791" s="427"/>
    </row>
    <row r="1792" spans="2:13">
      <c r="B1792" s="127"/>
      <c r="C1792" s="127"/>
      <c r="D1792" s="429"/>
      <c r="E1792" s="430"/>
      <c r="F1792" s="431"/>
      <c r="G1792" s="431"/>
      <c r="H1792" s="436"/>
      <c r="I1792" s="431"/>
      <c r="J1792" s="436"/>
      <c r="K1792" s="437"/>
      <c r="M1792" s="431"/>
    </row>
    <row r="1793" spans="2:13">
      <c r="B1793" s="127"/>
      <c r="C1793" s="127"/>
      <c r="D1793" s="429"/>
      <c r="E1793" s="430"/>
      <c r="F1793" s="431"/>
      <c r="G1793" s="431"/>
      <c r="H1793" s="436"/>
      <c r="I1793" s="431"/>
      <c r="J1793" s="436"/>
      <c r="K1793" s="437"/>
      <c r="M1793" s="431"/>
    </row>
    <row r="1794" spans="2:13">
      <c r="B1794" s="127"/>
      <c r="C1794" s="127"/>
      <c r="D1794" s="429"/>
      <c r="E1794" s="430"/>
      <c r="F1794" s="431"/>
      <c r="G1794" s="431"/>
      <c r="H1794" s="436"/>
      <c r="I1794" s="431"/>
      <c r="J1794" s="436"/>
      <c r="K1794" s="437"/>
      <c r="M1794" s="431"/>
    </row>
    <row r="1795" spans="2:13">
      <c r="B1795" s="127"/>
      <c r="C1795" s="127"/>
      <c r="D1795" s="429"/>
      <c r="E1795" s="430"/>
      <c r="F1795" s="431"/>
      <c r="G1795" s="431"/>
      <c r="H1795" s="436"/>
      <c r="I1795" s="431"/>
      <c r="J1795" s="436"/>
      <c r="K1795" s="437"/>
      <c r="M1795" s="431"/>
    </row>
    <row r="1796" spans="2:13">
      <c r="B1796" s="127"/>
      <c r="C1796" s="127"/>
      <c r="D1796" s="429"/>
      <c r="E1796" s="430"/>
      <c r="F1796" s="431"/>
      <c r="G1796" s="431"/>
      <c r="H1796" s="436"/>
      <c r="I1796" s="431"/>
      <c r="J1796" s="436"/>
      <c r="K1796" s="437"/>
      <c r="M1796" s="431"/>
    </row>
    <row r="1797" spans="2:13">
      <c r="B1797" s="127"/>
      <c r="C1797" s="127"/>
      <c r="D1797" s="429"/>
      <c r="E1797" s="430"/>
      <c r="F1797" s="431"/>
      <c r="G1797" s="431"/>
      <c r="H1797" s="436"/>
      <c r="I1797" s="431"/>
      <c r="J1797" s="436"/>
      <c r="K1797" s="437"/>
      <c r="M1797" s="431"/>
    </row>
    <row r="1798" spans="2:13">
      <c r="B1798" s="127"/>
      <c r="C1798" s="127"/>
      <c r="D1798" s="429"/>
      <c r="E1798" s="430"/>
      <c r="F1798" s="431"/>
      <c r="G1798" s="431"/>
      <c r="H1798" s="436"/>
      <c r="I1798" s="431"/>
      <c r="J1798" s="436"/>
      <c r="K1798" s="437"/>
      <c r="M1798" s="431"/>
    </row>
    <row r="1799" spans="2:13">
      <c r="B1799" s="127"/>
      <c r="C1799" s="127"/>
      <c r="D1799" s="429"/>
      <c r="E1799" s="430"/>
      <c r="F1799" s="432"/>
      <c r="G1799" s="432"/>
      <c r="H1799" s="443"/>
      <c r="I1799" s="432"/>
      <c r="J1799" s="443"/>
      <c r="K1799" s="444"/>
      <c r="M1799" s="431"/>
    </row>
    <row r="1800" spans="2:13">
      <c r="B1800" s="127"/>
      <c r="C1800" s="127"/>
      <c r="D1800" s="427"/>
      <c r="E1800" s="427"/>
      <c r="F1800" s="445"/>
      <c r="G1800" s="445"/>
      <c r="H1800" s="446"/>
      <c r="I1800" s="445"/>
      <c r="J1800" s="446"/>
      <c r="K1800" s="447"/>
      <c r="M1800" s="596"/>
    </row>
    <row r="1801" spans="2:13">
      <c r="B1801" s="127"/>
      <c r="C1801" s="127"/>
      <c r="F1801" s="398"/>
      <c r="G1801" s="398"/>
      <c r="H1801" s="398"/>
      <c r="I1801" s="398"/>
      <c r="J1801" s="398"/>
      <c r="K1801" s="398"/>
    </row>
    <row r="1802" spans="2:13">
      <c r="B1802" s="127"/>
      <c r="C1802" s="127"/>
      <c r="D1802" s="427"/>
      <c r="E1802" s="427"/>
      <c r="F1802" s="445"/>
      <c r="G1802" s="445"/>
      <c r="H1802" s="446"/>
      <c r="I1802" s="445"/>
      <c r="J1802" s="446"/>
      <c r="K1802" s="447"/>
      <c r="M1802" s="596"/>
    </row>
    <row r="1803" spans="2:13">
      <c r="B1803" s="127"/>
      <c r="C1803" s="127"/>
      <c r="F1803" s="398"/>
      <c r="G1803" s="398"/>
      <c r="H1803" s="398"/>
      <c r="I1803" s="398"/>
      <c r="J1803" s="398"/>
      <c r="K1803" s="398"/>
    </row>
    <row r="1804" spans="2:13">
      <c r="B1804" s="127"/>
      <c r="C1804" s="127"/>
      <c r="D1804" s="427"/>
      <c r="E1804" s="427"/>
      <c r="F1804" s="445"/>
      <c r="G1804" s="445"/>
      <c r="H1804" s="446"/>
      <c r="I1804" s="445"/>
      <c r="J1804" s="446"/>
      <c r="K1804" s="447"/>
      <c r="M1804" s="596"/>
    </row>
    <row r="1805" spans="2:13">
      <c r="B1805" s="127"/>
      <c r="C1805" s="127"/>
      <c r="F1805" s="398"/>
      <c r="G1805" s="398"/>
      <c r="H1805" s="398"/>
      <c r="I1805" s="398"/>
      <c r="J1805" s="398"/>
      <c r="K1805" s="398"/>
    </row>
    <row r="1806" spans="2:13">
      <c r="B1806" s="127"/>
      <c r="C1806" s="127"/>
      <c r="D1806" s="427"/>
      <c r="E1806" s="427"/>
      <c r="F1806" s="445"/>
      <c r="G1806" s="445"/>
      <c r="H1806" s="446"/>
      <c r="I1806" s="445"/>
      <c r="J1806" s="446"/>
      <c r="K1806" s="447"/>
      <c r="M1806" s="596"/>
    </row>
    <row r="1807" spans="2:13">
      <c r="B1807" s="127"/>
      <c r="C1807" s="127"/>
    </row>
    <row r="1808" spans="2:13">
      <c r="B1808" s="127"/>
      <c r="C1808" s="127"/>
      <c r="E1808" s="427"/>
      <c r="F1808" s="427"/>
      <c r="G1808" s="427"/>
      <c r="H1808" s="427"/>
      <c r="I1808" s="427"/>
      <c r="J1808" s="427"/>
      <c r="K1808" s="427"/>
      <c r="M1808" s="427"/>
    </row>
    <row r="1809" spans="2:13">
      <c r="B1809" s="127"/>
      <c r="C1809" s="127"/>
      <c r="E1809" s="427"/>
      <c r="F1809" s="427"/>
      <c r="G1809" s="427"/>
      <c r="H1809" s="427"/>
      <c r="I1809" s="427"/>
      <c r="J1809" s="427"/>
      <c r="K1809" s="427"/>
      <c r="M1809" s="427"/>
    </row>
    <row r="1810" spans="2:13">
      <c r="B1810" s="127"/>
      <c r="C1810" s="127"/>
      <c r="E1810" s="427"/>
      <c r="F1810" s="427"/>
      <c r="G1810" s="427"/>
      <c r="H1810" s="427"/>
      <c r="I1810" s="427"/>
      <c r="J1810" s="427"/>
      <c r="K1810" s="427"/>
      <c r="M1810" s="427"/>
    </row>
    <row r="1811" spans="2:13">
      <c r="B1811" s="127"/>
      <c r="C1811" s="127"/>
      <c r="E1811" s="427"/>
      <c r="F1811" s="427"/>
      <c r="G1811" s="427"/>
      <c r="H1811" s="427"/>
      <c r="I1811" s="427"/>
      <c r="J1811" s="427"/>
      <c r="K1811" s="427"/>
      <c r="M1811" s="427"/>
    </row>
    <row r="1812" spans="2:13">
      <c r="B1812" s="127"/>
      <c r="C1812" s="127"/>
      <c r="D1812" s="429"/>
      <c r="E1812" s="430"/>
      <c r="F1812" s="432"/>
      <c r="G1812" s="432"/>
      <c r="H1812" s="443"/>
      <c r="I1812" s="432"/>
      <c r="J1812" s="443"/>
      <c r="K1812" s="444"/>
      <c r="M1812" s="431"/>
    </row>
    <row r="1813" spans="2:13">
      <c r="B1813" s="127"/>
      <c r="C1813" s="127"/>
      <c r="D1813" s="427"/>
      <c r="E1813" s="427"/>
      <c r="F1813" s="445"/>
      <c r="G1813" s="445"/>
      <c r="H1813" s="446"/>
      <c r="I1813" s="445"/>
      <c r="J1813" s="446"/>
      <c r="K1813" s="447"/>
      <c r="M1813" s="596"/>
    </row>
    <row r="1814" spans="2:13">
      <c r="B1814" s="127"/>
      <c r="C1814" s="127"/>
      <c r="F1814" s="398"/>
      <c r="G1814" s="398"/>
      <c r="H1814" s="398"/>
      <c r="I1814" s="398"/>
      <c r="J1814" s="398"/>
      <c r="K1814" s="398"/>
    </row>
    <row r="1815" spans="2:13">
      <c r="B1815" s="127"/>
      <c r="C1815" s="127"/>
      <c r="D1815" s="427"/>
      <c r="E1815" s="427"/>
      <c r="F1815" s="445"/>
      <c r="G1815" s="445"/>
      <c r="H1815" s="446"/>
      <c r="I1815" s="445"/>
      <c r="J1815" s="446"/>
      <c r="K1815" s="447"/>
      <c r="M1815" s="596"/>
    </row>
    <row r="1816" spans="2:13">
      <c r="B1816" s="127"/>
      <c r="C1816" s="127"/>
    </row>
    <row r="1817" spans="2:13">
      <c r="B1817" s="127"/>
      <c r="C1817" s="127"/>
      <c r="E1817" s="427"/>
      <c r="F1817" s="427"/>
      <c r="G1817" s="427"/>
      <c r="H1817" s="427"/>
      <c r="I1817" s="427"/>
      <c r="J1817" s="427"/>
      <c r="K1817" s="427"/>
      <c r="M1817" s="427"/>
    </row>
    <row r="1818" spans="2:13">
      <c r="B1818" s="127"/>
      <c r="C1818" s="127"/>
      <c r="E1818" s="427"/>
      <c r="F1818" s="427"/>
      <c r="G1818" s="427"/>
      <c r="H1818" s="427"/>
      <c r="I1818" s="427"/>
      <c r="J1818" s="427"/>
      <c r="K1818" s="427"/>
      <c r="M1818" s="427"/>
    </row>
    <row r="1819" spans="2:13">
      <c r="B1819" s="127"/>
      <c r="C1819" s="127"/>
      <c r="D1819" s="429"/>
      <c r="E1819" s="430"/>
      <c r="F1819" s="432"/>
      <c r="G1819" s="432"/>
      <c r="H1819" s="443"/>
      <c r="I1819" s="432"/>
      <c r="J1819" s="443"/>
      <c r="K1819" s="444"/>
      <c r="M1819" s="431"/>
    </row>
    <row r="1820" spans="2:13">
      <c r="B1820" s="127"/>
      <c r="C1820" s="127"/>
      <c r="D1820" s="427"/>
      <c r="E1820" s="427"/>
      <c r="F1820" s="445"/>
      <c r="G1820" s="445"/>
      <c r="H1820" s="446"/>
      <c r="I1820" s="445"/>
      <c r="J1820" s="446"/>
      <c r="K1820" s="447"/>
      <c r="M1820" s="596"/>
    </row>
    <row r="1821" spans="2:13">
      <c r="B1821" s="127"/>
      <c r="C1821" s="127"/>
    </row>
    <row r="1822" spans="2:13">
      <c r="B1822" s="127"/>
      <c r="C1822" s="127"/>
    </row>
    <row r="1823" spans="2:13">
      <c r="B1823" s="127"/>
      <c r="C1823" s="127"/>
      <c r="D1823" s="438"/>
      <c r="E1823" s="438"/>
      <c r="F1823" s="438"/>
      <c r="G1823" s="438"/>
      <c r="H1823" s="438"/>
      <c r="I1823" s="438"/>
      <c r="J1823" s="438"/>
      <c r="K1823" s="438"/>
      <c r="M1823" s="597"/>
    </row>
    <row r="1824" spans="2:13" ht="16.2" thickBot="1">
      <c r="B1824" s="127"/>
      <c r="C1824" s="127"/>
      <c r="D1824" s="439"/>
      <c r="E1824" s="439"/>
      <c r="F1824" s="440"/>
      <c r="G1824" s="440"/>
      <c r="H1824" s="440"/>
      <c r="I1824" s="440"/>
      <c r="J1824" s="439"/>
      <c r="K1824" s="439"/>
    </row>
    <row r="1825" spans="2:13">
      <c r="B1825" s="127"/>
      <c r="C1825" s="127"/>
      <c r="D1825" s="441"/>
      <c r="E1825" s="441"/>
      <c r="F1825" s="441"/>
      <c r="G1825" s="442"/>
      <c r="H1825" s="441"/>
      <c r="I1825" s="441"/>
      <c r="J1825" s="441"/>
      <c r="K1825" s="441"/>
      <c r="M1825" s="455"/>
    </row>
    <row r="1826" spans="2:13">
      <c r="B1826" s="127"/>
      <c r="C1826" s="127"/>
    </row>
    <row r="1827" spans="2:13">
      <c r="B1827" s="127"/>
      <c r="C1827" s="127"/>
      <c r="J1827" s="428"/>
    </row>
    <row r="1828" spans="2:13">
      <c r="B1828" s="127"/>
      <c r="C1828" s="127"/>
      <c r="F1828" s="428"/>
      <c r="G1828" s="428"/>
      <c r="H1828" s="435"/>
      <c r="I1828" s="428"/>
      <c r="J1828" s="428"/>
      <c r="K1828" s="435"/>
      <c r="M1828" s="428"/>
    </row>
    <row r="1829" spans="2:13">
      <c r="B1829" s="127"/>
      <c r="C1829" s="127"/>
    </row>
    <row r="1830" spans="2:13">
      <c r="B1830" s="127"/>
      <c r="C1830" s="127"/>
      <c r="E1830" s="427"/>
      <c r="F1830" s="427"/>
      <c r="G1830" s="427"/>
      <c r="H1830" s="427"/>
      <c r="I1830" s="427"/>
      <c r="J1830" s="427"/>
      <c r="K1830" s="427"/>
      <c r="M1830" s="427"/>
    </row>
    <row r="1831" spans="2:13">
      <c r="B1831" s="127"/>
      <c r="C1831" s="127"/>
      <c r="D1831" s="429"/>
      <c r="E1831" s="430"/>
      <c r="F1831" s="432"/>
      <c r="G1831" s="432"/>
      <c r="H1831" s="443"/>
      <c r="I1831" s="432"/>
      <c r="J1831" s="443"/>
      <c r="K1831" s="444"/>
      <c r="M1831" s="431"/>
    </row>
    <row r="1832" spans="2:13">
      <c r="B1832" s="127"/>
      <c r="C1832" s="127"/>
      <c r="D1832" s="427"/>
      <c r="E1832" s="427"/>
      <c r="F1832" s="445"/>
      <c r="G1832" s="445"/>
      <c r="H1832" s="446"/>
      <c r="I1832" s="445"/>
      <c r="J1832" s="446"/>
      <c r="K1832" s="447"/>
      <c r="M1832" s="596"/>
    </row>
    <row r="1833" spans="2:13">
      <c r="B1833" s="127"/>
      <c r="C1833" s="127"/>
      <c r="F1833" s="398"/>
      <c r="G1833" s="398"/>
      <c r="H1833" s="398"/>
      <c r="I1833" s="398"/>
      <c r="J1833" s="398"/>
      <c r="K1833" s="398"/>
    </row>
    <row r="1834" spans="2:13">
      <c r="B1834" s="127"/>
      <c r="C1834" s="127"/>
      <c r="D1834" s="427"/>
      <c r="E1834" s="427"/>
      <c r="F1834" s="445"/>
      <c r="G1834" s="445"/>
      <c r="H1834" s="446"/>
      <c r="I1834" s="445"/>
      <c r="J1834" s="446"/>
      <c r="K1834" s="447"/>
      <c r="M1834" s="596"/>
    </row>
    <row r="1835" spans="2:13">
      <c r="B1835" s="127"/>
      <c r="C1835" s="127"/>
      <c r="F1835" s="398"/>
      <c r="G1835" s="398"/>
      <c r="H1835" s="398"/>
      <c r="I1835" s="398"/>
      <c r="J1835" s="398"/>
      <c r="K1835" s="398"/>
    </row>
    <row r="1836" spans="2:13">
      <c r="B1836" s="127"/>
      <c r="C1836" s="127"/>
      <c r="D1836" s="427"/>
      <c r="E1836" s="427"/>
      <c r="F1836" s="445"/>
      <c r="G1836" s="445"/>
      <c r="H1836" s="446"/>
      <c r="I1836" s="445"/>
      <c r="J1836" s="446"/>
      <c r="K1836" s="447"/>
      <c r="M1836" s="596"/>
    </row>
    <row r="1837" spans="2:13">
      <c r="B1837" s="127"/>
      <c r="C1837" s="127"/>
      <c r="F1837" s="398"/>
      <c r="G1837" s="398"/>
      <c r="H1837" s="398"/>
      <c r="I1837" s="398"/>
      <c r="J1837" s="398"/>
      <c r="K1837" s="398"/>
    </row>
    <row r="1838" spans="2:13">
      <c r="B1838" s="127"/>
      <c r="C1838" s="127"/>
      <c r="D1838" s="427"/>
      <c r="E1838" s="427"/>
      <c r="F1838" s="445"/>
      <c r="G1838" s="445"/>
      <c r="H1838" s="446"/>
      <c r="I1838" s="445"/>
      <c r="J1838" s="446"/>
      <c r="K1838" s="447"/>
      <c r="M1838" s="596"/>
    </row>
    <row r="1839" spans="2:13">
      <c r="B1839" s="127"/>
      <c r="C1839" s="127"/>
      <c r="F1839" s="398"/>
      <c r="G1839" s="398"/>
      <c r="H1839" s="398"/>
      <c r="I1839" s="398"/>
      <c r="J1839" s="398"/>
      <c r="K1839" s="398"/>
    </row>
    <row r="1840" spans="2:13">
      <c r="B1840" s="127"/>
      <c r="C1840" s="127"/>
      <c r="D1840" s="427"/>
      <c r="E1840" s="427"/>
      <c r="F1840" s="445"/>
      <c r="G1840" s="445"/>
      <c r="H1840" s="446"/>
      <c r="I1840" s="445"/>
      <c r="J1840" s="446"/>
      <c r="K1840" s="447"/>
      <c r="M1840" s="596"/>
    </row>
    <row r="1841" spans="2:13">
      <c r="B1841" s="127"/>
      <c r="C1841" s="127"/>
    </row>
    <row r="1842" spans="2:13">
      <c r="B1842" s="127"/>
      <c r="C1842" s="127"/>
      <c r="D1842" s="427"/>
      <c r="E1842" s="427"/>
      <c r="F1842" s="427"/>
      <c r="G1842" s="427"/>
      <c r="H1842" s="427"/>
      <c r="I1842" s="427"/>
      <c r="J1842" s="427"/>
      <c r="K1842" s="427"/>
      <c r="M1842" s="427"/>
    </row>
    <row r="1843" spans="2:13">
      <c r="B1843" s="127"/>
      <c r="C1843" s="127"/>
      <c r="E1843" s="427"/>
      <c r="F1843" s="427"/>
      <c r="G1843" s="427"/>
      <c r="H1843" s="427"/>
      <c r="I1843" s="427"/>
      <c r="J1843" s="427"/>
      <c r="K1843" s="427"/>
      <c r="M1843" s="427"/>
    </row>
    <row r="1844" spans="2:13">
      <c r="B1844" s="127"/>
      <c r="C1844" s="127"/>
      <c r="E1844" s="427"/>
      <c r="F1844" s="427"/>
      <c r="G1844" s="427"/>
      <c r="H1844" s="427"/>
      <c r="I1844" s="427"/>
      <c r="J1844" s="427"/>
      <c r="K1844" s="427"/>
      <c r="M1844" s="427"/>
    </row>
    <row r="1845" spans="2:13">
      <c r="B1845" s="127"/>
      <c r="C1845" s="127"/>
      <c r="E1845" s="427"/>
      <c r="F1845" s="427"/>
      <c r="G1845" s="427"/>
      <c r="H1845" s="427"/>
      <c r="I1845" s="427"/>
      <c r="J1845" s="427"/>
      <c r="K1845" s="427"/>
      <c r="M1845" s="427"/>
    </row>
    <row r="1846" spans="2:13">
      <c r="B1846" s="127"/>
      <c r="C1846" s="127"/>
      <c r="E1846" s="427"/>
      <c r="F1846" s="427"/>
      <c r="G1846" s="427"/>
      <c r="H1846" s="427"/>
      <c r="I1846" s="427"/>
      <c r="J1846" s="427"/>
      <c r="K1846" s="427"/>
      <c r="M1846" s="427"/>
    </row>
    <row r="1847" spans="2:13">
      <c r="B1847" s="127"/>
      <c r="C1847" s="127"/>
      <c r="D1847" s="429"/>
      <c r="E1847" s="430"/>
      <c r="F1847" s="431"/>
      <c r="G1847" s="431"/>
      <c r="H1847" s="436"/>
      <c r="I1847" s="431"/>
      <c r="J1847" s="436"/>
      <c r="K1847" s="437"/>
      <c r="M1847" s="431"/>
    </row>
    <row r="1848" spans="2:13">
      <c r="B1848" s="127"/>
      <c r="C1848" s="127"/>
      <c r="D1848" s="429"/>
      <c r="E1848" s="430"/>
      <c r="F1848" s="431"/>
      <c r="G1848" s="431"/>
      <c r="H1848" s="436"/>
      <c r="I1848" s="431"/>
      <c r="J1848" s="436"/>
      <c r="K1848" s="437"/>
      <c r="M1848" s="431"/>
    </row>
    <row r="1849" spans="2:13">
      <c r="B1849" s="127"/>
      <c r="C1849" s="127"/>
      <c r="D1849" s="429"/>
      <c r="E1849" s="430"/>
      <c r="F1849" s="431"/>
      <c r="G1849" s="431"/>
      <c r="H1849" s="436"/>
      <c r="I1849" s="431"/>
      <c r="J1849" s="436"/>
      <c r="K1849" s="437"/>
      <c r="M1849" s="431"/>
    </row>
    <row r="1850" spans="2:13">
      <c r="B1850" s="127"/>
      <c r="C1850" s="127"/>
      <c r="D1850" s="429"/>
      <c r="E1850" s="430"/>
      <c r="F1850" s="432"/>
      <c r="G1850" s="432"/>
      <c r="H1850" s="443"/>
      <c r="I1850" s="432"/>
      <c r="J1850" s="443"/>
      <c r="K1850" s="444"/>
      <c r="M1850" s="431"/>
    </row>
    <row r="1851" spans="2:13">
      <c r="B1851" s="127"/>
      <c r="C1851" s="127"/>
      <c r="D1851" s="427"/>
      <c r="E1851" s="427"/>
      <c r="F1851" s="445"/>
      <c r="G1851" s="445"/>
      <c r="H1851" s="446"/>
      <c r="I1851" s="445"/>
      <c r="J1851" s="446"/>
      <c r="K1851" s="447"/>
      <c r="M1851" s="596"/>
    </row>
    <row r="1852" spans="2:13">
      <c r="B1852" s="127"/>
      <c r="C1852" s="127"/>
    </row>
    <row r="1853" spans="2:13">
      <c r="B1853" s="127"/>
      <c r="C1853" s="127"/>
      <c r="E1853" s="427"/>
      <c r="F1853" s="427"/>
      <c r="G1853" s="427"/>
      <c r="H1853" s="427"/>
      <c r="I1853" s="427"/>
      <c r="J1853" s="427"/>
      <c r="K1853" s="427"/>
      <c r="M1853" s="427"/>
    </row>
    <row r="1854" spans="2:13">
      <c r="B1854" s="127"/>
      <c r="C1854" s="127"/>
      <c r="D1854" s="429"/>
      <c r="E1854" s="430"/>
      <c r="F1854" s="431"/>
      <c r="G1854" s="431"/>
      <c r="H1854" s="436"/>
      <c r="I1854" s="431"/>
      <c r="J1854" s="436"/>
      <c r="K1854" s="437"/>
      <c r="M1854" s="431"/>
    </row>
    <row r="1855" spans="2:13">
      <c r="B1855" s="127"/>
      <c r="C1855" s="127"/>
      <c r="D1855" s="429"/>
      <c r="E1855" s="430"/>
      <c r="F1855" s="432"/>
      <c r="G1855" s="432"/>
      <c r="H1855" s="443"/>
      <c r="I1855" s="432"/>
      <c r="J1855" s="443"/>
      <c r="K1855" s="444"/>
      <c r="M1855" s="431"/>
    </row>
    <row r="1856" spans="2:13">
      <c r="B1856" s="127"/>
      <c r="C1856" s="127"/>
      <c r="D1856" s="427"/>
      <c r="E1856" s="427"/>
      <c r="F1856" s="445"/>
      <c r="G1856" s="445"/>
      <c r="H1856" s="446"/>
      <c r="I1856" s="445"/>
      <c r="J1856" s="446"/>
      <c r="K1856" s="447"/>
      <c r="M1856" s="596"/>
    </row>
    <row r="1857" spans="2:13">
      <c r="B1857" s="127"/>
      <c r="C1857" s="127"/>
      <c r="F1857" s="398"/>
      <c r="G1857" s="398"/>
      <c r="H1857" s="398"/>
      <c r="I1857" s="398"/>
      <c r="J1857" s="398"/>
      <c r="K1857" s="398"/>
    </row>
    <row r="1858" spans="2:13">
      <c r="B1858" s="127"/>
      <c r="C1858" s="127"/>
      <c r="D1858" s="427"/>
      <c r="E1858" s="427"/>
      <c r="F1858" s="445"/>
      <c r="G1858" s="445"/>
      <c r="H1858" s="446"/>
      <c r="I1858" s="445"/>
      <c r="J1858" s="446"/>
      <c r="K1858" s="447"/>
      <c r="M1858" s="596"/>
    </row>
    <row r="1859" spans="2:13">
      <c r="B1859" s="127"/>
      <c r="C1859" s="127"/>
      <c r="F1859" s="398"/>
      <c r="G1859" s="398"/>
      <c r="H1859" s="398"/>
      <c r="I1859" s="398"/>
      <c r="J1859" s="398"/>
      <c r="K1859" s="398"/>
    </row>
    <row r="1860" spans="2:13">
      <c r="B1860" s="127"/>
      <c r="C1860" s="127"/>
      <c r="D1860" s="427"/>
      <c r="E1860" s="427"/>
      <c r="F1860" s="445"/>
      <c r="G1860" s="445"/>
      <c r="H1860" s="446"/>
      <c r="I1860" s="445"/>
      <c r="J1860" s="446"/>
      <c r="K1860" s="447"/>
      <c r="M1860" s="596"/>
    </row>
    <row r="1861" spans="2:13">
      <c r="B1861" s="127"/>
      <c r="C1861" s="127"/>
      <c r="F1861" s="398"/>
      <c r="G1861" s="398"/>
      <c r="H1861" s="398"/>
      <c r="I1861" s="398"/>
      <c r="J1861" s="398"/>
      <c r="K1861" s="398"/>
    </row>
    <row r="1862" spans="2:13">
      <c r="B1862" s="127"/>
      <c r="C1862" s="127"/>
      <c r="D1862" s="427"/>
      <c r="E1862" s="427"/>
      <c r="F1862" s="445"/>
      <c r="G1862" s="445"/>
      <c r="H1862" s="446"/>
      <c r="I1862" s="445"/>
      <c r="J1862" s="446"/>
      <c r="K1862" s="447"/>
      <c r="M1862" s="596"/>
    </row>
    <row r="1863" spans="2:13">
      <c r="B1863" s="127"/>
      <c r="C1863" s="127"/>
    </row>
    <row r="1864" spans="2:13">
      <c r="B1864" s="127"/>
      <c r="C1864" s="127"/>
      <c r="E1864" s="427"/>
      <c r="F1864" s="427"/>
      <c r="G1864" s="427"/>
      <c r="H1864" s="427"/>
      <c r="I1864" s="427"/>
      <c r="J1864" s="427"/>
      <c r="K1864" s="427"/>
      <c r="M1864" s="427"/>
    </row>
    <row r="1865" spans="2:13">
      <c r="B1865" s="127"/>
      <c r="C1865" s="127"/>
      <c r="E1865" s="427"/>
      <c r="F1865" s="427"/>
      <c r="G1865" s="427"/>
      <c r="H1865" s="427"/>
      <c r="I1865" s="427"/>
      <c r="J1865" s="427"/>
      <c r="K1865" s="427"/>
      <c r="M1865" s="427"/>
    </row>
    <row r="1866" spans="2:13">
      <c r="B1866" s="127"/>
      <c r="C1866" s="127"/>
      <c r="E1866" s="427"/>
      <c r="F1866" s="427"/>
      <c r="G1866" s="427"/>
      <c r="H1866" s="427"/>
      <c r="I1866" s="427"/>
      <c r="J1866" s="427"/>
      <c r="K1866" s="427"/>
      <c r="M1866" s="427"/>
    </row>
    <row r="1867" spans="2:13">
      <c r="B1867" s="127"/>
      <c r="C1867" s="127"/>
      <c r="E1867" s="427"/>
      <c r="F1867" s="427"/>
      <c r="G1867" s="427"/>
      <c r="H1867" s="427"/>
      <c r="I1867" s="427"/>
      <c r="J1867" s="427"/>
      <c r="K1867" s="427"/>
      <c r="M1867" s="427"/>
    </row>
    <row r="1868" spans="2:13">
      <c r="B1868" s="127"/>
      <c r="C1868" s="127"/>
      <c r="D1868" s="429"/>
      <c r="E1868" s="430"/>
      <c r="F1868" s="432"/>
      <c r="G1868" s="432"/>
      <c r="H1868" s="443"/>
      <c r="I1868" s="432"/>
      <c r="J1868" s="443"/>
      <c r="K1868" s="444"/>
      <c r="M1868" s="431"/>
    </row>
    <row r="1869" spans="2:13">
      <c r="B1869" s="127"/>
      <c r="C1869" s="127"/>
      <c r="D1869" s="427"/>
      <c r="E1869" s="427"/>
      <c r="F1869" s="445"/>
      <c r="G1869" s="445"/>
      <c r="H1869" s="446"/>
      <c r="I1869" s="445"/>
      <c r="J1869" s="446"/>
      <c r="K1869" s="447"/>
      <c r="M1869" s="596"/>
    </row>
    <row r="1870" spans="2:13">
      <c r="B1870" s="127"/>
      <c r="C1870" s="127"/>
      <c r="F1870" s="398"/>
      <c r="G1870" s="398"/>
      <c r="H1870" s="398"/>
      <c r="I1870" s="398"/>
      <c r="J1870" s="398"/>
      <c r="K1870" s="398"/>
    </row>
    <row r="1871" spans="2:13">
      <c r="B1871" s="127"/>
      <c r="C1871" s="127"/>
      <c r="D1871" s="427"/>
      <c r="E1871" s="427"/>
      <c r="F1871" s="445"/>
      <c r="G1871" s="445"/>
      <c r="H1871" s="446"/>
      <c r="I1871" s="445"/>
      <c r="J1871" s="446"/>
      <c r="K1871" s="447"/>
      <c r="M1871" s="596"/>
    </row>
    <row r="1872" spans="2:13">
      <c r="B1872" s="127"/>
      <c r="C1872" s="127"/>
      <c r="F1872" s="398"/>
      <c r="G1872" s="398"/>
      <c r="H1872" s="398"/>
      <c r="I1872" s="398"/>
      <c r="J1872" s="398"/>
      <c r="K1872" s="398"/>
    </row>
    <row r="1873" spans="2:13">
      <c r="B1873" s="127"/>
      <c r="C1873" s="127"/>
      <c r="D1873" s="427"/>
      <c r="E1873" s="427"/>
      <c r="F1873" s="445"/>
      <c r="G1873" s="445"/>
      <c r="H1873" s="446"/>
      <c r="I1873" s="445"/>
      <c r="J1873" s="446"/>
      <c r="K1873" s="447"/>
      <c r="M1873" s="596"/>
    </row>
    <row r="1874" spans="2:13">
      <c r="B1874" s="127"/>
      <c r="C1874" s="127"/>
    </row>
    <row r="1875" spans="2:13">
      <c r="B1875" s="127"/>
      <c r="C1875" s="127"/>
      <c r="E1875" s="427"/>
      <c r="F1875" s="427"/>
      <c r="G1875" s="427"/>
      <c r="H1875" s="427"/>
      <c r="I1875" s="427"/>
      <c r="J1875" s="427"/>
      <c r="K1875" s="427"/>
      <c r="M1875" s="427"/>
    </row>
    <row r="1876" spans="2:13">
      <c r="B1876" s="127"/>
      <c r="C1876" s="127"/>
      <c r="E1876" s="427"/>
      <c r="F1876" s="427"/>
      <c r="G1876" s="427"/>
      <c r="H1876" s="427"/>
      <c r="I1876" s="427"/>
      <c r="J1876" s="427"/>
      <c r="K1876" s="427"/>
      <c r="M1876" s="427"/>
    </row>
    <row r="1877" spans="2:13">
      <c r="B1877" s="127"/>
      <c r="C1877" s="127"/>
      <c r="E1877" s="427"/>
      <c r="F1877" s="427"/>
      <c r="G1877" s="427"/>
      <c r="H1877" s="427"/>
      <c r="I1877" s="427"/>
      <c r="J1877" s="427"/>
      <c r="K1877" s="427"/>
      <c r="M1877" s="427"/>
    </row>
    <row r="1878" spans="2:13">
      <c r="B1878" s="127"/>
      <c r="C1878" s="127"/>
      <c r="D1878" s="429"/>
      <c r="E1878" s="430"/>
      <c r="F1878" s="431"/>
      <c r="G1878" s="431"/>
      <c r="H1878" s="436"/>
      <c r="I1878" s="431"/>
      <c r="J1878" s="436"/>
      <c r="K1878" s="437"/>
      <c r="M1878" s="431"/>
    </row>
    <row r="1879" spans="2:13">
      <c r="B1879" s="127"/>
      <c r="C1879" s="127"/>
      <c r="D1879" s="429"/>
      <c r="E1879" s="430"/>
      <c r="F1879" s="431"/>
      <c r="G1879" s="431"/>
      <c r="H1879" s="436"/>
      <c r="I1879" s="431"/>
      <c r="J1879" s="436"/>
      <c r="K1879" s="437"/>
      <c r="M1879" s="431"/>
    </row>
    <row r="1880" spans="2:13">
      <c r="B1880" s="127"/>
      <c r="C1880" s="127"/>
      <c r="D1880" s="429"/>
      <c r="E1880" s="430"/>
      <c r="F1880" s="431"/>
      <c r="G1880" s="431"/>
      <c r="H1880" s="436"/>
      <c r="I1880" s="431"/>
      <c r="J1880" s="436"/>
      <c r="K1880" s="437"/>
      <c r="M1880" s="431"/>
    </row>
    <row r="1881" spans="2:13">
      <c r="B1881" s="127"/>
      <c r="C1881" s="127"/>
      <c r="D1881" s="429"/>
      <c r="E1881" s="430"/>
      <c r="F1881" s="431"/>
      <c r="G1881" s="431"/>
      <c r="H1881" s="436"/>
      <c r="I1881" s="431"/>
      <c r="J1881" s="436"/>
      <c r="K1881" s="437"/>
      <c r="M1881" s="431"/>
    </row>
    <row r="1882" spans="2:13">
      <c r="B1882" s="127"/>
      <c r="C1882" s="127"/>
      <c r="D1882" s="429"/>
      <c r="E1882" s="430"/>
      <c r="F1882" s="431"/>
      <c r="G1882" s="431"/>
      <c r="H1882" s="436"/>
      <c r="I1882" s="431"/>
      <c r="J1882" s="436"/>
      <c r="K1882" s="437"/>
      <c r="M1882" s="431"/>
    </row>
    <row r="1883" spans="2:13">
      <c r="B1883" s="127"/>
      <c r="C1883" s="127"/>
      <c r="D1883" s="429"/>
      <c r="E1883" s="430"/>
      <c r="F1883" s="431"/>
      <c r="G1883" s="431"/>
      <c r="H1883" s="436"/>
      <c r="I1883" s="431"/>
      <c r="J1883" s="436"/>
      <c r="K1883" s="437"/>
      <c r="M1883" s="431"/>
    </row>
    <row r="1884" spans="2:13">
      <c r="B1884" s="127"/>
      <c r="C1884" s="127"/>
      <c r="D1884" s="429"/>
      <c r="E1884" s="430"/>
      <c r="F1884" s="431"/>
      <c r="G1884" s="431"/>
      <c r="H1884" s="436"/>
      <c r="I1884" s="431"/>
      <c r="J1884" s="436"/>
      <c r="K1884" s="437"/>
      <c r="M1884" s="431"/>
    </row>
    <row r="1885" spans="2:13">
      <c r="B1885" s="127"/>
      <c r="C1885" s="127"/>
      <c r="D1885" s="429"/>
      <c r="E1885" s="430"/>
      <c r="F1885" s="432"/>
      <c r="G1885" s="432"/>
      <c r="H1885" s="443"/>
      <c r="I1885" s="432"/>
      <c r="J1885" s="443"/>
      <c r="K1885" s="444"/>
      <c r="M1885" s="431"/>
    </row>
    <row r="1886" spans="2:13">
      <c r="B1886" s="127"/>
      <c r="C1886" s="127"/>
      <c r="D1886" s="427"/>
      <c r="E1886" s="427"/>
      <c r="F1886" s="445"/>
      <c r="G1886" s="445"/>
      <c r="H1886" s="446"/>
      <c r="I1886" s="445"/>
      <c r="J1886" s="446"/>
      <c r="K1886" s="447"/>
      <c r="M1886" s="596"/>
    </row>
    <row r="1887" spans="2:13">
      <c r="B1887" s="127"/>
      <c r="C1887" s="127"/>
    </row>
    <row r="1888" spans="2:13">
      <c r="B1888" s="127"/>
      <c r="C1888" s="127"/>
      <c r="E1888" s="427"/>
      <c r="F1888" s="427"/>
      <c r="G1888" s="427"/>
      <c r="H1888" s="427"/>
      <c r="I1888" s="427"/>
      <c r="J1888" s="427"/>
      <c r="K1888" s="427"/>
      <c r="M1888" s="427"/>
    </row>
    <row r="1889" spans="2:13">
      <c r="B1889" s="127"/>
      <c r="C1889" s="127"/>
      <c r="D1889" s="429"/>
      <c r="E1889" s="430"/>
      <c r="F1889" s="432"/>
      <c r="G1889" s="432"/>
      <c r="H1889" s="443"/>
      <c r="I1889" s="432"/>
      <c r="J1889" s="443"/>
      <c r="K1889" s="444"/>
      <c r="M1889" s="431"/>
    </row>
    <row r="1890" spans="2:13">
      <c r="B1890" s="127"/>
      <c r="C1890" s="127"/>
      <c r="D1890" s="427"/>
      <c r="E1890" s="427"/>
      <c r="F1890" s="445"/>
      <c r="G1890" s="445"/>
      <c r="H1890" s="446"/>
      <c r="I1890" s="445"/>
      <c r="J1890" s="446"/>
      <c r="K1890" s="447"/>
      <c r="M1890" s="596"/>
    </row>
    <row r="1891" spans="2:13">
      <c r="B1891" s="127"/>
      <c r="C1891" s="127"/>
      <c r="F1891" s="398"/>
      <c r="G1891" s="398"/>
      <c r="H1891" s="398"/>
      <c r="I1891" s="398"/>
      <c r="J1891" s="398"/>
      <c r="K1891" s="398"/>
    </row>
    <row r="1892" spans="2:13">
      <c r="B1892" s="127"/>
      <c r="C1892" s="127"/>
      <c r="D1892" s="427"/>
      <c r="E1892" s="427"/>
      <c r="F1892" s="445"/>
      <c r="G1892" s="445"/>
      <c r="H1892" s="446"/>
      <c r="I1892" s="445"/>
      <c r="J1892" s="446"/>
      <c r="K1892" s="447"/>
      <c r="M1892" s="596"/>
    </row>
    <row r="1893" spans="2:13">
      <c r="B1893" s="127"/>
      <c r="C1893" s="127"/>
    </row>
    <row r="1894" spans="2:13">
      <c r="B1894" s="127"/>
      <c r="C1894" s="127"/>
      <c r="E1894" s="427"/>
      <c r="F1894" s="427"/>
      <c r="G1894" s="427"/>
      <c r="H1894" s="427"/>
      <c r="I1894" s="427"/>
      <c r="J1894" s="427"/>
      <c r="K1894" s="427"/>
      <c r="M1894" s="427"/>
    </row>
    <row r="1895" spans="2:13">
      <c r="B1895" s="127"/>
      <c r="C1895" s="127"/>
      <c r="E1895" s="427"/>
      <c r="F1895" s="427"/>
      <c r="G1895" s="427"/>
      <c r="H1895" s="427"/>
      <c r="I1895" s="427"/>
      <c r="J1895" s="427"/>
      <c r="K1895" s="427"/>
      <c r="M1895" s="427"/>
    </row>
    <row r="1896" spans="2:13">
      <c r="B1896" s="127"/>
      <c r="C1896" s="127"/>
      <c r="D1896" s="429"/>
      <c r="E1896" s="430"/>
      <c r="F1896" s="432"/>
      <c r="G1896" s="432"/>
      <c r="H1896" s="443"/>
      <c r="I1896" s="432"/>
      <c r="J1896" s="443"/>
      <c r="K1896" s="444"/>
      <c r="M1896" s="431"/>
    </row>
    <row r="1897" spans="2:13">
      <c r="B1897" s="127"/>
      <c r="C1897" s="127"/>
      <c r="D1897" s="427"/>
      <c r="E1897" s="427"/>
      <c r="F1897" s="445"/>
      <c r="G1897" s="445"/>
      <c r="H1897" s="446"/>
      <c r="I1897" s="445"/>
      <c r="J1897" s="446"/>
      <c r="K1897" s="447"/>
      <c r="M1897" s="596"/>
    </row>
    <row r="1898" spans="2:13">
      <c r="B1898" s="127"/>
      <c r="C1898" s="127"/>
    </row>
    <row r="1899" spans="2:13">
      <c r="B1899" s="127"/>
      <c r="C1899" s="127"/>
    </row>
    <row r="1900" spans="2:13">
      <c r="B1900" s="127"/>
      <c r="C1900" s="127"/>
      <c r="D1900" s="438"/>
      <c r="E1900" s="438"/>
      <c r="F1900" s="438"/>
      <c r="G1900" s="438"/>
      <c r="H1900" s="438"/>
      <c r="I1900" s="438"/>
      <c r="J1900" s="438"/>
      <c r="K1900" s="438"/>
      <c r="M1900" s="597"/>
    </row>
    <row r="1901" spans="2:13" ht="16.2" thickBot="1">
      <c r="B1901" s="127"/>
      <c r="C1901" s="127"/>
      <c r="D1901" s="439"/>
      <c r="E1901" s="439"/>
      <c r="F1901" s="440"/>
      <c r="G1901" s="440"/>
      <c r="H1901" s="440"/>
      <c r="I1901" s="440"/>
      <c r="J1901" s="439"/>
      <c r="K1901" s="439"/>
    </row>
    <row r="1902" spans="2:13">
      <c r="B1902" s="127"/>
      <c r="C1902" s="127"/>
      <c r="D1902" s="441"/>
      <c r="E1902" s="441"/>
      <c r="F1902" s="441"/>
      <c r="G1902" s="442"/>
      <c r="H1902" s="441"/>
      <c r="I1902" s="441"/>
      <c r="J1902" s="441"/>
      <c r="K1902" s="441"/>
      <c r="M1902" s="455"/>
    </row>
    <row r="1903" spans="2:13">
      <c r="B1903" s="127"/>
      <c r="C1903" s="127"/>
    </row>
    <row r="1904" spans="2:13">
      <c r="B1904" s="127"/>
      <c r="C1904" s="127"/>
      <c r="J1904" s="428"/>
    </row>
    <row r="1905" spans="2:13">
      <c r="B1905" s="127"/>
      <c r="C1905" s="127"/>
      <c r="F1905" s="428"/>
      <c r="G1905" s="428"/>
      <c r="H1905" s="435"/>
      <c r="I1905" s="428"/>
      <c r="J1905" s="428"/>
      <c r="K1905" s="435"/>
      <c r="M1905" s="428"/>
    </row>
    <row r="1906" spans="2:13">
      <c r="B1906" s="127"/>
      <c r="C1906" s="127"/>
    </row>
    <row r="1907" spans="2:13">
      <c r="B1907" s="127"/>
      <c r="C1907" s="127"/>
      <c r="E1907" s="427"/>
      <c r="F1907" s="427"/>
      <c r="G1907" s="427"/>
      <c r="H1907" s="427"/>
      <c r="I1907" s="427"/>
      <c r="J1907" s="427"/>
      <c r="K1907" s="427"/>
      <c r="M1907" s="427"/>
    </row>
    <row r="1908" spans="2:13">
      <c r="B1908" s="127"/>
      <c r="C1908" s="127"/>
      <c r="D1908" s="429"/>
      <c r="E1908" s="430"/>
      <c r="F1908" s="432"/>
      <c r="G1908" s="432"/>
      <c r="H1908" s="443"/>
      <c r="I1908" s="432"/>
      <c r="J1908" s="443"/>
      <c r="K1908" s="444"/>
      <c r="M1908" s="431"/>
    </row>
    <row r="1909" spans="2:13">
      <c r="B1909" s="127"/>
      <c r="C1909" s="127"/>
      <c r="D1909" s="427"/>
      <c r="E1909" s="427"/>
      <c r="F1909" s="445"/>
      <c r="G1909" s="445"/>
      <c r="H1909" s="446"/>
      <c r="I1909" s="445"/>
      <c r="J1909" s="446"/>
      <c r="K1909" s="447"/>
      <c r="M1909" s="596"/>
    </row>
    <row r="1910" spans="2:13">
      <c r="B1910" s="127"/>
      <c r="C1910" s="127"/>
    </row>
    <row r="1911" spans="2:13">
      <c r="B1911" s="127"/>
      <c r="C1911" s="127"/>
      <c r="E1911" s="427"/>
      <c r="F1911" s="427"/>
      <c r="G1911" s="427"/>
      <c r="H1911" s="427"/>
      <c r="I1911" s="427"/>
      <c r="J1911" s="427"/>
      <c r="K1911" s="427"/>
      <c r="M1911" s="427"/>
    </row>
    <row r="1912" spans="2:13">
      <c r="B1912" s="127"/>
      <c r="C1912" s="127"/>
      <c r="D1912" s="429"/>
      <c r="E1912" s="430"/>
      <c r="F1912" s="432"/>
      <c r="G1912" s="432"/>
      <c r="H1912" s="443"/>
      <c r="I1912" s="432"/>
      <c r="J1912" s="443"/>
      <c r="K1912" s="444"/>
      <c r="M1912" s="431"/>
    </row>
    <row r="1913" spans="2:13">
      <c r="B1913" s="127"/>
      <c r="C1913" s="127"/>
      <c r="D1913" s="427"/>
      <c r="E1913" s="427"/>
      <c r="F1913" s="445"/>
      <c r="G1913" s="445"/>
      <c r="H1913" s="446"/>
      <c r="I1913" s="445"/>
      <c r="J1913" s="446"/>
      <c r="K1913" s="447"/>
      <c r="M1913" s="596"/>
    </row>
    <row r="1914" spans="2:13">
      <c r="B1914" s="127"/>
      <c r="C1914" s="127"/>
      <c r="F1914" s="398"/>
      <c r="G1914" s="398"/>
      <c r="H1914" s="398"/>
      <c r="I1914" s="398"/>
      <c r="J1914" s="398"/>
      <c r="K1914" s="398"/>
    </row>
    <row r="1915" spans="2:13">
      <c r="B1915" s="127"/>
      <c r="C1915" s="127"/>
      <c r="D1915" s="427"/>
      <c r="E1915" s="427"/>
      <c r="F1915" s="445"/>
      <c r="G1915" s="445"/>
      <c r="H1915" s="446"/>
      <c r="I1915" s="445"/>
      <c r="J1915" s="446"/>
      <c r="K1915" s="447"/>
      <c r="M1915" s="596"/>
    </row>
    <row r="1916" spans="2:13">
      <c r="B1916" s="127"/>
      <c r="C1916" s="127"/>
      <c r="F1916" s="398"/>
      <c r="G1916" s="398"/>
      <c r="H1916" s="398"/>
      <c r="I1916" s="398"/>
      <c r="J1916" s="398"/>
      <c r="K1916" s="398"/>
    </row>
    <row r="1917" spans="2:13">
      <c r="B1917" s="127"/>
      <c r="C1917" s="127"/>
      <c r="D1917" s="427"/>
      <c r="E1917" s="427"/>
      <c r="F1917" s="445"/>
      <c r="G1917" s="445"/>
      <c r="H1917" s="446"/>
      <c r="I1917" s="445"/>
      <c r="J1917" s="446"/>
      <c r="K1917" s="447"/>
      <c r="M1917" s="596"/>
    </row>
    <row r="1918" spans="2:13">
      <c r="B1918" s="127"/>
      <c r="C1918" s="127"/>
    </row>
    <row r="1919" spans="2:13">
      <c r="B1919" s="127"/>
      <c r="C1919" s="127"/>
      <c r="E1919" s="427"/>
      <c r="F1919" s="427"/>
      <c r="G1919" s="427"/>
      <c r="H1919" s="427"/>
      <c r="I1919" s="427"/>
      <c r="J1919" s="427"/>
      <c r="K1919" s="427"/>
      <c r="M1919" s="427"/>
    </row>
    <row r="1920" spans="2:13">
      <c r="B1920" s="127"/>
      <c r="C1920" s="127"/>
      <c r="E1920" s="427"/>
      <c r="F1920" s="427"/>
      <c r="G1920" s="427"/>
      <c r="H1920" s="427"/>
      <c r="I1920" s="427"/>
      <c r="J1920" s="427"/>
      <c r="K1920" s="427"/>
      <c r="M1920" s="427"/>
    </row>
    <row r="1921" spans="2:13">
      <c r="B1921" s="127"/>
      <c r="C1921" s="127"/>
      <c r="E1921" s="427"/>
      <c r="F1921" s="427"/>
      <c r="G1921" s="427"/>
      <c r="H1921" s="427"/>
      <c r="I1921" s="427"/>
      <c r="J1921" s="427"/>
      <c r="K1921" s="427"/>
      <c r="M1921" s="427"/>
    </row>
    <row r="1922" spans="2:13">
      <c r="B1922" s="127"/>
      <c r="C1922" s="127"/>
      <c r="D1922" s="429"/>
      <c r="E1922" s="430"/>
      <c r="F1922" s="432"/>
      <c r="G1922" s="432"/>
      <c r="H1922" s="443"/>
      <c r="I1922" s="432"/>
      <c r="J1922" s="443"/>
      <c r="K1922" s="444"/>
      <c r="M1922" s="431"/>
    </row>
    <row r="1923" spans="2:13">
      <c r="B1923" s="127"/>
      <c r="C1923" s="127"/>
      <c r="D1923" s="427"/>
      <c r="E1923" s="427"/>
      <c r="F1923" s="445"/>
      <c r="G1923" s="445"/>
      <c r="H1923" s="446"/>
      <c r="I1923" s="445"/>
      <c r="J1923" s="446"/>
      <c r="K1923" s="447"/>
      <c r="M1923" s="596"/>
    </row>
    <row r="1924" spans="2:13">
      <c r="B1924" s="127"/>
      <c r="C1924" s="127"/>
      <c r="F1924" s="398"/>
      <c r="G1924" s="398"/>
      <c r="H1924" s="398"/>
      <c r="I1924" s="398"/>
      <c r="J1924" s="398"/>
      <c r="K1924" s="398"/>
    </row>
    <row r="1925" spans="2:13">
      <c r="B1925" s="127"/>
      <c r="C1925" s="127"/>
      <c r="D1925" s="427"/>
      <c r="E1925" s="427"/>
      <c r="F1925" s="445"/>
      <c r="G1925" s="445"/>
      <c r="H1925" s="446"/>
      <c r="I1925" s="445"/>
      <c r="J1925" s="446"/>
      <c r="K1925" s="447"/>
      <c r="M1925" s="596"/>
    </row>
    <row r="1926" spans="2:13">
      <c r="B1926" s="127"/>
      <c r="C1926" s="127"/>
      <c r="F1926" s="398"/>
      <c r="G1926" s="398"/>
      <c r="H1926" s="398"/>
      <c r="I1926" s="398"/>
      <c r="J1926" s="398"/>
      <c r="K1926" s="398"/>
    </row>
    <row r="1927" spans="2:13">
      <c r="B1927" s="127"/>
      <c r="C1927" s="127"/>
      <c r="D1927" s="427"/>
      <c r="E1927" s="427"/>
      <c r="F1927" s="445"/>
      <c r="G1927" s="445"/>
      <c r="H1927" s="446"/>
      <c r="I1927" s="445"/>
      <c r="J1927" s="446"/>
      <c r="K1927" s="447"/>
      <c r="M1927" s="596"/>
    </row>
    <row r="1928" spans="2:13">
      <c r="B1928" s="127"/>
      <c r="C1928" s="127"/>
      <c r="F1928" s="398"/>
      <c r="G1928" s="398"/>
      <c r="H1928" s="398"/>
      <c r="I1928" s="398"/>
      <c r="J1928" s="398"/>
      <c r="K1928" s="398"/>
    </row>
    <row r="1929" spans="2:13">
      <c r="B1929" s="127"/>
      <c r="C1929" s="127"/>
      <c r="D1929" s="427"/>
      <c r="E1929" s="427"/>
      <c r="F1929" s="445"/>
      <c r="G1929" s="445"/>
      <c r="H1929" s="446"/>
      <c r="I1929" s="445"/>
      <c r="J1929" s="446"/>
      <c r="K1929" s="447"/>
      <c r="M1929" s="596"/>
    </row>
    <row r="1930" spans="2:13">
      <c r="B1930" s="127"/>
      <c r="C1930" s="127"/>
      <c r="F1930" s="398"/>
      <c r="G1930" s="398"/>
      <c r="H1930" s="398"/>
      <c r="I1930" s="398"/>
      <c r="J1930" s="398"/>
      <c r="K1930" s="398"/>
    </row>
    <row r="1931" spans="2:13">
      <c r="B1931" s="127"/>
      <c r="C1931" s="127"/>
      <c r="D1931" s="427"/>
      <c r="E1931" s="427"/>
      <c r="F1931" s="445"/>
      <c r="G1931" s="445"/>
      <c r="H1931" s="446"/>
      <c r="I1931" s="445"/>
      <c r="J1931" s="446"/>
      <c r="K1931" s="447"/>
      <c r="M1931" s="596"/>
    </row>
    <row r="1932" spans="2:13">
      <c r="B1932" s="127"/>
      <c r="C1932" s="127"/>
    </row>
    <row r="1933" spans="2:13">
      <c r="B1933" s="127"/>
      <c r="C1933" s="127"/>
      <c r="D1933" s="427"/>
      <c r="E1933" s="427"/>
      <c r="F1933" s="427"/>
      <c r="G1933" s="427"/>
      <c r="H1933" s="427"/>
      <c r="I1933" s="427"/>
      <c r="J1933" s="427"/>
      <c r="K1933" s="427"/>
      <c r="M1933" s="427"/>
    </row>
    <row r="1934" spans="2:13">
      <c r="B1934" s="127"/>
      <c r="C1934" s="127"/>
      <c r="E1934" s="427"/>
      <c r="F1934" s="427"/>
      <c r="G1934" s="427"/>
      <c r="H1934" s="427"/>
      <c r="I1934" s="427"/>
      <c r="J1934" s="427"/>
      <c r="K1934" s="427"/>
      <c r="M1934" s="427"/>
    </row>
    <row r="1935" spans="2:13">
      <c r="B1935" s="127"/>
      <c r="C1935" s="127"/>
      <c r="E1935" s="427"/>
      <c r="F1935" s="427"/>
      <c r="G1935" s="427"/>
      <c r="H1935" s="427"/>
      <c r="I1935" s="427"/>
      <c r="J1935" s="427"/>
      <c r="K1935" s="427"/>
      <c r="M1935" s="427"/>
    </row>
    <row r="1936" spans="2:13">
      <c r="B1936" s="127"/>
      <c r="C1936" s="127"/>
      <c r="E1936" s="427"/>
      <c r="F1936" s="427"/>
      <c r="G1936" s="427"/>
      <c r="H1936" s="427"/>
      <c r="I1936" s="427"/>
      <c r="J1936" s="427"/>
      <c r="K1936" s="427"/>
      <c r="M1936" s="427"/>
    </row>
    <row r="1937" spans="2:13">
      <c r="B1937" s="127"/>
      <c r="C1937" s="127"/>
      <c r="E1937" s="427"/>
      <c r="F1937" s="427"/>
      <c r="G1937" s="427"/>
      <c r="H1937" s="427"/>
      <c r="I1937" s="427"/>
      <c r="J1937" s="427"/>
      <c r="K1937" s="427"/>
      <c r="M1937" s="427"/>
    </row>
    <row r="1938" spans="2:13">
      <c r="B1938" s="127"/>
      <c r="C1938" s="127"/>
      <c r="D1938" s="429"/>
      <c r="E1938" s="430"/>
      <c r="F1938" s="432"/>
      <c r="G1938" s="432"/>
      <c r="H1938" s="443"/>
      <c r="I1938" s="432"/>
      <c r="J1938" s="443"/>
      <c r="K1938" s="444"/>
      <c r="M1938" s="431"/>
    </row>
    <row r="1939" spans="2:13">
      <c r="B1939" s="127"/>
      <c r="C1939" s="127"/>
      <c r="D1939" s="427"/>
      <c r="E1939" s="427"/>
      <c r="F1939" s="445"/>
      <c r="G1939" s="445"/>
      <c r="H1939" s="446"/>
      <c r="I1939" s="445"/>
      <c r="J1939" s="446"/>
      <c r="K1939" s="447"/>
      <c r="M1939" s="596"/>
    </row>
    <row r="1940" spans="2:13">
      <c r="B1940" s="127"/>
      <c r="C1940" s="127"/>
    </row>
    <row r="1941" spans="2:13">
      <c r="B1941" s="127"/>
      <c r="C1941" s="127"/>
      <c r="E1941" s="427"/>
      <c r="F1941" s="427"/>
      <c r="G1941" s="427"/>
      <c r="H1941" s="427"/>
      <c r="I1941" s="427"/>
      <c r="J1941" s="427"/>
      <c r="K1941" s="427"/>
      <c r="M1941" s="427"/>
    </row>
    <row r="1942" spans="2:13">
      <c r="B1942" s="127"/>
      <c r="C1942" s="127"/>
      <c r="D1942" s="429"/>
      <c r="E1942" s="430"/>
      <c r="F1942" s="431"/>
      <c r="G1942" s="431"/>
      <c r="H1942" s="436"/>
      <c r="I1942" s="431"/>
      <c r="J1942" s="436"/>
      <c r="K1942" s="437"/>
      <c r="M1942" s="431"/>
    </row>
    <row r="1943" spans="2:13">
      <c r="B1943" s="127"/>
      <c r="C1943" s="127"/>
      <c r="D1943" s="429"/>
      <c r="E1943" s="430"/>
      <c r="F1943" s="431"/>
      <c r="G1943" s="431"/>
      <c r="H1943" s="436"/>
      <c r="I1943" s="431"/>
      <c r="J1943" s="436"/>
      <c r="K1943" s="437"/>
      <c r="M1943" s="431"/>
    </row>
    <row r="1944" spans="2:13">
      <c r="B1944" s="127"/>
      <c r="C1944" s="127"/>
      <c r="D1944" s="429"/>
      <c r="E1944" s="430"/>
      <c r="F1944" s="431"/>
      <c r="G1944" s="431"/>
      <c r="H1944" s="436"/>
      <c r="I1944" s="431"/>
      <c r="J1944" s="436"/>
      <c r="K1944" s="437"/>
      <c r="M1944" s="431"/>
    </row>
    <row r="1945" spans="2:13">
      <c r="B1945" s="127"/>
      <c r="C1945" s="127"/>
      <c r="D1945" s="429"/>
      <c r="E1945" s="430"/>
      <c r="F1945" s="432"/>
      <c r="G1945" s="432"/>
      <c r="H1945" s="443"/>
      <c r="I1945" s="432"/>
      <c r="J1945" s="443"/>
      <c r="K1945" s="444"/>
      <c r="M1945" s="431"/>
    </row>
    <row r="1946" spans="2:13">
      <c r="B1946" s="127"/>
      <c r="C1946" s="127"/>
      <c r="D1946" s="427"/>
      <c r="E1946" s="427"/>
      <c r="F1946" s="445"/>
      <c r="G1946" s="445"/>
      <c r="H1946" s="446"/>
      <c r="I1946" s="445"/>
      <c r="J1946" s="446"/>
      <c r="K1946" s="447"/>
      <c r="M1946" s="596"/>
    </row>
    <row r="1947" spans="2:13">
      <c r="B1947" s="127"/>
      <c r="C1947" s="127"/>
      <c r="F1947" s="398"/>
      <c r="G1947" s="398"/>
      <c r="H1947" s="398"/>
      <c r="I1947" s="398"/>
      <c r="J1947" s="398"/>
      <c r="K1947" s="398"/>
    </row>
    <row r="1948" spans="2:13">
      <c r="B1948" s="127"/>
      <c r="C1948" s="127"/>
      <c r="D1948" s="427"/>
      <c r="E1948" s="427"/>
      <c r="F1948" s="445"/>
      <c r="G1948" s="445"/>
      <c r="H1948" s="446"/>
      <c r="I1948" s="445"/>
      <c r="J1948" s="446"/>
      <c r="K1948" s="447"/>
      <c r="M1948" s="596"/>
    </row>
    <row r="1949" spans="2:13">
      <c r="B1949" s="127"/>
      <c r="C1949" s="127"/>
      <c r="F1949" s="398"/>
      <c r="G1949" s="398"/>
      <c r="H1949" s="398"/>
      <c r="I1949" s="398"/>
      <c r="J1949" s="398"/>
      <c r="K1949" s="398"/>
    </row>
    <row r="1950" spans="2:13">
      <c r="B1950" s="127"/>
      <c r="C1950" s="127"/>
      <c r="D1950" s="427"/>
      <c r="E1950" s="427"/>
      <c r="F1950" s="445"/>
      <c r="G1950" s="445"/>
      <c r="H1950" s="446"/>
      <c r="I1950" s="445"/>
      <c r="J1950" s="446"/>
      <c r="K1950" s="447"/>
      <c r="M1950" s="596"/>
    </row>
    <row r="1951" spans="2:13">
      <c r="B1951" s="127"/>
      <c r="C1951" s="127"/>
      <c r="F1951" s="398"/>
      <c r="G1951" s="398"/>
      <c r="H1951" s="398"/>
      <c r="I1951" s="398"/>
      <c r="J1951" s="398"/>
      <c r="K1951" s="398"/>
    </row>
    <row r="1952" spans="2:13">
      <c r="B1952" s="127"/>
      <c r="C1952" s="127"/>
      <c r="D1952" s="427"/>
      <c r="E1952" s="427"/>
      <c r="F1952" s="445"/>
      <c r="G1952" s="445"/>
      <c r="H1952" s="446"/>
      <c r="I1952" s="445"/>
      <c r="J1952" s="446"/>
      <c r="K1952" s="447"/>
      <c r="M1952" s="596"/>
    </row>
    <row r="1953" spans="2:13">
      <c r="B1953" s="127"/>
      <c r="C1953" s="127"/>
    </row>
    <row r="1954" spans="2:13">
      <c r="B1954" s="127"/>
      <c r="C1954" s="127"/>
      <c r="E1954" s="427"/>
      <c r="F1954" s="427"/>
      <c r="G1954" s="427"/>
      <c r="H1954" s="427"/>
      <c r="I1954" s="427"/>
      <c r="J1954" s="427"/>
      <c r="K1954" s="427"/>
      <c r="M1954" s="427"/>
    </row>
    <row r="1955" spans="2:13">
      <c r="B1955" s="127"/>
      <c r="C1955" s="127"/>
      <c r="E1955" s="427"/>
      <c r="F1955" s="427"/>
      <c r="G1955" s="427"/>
      <c r="H1955" s="427"/>
      <c r="I1955" s="427"/>
      <c r="J1955" s="427"/>
      <c r="K1955" s="427"/>
      <c r="M1955" s="427"/>
    </row>
    <row r="1956" spans="2:13">
      <c r="B1956" s="127"/>
      <c r="C1956" s="127"/>
      <c r="E1956" s="427"/>
      <c r="F1956" s="427"/>
      <c r="G1956" s="427"/>
      <c r="H1956" s="427"/>
      <c r="I1956" s="427"/>
      <c r="J1956" s="427"/>
      <c r="K1956" s="427"/>
      <c r="M1956" s="427"/>
    </row>
    <row r="1957" spans="2:13">
      <c r="B1957" s="127"/>
      <c r="C1957" s="127"/>
      <c r="E1957" s="427"/>
      <c r="F1957" s="427"/>
      <c r="G1957" s="427"/>
      <c r="H1957" s="427"/>
      <c r="I1957" s="427"/>
      <c r="J1957" s="427"/>
      <c r="K1957" s="427"/>
      <c r="M1957" s="427"/>
    </row>
    <row r="1958" spans="2:13">
      <c r="B1958" s="127"/>
      <c r="C1958" s="127"/>
      <c r="D1958" s="429"/>
      <c r="E1958" s="430"/>
      <c r="F1958" s="431"/>
      <c r="G1958" s="431"/>
      <c r="H1958" s="436"/>
      <c r="I1958" s="431"/>
      <c r="J1958" s="436"/>
      <c r="K1958" s="437"/>
      <c r="M1958" s="431"/>
    </row>
    <row r="1959" spans="2:13">
      <c r="B1959" s="127"/>
      <c r="C1959" s="127"/>
      <c r="D1959" s="429"/>
      <c r="E1959" s="430"/>
      <c r="F1959" s="432"/>
      <c r="G1959" s="432"/>
      <c r="H1959" s="443"/>
      <c r="I1959" s="432"/>
      <c r="J1959" s="443"/>
      <c r="K1959" s="444"/>
      <c r="M1959" s="431"/>
    </row>
    <row r="1960" spans="2:13">
      <c r="B1960" s="127"/>
      <c r="C1960" s="127"/>
      <c r="D1960" s="427"/>
      <c r="E1960" s="427"/>
      <c r="F1960" s="445"/>
      <c r="G1960" s="445"/>
      <c r="H1960" s="446"/>
      <c r="I1960" s="445"/>
      <c r="J1960" s="446"/>
      <c r="K1960" s="447"/>
      <c r="M1960" s="596"/>
    </row>
    <row r="1961" spans="2:13">
      <c r="B1961" s="127"/>
      <c r="C1961" s="127"/>
    </row>
    <row r="1962" spans="2:13">
      <c r="B1962" s="127"/>
      <c r="C1962" s="127"/>
      <c r="E1962" s="427"/>
      <c r="F1962" s="427"/>
      <c r="G1962" s="427"/>
      <c r="H1962" s="427"/>
      <c r="I1962" s="427"/>
      <c r="J1962" s="427"/>
      <c r="K1962" s="427"/>
      <c r="M1962" s="427"/>
    </row>
    <row r="1963" spans="2:13">
      <c r="B1963" s="127"/>
      <c r="C1963" s="127"/>
      <c r="D1963" s="429"/>
      <c r="E1963" s="430"/>
      <c r="F1963" s="431"/>
      <c r="G1963" s="431"/>
      <c r="H1963" s="436"/>
      <c r="I1963" s="431"/>
      <c r="J1963" s="436"/>
      <c r="K1963" s="437"/>
      <c r="M1963" s="431"/>
    </row>
    <row r="1964" spans="2:13">
      <c r="B1964" s="127"/>
      <c r="C1964" s="127"/>
      <c r="D1964" s="429"/>
      <c r="E1964" s="430"/>
      <c r="F1964" s="432"/>
      <c r="G1964" s="432"/>
      <c r="H1964" s="443"/>
      <c r="I1964" s="432"/>
      <c r="J1964" s="443"/>
      <c r="K1964" s="444"/>
      <c r="M1964" s="431"/>
    </row>
    <row r="1965" spans="2:13">
      <c r="B1965" s="127"/>
      <c r="C1965" s="127"/>
      <c r="D1965" s="427"/>
      <c r="E1965" s="427"/>
      <c r="F1965" s="445"/>
      <c r="G1965" s="445"/>
      <c r="H1965" s="446"/>
      <c r="I1965" s="445"/>
      <c r="J1965" s="446"/>
      <c r="K1965" s="447"/>
      <c r="M1965" s="596"/>
    </row>
    <row r="1966" spans="2:13">
      <c r="B1966" s="127"/>
      <c r="C1966" s="127"/>
    </row>
    <row r="1967" spans="2:13">
      <c r="B1967" s="127"/>
      <c r="C1967" s="127"/>
      <c r="E1967" s="427"/>
      <c r="F1967" s="427"/>
      <c r="G1967" s="427"/>
      <c r="H1967" s="427"/>
      <c r="I1967" s="427"/>
      <c r="J1967" s="427"/>
      <c r="K1967" s="427"/>
      <c r="M1967" s="427"/>
    </row>
    <row r="1968" spans="2:13">
      <c r="B1968" s="127"/>
      <c r="C1968" s="127"/>
      <c r="D1968" s="429"/>
      <c r="E1968" s="430"/>
      <c r="F1968" s="431"/>
      <c r="G1968" s="431"/>
      <c r="H1968" s="436"/>
      <c r="I1968" s="431"/>
      <c r="J1968" s="436"/>
      <c r="K1968" s="437"/>
      <c r="M1968" s="431"/>
    </row>
    <row r="1969" spans="2:13">
      <c r="B1969" s="127"/>
      <c r="C1969" s="127"/>
      <c r="D1969" s="429"/>
      <c r="E1969" s="430"/>
      <c r="F1969" s="432"/>
      <c r="G1969" s="432"/>
      <c r="H1969" s="443"/>
      <c r="I1969" s="432"/>
      <c r="J1969" s="443"/>
      <c r="K1969" s="444"/>
      <c r="M1969" s="431"/>
    </row>
    <row r="1970" spans="2:13">
      <c r="B1970" s="127"/>
      <c r="C1970" s="127"/>
      <c r="D1970" s="427"/>
      <c r="E1970" s="427"/>
      <c r="F1970" s="445"/>
      <c r="G1970" s="445"/>
      <c r="H1970" s="446"/>
      <c r="I1970" s="445"/>
      <c r="J1970" s="446"/>
      <c r="K1970" s="447"/>
      <c r="M1970" s="596"/>
    </row>
    <row r="1971" spans="2:13">
      <c r="B1971" s="127"/>
      <c r="C1971" s="127"/>
    </row>
    <row r="1972" spans="2:13">
      <c r="B1972" s="127"/>
      <c r="C1972" s="127"/>
    </row>
    <row r="1973" spans="2:13">
      <c r="B1973" s="127"/>
      <c r="C1973" s="127"/>
      <c r="D1973" s="438"/>
      <c r="E1973" s="438"/>
      <c r="F1973" s="438"/>
      <c r="G1973" s="438"/>
      <c r="H1973" s="438"/>
      <c r="I1973" s="438"/>
      <c r="J1973" s="438"/>
      <c r="K1973" s="438"/>
      <c r="M1973" s="597"/>
    </row>
    <row r="1974" spans="2:13" ht="16.2" thickBot="1">
      <c r="B1974" s="127"/>
      <c r="C1974" s="127"/>
      <c r="D1974" s="439"/>
      <c r="E1974" s="439"/>
      <c r="F1974" s="440"/>
      <c r="G1974" s="440"/>
      <c r="H1974" s="440"/>
      <c r="I1974" s="440"/>
      <c r="J1974" s="439"/>
      <c r="K1974" s="439"/>
    </row>
    <row r="1975" spans="2:13">
      <c r="B1975" s="127"/>
      <c r="C1975" s="127"/>
      <c r="D1975" s="441"/>
      <c r="E1975" s="441"/>
      <c r="F1975" s="441"/>
      <c r="G1975" s="442"/>
      <c r="H1975" s="441"/>
      <c r="I1975" s="441"/>
      <c r="J1975" s="441"/>
      <c r="K1975" s="441"/>
      <c r="M1975" s="455"/>
    </row>
    <row r="1976" spans="2:13">
      <c r="B1976" s="127"/>
      <c r="C1976" s="127"/>
    </row>
    <row r="1977" spans="2:13">
      <c r="B1977" s="127"/>
      <c r="C1977" s="127"/>
      <c r="J1977" s="428"/>
    </row>
    <row r="1978" spans="2:13">
      <c r="B1978" s="127"/>
      <c r="C1978" s="127"/>
      <c r="F1978" s="428"/>
      <c r="G1978" s="428"/>
      <c r="H1978" s="435"/>
      <c r="I1978" s="428"/>
      <c r="J1978" s="428"/>
      <c r="K1978" s="435"/>
      <c r="M1978" s="428"/>
    </row>
    <row r="1979" spans="2:13">
      <c r="B1979" s="127"/>
      <c r="C1979" s="127"/>
    </row>
    <row r="1980" spans="2:13">
      <c r="B1980" s="127"/>
      <c r="C1980" s="127"/>
      <c r="E1980" s="427"/>
      <c r="F1980" s="427"/>
      <c r="G1980" s="427"/>
      <c r="H1980" s="427"/>
      <c r="I1980" s="427"/>
      <c r="J1980" s="427"/>
      <c r="K1980" s="427"/>
      <c r="M1980" s="427"/>
    </row>
    <row r="1981" spans="2:13">
      <c r="B1981" s="127"/>
      <c r="C1981" s="127"/>
      <c r="D1981" s="429"/>
      <c r="E1981" s="430"/>
      <c r="F1981" s="432"/>
      <c r="G1981" s="432"/>
      <c r="H1981" s="443"/>
      <c r="I1981" s="432"/>
      <c r="J1981" s="443"/>
      <c r="K1981" s="444"/>
      <c r="M1981" s="431"/>
    </row>
    <row r="1982" spans="2:13">
      <c r="B1982" s="127"/>
      <c r="C1982" s="127"/>
      <c r="D1982" s="427"/>
      <c r="E1982" s="427"/>
      <c r="F1982" s="445"/>
      <c r="G1982" s="445"/>
      <c r="H1982" s="446"/>
      <c r="I1982" s="445"/>
      <c r="J1982" s="446"/>
      <c r="K1982" s="447"/>
      <c r="M1982" s="596"/>
    </row>
    <row r="1983" spans="2:13">
      <c r="B1983" s="127"/>
      <c r="C1983" s="127"/>
      <c r="F1983" s="398"/>
      <c r="G1983" s="398"/>
      <c r="H1983" s="398"/>
      <c r="I1983" s="398"/>
      <c r="J1983" s="398"/>
      <c r="K1983" s="398"/>
    </row>
    <row r="1984" spans="2:13">
      <c r="B1984" s="127"/>
      <c r="C1984" s="127"/>
      <c r="D1984" s="427"/>
      <c r="E1984" s="427"/>
      <c r="F1984" s="445"/>
      <c r="G1984" s="445"/>
      <c r="H1984" s="446"/>
      <c r="I1984" s="445"/>
      <c r="J1984" s="446"/>
      <c r="K1984" s="447"/>
      <c r="M1984" s="596"/>
    </row>
    <row r="1985" spans="2:13">
      <c r="B1985" s="127"/>
      <c r="C1985" s="127"/>
      <c r="F1985" s="398"/>
      <c r="G1985" s="398"/>
      <c r="H1985" s="398"/>
      <c r="I1985" s="398"/>
      <c r="J1985" s="398"/>
      <c r="K1985" s="398"/>
    </row>
    <row r="1986" spans="2:13">
      <c r="B1986" s="127"/>
      <c r="C1986" s="127"/>
      <c r="D1986" s="427"/>
      <c r="E1986" s="427"/>
      <c r="F1986" s="445"/>
      <c r="G1986" s="445"/>
      <c r="H1986" s="446"/>
      <c r="I1986" s="445"/>
      <c r="J1986" s="446"/>
      <c r="K1986" s="447"/>
      <c r="M1986" s="596"/>
    </row>
    <row r="1987" spans="2:13">
      <c r="B1987" s="127"/>
      <c r="C1987" s="127"/>
      <c r="F1987" s="398"/>
      <c r="G1987" s="398"/>
      <c r="H1987" s="398"/>
      <c r="I1987" s="398"/>
      <c r="J1987" s="398"/>
      <c r="K1987" s="398"/>
    </row>
    <row r="1988" spans="2:13">
      <c r="B1988" s="127"/>
      <c r="C1988" s="127"/>
      <c r="D1988" s="427"/>
      <c r="E1988" s="427"/>
      <c r="F1988" s="445"/>
      <c r="G1988" s="445"/>
      <c r="H1988" s="446"/>
      <c r="I1988" s="445"/>
      <c r="J1988" s="446"/>
      <c r="K1988" s="447"/>
      <c r="M1988" s="596"/>
    </row>
    <row r="1989" spans="2:13">
      <c r="B1989" s="127"/>
      <c r="C1989" s="127"/>
      <c r="F1989" s="398"/>
      <c r="G1989" s="398"/>
      <c r="H1989" s="398"/>
      <c r="I1989" s="398"/>
      <c r="J1989" s="398"/>
      <c r="K1989" s="398"/>
    </row>
    <row r="1990" spans="2:13">
      <c r="B1990" s="127"/>
      <c r="C1990" s="127"/>
      <c r="D1990" s="427"/>
      <c r="E1990" s="427"/>
      <c r="F1990" s="445"/>
      <c r="G1990" s="445"/>
      <c r="H1990" s="446"/>
      <c r="I1990" s="445"/>
      <c r="J1990" s="446"/>
      <c r="K1990" s="447"/>
      <c r="M1990" s="596"/>
    </row>
    <row r="1991" spans="2:13">
      <c r="B1991" s="127"/>
      <c r="C1991" s="127"/>
    </row>
    <row r="1992" spans="2:13">
      <c r="B1992" s="127"/>
      <c r="C1992" s="127"/>
      <c r="D1992" s="427"/>
      <c r="E1992" s="427"/>
      <c r="F1992" s="427"/>
      <c r="G1992" s="427"/>
      <c r="H1992" s="427"/>
      <c r="I1992" s="427"/>
      <c r="J1992" s="427"/>
      <c r="K1992" s="427"/>
      <c r="M1992" s="427"/>
    </row>
    <row r="1993" spans="2:13">
      <c r="B1993" s="127"/>
      <c r="C1993" s="127"/>
      <c r="E1993" s="427"/>
      <c r="F1993" s="427"/>
      <c r="G1993" s="427"/>
      <c r="H1993" s="427"/>
      <c r="I1993" s="427"/>
      <c r="J1993" s="427"/>
      <c r="K1993" s="427"/>
      <c r="M1993" s="427"/>
    </row>
    <row r="1994" spans="2:13">
      <c r="B1994" s="127"/>
      <c r="C1994" s="127"/>
      <c r="E1994" s="427"/>
      <c r="F1994" s="427"/>
      <c r="G1994" s="427"/>
      <c r="H1994" s="427"/>
      <c r="I1994" s="427"/>
      <c r="J1994" s="427"/>
      <c r="K1994" s="427"/>
      <c r="M1994" s="427"/>
    </row>
    <row r="1995" spans="2:13">
      <c r="B1995" s="127"/>
      <c r="C1995" s="127"/>
      <c r="E1995" s="427"/>
      <c r="F1995" s="427"/>
      <c r="G1995" s="427"/>
      <c r="H1995" s="427"/>
      <c r="I1995" s="427"/>
      <c r="J1995" s="427"/>
      <c r="K1995" s="427"/>
      <c r="M1995" s="427"/>
    </row>
    <row r="1996" spans="2:13">
      <c r="B1996" s="127"/>
      <c r="C1996" s="127"/>
      <c r="E1996" s="427"/>
      <c r="F1996" s="427"/>
      <c r="G1996" s="427"/>
      <c r="H1996" s="427"/>
      <c r="I1996" s="427"/>
      <c r="J1996" s="427"/>
      <c r="K1996" s="427"/>
      <c r="M1996" s="427"/>
    </row>
    <row r="1997" spans="2:13">
      <c r="B1997" s="127"/>
      <c r="C1997" s="127"/>
      <c r="D1997" s="429"/>
      <c r="E1997" s="430"/>
      <c r="F1997" s="431"/>
      <c r="G1997" s="431"/>
      <c r="H1997" s="436"/>
      <c r="I1997" s="431"/>
      <c r="J1997" s="436"/>
      <c r="K1997" s="437"/>
      <c r="M1997" s="431"/>
    </row>
    <row r="1998" spans="2:13">
      <c r="B1998" s="127"/>
      <c r="C1998" s="127"/>
      <c r="D1998" s="429"/>
      <c r="E1998" s="430"/>
      <c r="F1998" s="431"/>
      <c r="G1998" s="431"/>
      <c r="H1998" s="436"/>
      <c r="I1998" s="431"/>
      <c r="J1998" s="436"/>
      <c r="K1998" s="437"/>
      <c r="M1998" s="431"/>
    </row>
    <row r="1999" spans="2:13">
      <c r="B1999" s="127"/>
      <c r="C1999" s="127"/>
      <c r="D1999" s="429"/>
      <c r="E1999" s="430"/>
      <c r="F1999" s="432"/>
      <c r="G1999" s="432"/>
      <c r="H1999" s="443"/>
      <c r="I1999" s="432"/>
      <c r="J1999" s="443"/>
      <c r="K1999" s="444"/>
      <c r="M1999" s="431"/>
    </row>
    <row r="2000" spans="2:13">
      <c r="B2000" s="127"/>
      <c r="C2000" s="127"/>
      <c r="D2000" s="427"/>
      <c r="E2000" s="427"/>
      <c r="F2000" s="445"/>
      <c r="G2000" s="445"/>
      <c r="H2000" s="446"/>
      <c r="I2000" s="445"/>
      <c r="J2000" s="446"/>
      <c r="K2000" s="447"/>
      <c r="M2000" s="596"/>
    </row>
    <row r="2001" spans="2:13">
      <c r="B2001" s="127"/>
      <c r="C2001" s="127"/>
      <c r="F2001" s="398"/>
      <c r="G2001" s="398"/>
      <c r="H2001" s="398"/>
      <c r="I2001" s="398"/>
      <c r="J2001" s="398"/>
      <c r="K2001" s="398"/>
    </row>
    <row r="2002" spans="2:13">
      <c r="B2002" s="127"/>
      <c r="C2002" s="127"/>
      <c r="D2002" s="427"/>
      <c r="E2002" s="427"/>
      <c r="F2002" s="445"/>
      <c r="G2002" s="445"/>
      <c r="H2002" s="446"/>
      <c r="I2002" s="445"/>
      <c r="J2002" s="446"/>
      <c r="K2002" s="447"/>
      <c r="M2002" s="596"/>
    </row>
    <row r="2003" spans="2:13">
      <c r="B2003" s="127"/>
      <c r="C2003" s="127"/>
      <c r="F2003" s="398"/>
      <c r="G2003" s="398"/>
      <c r="H2003" s="398"/>
      <c r="I2003" s="398"/>
      <c r="J2003" s="398"/>
      <c r="K2003" s="398"/>
    </row>
    <row r="2004" spans="2:13">
      <c r="B2004" s="127"/>
      <c r="C2004" s="127"/>
      <c r="D2004" s="427"/>
      <c r="E2004" s="427"/>
      <c r="F2004" s="445"/>
      <c r="G2004" s="445"/>
      <c r="H2004" s="446"/>
      <c r="I2004" s="445"/>
      <c r="J2004" s="446"/>
      <c r="K2004" s="447"/>
      <c r="M2004" s="596"/>
    </row>
    <row r="2005" spans="2:13">
      <c r="B2005" s="127"/>
      <c r="C2005" s="127"/>
      <c r="F2005" s="398"/>
      <c r="G2005" s="398"/>
      <c r="H2005" s="398"/>
      <c r="I2005" s="398"/>
      <c r="J2005" s="398"/>
      <c r="K2005" s="398"/>
    </row>
    <row r="2006" spans="2:13">
      <c r="B2006" s="127"/>
      <c r="C2006" s="127"/>
      <c r="D2006" s="427"/>
      <c r="E2006" s="427"/>
      <c r="F2006" s="445"/>
      <c r="G2006" s="445"/>
      <c r="H2006" s="446"/>
      <c r="I2006" s="445"/>
      <c r="J2006" s="446"/>
      <c r="K2006" s="447"/>
      <c r="M2006" s="596"/>
    </row>
    <row r="2007" spans="2:13">
      <c r="B2007" s="127"/>
      <c r="C2007" s="127"/>
    </row>
    <row r="2008" spans="2:13">
      <c r="B2008" s="127"/>
      <c r="C2008" s="127"/>
      <c r="E2008" s="427"/>
      <c r="F2008" s="427"/>
      <c r="G2008" s="427"/>
      <c r="H2008" s="427"/>
      <c r="I2008" s="427"/>
      <c r="J2008" s="427"/>
      <c r="K2008" s="427"/>
      <c r="M2008" s="427"/>
    </row>
    <row r="2009" spans="2:13">
      <c r="B2009" s="127"/>
      <c r="C2009" s="127"/>
      <c r="E2009" s="427"/>
      <c r="F2009" s="427"/>
      <c r="G2009" s="427"/>
      <c r="H2009" s="427"/>
      <c r="I2009" s="427"/>
      <c r="J2009" s="427"/>
      <c r="K2009" s="427"/>
      <c r="M2009" s="427"/>
    </row>
    <row r="2010" spans="2:13">
      <c r="B2010" s="127"/>
      <c r="C2010" s="127"/>
      <c r="E2010" s="427"/>
      <c r="F2010" s="427"/>
      <c r="G2010" s="427"/>
      <c r="H2010" s="427"/>
      <c r="I2010" s="427"/>
      <c r="J2010" s="427"/>
      <c r="K2010" s="427"/>
      <c r="M2010" s="427"/>
    </row>
    <row r="2011" spans="2:13">
      <c r="B2011" s="127"/>
      <c r="C2011" s="127"/>
      <c r="E2011" s="427"/>
      <c r="F2011" s="427"/>
      <c r="G2011" s="427"/>
      <c r="H2011" s="427"/>
      <c r="I2011" s="427"/>
      <c r="J2011" s="427"/>
      <c r="K2011" s="427"/>
      <c r="M2011" s="427"/>
    </row>
    <row r="2012" spans="2:13">
      <c r="B2012" s="127"/>
      <c r="C2012" s="127"/>
      <c r="D2012" s="429"/>
      <c r="E2012" s="430"/>
      <c r="F2012" s="432"/>
      <c r="G2012" s="432"/>
      <c r="H2012" s="443"/>
      <c r="I2012" s="432"/>
      <c r="J2012" s="443"/>
      <c r="K2012" s="444"/>
      <c r="M2012" s="431"/>
    </row>
    <row r="2013" spans="2:13">
      <c r="B2013" s="127"/>
      <c r="C2013" s="127"/>
      <c r="D2013" s="427"/>
      <c r="E2013" s="427"/>
      <c r="F2013" s="445"/>
      <c r="G2013" s="445"/>
      <c r="H2013" s="446"/>
      <c r="I2013" s="445"/>
      <c r="J2013" s="446"/>
      <c r="K2013" s="447"/>
      <c r="M2013" s="596"/>
    </row>
    <row r="2014" spans="2:13">
      <c r="B2014" s="127"/>
      <c r="C2014" s="127"/>
    </row>
    <row r="2015" spans="2:13">
      <c r="B2015" s="127"/>
      <c r="C2015" s="127"/>
      <c r="E2015" s="427"/>
      <c r="F2015" s="427"/>
      <c r="G2015" s="427"/>
      <c r="H2015" s="427"/>
      <c r="I2015" s="427"/>
      <c r="J2015" s="427"/>
      <c r="K2015" s="427"/>
      <c r="M2015" s="427"/>
    </row>
    <row r="2016" spans="2:13">
      <c r="B2016" s="127"/>
      <c r="C2016" s="127"/>
      <c r="D2016" s="429"/>
      <c r="E2016" s="430"/>
      <c r="F2016" s="432"/>
      <c r="G2016" s="432"/>
      <c r="H2016" s="443"/>
      <c r="I2016" s="432"/>
      <c r="J2016" s="443"/>
      <c r="K2016" s="444"/>
      <c r="M2016" s="431"/>
    </row>
    <row r="2017" spans="2:13">
      <c r="B2017" s="127"/>
      <c r="C2017" s="127"/>
      <c r="D2017" s="427"/>
      <c r="E2017" s="427"/>
      <c r="F2017" s="445"/>
      <c r="G2017" s="445"/>
      <c r="H2017" s="446"/>
      <c r="I2017" s="445"/>
      <c r="J2017" s="446"/>
      <c r="K2017" s="447"/>
      <c r="M2017" s="596"/>
    </row>
    <row r="2018" spans="2:13">
      <c r="B2018" s="127"/>
      <c r="C2018" s="127"/>
    </row>
    <row r="2019" spans="2:13">
      <c r="B2019" s="127"/>
      <c r="C2019" s="127"/>
      <c r="E2019" s="427"/>
      <c r="F2019" s="427"/>
      <c r="G2019" s="427"/>
      <c r="H2019" s="427"/>
      <c r="I2019" s="427"/>
      <c r="J2019" s="427"/>
      <c r="K2019" s="427"/>
      <c r="M2019" s="427"/>
    </row>
    <row r="2020" spans="2:13">
      <c r="B2020" s="127"/>
      <c r="C2020" s="127"/>
      <c r="D2020" s="429"/>
      <c r="E2020" s="430"/>
      <c r="F2020" s="431"/>
      <c r="G2020" s="431"/>
      <c r="H2020" s="436"/>
      <c r="I2020" s="431"/>
      <c r="J2020" s="436"/>
      <c r="K2020" s="437"/>
      <c r="M2020" s="431"/>
    </row>
    <row r="2021" spans="2:13">
      <c r="B2021" s="127"/>
      <c r="C2021" s="127"/>
      <c r="D2021" s="429"/>
      <c r="E2021" s="430"/>
      <c r="F2021" s="432"/>
      <c r="G2021" s="432"/>
      <c r="H2021" s="443"/>
      <c r="I2021" s="432"/>
      <c r="J2021" s="443"/>
      <c r="K2021" s="444"/>
      <c r="M2021" s="431"/>
    </row>
    <row r="2022" spans="2:13">
      <c r="B2022" s="127"/>
      <c r="C2022" s="127"/>
      <c r="D2022" s="427"/>
      <c r="E2022" s="427"/>
      <c r="F2022" s="445"/>
      <c r="G2022" s="445"/>
      <c r="H2022" s="446"/>
      <c r="I2022" s="445"/>
      <c r="J2022" s="446"/>
      <c r="K2022" s="447"/>
      <c r="M2022" s="596"/>
    </row>
    <row r="2023" spans="2:13">
      <c r="B2023" s="127"/>
      <c r="C2023" s="127"/>
      <c r="F2023" s="398"/>
      <c r="G2023" s="398"/>
      <c r="H2023" s="398"/>
      <c r="I2023" s="398"/>
      <c r="J2023" s="398"/>
      <c r="K2023" s="398"/>
    </row>
    <row r="2024" spans="2:13">
      <c r="B2024" s="127"/>
      <c r="C2024" s="127"/>
      <c r="D2024" s="427"/>
      <c r="E2024" s="427"/>
      <c r="F2024" s="445"/>
      <c r="G2024" s="445"/>
      <c r="H2024" s="446"/>
      <c r="I2024" s="445"/>
      <c r="J2024" s="446"/>
      <c r="K2024" s="447"/>
      <c r="M2024" s="596"/>
    </row>
    <row r="2025" spans="2:13">
      <c r="B2025" s="127"/>
      <c r="C2025" s="127"/>
    </row>
    <row r="2026" spans="2:13">
      <c r="B2026" s="127"/>
      <c r="C2026" s="127"/>
      <c r="E2026" s="427"/>
      <c r="F2026" s="427"/>
      <c r="G2026" s="427"/>
      <c r="H2026" s="427"/>
      <c r="I2026" s="427"/>
      <c r="J2026" s="427"/>
      <c r="K2026" s="427"/>
      <c r="M2026" s="427"/>
    </row>
    <row r="2027" spans="2:13">
      <c r="B2027" s="127"/>
      <c r="C2027" s="127"/>
      <c r="E2027" s="427"/>
      <c r="F2027" s="427"/>
      <c r="G2027" s="427"/>
      <c r="H2027" s="427"/>
      <c r="I2027" s="427"/>
      <c r="J2027" s="427"/>
      <c r="K2027" s="427"/>
      <c r="M2027" s="427"/>
    </row>
    <row r="2028" spans="2:13">
      <c r="B2028" s="127"/>
      <c r="C2028" s="127"/>
      <c r="D2028" s="429"/>
      <c r="E2028" s="430"/>
      <c r="F2028" s="432"/>
      <c r="G2028" s="432"/>
      <c r="H2028" s="443"/>
      <c r="I2028" s="432"/>
      <c r="J2028" s="443"/>
      <c r="K2028" s="444"/>
      <c r="M2028" s="431"/>
    </row>
    <row r="2029" spans="2:13">
      <c r="B2029" s="127"/>
      <c r="C2029" s="127"/>
      <c r="D2029" s="427"/>
      <c r="E2029" s="427"/>
      <c r="F2029" s="445"/>
      <c r="G2029" s="445"/>
      <c r="H2029" s="446"/>
      <c r="I2029" s="445"/>
      <c r="J2029" s="446"/>
      <c r="K2029" s="447"/>
      <c r="M2029" s="596"/>
    </row>
    <row r="2030" spans="2:13">
      <c r="B2030" s="127"/>
      <c r="C2030" s="127"/>
      <c r="F2030" s="398"/>
      <c r="G2030" s="398"/>
      <c r="H2030" s="398"/>
      <c r="I2030" s="398"/>
      <c r="J2030" s="398"/>
      <c r="K2030" s="398"/>
    </row>
    <row r="2031" spans="2:13">
      <c r="B2031" s="127"/>
      <c r="C2031" s="127"/>
      <c r="D2031" s="427"/>
      <c r="E2031" s="427"/>
      <c r="F2031" s="445"/>
      <c r="G2031" s="445"/>
      <c r="H2031" s="446"/>
      <c r="I2031" s="445"/>
      <c r="J2031" s="446"/>
      <c r="K2031" s="447"/>
      <c r="M2031" s="596"/>
    </row>
    <row r="2032" spans="2:13">
      <c r="B2032" s="127"/>
      <c r="C2032" s="127"/>
      <c r="F2032" s="398"/>
      <c r="G2032" s="398"/>
      <c r="H2032" s="398"/>
      <c r="I2032" s="398"/>
      <c r="J2032" s="398"/>
      <c r="K2032" s="398"/>
    </row>
    <row r="2033" spans="2:13">
      <c r="B2033" s="127"/>
      <c r="C2033" s="127"/>
      <c r="D2033" s="427"/>
      <c r="E2033" s="427"/>
      <c r="F2033" s="445"/>
      <c r="G2033" s="445"/>
      <c r="H2033" s="446"/>
      <c r="I2033" s="445"/>
      <c r="J2033" s="446"/>
      <c r="K2033" s="447"/>
      <c r="M2033" s="596"/>
    </row>
    <row r="2034" spans="2:13">
      <c r="B2034" s="127"/>
      <c r="C2034" s="127"/>
      <c r="F2034" s="398"/>
      <c r="G2034" s="398"/>
      <c r="H2034" s="398"/>
      <c r="I2034" s="398"/>
      <c r="J2034" s="398"/>
      <c r="K2034" s="398"/>
    </row>
    <row r="2035" spans="2:13">
      <c r="B2035" s="127"/>
      <c r="C2035" s="127"/>
      <c r="D2035" s="427"/>
      <c r="E2035" s="427"/>
      <c r="F2035" s="445"/>
      <c r="G2035" s="445"/>
      <c r="H2035" s="446"/>
      <c r="I2035" s="445"/>
      <c r="J2035" s="446"/>
      <c r="K2035" s="447"/>
      <c r="M2035" s="596"/>
    </row>
    <row r="2036" spans="2:13">
      <c r="B2036" s="127"/>
      <c r="C2036" s="127"/>
      <c r="F2036" s="398"/>
      <c r="G2036" s="398"/>
      <c r="H2036" s="398"/>
      <c r="I2036" s="398"/>
      <c r="J2036" s="398"/>
      <c r="K2036" s="398"/>
    </row>
    <row r="2037" spans="2:13">
      <c r="B2037" s="127"/>
      <c r="C2037" s="127"/>
      <c r="D2037" s="427"/>
      <c r="E2037" s="427"/>
      <c r="F2037" s="445"/>
      <c r="G2037" s="445"/>
      <c r="H2037" s="446"/>
      <c r="I2037" s="445"/>
      <c r="J2037" s="446"/>
      <c r="K2037" s="447"/>
      <c r="M2037" s="596"/>
    </row>
    <row r="2038" spans="2:13">
      <c r="B2038" s="127"/>
      <c r="C2038" s="127"/>
    </row>
    <row r="2039" spans="2:13">
      <c r="B2039" s="127"/>
      <c r="C2039" s="127"/>
      <c r="D2039" s="427"/>
      <c r="E2039" s="427"/>
      <c r="F2039" s="427"/>
      <c r="G2039" s="427"/>
      <c r="H2039" s="427"/>
      <c r="I2039" s="427"/>
      <c r="J2039" s="427"/>
      <c r="K2039" s="427"/>
      <c r="M2039" s="427"/>
    </row>
    <row r="2040" spans="2:13">
      <c r="B2040" s="127"/>
      <c r="C2040" s="127"/>
      <c r="E2040" s="427"/>
      <c r="F2040" s="427"/>
      <c r="G2040" s="427"/>
      <c r="H2040" s="427"/>
      <c r="I2040" s="427"/>
      <c r="J2040" s="427"/>
      <c r="K2040" s="427"/>
      <c r="M2040" s="427"/>
    </row>
    <row r="2041" spans="2:13">
      <c r="B2041" s="127"/>
      <c r="C2041" s="127"/>
      <c r="E2041" s="427"/>
      <c r="F2041" s="427"/>
      <c r="G2041" s="427"/>
      <c r="H2041" s="427"/>
      <c r="I2041" s="427"/>
      <c r="J2041" s="427"/>
      <c r="K2041" s="427"/>
      <c r="M2041" s="427"/>
    </row>
    <row r="2042" spans="2:13">
      <c r="B2042" s="127"/>
      <c r="C2042" s="127"/>
      <c r="E2042" s="427"/>
      <c r="F2042" s="427"/>
      <c r="G2042" s="427"/>
      <c r="H2042" s="427"/>
      <c r="I2042" s="427"/>
      <c r="J2042" s="427"/>
      <c r="K2042" s="427"/>
      <c r="M2042" s="427"/>
    </row>
    <row r="2043" spans="2:13">
      <c r="B2043" s="127"/>
      <c r="C2043" s="127"/>
      <c r="E2043" s="427"/>
      <c r="F2043" s="427"/>
      <c r="G2043" s="427"/>
      <c r="H2043" s="427"/>
      <c r="I2043" s="427"/>
      <c r="J2043" s="427"/>
      <c r="K2043" s="427"/>
      <c r="M2043" s="427"/>
    </row>
    <row r="2044" spans="2:13">
      <c r="B2044" s="127"/>
      <c r="C2044" s="127"/>
      <c r="D2044" s="429"/>
      <c r="E2044" s="430"/>
      <c r="F2044" s="431"/>
      <c r="G2044" s="431"/>
      <c r="H2044" s="436"/>
      <c r="I2044" s="431"/>
      <c r="J2044" s="436"/>
      <c r="K2044" s="437"/>
      <c r="M2044" s="431"/>
    </row>
    <row r="2045" spans="2:13">
      <c r="B2045" s="127"/>
      <c r="C2045" s="127"/>
      <c r="D2045" s="429"/>
      <c r="E2045" s="430"/>
      <c r="F2045" s="431"/>
      <c r="G2045" s="431"/>
      <c r="H2045" s="436"/>
      <c r="I2045" s="431"/>
      <c r="J2045" s="436"/>
      <c r="K2045" s="437"/>
      <c r="M2045" s="431"/>
    </row>
    <row r="2046" spans="2:13">
      <c r="B2046" s="127"/>
      <c r="C2046" s="127"/>
      <c r="D2046" s="429"/>
      <c r="E2046" s="430"/>
      <c r="F2046" s="431"/>
      <c r="G2046" s="431"/>
      <c r="H2046" s="436"/>
      <c r="I2046" s="431"/>
      <c r="J2046" s="436"/>
      <c r="K2046" s="437"/>
      <c r="M2046" s="431"/>
    </row>
    <row r="2047" spans="2:13">
      <c r="B2047" s="127"/>
      <c r="C2047" s="127"/>
      <c r="D2047" s="429"/>
      <c r="E2047" s="430"/>
      <c r="F2047" s="431"/>
      <c r="G2047" s="431"/>
      <c r="H2047" s="436"/>
      <c r="I2047" s="431"/>
      <c r="J2047" s="436"/>
      <c r="K2047" s="437"/>
      <c r="M2047" s="431"/>
    </row>
    <row r="2048" spans="2:13">
      <c r="B2048" s="127"/>
      <c r="C2048" s="127"/>
      <c r="D2048" s="429"/>
      <c r="E2048" s="430"/>
      <c r="F2048" s="432"/>
      <c r="G2048" s="432"/>
      <c r="H2048" s="443"/>
      <c r="I2048" s="432"/>
      <c r="J2048" s="443"/>
      <c r="K2048" s="444"/>
      <c r="M2048" s="431"/>
    </row>
    <row r="2049" spans="2:13">
      <c r="B2049" s="127"/>
      <c r="C2049" s="127"/>
      <c r="D2049" s="427"/>
      <c r="E2049" s="427"/>
      <c r="F2049" s="445"/>
      <c r="G2049" s="445"/>
      <c r="H2049" s="446"/>
      <c r="I2049" s="445"/>
      <c r="J2049" s="446"/>
      <c r="K2049" s="447"/>
      <c r="M2049" s="596"/>
    </row>
    <row r="2050" spans="2:13">
      <c r="B2050" s="127"/>
      <c r="C2050" s="127"/>
    </row>
    <row r="2051" spans="2:13">
      <c r="B2051" s="127"/>
      <c r="C2051" s="127"/>
    </row>
    <row r="2052" spans="2:13">
      <c r="B2052" s="127"/>
      <c r="C2052" s="127"/>
      <c r="D2052" s="438"/>
      <c r="E2052" s="438"/>
      <c r="F2052" s="438"/>
      <c r="G2052" s="438"/>
      <c r="H2052" s="438"/>
      <c r="I2052" s="438"/>
      <c r="J2052" s="438"/>
      <c r="K2052" s="438"/>
      <c r="M2052" s="597"/>
    </row>
    <row r="2053" spans="2:13" ht="16.2" thickBot="1">
      <c r="B2053" s="127"/>
      <c r="C2053" s="127"/>
      <c r="D2053" s="439"/>
      <c r="E2053" s="439"/>
      <c r="F2053" s="440"/>
      <c r="G2053" s="440"/>
      <c r="H2053" s="440"/>
      <c r="I2053" s="440"/>
      <c r="J2053" s="439"/>
      <c r="K2053" s="439"/>
    </row>
    <row r="2054" spans="2:13">
      <c r="B2054" s="127"/>
      <c r="C2054" s="127"/>
      <c r="D2054" s="441"/>
      <c r="E2054" s="441"/>
      <c r="F2054" s="441"/>
      <c r="G2054" s="442"/>
      <c r="H2054" s="441"/>
      <c r="I2054" s="441"/>
      <c r="J2054" s="441"/>
      <c r="K2054" s="441"/>
      <c r="M2054" s="455"/>
    </row>
    <row r="2055" spans="2:13">
      <c r="B2055" s="127"/>
      <c r="C2055" s="127"/>
    </row>
    <row r="2056" spans="2:13">
      <c r="B2056" s="127"/>
      <c r="C2056" s="127"/>
      <c r="J2056" s="428"/>
    </row>
    <row r="2057" spans="2:13">
      <c r="B2057" s="127"/>
      <c r="C2057" s="127"/>
      <c r="F2057" s="428"/>
      <c r="G2057" s="428"/>
      <c r="H2057" s="435"/>
      <c r="I2057" s="428"/>
      <c r="J2057" s="428"/>
      <c r="K2057" s="435"/>
      <c r="M2057" s="428"/>
    </row>
    <row r="2058" spans="2:13">
      <c r="B2058" s="127"/>
      <c r="C2058" s="127"/>
    </row>
    <row r="2059" spans="2:13">
      <c r="B2059" s="127"/>
      <c r="C2059" s="127"/>
      <c r="E2059" s="427"/>
      <c r="F2059" s="427"/>
      <c r="G2059" s="427"/>
      <c r="H2059" s="427"/>
      <c r="I2059" s="427"/>
      <c r="J2059" s="427"/>
      <c r="K2059" s="427"/>
      <c r="M2059" s="427"/>
    </row>
    <row r="2060" spans="2:13">
      <c r="B2060" s="127"/>
      <c r="C2060" s="127"/>
      <c r="D2060" s="429"/>
      <c r="E2060" s="430"/>
      <c r="F2060" s="432"/>
      <c r="G2060" s="432"/>
      <c r="H2060" s="443"/>
      <c r="I2060" s="432"/>
      <c r="J2060" s="443"/>
      <c r="K2060" s="444"/>
      <c r="M2060" s="431"/>
    </row>
    <row r="2061" spans="2:13">
      <c r="B2061" s="127"/>
      <c r="C2061" s="127"/>
      <c r="D2061" s="427"/>
      <c r="E2061" s="427"/>
      <c r="F2061" s="445"/>
      <c r="G2061" s="445"/>
      <c r="H2061" s="446"/>
      <c r="I2061" s="445"/>
      <c r="J2061" s="446"/>
      <c r="K2061" s="447"/>
      <c r="M2061" s="596"/>
    </row>
    <row r="2062" spans="2:13">
      <c r="B2062" s="127"/>
      <c r="C2062" s="127"/>
      <c r="F2062" s="398"/>
      <c r="G2062" s="398"/>
      <c r="H2062" s="398"/>
      <c r="I2062" s="398"/>
      <c r="J2062" s="398"/>
      <c r="K2062" s="398"/>
    </row>
    <row r="2063" spans="2:13">
      <c r="B2063" s="127"/>
      <c r="C2063" s="127"/>
      <c r="D2063" s="427"/>
      <c r="E2063" s="427"/>
      <c r="F2063" s="445"/>
      <c r="G2063" s="445"/>
      <c r="H2063" s="446"/>
      <c r="I2063" s="445"/>
      <c r="J2063" s="446"/>
      <c r="K2063" s="447"/>
      <c r="M2063" s="596"/>
    </row>
    <row r="2064" spans="2:13">
      <c r="B2064" s="127"/>
      <c r="C2064" s="127"/>
      <c r="F2064" s="398"/>
      <c r="G2064" s="398"/>
      <c r="H2064" s="398"/>
      <c r="I2064" s="398"/>
      <c r="J2064" s="398"/>
      <c r="K2064" s="398"/>
    </row>
    <row r="2065" spans="2:13">
      <c r="B2065" s="127"/>
      <c r="C2065" s="127"/>
      <c r="D2065" s="427"/>
      <c r="E2065" s="427"/>
      <c r="F2065" s="445"/>
      <c r="G2065" s="445"/>
      <c r="H2065" s="446"/>
      <c r="I2065" s="445"/>
      <c r="J2065" s="446"/>
      <c r="K2065" s="447"/>
      <c r="M2065" s="596"/>
    </row>
    <row r="2066" spans="2:13">
      <c r="B2066" s="127"/>
      <c r="C2066" s="127"/>
      <c r="F2066" s="398"/>
      <c r="G2066" s="398"/>
      <c r="H2066" s="398"/>
      <c r="I2066" s="398"/>
      <c r="J2066" s="398"/>
      <c r="K2066" s="398"/>
    </row>
    <row r="2067" spans="2:13">
      <c r="B2067" s="127"/>
      <c r="C2067" s="127"/>
      <c r="D2067" s="427"/>
      <c r="E2067" s="427"/>
      <c r="F2067" s="445"/>
      <c r="G2067" s="445"/>
      <c r="H2067" s="446"/>
      <c r="I2067" s="445"/>
      <c r="J2067" s="446"/>
      <c r="K2067" s="447"/>
      <c r="M2067" s="596"/>
    </row>
    <row r="2068" spans="2:13">
      <c r="B2068" s="127"/>
      <c r="C2068" s="127"/>
    </row>
    <row r="2069" spans="2:13">
      <c r="B2069" s="127"/>
      <c r="C2069" s="127"/>
      <c r="E2069" s="427"/>
      <c r="F2069" s="427"/>
      <c r="G2069" s="427"/>
      <c r="H2069" s="427"/>
      <c r="I2069" s="427"/>
      <c r="J2069" s="427"/>
      <c r="K2069" s="427"/>
      <c r="M2069" s="427"/>
    </row>
    <row r="2070" spans="2:13">
      <c r="B2070" s="127"/>
      <c r="C2070" s="127"/>
      <c r="E2070" s="427"/>
      <c r="F2070" s="427"/>
      <c r="G2070" s="427"/>
      <c r="H2070" s="427"/>
      <c r="I2070" s="427"/>
      <c r="J2070" s="427"/>
      <c r="K2070" s="427"/>
      <c r="M2070" s="427"/>
    </row>
    <row r="2071" spans="2:13">
      <c r="B2071" s="127"/>
      <c r="C2071" s="127"/>
      <c r="E2071" s="427"/>
      <c r="F2071" s="427"/>
      <c r="G2071" s="427"/>
      <c r="H2071" s="427"/>
      <c r="I2071" s="427"/>
      <c r="J2071" s="427"/>
      <c r="K2071" s="427"/>
      <c r="M2071" s="427"/>
    </row>
    <row r="2072" spans="2:13">
      <c r="B2072" s="127"/>
      <c r="C2072" s="127"/>
      <c r="E2072" s="427"/>
      <c r="F2072" s="427"/>
      <c r="G2072" s="427"/>
      <c r="H2072" s="427"/>
      <c r="I2072" s="427"/>
      <c r="J2072" s="427"/>
      <c r="K2072" s="427"/>
      <c r="M2072" s="427"/>
    </row>
    <row r="2073" spans="2:13">
      <c r="B2073" s="127"/>
      <c r="C2073" s="127"/>
      <c r="D2073" s="429"/>
      <c r="E2073" s="430"/>
      <c r="F2073" s="431"/>
      <c r="G2073" s="431"/>
      <c r="H2073" s="436"/>
      <c r="I2073" s="431"/>
      <c r="J2073" s="436"/>
      <c r="K2073" s="437"/>
      <c r="M2073" s="431"/>
    </row>
    <row r="2074" spans="2:13">
      <c r="B2074" s="127"/>
      <c r="C2074" s="127"/>
      <c r="D2074" s="429"/>
      <c r="E2074" s="430"/>
      <c r="F2074" s="431"/>
      <c r="G2074" s="431"/>
      <c r="H2074" s="436"/>
      <c r="I2074" s="431"/>
      <c r="J2074" s="436"/>
      <c r="K2074" s="437"/>
      <c r="M2074" s="431"/>
    </row>
    <row r="2075" spans="2:13">
      <c r="B2075" s="127"/>
      <c r="C2075" s="127"/>
      <c r="D2075" s="429"/>
      <c r="E2075" s="430"/>
      <c r="F2075" s="431"/>
      <c r="G2075" s="431"/>
      <c r="H2075" s="436"/>
      <c r="I2075" s="431"/>
      <c r="J2075" s="436"/>
      <c r="K2075" s="437"/>
      <c r="M2075" s="431"/>
    </row>
    <row r="2076" spans="2:13">
      <c r="B2076" s="127"/>
      <c r="C2076" s="127"/>
      <c r="D2076" s="429"/>
      <c r="E2076" s="430"/>
      <c r="F2076" s="431"/>
      <c r="G2076" s="431"/>
      <c r="H2076" s="436"/>
      <c r="I2076" s="431"/>
      <c r="J2076" s="436"/>
      <c r="K2076" s="437"/>
      <c r="M2076" s="431"/>
    </row>
    <row r="2077" spans="2:13">
      <c r="B2077" s="127"/>
      <c r="C2077" s="127"/>
      <c r="D2077" s="429"/>
      <c r="E2077" s="430"/>
      <c r="F2077" s="431"/>
      <c r="G2077" s="431"/>
      <c r="H2077" s="436"/>
      <c r="I2077" s="431"/>
      <c r="J2077" s="436"/>
      <c r="K2077" s="437"/>
      <c r="M2077" s="431"/>
    </row>
    <row r="2078" spans="2:13">
      <c r="B2078" s="127"/>
      <c r="C2078" s="127"/>
      <c r="D2078" s="429"/>
      <c r="E2078" s="430"/>
      <c r="F2078" s="432"/>
      <c r="G2078" s="432"/>
      <c r="H2078" s="443"/>
      <c r="I2078" s="432"/>
      <c r="J2078" s="443"/>
      <c r="K2078" s="444"/>
      <c r="M2078" s="431"/>
    </row>
    <row r="2079" spans="2:13">
      <c r="B2079" s="127"/>
      <c r="C2079" s="127"/>
      <c r="D2079" s="427"/>
      <c r="E2079" s="427"/>
      <c r="F2079" s="445"/>
      <c r="G2079" s="445"/>
      <c r="H2079" s="446"/>
      <c r="I2079" s="445"/>
      <c r="J2079" s="446"/>
      <c r="K2079" s="447"/>
      <c r="M2079" s="596"/>
    </row>
    <row r="2080" spans="2:13">
      <c r="B2080" s="127"/>
      <c r="C2080" s="127"/>
    </row>
    <row r="2081" spans="2:13">
      <c r="B2081" s="127"/>
      <c r="C2081" s="127"/>
      <c r="E2081" s="427"/>
      <c r="F2081" s="427"/>
      <c r="G2081" s="427"/>
      <c r="H2081" s="427"/>
      <c r="I2081" s="427"/>
      <c r="J2081" s="427"/>
      <c r="K2081" s="427"/>
      <c r="M2081" s="427"/>
    </row>
    <row r="2082" spans="2:13">
      <c r="B2082" s="127"/>
      <c r="C2082" s="127"/>
      <c r="D2082" s="429"/>
      <c r="E2082" s="430"/>
      <c r="F2082" s="432"/>
      <c r="G2082" s="432"/>
      <c r="H2082" s="443"/>
      <c r="I2082" s="432"/>
      <c r="J2082" s="443"/>
      <c r="K2082" s="444"/>
      <c r="M2082" s="431"/>
    </row>
    <row r="2083" spans="2:13">
      <c r="B2083" s="127"/>
      <c r="C2083" s="127"/>
      <c r="D2083" s="427"/>
      <c r="E2083" s="427"/>
      <c r="F2083" s="445"/>
      <c r="G2083" s="445"/>
      <c r="H2083" s="446"/>
      <c r="I2083" s="445"/>
      <c r="J2083" s="446"/>
      <c r="K2083" s="447"/>
      <c r="M2083" s="596"/>
    </row>
    <row r="2084" spans="2:13">
      <c r="B2084" s="127"/>
      <c r="C2084" s="127"/>
    </row>
    <row r="2085" spans="2:13">
      <c r="B2085" s="127"/>
      <c r="C2085" s="127"/>
      <c r="E2085" s="427"/>
      <c r="F2085" s="427"/>
      <c r="G2085" s="427"/>
      <c r="H2085" s="427"/>
      <c r="I2085" s="427"/>
      <c r="J2085" s="427"/>
      <c r="K2085" s="427"/>
      <c r="M2085" s="427"/>
    </row>
    <row r="2086" spans="2:13">
      <c r="B2086" s="127"/>
      <c r="C2086" s="127"/>
      <c r="D2086" s="429"/>
      <c r="E2086" s="430"/>
      <c r="F2086" s="431"/>
      <c r="G2086" s="431"/>
      <c r="H2086" s="436"/>
      <c r="I2086" s="431"/>
      <c r="J2086" s="436"/>
      <c r="K2086" s="437"/>
      <c r="M2086" s="431"/>
    </row>
    <row r="2087" spans="2:13">
      <c r="B2087" s="127"/>
      <c r="C2087" s="127"/>
      <c r="D2087" s="429"/>
      <c r="E2087" s="430"/>
      <c r="F2087" s="432"/>
      <c r="G2087" s="432"/>
      <c r="H2087" s="443"/>
      <c r="I2087" s="432"/>
      <c r="J2087" s="443"/>
      <c r="K2087" s="444"/>
      <c r="M2087" s="431"/>
    </row>
    <row r="2088" spans="2:13">
      <c r="B2088" s="127"/>
      <c r="C2088" s="127"/>
      <c r="D2088" s="427"/>
      <c r="E2088" s="427"/>
      <c r="F2088" s="445"/>
      <c r="G2088" s="445"/>
      <c r="H2088" s="446"/>
      <c r="I2088" s="445"/>
      <c r="J2088" s="446"/>
      <c r="K2088" s="447"/>
      <c r="M2088" s="596"/>
    </row>
    <row r="2089" spans="2:13">
      <c r="B2089" s="127"/>
      <c r="C2089" s="127"/>
      <c r="F2089" s="398"/>
      <c r="G2089" s="398"/>
      <c r="H2089" s="398"/>
      <c r="I2089" s="398"/>
      <c r="J2089" s="398"/>
      <c r="K2089" s="398"/>
    </row>
    <row r="2090" spans="2:13">
      <c r="B2090" s="127"/>
      <c r="C2090" s="127"/>
      <c r="D2090" s="427"/>
      <c r="E2090" s="427"/>
      <c r="F2090" s="445"/>
      <c r="G2090" s="445"/>
      <c r="H2090" s="446"/>
      <c r="I2090" s="445"/>
      <c r="J2090" s="446"/>
      <c r="K2090" s="447"/>
      <c r="M2090" s="596"/>
    </row>
    <row r="2091" spans="2:13">
      <c r="B2091" s="127"/>
      <c r="C2091" s="127"/>
    </row>
    <row r="2092" spans="2:13">
      <c r="B2092" s="127"/>
      <c r="C2092" s="127"/>
      <c r="E2092" s="427"/>
      <c r="F2092" s="427"/>
      <c r="G2092" s="427"/>
      <c r="H2092" s="427"/>
      <c r="I2092" s="427"/>
      <c r="J2092" s="427"/>
      <c r="K2092" s="427"/>
      <c r="M2092" s="427"/>
    </row>
    <row r="2093" spans="2:13">
      <c r="B2093" s="127"/>
      <c r="C2093" s="127"/>
      <c r="E2093" s="427"/>
      <c r="F2093" s="427"/>
      <c r="G2093" s="427"/>
      <c r="H2093" s="427"/>
      <c r="I2093" s="427"/>
      <c r="J2093" s="427"/>
      <c r="K2093" s="427"/>
      <c r="M2093" s="427"/>
    </row>
    <row r="2094" spans="2:13">
      <c r="B2094" s="127"/>
      <c r="C2094" s="127"/>
      <c r="D2094" s="429"/>
      <c r="E2094" s="430"/>
      <c r="F2094" s="432"/>
      <c r="G2094" s="432"/>
      <c r="H2094" s="443"/>
      <c r="I2094" s="432"/>
      <c r="J2094" s="443"/>
      <c r="K2094" s="444"/>
      <c r="M2094" s="431"/>
    </row>
    <row r="2095" spans="2:13">
      <c r="B2095" s="127"/>
      <c r="C2095" s="127"/>
      <c r="D2095" s="427"/>
      <c r="E2095" s="427"/>
      <c r="F2095" s="445"/>
      <c r="G2095" s="445"/>
      <c r="H2095" s="446"/>
      <c r="I2095" s="445"/>
      <c r="J2095" s="446"/>
      <c r="K2095" s="447"/>
      <c r="M2095" s="596"/>
    </row>
    <row r="2096" spans="2:13">
      <c r="B2096" s="127"/>
      <c r="C2096" s="127"/>
    </row>
    <row r="2097" spans="2:13">
      <c r="B2097" s="127"/>
      <c r="C2097" s="127"/>
      <c r="E2097" s="427"/>
      <c r="F2097" s="427"/>
      <c r="G2097" s="427"/>
      <c r="H2097" s="427"/>
      <c r="I2097" s="427"/>
      <c r="J2097" s="427"/>
      <c r="K2097" s="427"/>
      <c r="M2097" s="427"/>
    </row>
    <row r="2098" spans="2:13">
      <c r="B2098" s="127"/>
      <c r="C2098" s="127"/>
      <c r="D2098" s="429"/>
      <c r="E2098" s="430"/>
      <c r="F2098" s="431"/>
      <c r="G2098" s="431"/>
      <c r="H2098" s="436"/>
      <c r="I2098" s="431"/>
      <c r="J2098" s="436"/>
      <c r="K2098" s="437"/>
      <c r="M2098" s="431"/>
    </row>
    <row r="2099" spans="2:13">
      <c r="B2099" s="127"/>
      <c r="C2099" s="127"/>
      <c r="D2099" s="429"/>
      <c r="E2099" s="430"/>
      <c r="F2099" s="432"/>
      <c r="G2099" s="432"/>
      <c r="H2099" s="443"/>
      <c r="I2099" s="432"/>
      <c r="J2099" s="443"/>
      <c r="K2099" s="444"/>
      <c r="M2099" s="431"/>
    </row>
    <row r="2100" spans="2:13">
      <c r="B2100" s="127"/>
      <c r="C2100" s="127"/>
      <c r="D2100" s="427"/>
      <c r="E2100" s="427"/>
      <c r="F2100" s="445"/>
      <c r="G2100" s="445"/>
      <c r="H2100" s="446"/>
      <c r="I2100" s="445"/>
      <c r="J2100" s="446"/>
      <c r="K2100" s="447"/>
      <c r="M2100" s="596"/>
    </row>
    <row r="2101" spans="2:13">
      <c r="B2101" s="127"/>
      <c r="C2101" s="127"/>
    </row>
    <row r="2102" spans="2:13">
      <c r="B2102" s="127"/>
      <c r="C2102" s="127"/>
      <c r="E2102" s="427"/>
      <c r="F2102" s="427"/>
      <c r="G2102" s="427"/>
      <c r="H2102" s="427"/>
      <c r="I2102" s="427"/>
      <c r="J2102" s="427"/>
      <c r="K2102" s="427"/>
      <c r="M2102" s="427"/>
    </row>
    <row r="2103" spans="2:13">
      <c r="B2103" s="127"/>
      <c r="C2103" s="127"/>
      <c r="D2103" s="429"/>
      <c r="E2103" s="430"/>
      <c r="F2103" s="432"/>
      <c r="G2103" s="432"/>
      <c r="H2103" s="443"/>
      <c r="I2103" s="432"/>
      <c r="J2103" s="443"/>
      <c r="K2103" s="444"/>
      <c r="M2103" s="431"/>
    </row>
    <row r="2104" spans="2:13">
      <c r="B2104" s="127"/>
      <c r="C2104" s="127"/>
      <c r="D2104" s="427"/>
      <c r="E2104" s="427"/>
      <c r="F2104" s="445"/>
      <c r="G2104" s="445"/>
      <c r="H2104" s="446"/>
      <c r="I2104" s="445"/>
      <c r="J2104" s="446"/>
      <c r="K2104" s="447"/>
      <c r="M2104" s="596"/>
    </row>
    <row r="2105" spans="2:13">
      <c r="B2105" s="127"/>
      <c r="C2105" s="127"/>
    </row>
    <row r="2106" spans="2:13">
      <c r="B2106" s="127"/>
      <c r="C2106" s="127"/>
      <c r="E2106" s="427"/>
      <c r="F2106" s="427"/>
      <c r="G2106" s="427"/>
      <c r="H2106" s="427"/>
      <c r="I2106" s="427"/>
      <c r="J2106" s="427"/>
      <c r="K2106" s="427"/>
      <c r="M2106" s="427"/>
    </row>
    <row r="2107" spans="2:13">
      <c r="B2107" s="127"/>
      <c r="C2107" s="127"/>
      <c r="D2107" s="429"/>
      <c r="E2107" s="430"/>
      <c r="F2107" s="431"/>
      <c r="G2107" s="431"/>
      <c r="H2107" s="436"/>
      <c r="I2107" s="431"/>
      <c r="J2107" s="436"/>
      <c r="K2107" s="437"/>
      <c r="M2107" s="431"/>
    </row>
    <row r="2108" spans="2:13">
      <c r="B2108" s="127"/>
      <c r="C2108" s="127"/>
      <c r="D2108" s="429"/>
      <c r="E2108" s="430"/>
      <c r="F2108" s="432"/>
      <c r="G2108" s="432"/>
      <c r="H2108" s="443"/>
      <c r="I2108" s="432"/>
      <c r="J2108" s="443"/>
      <c r="K2108" s="444"/>
      <c r="M2108" s="431"/>
    </row>
    <row r="2109" spans="2:13">
      <c r="B2109" s="127"/>
      <c r="C2109" s="127"/>
      <c r="D2109" s="427"/>
      <c r="E2109" s="427"/>
      <c r="F2109" s="445"/>
      <c r="G2109" s="445"/>
      <c r="H2109" s="446"/>
      <c r="I2109" s="445"/>
      <c r="J2109" s="446"/>
      <c r="K2109" s="447"/>
      <c r="M2109" s="596"/>
    </row>
    <row r="2110" spans="2:13">
      <c r="B2110" s="127"/>
      <c r="C2110" s="127"/>
      <c r="F2110" s="398"/>
      <c r="G2110" s="398"/>
      <c r="H2110" s="398"/>
      <c r="I2110" s="398"/>
      <c r="J2110" s="398"/>
      <c r="K2110" s="398"/>
    </row>
    <row r="2111" spans="2:13">
      <c r="B2111" s="127"/>
      <c r="C2111" s="127"/>
      <c r="D2111" s="427"/>
      <c r="E2111" s="427"/>
      <c r="F2111" s="445"/>
      <c r="G2111" s="445"/>
      <c r="H2111" s="446"/>
      <c r="I2111" s="445"/>
      <c r="J2111" s="446"/>
      <c r="K2111" s="447"/>
      <c r="M2111" s="596"/>
    </row>
    <row r="2112" spans="2:13">
      <c r="B2112" s="127"/>
      <c r="C2112" s="127"/>
    </row>
    <row r="2113" spans="2:13">
      <c r="B2113" s="127"/>
      <c r="C2113" s="127"/>
      <c r="E2113" s="427"/>
      <c r="F2113" s="427"/>
      <c r="G2113" s="427"/>
      <c r="H2113" s="427"/>
      <c r="I2113" s="427"/>
      <c r="J2113" s="427"/>
      <c r="K2113" s="427"/>
      <c r="M2113" s="427"/>
    </row>
    <row r="2114" spans="2:13">
      <c r="B2114" s="127"/>
      <c r="C2114" s="127"/>
      <c r="E2114" s="427"/>
      <c r="F2114" s="427"/>
      <c r="G2114" s="427"/>
      <c r="H2114" s="427"/>
      <c r="I2114" s="427"/>
      <c r="J2114" s="427"/>
      <c r="K2114" s="427"/>
      <c r="M2114" s="427"/>
    </row>
    <row r="2115" spans="2:13">
      <c r="B2115" s="127"/>
      <c r="C2115" s="127"/>
      <c r="D2115" s="429"/>
      <c r="E2115" s="430"/>
      <c r="F2115" s="432"/>
      <c r="G2115" s="432"/>
      <c r="H2115" s="443"/>
      <c r="I2115" s="432"/>
      <c r="J2115" s="443"/>
      <c r="K2115" s="444"/>
      <c r="M2115" s="431"/>
    </row>
    <row r="2116" spans="2:13">
      <c r="B2116" s="127"/>
      <c r="C2116" s="127"/>
      <c r="D2116" s="427"/>
      <c r="E2116" s="427"/>
      <c r="F2116" s="445"/>
      <c r="G2116" s="445"/>
      <c r="H2116" s="446"/>
      <c r="I2116" s="445"/>
      <c r="J2116" s="446"/>
      <c r="K2116" s="447"/>
      <c r="M2116" s="596"/>
    </row>
    <row r="2117" spans="2:13">
      <c r="B2117" s="127"/>
      <c r="C2117" s="127"/>
    </row>
    <row r="2118" spans="2:13">
      <c r="B2118" s="127"/>
      <c r="C2118" s="127"/>
      <c r="E2118" s="427"/>
      <c r="F2118" s="427"/>
      <c r="G2118" s="427"/>
      <c r="H2118" s="427"/>
      <c r="I2118" s="427"/>
      <c r="J2118" s="427"/>
      <c r="K2118" s="427"/>
      <c r="M2118" s="427"/>
    </row>
    <row r="2119" spans="2:13">
      <c r="B2119" s="127"/>
      <c r="C2119" s="127"/>
      <c r="D2119" s="429"/>
      <c r="E2119" s="430"/>
      <c r="F2119" s="431"/>
      <c r="G2119" s="431"/>
      <c r="H2119" s="436"/>
      <c r="I2119" s="431"/>
      <c r="J2119" s="436"/>
      <c r="K2119" s="437"/>
      <c r="M2119" s="431"/>
    </row>
    <row r="2120" spans="2:13">
      <c r="B2120" s="127"/>
      <c r="C2120" s="127"/>
      <c r="D2120" s="429"/>
      <c r="E2120" s="430"/>
      <c r="F2120" s="432"/>
      <c r="G2120" s="432"/>
      <c r="H2120" s="443"/>
      <c r="I2120" s="432"/>
      <c r="J2120" s="443"/>
      <c r="K2120" s="444"/>
      <c r="M2120" s="431"/>
    </row>
    <row r="2121" spans="2:13">
      <c r="B2121" s="127"/>
      <c r="C2121" s="127"/>
      <c r="D2121" s="427"/>
      <c r="E2121" s="427"/>
      <c r="F2121" s="445"/>
      <c r="G2121" s="445"/>
      <c r="H2121" s="446"/>
      <c r="I2121" s="445"/>
      <c r="J2121" s="446"/>
      <c r="K2121" s="447"/>
      <c r="M2121" s="596"/>
    </row>
    <row r="2122" spans="2:13">
      <c r="B2122" s="127"/>
      <c r="C2122" s="127"/>
      <c r="F2122" s="398"/>
      <c r="G2122" s="398"/>
      <c r="H2122" s="398"/>
      <c r="I2122" s="398"/>
      <c r="J2122" s="398"/>
      <c r="K2122" s="398"/>
    </row>
    <row r="2123" spans="2:13">
      <c r="B2123" s="127"/>
      <c r="C2123" s="127"/>
      <c r="D2123" s="427"/>
      <c r="E2123" s="427"/>
      <c r="F2123" s="445"/>
      <c r="G2123" s="445"/>
      <c r="H2123" s="446"/>
      <c r="I2123" s="445"/>
      <c r="J2123" s="446"/>
      <c r="K2123" s="447"/>
      <c r="M2123" s="596"/>
    </row>
    <row r="2124" spans="2:13">
      <c r="B2124" s="127"/>
      <c r="C2124" s="127"/>
    </row>
    <row r="2125" spans="2:13">
      <c r="B2125" s="127"/>
      <c r="C2125" s="127"/>
      <c r="D2125" s="438"/>
      <c r="E2125" s="438"/>
      <c r="F2125" s="438"/>
      <c r="G2125" s="438"/>
      <c r="H2125" s="438"/>
      <c r="I2125" s="438"/>
      <c r="J2125" s="438"/>
      <c r="K2125" s="438"/>
      <c r="M2125" s="597"/>
    </row>
    <row r="2126" spans="2:13" ht="16.2" thickBot="1">
      <c r="B2126" s="127"/>
      <c r="C2126" s="127"/>
      <c r="D2126" s="439"/>
      <c r="E2126" s="439"/>
      <c r="F2126" s="440"/>
      <c r="G2126" s="440"/>
      <c r="H2126" s="440"/>
      <c r="I2126" s="440"/>
      <c r="J2126" s="439"/>
      <c r="K2126" s="439"/>
    </row>
    <row r="2127" spans="2:13">
      <c r="B2127" s="127"/>
      <c r="C2127" s="127"/>
      <c r="D2127" s="441"/>
      <c r="E2127" s="441"/>
      <c r="F2127" s="441"/>
      <c r="G2127" s="442"/>
      <c r="H2127" s="441"/>
      <c r="I2127" s="441"/>
      <c r="J2127" s="441"/>
      <c r="K2127" s="441"/>
      <c r="M2127" s="455"/>
    </row>
    <row r="2128" spans="2:13">
      <c r="B2128" s="127"/>
      <c r="C2128" s="127"/>
    </row>
    <row r="2129" spans="2:13">
      <c r="B2129" s="127"/>
      <c r="C2129" s="127"/>
      <c r="J2129" s="428"/>
    </row>
    <row r="2130" spans="2:13">
      <c r="B2130" s="127"/>
      <c r="C2130" s="127"/>
      <c r="F2130" s="428"/>
      <c r="G2130" s="428"/>
      <c r="H2130" s="435"/>
      <c r="I2130" s="428"/>
      <c r="J2130" s="428"/>
      <c r="K2130" s="435"/>
      <c r="M2130" s="428"/>
    </row>
    <row r="2131" spans="2:13">
      <c r="B2131" s="127"/>
      <c r="C2131" s="127"/>
    </row>
    <row r="2132" spans="2:13">
      <c r="B2132" s="127"/>
      <c r="C2132" s="127"/>
      <c r="E2132" s="427"/>
      <c r="F2132" s="427"/>
      <c r="G2132" s="427"/>
      <c r="H2132" s="427"/>
      <c r="I2132" s="427"/>
      <c r="J2132" s="427"/>
      <c r="K2132" s="427"/>
      <c r="M2132" s="427"/>
    </row>
    <row r="2133" spans="2:13">
      <c r="B2133" s="127"/>
      <c r="C2133" s="127"/>
      <c r="E2133" s="427"/>
      <c r="F2133" s="427"/>
      <c r="G2133" s="427"/>
      <c r="H2133" s="427"/>
      <c r="I2133" s="427"/>
      <c r="J2133" s="427"/>
      <c r="K2133" s="427"/>
      <c r="M2133" s="427"/>
    </row>
    <row r="2134" spans="2:13">
      <c r="B2134" s="127"/>
      <c r="C2134" s="127"/>
      <c r="D2134" s="429"/>
      <c r="E2134" s="430"/>
      <c r="F2134" s="432"/>
      <c r="G2134" s="432"/>
      <c r="H2134" s="443"/>
      <c r="I2134" s="432"/>
      <c r="J2134" s="443"/>
      <c r="K2134" s="444"/>
      <c r="M2134" s="431"/>
    </row>
    <row r="2135" spans="2:13">
      <c r="B2135" s="127"/>
      <c r="C2135" s="127"/>
      <c r="D2135" s="427"/>
      <c r="E2135" s="427"/>
      <c r="F2135" s="445"/>
      <c r="G2135" s="445"/>
      <c r="H2135" s="446"/>
      <c r="I2135" s="445"/>
      <c r="J2135" s="446"/>
      <c r="K2135" s="447"/>
      <c r="M2135" s="596"/>
    </row>
    <row r="2136" spans="2:13">
      <c r="B2136" s="127"/>
      <c r="C2136" s="127"/>
    </row>
    <row r="2137" spans="2:13">
      <c r="B2137" s="127"/>
      <c r="C2137" s="127"/>
      <c r="E2137" s="427"/>
      <c r="F2137" s="427"/>
      <c r="G2137" s="427"/>
      <c r="H2137" s="427"/>
      <c r="I2137" s="427"/>
      <c r="J2137" s="427"/>
      <c r="K2137" s="427"/>
      <c r="M2137" s="427"/>
    </row>
    <row r="2138" spans="2:13">
      <c r="B2138" s="127"/>
      <c r="C2138" s="127"/>
      <c r="D2138" s="429"/>
      <c r="E2138" s="430"/>
      <c r="F2138" s="431"/>
      <c r="G2138" s="431"/>
      <c r="H2138" s="436"/>
      <c r="I2138" s="431"/>
      <c r="J2138" s="436"/>
      <c r="K2138" s="437"/>
      <c r="M2138" s="431"/>
    </row>
    <row r="2139" spans="2:13">
      <c r="B2139" s="127"/>
      <c r="C2139" s="127"/>
      <c r="D2139" s="429"/>
      <c r="E2139" s="430"/>
      <c r="F2139" s="432"/>
      <c r="G2139" s="432"/>
      <c r="H2139" s="443"/>
      <c r="I2139" s="432"/>
      <c r="J2139" s="443"/>
      <c r="K2139" s="444"/>
      <c r="M2139" s="431"/>
    </row>
    <row r="2140" spans="2:13">
      <c r="B2140" s="127"/>
      <c r="C2140" s="127"/>
      <c r="D2140" s="427"/>
      <c r="E2140" s="427"/>
      <c r="F2140" s="445"/>
      <c r="G2140" s="445"/>
      <c r="H2140" s="446"/>
      <c r="I2140" s="445"/>
      <c r="J2140" s="446"/>
      <c r="K2140" s="447"/>
      <c r="M2140" s="596"/>
    </row>
    <row r="2141" spans="2:13">
      <c r="B2141" s="127"/>
      <c r="C2141" s="127"/>
      <c r="F2141" s="398"/>
      <c r="G2141" s="398"/>
      <c r="H2141" s="398"/>
      <c r="I2141" s="398"/>
      <c r="J2141" s="398"/>
      <c r="K2141" s="398"/>
    </row>
    <row r="2142" spans="2:13">
      <c r="B2142" s="127"/>
      <c r="C2142" s="127"/>
      <c r="D2142" s="427"/>
      <c r="E2142" s="427"/>
      <c r="F2142" s="445"/>
      <c r="G2142" s="445"/>
      <c r="H2142" s="446"/>
      <c r="I2142" s="445"/>
      <c r="J2142" s="446"/>
      <c r="K2142" s="447"/>
      <c r="M2142" s="596"/>
    </row>
    <row r="2143" spans="2:13">
      <c r="B2143" s="127"/>
      <c r="C2143" s="127"/>
    </row>
    <row r="2144" spans="2:13">
      <c r="B2144" s="127"/>
      <c r="C2144" s="127"/>
      <c r="E2144" s="427"/>
      <c r="F2144" s="427"/>
      <c r="G2144" s="427"/>
      <c r="H2144" s="427"/>
      <c r="I2144" s="427"/>
      <c r="J2144" s="427"/>
      <c r="K2144" s="427"/>
      <c r="M2144" s="427"/>
    </row>
    <row r="2145" spans="2:13">
      <c r="B2145" s="127"/>
      <c r="C2145" s="127"/>
      <c r="E2145" s="427"/>
      <c r="F2145" s="427"/>
      <c r="G2145" s="427"/>
      <c r="H2145" s="427"/>
      <c r="I2145" s="427"/>
      <c r="J2145" s="427"/>
      <c r="K2145" s="427"/>
      <c r="M2145" s="427"/>
    </row>
    <row r="2146" spans="2:13">
      <c r="B2146" s="127"/>
      <c r="C2146" s="127"/>
      <c r="D2146" s="429"/>
      <c r="E2146" s="430"/>
      <c r="F2146" s="432"/>
      <c r="G2146" s="432"/>
      <c r="H2146" s="443"/>
      <c r="I2146" s="432"/>
      <c r="J2146" s="443"/>
      <c r="K2146" s="444"/>
      <c r="M2146" s="431"/>
    </row>
    <row r="2147" spans="2:13">
      <c r="B2147" s="127"/>
      <c r="C2147" s="127"/>
      <c r="D2147" s="427"/>
      <c r="E2147" s="427"/>
      <c r="F2147" s="445"/>
      <c r="G2147" s="445"/>
      <c r="H2147" s="446"/>
      <c r="I2147" s="445"/>
      <c r="J2147" s="446"/>
      <c r="K2147" s="447"/>
      <c r="M2147" s="596"/>
    </row>
    <row r="2148" spans="2:13">
      <c r="B2148" s="127"/>
      <c r="C2148" s="127"/>
    </row>
    <row r="2149" spans="2:13">
      <c r="B2149" s="127"/>
      <c r="C2149" s="127"/>
      <c r="E2149" s="427"/>
      <c r="F2149" s="427"/>
      <c r="G2149" s="427"/>
      <c r="H2149" s="427"/>
      <c r="I2149" s="427"/>
      <c r="J2149" s="427"/>
      <c r="K2149" s="427"/>
      <c r="M2149" s="427"/>
    </row>
    <row r="2150" spans="2:13">
      <c r="B2150" s="127"/>
      <c r="C2150" s="127"/>
      <c r="D2150" s="429"/>
      <c r="E2150" s="430"/>
      <c r="F2150" s="432"/>
      <c r="G2150" s="432"/>
      <c r="H2150" s="443"/>
      <c r="I2150" s="432"/>
      <c r="J2150" s="443"/>
      <c r="K2150" s="444"/>
      <c r="M2150" s="431"/>
    </row>
    <row r="2151" spans="2:13">
      <c r="B2151" s="127"/>
      <c r="C2151" s="127"/>
      <c r="D2151" s="427"/>
      <c r="E2151" s="427"/>
      <c r="F2151" s="445"/>
      <c r="G2151" s="445"/>
      <c r="H2151" s="446"/>
      <c r="I2151" s="445"/>
      <c r="J2151" s="446"/>
      <c r="K2151" s="447"/>
      <c r="M2151" s="596"/>
    </row>
    <row r="2152" spans="2:13">
      <c r="B2152" s="127"/>
      <c r="C2152" s="127"/>
    </row>
    <row r="2153" spans="2:13">
      <c r="B2153" s="127"/>
      <c r="C2153" s="127"/>
      <c r="E2153" s="427"/>
      <c r="F2153" s="427"/>
      <c r="G2153" s="427"/>
      <c r="H2153" s="427"/>
      <c r="I2153" s="427"/>
      <c r="J2153" s="427"/>
      <c r="K2153" s="427"/>
      <c r="M2153" s="427"/>
    </row>
    <row r="2154" spans="2:13">
      <c r="B2154" s="127"/>
      <c r="C2154" s="127"/>
      <c r="D2154" s="429"/>
      <c r="E2154" s="430"/>
      <c r="F2154" s="432"/>
      <c r="G2154" s="432"/>
      <c r="H2154" s="443"/>
      <c r="I2154" s="432"/>
      <c r="J2154" s="443"/>
      <c r="K2154" s="444"/>
      <c r="M2154" s="431"/>
    </row>
    <row r="2155" spans="2:13">
      <c r="B2155" s="127"/>
      <c r="C2155" s="127"/>
      <c r="D2155" s="427"/>
      <c r="E2155" s="427"/>
      <c r="F2155" s="445"/>
      <c r="G2155" s="445"/>
      <c r="H2155" s="446"/>
      <c r="I2155" s="445"/>
      <c r="J2155" s="446"/>
      <c r="K2155" s="447"/>
      <c r="M2155" s="596"/>
    </row>
    <row r="2156" spans="2:13">
      <c r="B2156" s="127"/>
      <c r="C2156" s="127"/>
      <c r="F2156" s="398"/>
      <c r="G2156" s="398"/>
      <c r="H2156" s="398"/>
      <c r="I2156" s="398"/>
      <c r="J2156" s="398"/>
      <c r="K2156" s="398"/>
    </row>
    <row r="2157" spans="2:13">
      <c r="B2157" s="127"/>
      <c r="C2157" s="127"/>
      <c r="D2157" s="427"/>
      <c r="E2157" s="427"/>
      <c r="F2157" s="445"/>
      <c r="G2157" s="445"/>
      <c r="H2157" s="446"/>
      <c r="I2157" s="445"/>
      <c r="J2157" s="446"/>
      <c r="K2157" s="447"/>
      <c r="M2157" s="596"/>
    </row>
    <row r="2158" spans="2:13">
      <c r="B2158" s="127"/>
      <c r="C2158" s="127"/>
      <c r="F2158" s="398"/>
      <c r="G2158" s="398"/>
      <c r="H2158" s="398"/>
      <c r="I2158" s="398"/>
      <c r="J2158" s="398"/>
      <c r="K2158" s="398"/>
    </row>
    <row r="2159" spans="2:13">
      <c r="B2159" s="127"/>
      <c r="C2159" s="127"/>
      <c r="D2159" s="427"/>
      <c r="E2159" s="427"/>
      <c r="F2159" s="445"/>
      <c r="G2159" s="445"/>
      <c r="H2159" s="446"/>
      <c r="I2159" s="445"/>
      <c r="J2159" s="446"/>
      <c r="K2159" s="447"/>
      <c r="M2159" s="596"/>
    </row>
    <row r="2160" spans="2:13">
      <c r="B2160" s="127"/>
      <c r="C2160" s="127"/>
    </row>
    <row r="2161" spans="2:13">
      <c r="B2161" s="127"/>
      <c r="C2161" s="127"/>
      <c r="E2161" s="427"/>
      <c r="F2161" s="427"/>
      <c r="G2161" s="427"/>
      <c r="H2161" s="427"/>
      <c r="I2161" s="427"/>
      <c r="J2161" s="427"/>
      <c r="K2161" s="427"/>
      <c r="M2161" s="427"/>
    </row>
    <row r="2162" spans="2:13">
      <c r="B2162" s="127"/>
      <c r="C2162" s="127"/>
      <c r="E2162" s="427"/>
      <c r="F2162" s="427"/>
      <c r="G2162" s="427"/>
      <c r="H2162" s="427"/>
      <c r="I2162" s="427"/>
      <c r="J2162" s="427"/>
      <c r="K2162" s="427"/>
      <c r="M2162" s="427"/>
    </row>
    <row r="2163" spans="2:13">
      <c r="B2163" s="127"/>
      <c r="C2163" s="127"/>
      <c r="E2163" s="427"/>
      <c r="F2163" s="427"/>
      <c r="G2163" s="427"/>
      <c r="H2163" s="427"/>
      <c r="I2163" s="427"/>
      <c r="J2163" s="427"/>
      <c r="K2163" s="427"/>
      <c r="M2163" s="427"/>
    </row>
    <row r="2164" spans="2:13">
      <c r="B2164" s="127"/>
      <c r="C2164" s="127"/>
      <c r="D2164" s="429"/>
      <c r="E2164" s="430"/>
      <c r="F2164" s="431"/>
      <c r="G2164" s="431"/>
      <c r="H2164" s="436"/>
      <c r="I2164" s="431"/>
      <c r="J2164" s="436"/>
      <c r="K2164" s="437"/>
      <c r="M2164" s="431"/>
    </row>
    <row r="2165" spans="2:13">
      <c r="B2165" s="127"/>
      <c r="C2165" s="127"/>
      <c r="D2165" s="429"/>
      <c r="E2165" s="430"/>
      <c r="F2165" s="431"/>
      <c r="G2165" s="431"/>
      <c r="H2165" s="436"/>
      <c r="I2165" s="431"/>
      <c r="J2165" s="436"/>
      <c r="K2165" s="437"/>
      <c r="M2165" s="431"/>
    </row>
    <row r="2166" spans="2:13">
      <c r="B2166" s="127"/>
      <c r="C2166" s="127"/>
      <c r="D2166" s="429"/>
      <c r="E2166" s="430"/>
      <c r="F2166" s="432"/>
      <c r="G2166" s="432"/>
      <c r="H2166" s="443"/>
      <c r="I2166" s="432"/>
      <c r="J2166" s="443"/>
      <c r="K2166" s="444"/>
      <c r="M2166" s="431"/>
    </row>
    <row r="2167" spans="2:13">
      <c r="B2167" s="127"/>
      <c r="C2167" s="127"/>
      <c r="D2167" s="427"/>
      <c r="E2167" s="427"/>
      <c r="F2167" s="445"/>
      <c r="G2167" s="445"/>
      <c r="H2167" s="446"/>
      <c r="I2167" s="445"/>
      <c r="J2167" s="446"/>
      <c r="K2167" s="447"/>
      <c r="M2167" s="596"/>
    </row>
    <row r="2168" spans="2:13">
      <c r="B2168" s="127"/>
      <c r="C2168" s="127"/>
      <c r="F2168" s="398"/>
      <c r="G2168" s="398"/>
      <c r="H2168" s="398"/>
      <c r="I2168" s="398"/>
      <c r="J2168" s="398"/>
      <c r="K2168" s="398"/>
    </row>
    <row r="2169" spans="2:13">
      <c r="B2169" s="127"/>
      <c r="C2169" s="127"/>
      <c r="D2169" s="427"/>
      <c r="E2169" s="427"/>
      <c r="F2169" s="445"/>
      <c r="G2169" s="445"/>
      <c r="H2169" s="446"/>
      <c r="I2169" s="445"/>
      <c r="J2169" s="446"/>
      <c r="K2169" s="447"/>
      <c r="M2169" s="596"/>
    </row>
    <row r="2170" spans="2:13">
      <c r="B2170" s="127"/>
      <c r="C2170" s="127"/>
      <c r="F2170" s="398"/>
      <c r="G2170" s="398"/>
      <c r="H2170" s="398"/>
      <c r="I2170" s="398"/>
      <c r="J2170" s="398"/>
      <c r="K2170" s="398"/>
    </row>
    <row r="2171" spans="2:13">
      <c r="B2171" s="127"/>
      <c r="C2171" s="127"/>
      <c r="D2171" s="427"/>
      <c r="E2171" s="427"/>
      <c r="F2171" s="445"/>
      <c r="G2171" s="445"/>
      <c r="H2171" s="446"/>
      <c r="I2171" s="445"/>
      <c r="J2171" s="446"/>
      <c r="K2171" s="447"/>
      <c r="M2171" s="596"/>
    </row>
    <row r="2172" spans="2:13">
      <c r="B2172" s="127"/>
      <c r="C2172" s="127"/>
      <c r="F2172" s="398"/>
      <c r="G2172" s="398"/>
      <c r="H2172" s="398"/>
      <c r="I2172" s="398"/>
      <c r="J2172" s="398"/>
      <c r="K2172" s="398"/>
    </row>
    <row r="2173" spans="2:13">
      <c r="B2173" s="127"/>
      <c r="C2173" s="127"/>
      <c r="D2173" s="427"/>
      <c r="E2173" s="427"/>
      <c r="F2173" s="445"/>
      <c r="G2173" s="445"/>
      <c r="H2173" s="446"/>
      <c r="I2173" s="445"/>
      <c r="J2173" s="446"/>
      <c r="K2173" s="447"/>
      <c r="M2173" s="596"/>
    </row>
    <row r="2174" spans="2:13">
      <c r="B2174" s="127"/>
      <c r="C2174" s="127"/>
      <c r="F2174" s="398"/>
      <c r="G2174" s="398"/>
      <c r="H2174" s="398"/>
      <c r="I2174" s="398"/>
      <c r="J2174" s="398"/>
      <c r="K2174" s="398"/>
    </row>
    <row r="2175" spans="2:13">
      <c r="B2175" s="127"/>
      <c r="C2175" s="127"/>
      <c r="D2175" s="427"/>
      <c r="E2175" s="427"/>
      <c r="F2175" s="445"/>
      <c r="G2175" s="445"/>
      <c r="H2175" s="446"/>
      <c r="I2175" s="445"/>
      <c r="J2175" s="446"/>
      <c r="K2175" s="447"/>
      <c r="M2175" s="596"/>
    </row>
    <row r="2176" spans="2:13">
      <c r="B2176" s="127"/>
      <c r="C2176" s="127"/>
    </row>
    <row r="2177" spans="2:13">
      <c r="B2177" s="127"/>
      <c r="C2177" s="127"/>
      <c r="D2177" s="427"/>
      <c r="E2177" s="427"/>
      <c r="F2177" s="427"/>
      <c r="G2177" s="427"/>
      <c r="H2177" s="427"/>
      <c r="I2177" s="427"/>
      <c r="J2177" s="427"/>
      <c r="K2177" s="427"/>
      <c r="M2177" s="427"/>
    </row>
    <row r="2178" spans="2:13">
      <c r="B2178" s="127"/>
      <c r="C2178" s="127"/>
      <c r="E2178" s="427"/>
      <c r="F2178" s="427"/>
      <c r="G2178" s="427"/>
      <c r="H2178" s="427"/>
      <c r="I2178" s="427"/>
      <c r="J2178" s="427"/>
      <c r="K2178" s="427"/>
      <c r="M2178" s="427"/>
    </row>
    <row r="2179" spans="2:13">
      <c r="B2179" s="127"/>
      <c r="C2179" s="127"/>
      <c r="E2179" s="427"/>
      <c r="F2179" s="427"/>
      <c r="G2179" s="427"/>
      <c r="H2179" s="427"/>
      <c r="I2179" s="427"/>
      <c r="J2179" s="427"/>
      <c r="K2179" s="427"/>
      <c r="M2179" s="427"/>
    </row>
    <row r="2180" spans="2:13">
      <c r="B2180" s="127"/>
      <c r="C2180" s="127"/>
      <c r="E2180" s="427"/>
      <c r="F2180" s="427"/>
      <c r="G2180" s="427"/>
      <c r="H2180" s="427"/>
      <c r="I2180" s="427"/>
      <c r="J2180" s="427"/>
      <c r="K2180" s="427"/>
      <c r="M2180" s="427"/>
    </row>
    <row r="2181" spans="2:13">
      <c r="B2181" s="127"/>
      <c r="C2181" s="127"/>
      <c r="E2181" s="427"/>
      <c r="F2181" s="427"/>
      <c r="G2181" s="427"/>
      <c r="H2181" s="427"/>
      <c r="I2181" s="427"/>
      <c r="J2181" s="427"/>
      <c r="K2181" s="427"/>
      <c r="M2181" s="427"/>
    </row>
    <row r="2182" spans="2:13">
      <c r="B2182" s="127"/>
      <c r="C2182" s="127"/>
      <c r="D2182" s="429"/>
      <c r="E2182" s="430"/>
      <c r="F2182" s="431"/>
      <c r="G2182" s="431"/>
      <c r="H2182" s="436"/>
      <c r="I2182" s="431"/>
      <c r="J2182" s="436"/>
      <c r="K2182" s="437"/>
      <c r="M2182" s="431"/>
    </row>
    <row r="2183" spans="2:13">
      <c r="B2183" s="127"/>
      <c r="C2183" s="127"/>
      <c r="D2183" s="429"/>
      <c r="E2183" s="430"/>
      <c r="F2183" s="431"/>
      <c r="G2183" s="431"/>
      <c r="H2183" s="436"/>
      <c r="I2183" s="431"/>
      <c r="J2183" s="436"/>
      <c r="K2183" s="437"/>
      <c r="M2183" s="431"/>
    </row>
    <row r="2184" spans="2:13">
      <c r="B2184" s="127"/>
      <c r="C2184" s="127"/>
      <c r="D2184" s="429"/>
      <c r="E2184" s="430"/>
      <c r="F2184" s="431"/>
      <c r="G2184" s="431"/>
      <c r="H2184" s="436"/>
      <c r="I2184" s="431"/>
      <c r="J2184" s="436"/>
      <c r="K2184" s="437"/>
      <c r="M2184" s="431"/>
    </row>
    <row r="2185" spans="2:13">
      <c r="B2185" s="127"/>
      <c r="C2185" s="127"/>
      <c r="D2185" s="429"/>
      <c r="E2185" s="430"/>
      <c r="F2185" s="431"/>
      <c r="G2185" s="431"/>
      <c r="H2185" s="436"/>
      <c r="I2185" s="431"/>
      <c r="J2185" s="436"/>
      <c r="K2185" s="437"/>
      <c r="M2185" s="431"/>
    </row>
    <row r="2186" spans="2:13">
      <c r="B2186" s="127"/>
      <c r="C2186" s="127"/>
      <c r="D2186" s="429"/>
      <c r="E2186" s="430"/>
      <c r="F2186" s="431"/>
      <c r="G2186" s="431"/>
      <c r="H2186" s="436"/>
      <c r="I2186" s="431"/>
      <c r="J2186" s="436"/>
      <c r="K2186" s="437"/>
      <c r="M2186" s="431"/>
    </row>
    <row r="2187" spans="2:13">
      <c r="B2187" s="127"/>
      <c r="C2187" s="127"/>
      <c r="D2187" s="429"/>
      <c r="E2187" s="430"/>
      <c r="F2187" s="431"/>
      <c r="G2187" s="431"/>
      <c r="H2187" s="436"/>
      <c r="I2187" s="431"/>
      <c r="J2187" s="436"/>
      <c r="K2187" s="437"/>
      <c r="M2187" s="431"/>
    </row>
    <row r="2188" spans="2:13">
      <c r="B2188" s="127"/>
      <c r="C2188" s="127"/>
      <c r="D2188" s="429"/>
      <c r="E2188" s="430"/>
      <c r="F2188" s="432"/>
      <c r="G2188" s="432"/>
      <c r="H2188" s="443"/>
      <c r="I2188" s="432"/>
      <c r="J2188" s="443"/>
      <c r="K2188" s="444"/>
      <c r="M2188" s="431"/>
    </row>
    <row r="2189" spans="2:13">
      <c r="B2189" s="127"/>
      <c r="C2189" s="127"/>
      <c r="D2189" s="427"/>
      <c r="E2189" s="427"/>
      <c r="F2189" s="445"/>
      <c r="G2189" s="445"/>
      <c r="H2189" s="446"/>
      <c r="I2189" s="445"/>
      <c r="J2189" s="446"/>
      <c r="K2189" s="447"/>
      <c r="M2189" s="596"/>
    </row>
    <row r="2190" spans="2:13">
      <c r="B2190" s="127"/>
      <c r="C2190" s="127"/>
      <c r="F2190" s="398"/>
      <c r="G2190" s="398"/>
      <c r="H2190" s="398"/>
      <c r="I2190" s="398"/>
      <c r="J2190" s="398"/>
      <c r="K2190" s="398"/>
    </row>
    <row r="2191" spans="2:13">
      <c r="B2191" s="127"/>
      <c r="C2191" s="127"/>
      <c r="D2191" s="427"/>
      <c r="E2191" s="427"/>
      <c r="F2191" s="445"/>
      <c r="G2191" s="445"/>
      <c r="H2191" s="446"/>
      <c r="I2191" s="445"/>
      <c r="J2191" s="446"/>
      <c r="K2191" s="447"/>
      <c r="M2191" s="596"/>
    </row>
    <row r="2192" spans="2:13">
      <c r="B2192" s="127"/>
      <c r="C2192" s="127"/>
      <c r="F2192" s="398"/>
      <c r="G2192" s="398"/>
      <c r="H2192" s="398"/>
      <c r="I2192" s="398"/>
      <c r="J2192" s="398"/>
      <c r="K2192" s="398"/>
    </row>
    <row r="2193" spans="2:13">
      <c r="B2193" s="127"/>
      <c r="C2193" s="127"/>
      <c r="D2193" s="427"/>
      <c r="E2193" s="427"/>
      <c r="F2193" s="445"/>
      <c r="G2193" s="445"/>
      <c r="H2193" s="446"/>
      <c r="I2193" s="445"/>
      <c r="J2193" s="446"/>
      <c r="K2193" s="447"/>
      <c r="M2193" s="596"/>
    </row>
    <row r="2194" spans="2:13">
      <c r="B2194" s="127"/>
      <c r="C2194" s="127"/>
      <c r="F2194" s="398"/>
      <c r="G2194" s="398"/>
      <c r="H2194" s="398"/>
      <c r="I2194" s="398"/>
      <c r="J2194" s="398"/>
      <c r="K2194" s="398"/>
    </row>
    <row r="2195" spans="2:13">
      <c r="B2195" s="127"/>
      <c r="C2195" s="127"/>
      <c r="D2195" s="427"/>
      <c r="E2195" s="427"/>
      <c r="F2195" s="445"/>
      <c r="G2195" s="445"/>
      <c r="H2195" s="446"/>
      <c r="I2195" s="445"/>
      <c r="J2195" s="446"/>
      <c r="K2195" s="447"/>
      <c r="M2195" s="596"/>
    </row>
    <row r="2196" spans="2:13">
      <c r="B2196" s="127"/>
      <c r="C2196" s="127"/>
    </row>
    <row r="2197" spans="2:13">
      <c r="B2197" s="127"/>
      <c r="C2197" s="127"/>
      <c r="E2197" s="427"/>
      <c r="F2197" s="427"/>
      <c r="G2197" s="427"/>
      <c r="H2197" s="427"/>
      <c r="I2197" s="427"/>
      <c r="J2197" s="427"/>
      <c r="K2197" s="427"/>
      <c r="M2197" s="427"/>
    </row>
    <row r="2198" spans="2:13">
      <c r="B2198" s="127"/>
      <c r="C2198" s="127"/>
      <c r="E2198" s="427"/>
      <c r="F2198" s="427"/>
      <c r="G2198" s="427"/>
      <c r="H2198" s="427"/>
      <c r="I2198" s="427"/>
      <c r="J2198" s="427"/>
      <c r="K2198" s="427"/>
      <c r="M2198" s="427"/>
    </row>
    <row r="2199" spans="2:13">
      <c r="B2199" s="127"/>
      <c r="C2199" s="127"/>
      <c r="E2199" s="427"/>
      <c r="F2199" s="427"/>
      <c r="G2199" s="427"/>
      <c r="H2199" s="427"/>
      <c r="I2199" s="427"/>
      <c r="J2199" s="427"/>
      <c r="K2199" s="427"/>
      <c r="M2199" s="427"/>
    </row>
    <row r="2200" spans="2:13">
      <c r="B2200" s="127"/>
      <c r="C2200" s="127"/>
      <c r="E2200" s="427"/>
      <c r="F2200" s="427"/>
      <c r="G2200" s="427"/>
      <c r="H2200" s="427"/>
      <c r="I2200" s="427"/>
      <c r="J2200" s="427"/>
      <c r="K2200" s="427"/>
      <c r="M2200" s="427"/>
    </row>
    <row r="2201" spans="2:13">
      <c r="B2201" s="127"/>
      <c r="C2201" s="127"/>
      <c r="D2201" s="429"/>
      <c r="E2201" s="430"/>
      <c r="F2201" s="431"/>
      <c r="G2201" s="431"/>
      <c r="H2201" s="436"/>
      <c r="I2201" s="431"/>
      <c r="J2201" s="436"/>
      <c r="K2201" s="437"/>
      <c r="M2201" s="431"/>
    </row>
    <row r="2202" spans="2:13">
      <c r="B2202" s="127"/>
      <c r="C2202" s="127"/>
      <c r="D2202" s="438"/>
      <c r="E2202" s="438"/>
      <c r="F2202" s="438"/>
      <c r="G2202" s="438"/>
      <c r="H2202" s="438"/>
      <c r="I2202" s="438"/>
      <c r="J2202" s="438"/>
      <c r="K2202" s="438"/>
      <c r="M2202" s="597"/>
    </row>
    <row r="2203" spans="2:13" ht="16.2" thickBot="1">
      <c r="B2203" s="127"/>
      <c r="C2203" s="127"/>
      <c r="D2203" s="439"/>
      <c r="E2203" s="439"/>
      <c r="F2203" s="440"/>
      <c r="G2203" s="440"/>
      <c r="H2203" s="440"/>
      <c r="I2203" s="440"/>
      <c r="J2203" s="439"/>
      <c r="K2203" s="439"/>
    </row>
    <row r="2204" spans="2:13">
      <c r="B2204" s="127"/>
      <c r="C2204" s="127"/>
      <c r="D2204" s="441"/>
      <c r="E2204" s="441"/>
      <c r="F2204" s="441"/>
      <c r="G2204" s="442"/>
      <c r="H2204" s="441"/>
      <c r="I2204" s="441"/>
      <c r="J2204" s="441"/>
      <c r="K2204" s="441"/>
      <c r="M2204" s="455"/>
    </row>
    <row r="2205" spans="2:13">
      <c r="B2205" s="127"/>
      <c r="C2205" s="127"/>
    </row>
    <row r="2206" spans="2:13">
      <c r="B2206" s="127"/>
      <c r="C2206" s="127"/>
      <c r="J2206" s="428"/>
    </row>
    <row r="2207" spans="2:13">
      <c r="B2207" s="127"/>
      <c r="C2207" s="127"/>
      <c r="F2207" s="428"/>
      <c r="G2207" s="428"/>
      <c r="H2207" s="435"/>
      <c r="I2207" s="428"/>
      <c r="J2207" s="428"/>
      <c r="K2207" s="435"/>
      <c r="M2207" s="428"/>
    </row>
    <row r="2208" spans="2:13">
      <c r="B2208" s="127"/>
      <c r="C2208" s="127"/>
    </row>
    <row r="2209" spans="2:13">
      <c r="B2209" s="127"/>
      <c r="C2209" s="127"/>
      <c r="D2209" s="429"/>
      <c r="E2209" s="430"/>
      <c r="F2209" s="431"/>
      <c r="G2209" s="431"/>
      <c r="H2209" s="436"/>
      <c r="I2209" s="431"/>
      <c r="J2209" s="436"/>
      <c r="K2209" s="437"/>
      <c r="M2209" s="431"/>
    </row>
    <row r="2210" spans="2:13">
      <c r="B2210" s="127"/>
      <c r="C2210" s="127"/>
      <c r="D2210" s="429"/>
      <c r="E2210" s="430"/>
      <c r="F2210" s="431"/>
      <c r="G2210" s="431"/>
      <c r="H2210" s="436"/>
      <c r="I2210" s="431"/>
      <c r="J2210" s="436"/>
      <c r="K2210" s="437"/>
      <c r="M2210" s="431"/>
    </row>
    <row r="2211" spans="2:13">
      <c r="B2211" s="127"/>
      <c r="C2211" s="127"/>
      <c r="D2211" s="429"/>
      <c r="E2211" s="430"/>
      <c r="F2211" s="431"/>
      <c r="G2211" s="431"/>
      <c r="H2211" s="436"/>
      <c r="I2211" s="431"/>
      <c r="J2211" s="436"/>
      <c r="K2211" s="437"/>
      <c r="M2211" s="431"/>
    </row>
    <row r="2212" spans="2:13">
      <c r="B2212" s="127"/>
      <c r="C2212" s="127"/>
      <c r="D2212" s="429"/>
      <c r="E2212" s="430"/>
      <c r="F2212" s="431"/>
      <c r="G2212" s="431"/>
      <c r="H2212" s="436"/>
      <c r="I2212" s="431"/>
      <c r="J2212" s="436"/>
      <c r="K2212" s="437"/>
      <c r="M2212" s="431"/>
    </row>
    <row r="2213" spans="2:13">
      <c r="B2213" s="127"/>
      <c r="C2213" s="127"/>
      <c r="D2213" s="429"/>
      <c r="E2213" s="430"/>
      <c r="F2213" s="431"/>
      <c r="G2213" s="431"/>
      <c r="H2213" s="436"/>
      <c r="I2213" s="431"/>
      <c r="J2213" s="436"/>
      <c r="K2213" s="437"/>
      <c r="M2213" s="431"/>
    </row>
    <row r="2214" spans="2:13">
      <c r="B2214" s="127"/>
      <c r="C2214" s="127"/>
      <c r="D2214" s="429"/>
      <c r="E2214" s="430"/>
      <c r="F2214" s="431"/>
      <c r="G2214" s="431"/>
      <c r="H2214" s="436"/>
      <c r="I2214" s="431"/>
      <c r="J2214" s="436"/>
      <c r="K2214" s="437"/>
      <c r="M2214" s="431"/>
    </row>
    <row r="2215" spans="2:13">
      <c r="B2215" s="127"/>
      <c r="C2215" s="127"/>
      <c r="D2215" s="429"/>
      <c r="E2215" s="430"/>
      <c r="F2215" s="431"/>
      <c r="G2215" s="431"/>
      <c r="H2215" s="436"/>
      <c r="I2215" s="431"/>
      <c r="J2215" s="436"/>
      <c r="K2215" s="437"/>
      <c r="M2215" s="431"/>
    </row>
    <row r="2216" spans="2:13">
      <c r="B2216" s="127"/>
      <c r="C2216" s="127"/>
      <c r="D2216" s="429"/>
      <c r="E2216" s="430"/>
      <c r="F2216" s="431"/>
      <c r="G2216" s="431"/>
      <c r="H2216" s="436"/>
      <c r="I2216" s="431"/>
      <c r="J2216" s="436"/>
      <c r="K2216" s="437"/>
      <c r="M2216" s="431"/>
    </row>
    <row r="2217" spans="2:13">
      <c r="B2217" s="127"/>
      <c r="C2217" s="127"/>
      <c r="D2217" s="429"/>
      <c r="E2217" s="430"/>
      <c r="F2217" s="432"/>
      <c r="G2217" s="432"/>
      <c r="H2217" s="443"/>
      <c r="I2217" s="432"/>
      <c r="J2217" s="443"/>
      <c r="K2217" s="444"/>
      <c r="M2217" s="431"/>
    </row>
    <row r="2218" spans="2:13">
      <c r="B2218" s="127"/>
      <c r="C2218" s="127"/>
      <c r="D2218" s="427"/>
      <c r="E2218" s="427"/>
      <c r="F2218" s="445"/>
      <c r="G2218" s="445"/>
      <c r="H2218" s="446"/>
      <c r="I2218" s="445"/>
      <c r="J2218" s="446"/>
      <c r="K2218" s="447"/>
      <c r="M2218" s="596"/>
    </row>
    <row r="2219" spans="2:13">
      <c r="B2219" s="127"/>
      <c r="C2219" s="127"/>
    </row>
    <row r="2220" spans="2:13">
      <c r="B2220" s="127"/>
      <c r="C2220" s="127"/>
      <c r="E2220" s="427"/>
      <c r="F2220" s="427"/>
      <c r="G2220" s="427"/>
      <c r="H2220" s="427"/>
      <c r="I2220" s="427"/>
      <c r="J2220" s="427"/>
      <c r="K2220" s="427"/>
      <c r="M2220" s="427"/>
    </row>
    <row r="2221" spans="2:13">
      <c r="B2221" s="127"/>
      <c r="C2221" s="127"/>
      <c r="D2221" s="429"/>
      <c r="E2221" s="430"/>
      <c r="F2221" s="431"/>
      <c r="G2221" s="431"/>
      <c r="H2221" s="436"/>
      <c r="I2221" s="431"/>
      <c r="J2221" s="436"/>
      <c r="K2221" s="437"/>
      <c r="M2221" s="431"/>
    </row>
    <row r="2222" spans="2:13">
      <c r="B2222" s="127"/>
      <c r="C2222" s="127"/>
      <c r="D2222" s="429"/>
      <c r="E2222" s="430"/>
      <c r="F2222" s="431"/>
      <c r="G2222" s="431"/>
      <c r="H2222" s="436"/>
      <c r="I2222" s="431"/>
      <c r="J2222" s="436"/>
      <c r="K2222" s="437"/>
      <c r="M2222" s="431"/>
    </row>
    <row r="2223" spans="2:13">
      <c r="B2223" s="127"/>
      <c r="C2223" s="127"/>
      <c r="D2223" s="429"/>
      <c r="E2223" s="430"/>
      <c r="F2223" s="431"/>
      <c r="G2223" s="431"/>
      <c r="H2223" s="436"/>
      <c r="I2223" s="431"/>
      <c r="J2223" s="436"/>
      <c r="K2223" s="437"/>
      <c r="M2223" s="431"/>
    </row>
    <row r="2224" spans="2:13">
      <c r="B2224" s="127"/>
      <c r="C2224" s="127"/>
      <c r="D2224" s="429"/>
      <c r="E2224" s="430"/>
      <c r="F2224" s="432"/>
      <c r="G2224" s="432"/>
      <c r="H2224" s="443"/>
      <c r="I2224" s="432"/>
      <c r="J2224" s="443"/>
      <c r="K2224" s="444"/>
      <c r="M2224" s="431"/>
    </row>
    <row r="2225" spans="2:13">
      <c r="B2225" s="127"/>
      <c r="C2225" s="127"/>
      <c r="D2225" s="427"/>
      <c r="E2225" s="427"/>
      <c r="F2225" s="445"/>
      <c r="G2225" s="445"/>
      <c r="H2225" s="446"/>
      <c r="I2225" s="445"/>
      <c r="J2225" s="446"/>
      <c r="K2225" s="447"/>
      <c r="M2225" s="596"/>
    </row>
    <row r="2226" spans="2:13">
      <c r="B2226" s="127"/>
      <c r="C2226" s="127"/>
    </row>
    <row r="2227" spans="2:13">
      <c r="B2227" s="127"/>
      <c r="C2227" s="127"/>
      <c r="E2227" s="427"/>
      <c r="F2227" s="427"/>
      <c r="G2227" s="427"/>
      <c r="H2227" s="427"/>
      <c r="I2227" s="427"/>
      <c r="J2227" s="427"/>
      <c r="K2227" s="427"/>
      <c r="M2227" s="427"/>
    </row>
    <row r="2228" spans="2:13">
      <c r="B2228" s="127"/>
      <c r="C2228" s="127"/>
      <c r="D2228" s="429"/>
      <c r="E2228" s="430"/>
      <c r="F2228" s="431"/>
      <c r="G2228" s="431"/>
      <c r="H2228" s="436"/>
      <c r="I2228" s="431"/>
      <c r="J2228" s="436"/>
      <c r="K2228" s="437"/>
      <c r="M2228" s="431"/>
    </row>
    <row r="2229" spans="2:13">
      <c r="B2229" s="127"/>
      <c r="C2229" s="127"/>
      <c r="D2229" s="429"/>
      <c r="E2229" s="430"/>
      <c r="F2229" s="431"/>
      <c r="G2229" s="431"/>
      <c r="H2229" s="436"/>
      <c r="I2229" s="431"/>
      <c r="J2229" s="436"/>
      <c r="K2229" s="437"/>
      <c r="M2229" s="431"/>
    </row>
    <row r="2230" spans="2:13">
      <c r="B2230" s="127"/>
      <c r="C2230" s="127"/>
      <c r="D2230" s="429"/>
      <c r="E2230" s="430"/>
      <c r="F2230" s="432"/>
      <c r="G2230" s="432"/>
      <c r="H2230" s="443"/>
      <c r="I2230" s="432"/>
      <c r="J2230" s="443"/>
      <c r="K2230" s="444"/>
      <c r="M2230" s="431"/>
    </row>
    <row r="2231" spans="2:13">
      <c r="B2231" s="127"/>
      <c r="C2231" s="127"/>
      <c r="D2231" s="427"/>
      <c r="E2231" s="427"/>
      <c r="F2231" s="445"/>
      <c r="G2231" s="445"/>
      <c r="H2231" s="446"/>
      <c r="I2231" s="445"/>
      <c r="J2231" s="446"/>
      <c r="K2231" s="447"/>
      <c r="M2231" s="596"/>
    </row>
    <row r="2232" spans="2:13">
      <c r="B2232" s="127"/>
      <c r="C2232" s="127"/>
    </row>
    <row r="2233" spans="2:13">
      <c r="B2233" s="127"/>
      <c r="C2233" s="127"/>
      <c r="E2233" s="427"/>
      <c r="F2233" s="427"/>
      <c r="G2233" s="427"/>
      <c r="H2233" s="427"/>
      <c r="I2233" s="427"/>
      <c r="J2233" s="427"/>
      <c r="K2233" s="427"/>
      <c r="M2233" s="427"/>
    </row>
    <row r="2234" spans="2:13">
      <c r="B2234" s="127"/>
      <c r="C2234" s="127"/>
      <c r="D2234" s="429"/>
      <c r="E2234" s="430"/>
      <c r="F2234" s="431"/>
      <c r="G2234" s="431"/>
      <c r="H2234" s="436"/>
      <c r="I2234" s="431"/>
      <c r="J2234" s="436"/>
      <c r="K2234" s="437"/>
      <c r="M2234" s="431"/>
    </row>
    <row r="2235" spans="2:13">
      <c r="B2235" s="127"/>
      <c r="C2235" s="127"/>
      <c r="D2235" s="429"/>
      <c r="E2235" s="430"/>
      <c r="F2235" s="431"/>
      <c r="G2235" s="431"/>
      <c r="H2235" s="436"/>
      <c r="I2235" s="431"/>
      <c r="J2235" s="436"/>
      <c r="K2235" s="437"/>
      <c r="M2235" s="431"/>
    </row>
    <row r="2236" spans="2:13">
      <c r="B2236" s="127"/>
      <c r="C2236" s="127"/>
      <c r="D2236" s="429"/>
      <c r="E2236" s="430"/>
      <c r="F2236" s="431"/>
      <c r="G2236" s="431"/>
      <c r="H2236" s="436"/>
      <c r="I2236" s="431"/>
      <c r="J2236" s="436"/>
      <c r="K2236" s="437"/>
      <c r="M2236" s="431"/>
    </row>
    <row r="2237" spans="2:13">
      <c r="B2237" s="127"/>
      <c r="C2237" s="127"/>
      <c r="D2237" s="429"/>
      <c r="E2237" s="430"/>
      <c r="F2237" s="431"/>
      <c r="G2237" s="431"/>
      <c r="H2237" s="436"/>
      <c r="I2237" s="431"/>
      <c r="J2237" s="436"/>
      <c r="K2237" s="437"/>
      <c r="M2237" s="431"/>
    </row>
    <row r="2238" spans="2:13">
      <c r="B2238" s="127"/>
      <c r="C2238" s="127"/>
      <c r="D2238" s="429"/>
      <c r="E2238" s="430"/>
      <c r="F2238" s="432"/>
      <c r="G2238" s="432"/>
      <c r="H2238" s="443"/>
      <c r="I2238" s="432"/>
      <c r="J2238" s="443"/>
      <c r="K2238" s="444"/>
      <c r="M2238" s="431"/>
    </row>
    <row r="2239" spans="2:13">
      <c r="B2239" s="127"/>
      <c r="C2239" s="127"/>
      <c r="D2239" s="427"/>
      <c r="E2239" s="427"/>
      <c r="F2239" s="445"/>
      <c r="G2239" s="445"/>
      <c r="H2239" s="446"/>
      <c r="I2239" s="445"/>
      <c r="J2239" s="446"/>
      <c r="K2239" s="447"/>
      <c r="M2239" s="596"/>
    </row>
    <row r="2240" spans="2:13">
      <c r="B2240" s="127"/>
      <c r="C2240" s="127"/>
    </row>
    <row r="2241" spans="2:13">
      <c r="B2241" s="127"/>
      <c r="C2241" s="127"/>
      <c r="E2241" s="427"/>
      <c r="F2241" s="427"/>
      <c r="G2241" s="427"/>
      <c r="H2241" s="427"/>
      <c r="I2241" s="427"/>
      <c r="J2241" s="427"/>
      <c r="K2241" s="427"/>
      <c r="M2241" s="427"/>
    </row>
    <row r="2242" spans="2:13">
      <c r="B2242" s="127"/>
      <c r="C2242" s="127"/>
      <c r="D2242" s="429"/>
      <c r="E2242" s="430"/>
      <c r="F2242" s="432"/>
      <c r="G2242" s="432"/>
      <c r="H2242" s="443"/>
      <c r="I2242" s="432"/>
      <c r="J2242" s="443"/>
      <c r="K2242" s="444"/>
      <c r="M2242" s="431"/>
    </row>
    <row r="2243" spans="2:13">
      <c r="B2243" s="127"/>
      <c r="C2243" s="127"/>
      <c r="D2243" s="427"/>
      <c r="E2243" s="427"/>
      <c r="F2243" s="445"/>
      <c r="G2243" s="445"/>
      <c r="H2243" s="446"/>
      <c r="I2243" s="445"/>
      <c r="J2243" s="446"/>
      <c r="K2243" s="447"/>
      <c r="M2243" s="596"/>
    </row>
    <row r="2244" spans="2:13">
      <c r="B2244" s="127"/>
      <c r="C2244" s="127"/>
      <c r="F2244" s="398"/>
      <c r="G2244" s="398"/>
      <c r="H2244" s="398"/>
      <c r="I2244" s="398"/>
      <c r="J2244" s="398"/>
      <c r="K2244" s="398"/>
    </row>
    <row r="2245" spans="2:13">
      <c r="B2245" s="127"/>
      <c r="C2245" s="127"/>
      <c r="D2245" s="427"/>
      <c r="E2245" s="427"/>
      <c r="F2245" s="445"/>
      <c r="G2245" s="445"/>
      <c r="H2245" s="446"/>
      <c r="I2245" s="445"/>
      <c r="J2245" s="446"/>
      <c r="K2245" s="447"/>
      <c r="M2245" s="596"/>
    </row>
    <row r="2246" spans="2:13">
      <c r="B2246" s="127"/>
      <c r="C2246" s="127"/>
    </row>
    <row r="2247" spans="2:13">
      <c r="B2247" s="127"/>
      <c r="C2247" s="127"/>
      <c r="E2247" s="427"/>
      <c r="F2247" s="427"/>
      <c r="G2247" s="427"/>
      <c r="H2247" s="427"/>
      <c r="I2247" s="427"/>
      <c r="J2247" s="427"/>
      <c r="K2247" s="427"/>
      <c r="M2247" s="427"/>
    </row>
    <row r="2248" spans="2:13">
      <c r="B2248" s="127"/>
      <c r="C2248" s="127"/>
      <c r="E2248" s="427"/>
      <c r="F2248" s="427"/>
      <c r="G2248" s="427"/>
      <c r="H2248" s="427"/>
      <c r="I2248" s="427"/>
      <c r="J2248" s="427"/>
      <c r="K2248" s="427"/>
      <c r="M2248" s="427"/>
    </row>
    <row r="2249" spans="2:13">
      <c r="B2249" s="127"/>
      <c r="C2249" s="127"/>
      <c r="D2249" s="429"/>
      <c r="E2249" s="430"/>
      <c r="F2249" s="431"/>
      <c r="G2249" s="431"/>
      <c r="H2249" s="436"/>
      <c r="I2249" s="431"/>
      <c r="J2249" s="436"/>
      <c r="K2249" s="437"/>
      <c r="M2249" s="431"/>
    </row>
    <row r="2250" spans="2:13">
      <c r="B2250" s="127"/>
      <c r="C2250" s="127"/>
      <c r="D2250" s="429"/>
      <c r="E2250" s="430"/>
      <c r="F2250" s="431"/>
      <c r="G2250" s="431"/>
      <c r="H2250" s="436"/>
      <c r="I2250" s="431"/>
      <c r="J2250" s="436"/>
      <c r="K2250" s="437"/>
      <c r="M2250" s="431"/>
    </row>
    <row r="2251" spans="2:13">
      <c r="B2251" s="127"/>
      <c r="C2251" s="127"/>
      <c r="D2251" s="429"/>
      <c r="E2251" s="430"/>
      <c r="F2251" s="431"/>
      <c r="G2251" s="431"/>
      <c r="H2251" s="436"/>
      <c r="I2251" s="431"/>
      <c r="J2251" s="436"/>
      <c r="K2251" s="437"/>
      <c r="M2251" s="431"/>
    </row>
    <row r="2252" spans="2:13">
      <c r="B2252" s="127"/>
      <c r="C2252" s="127"/>
      <c r="D2252" s="429"/>
      <c r="E2252" s="430"/>
      <c r="F2252" s="431"/>
      <c r="G2252" s="431"/>
      <c r="H2252" s="436"/>
      <c r="I2252" s="431"/>
      <c r="J2252" s="436"/>
      <c r="K2252" s="437"/>
      <c r="M2252" s="431"/>
    </row>
    <row r="2253" spans="2:13">
      <c r="B2253" s="127"/>
      <c r="C2253" s="127"/>
      <c r="D2253" s="429"/>
      <c r="E2253" s="430"/>
      <c r="F2253" s="431"/>
      <c r="G2253" s="431"/>
      <c r="H2253" s="436"/>
      <c r="I2253" s="431"/>
      <c r="J2253" s="436"/>
      <c r="K2253" s="437"/>
      <c r="M2253" s="431"/>
    </row>
    <row r="2254" spans="2:13">
      <c r="B2254" s="127"/>
      <c r="C2254" s="127"/>
      <c r="D2254" s="429"/>
      <c r="E2254" s="430"/>
      <c r="F2254" s="431"/>
      <c r="G2254" s="431"/>
      <c r="H2254" s="436"/>
      <c r="I2254" s="431"/>
      <c r="J2254" s="436"/>
      <c r="K2254" s="437"/>
      <c r="M2254" s="431"/>
    </row>
    <row r="2255" spans="2:13">
      <c r="B2255" s="127"/>
      <c r="C2255" s="127"/>
      <c r="D2255" s="429"/>
      <c r="E2255" s="430"/>
      <c r="F2255" s="431"/>
      <c r="G2255" s="431"/>
      <c r="H2255" s="436"/>
      <c r="I2255" s="431"/>
      <c r="J2255" s="436"/>
      <c r="K2255" s="437"/>
      <c r="M2255" s="431"/>
    </row>
    <row r="2256" spans="2:13">
      <c r="B2256" s="127"/>
      <c r="C2256" s="127"/>
      <c r="D2256" s="429"/>
      <c r="E2256" s="430"/>
      <c r="F2256" s="431"/>
      <c r="G2256" s="431"/>
      <c r="H2256" s="436"/>
      <c r="I2256" s="431"/>
      <c r="J2256" s="436"/>
      <c r="K2256" s="437"/>
      <c r="M2256" s="431"/>
    </row>
    <row r="2257" spans="2:13">
      <c r="B2257" s="127"/>
      <c r="C2257" s="127"/>
      <c r="D2257" s="429"/>
      <c r="E2257" s="430"/>
      <c r="F2257" s="432"/>
      <c r="G2257" s="432"/>
      <c r="H2257" s="443"/>
      <c r="I2257" s="432"/>
      <c r="J2257" s="443"/>
      <c r="K2257" s="444"/>
      <c r="M2257" s="431"/>
    </row>
    <row r="2258" spans="2:13">
      <c r="B2258" s="127"/>
      <c r="C2258" s="127"/>
      <c r="D2258" s="427"/>
      <c r="E2258" s="427"/>
      <c r="F2258" s="445"/>
      <c r="G2258" s="445"/>
      <c r="H2258" s="446"/>
      <c r="I2258" s="445"/>
      <c r="J2258" s="446"/>
      <c r="K2258" s="447"/>
      <c r="M2258" s="596"/>
    </row>
    <row r="2259" spans="2:13">
      <c r="B2259" s="127"/>
      <c r="C2259" s="127"/>
    </row>
    <row r="2260" spans="2:13">
      <c r="B2260" s="127"/>
      <c r="C2260" s="127"/>
      <c r="E2260" s="427"/>
      <c r="F2260" s="427"/>
      <c r="G2260" s="427"/>
      <c r="H2260" s="427"/>
      <c r="I2260" s="427"/>
      <c r="J2260" s="427"/>
      <c r="K2260" s="427"/>
      <c r="M2260" s="427"/>
    </row>
    <row r="2261" spans="2:13">
      <c r="B2261" s="127"/>
      <c r="C2261" s="127"/>
      <c r="D2261" s="429"/>
      <c r="E2261" s="430"/>
      <c r="F2261" s="431"/>
      <c r="G2261" s="431"/>
      <c r="H2261" s="436"/>
      <c r="I2261" s="431"/>
      <c r="J2261" s="436"/>
      <c r="K2261" s="437"/>
      <c r="M2261" s="431"/>
    </row>
    <row r="2262" spans="2:13">
      <c r="B2262" s="127"/>
      <c r="C2262" s="127"/>
      <c r="D2262" s="429"/>
      <c r="E2262" s="430"/>
      <c r="F2262" s="431"/>
      <c r="G2262" s="431"/>
      <c r="H2262" s="436"/>
      <c r="I2262" s="431"/>
      <c r="J2262" s="436"/>
      <c r="K2262" s="437"/>
      <c r="M2262" s="431"/>
    </row>
    <row r="2263" spans="2:13">
      <c r="B2263" s="127"/>
      <c r="C2263" s="127"/>
      <c r="D2263" s="429"/>
      <c r="E2263" s="430"/>
      <c r="F2263" s="432"/>
      <c r="G2263" s="432"/>
      <c r="H2263" s="443"/>
      <c r="I2263" s="432"/>
      <c r="J2263" s="443"/>
      <c r="K2263" s="444"/>
      <c r="M2263" s="431"/>
    </row>
    <row r="2264" spans="2:13">
      <c r="B2264" s="127"/>
      <c r="C2264" s="127"/>
      <c r="D2264" s="427"/>
      <c r="E2264" s="427"/>
      <c r="F2264" s="445"/>
      <c r="G2264" s="445"/>
      <c r="H2264" s="446"/>
      <c r="I2264" s="445"/>
      <c r="J2264" s="446"/>
      <c r="K2264" s="447"/>
      <c r="M2264" s="596"/>
    </row>
    <row r="2265" spans="2:13">
      <c r="B2265" s="127"/>
      <c r="C2265" s="127"/>
    </row>
    <row r="2266" spans="2:13">
      <c r="B2266" s="127"/>
      <c r="C2266" s="127"/>
      <c r="E2266" s="427"/>
      <c r="F2266" s="427"/>
      <c r="G2266" s="427"/>
      <c r="H2266" s="427"/>
      <c r="I2266" s="427"/>
      <c r="J2266" s="427"/>
      <c r="K2266" s="427"/>
      <c r="M2266" s="427"/>
    </row>
    <row r="2267" spans="2:13">
      <c r="B2267" s="127"/>
      <c r="C2267" s="127"/>
      <c r="D2267" s="429"/>
      <c r="E2267" s="430"/>
      <c r="F2267" s="432"/>
      <c r="G2267" s="432"/>
      <c r="H2267" s="443"/>
      <c r="I2267" s="432"/>
      <c r="J2267" s="443"/>
      <c r="K2267" s="444"/>
      <c r="M2267" s="431"/>
    </row>
    <row r="2268" spans="2:13">
      <c r="B2268" s="127"/>
      <c r="C2268" s="127"/>
      <c r="D2268" s="427"/>
      <c r="E2268" s="427"/>
      <c r="F2268" s="445"/>
      <c r="G2268" s="445"/>
      <c r="H2268" s="446"/>
      <c r="I2268" s="445"/>
      <c r="J2268" s="446"/>
      <c r="K2268" s="447"/>
      <c r="M2268" s="596"/>
    </row>
    <row r="2269" spans="2:13">
      <c r="B2269" s="127"/>
      <c r="C2269" s="127"/>
    </row>
    <row r="2270" spans="2:13">
      <c r="B2270" s="127"/>
      <c r="C2270" s="127"/>
      <c r="E2270" s="427"/>
      <c r="F2270" s="427"/>
      <c r="G2270" s="427"/>
      <c r="H2270" s="427"/>
      <c r="I2270" s="427"/>
      <c r="J2270" s="427"/>
      <c r="K2270" s="427"/>
      <c r="M2270" s="427"/>
    </row>
    <row r="2271" spans="2:13">
      <c r="B2271" s="127"/>
      <c r="C2271" s="127"/>
      <c r="D2271" s="429"/>
      <c r="E2271" s="430"/>
      <c r="F2271" s="431"/>
      <c r="G2271" s="431"/>
      <c r="H2271" s="436"/>
      <c r="I2271" s="431"/>
      <c r="J2271" s="436"/>
      <c r="K2271" s="437"/>
      <c r="M2271" s="431"/>
    </row>
    <row r="2272" spans="2:13">
      <c r="B2272" s="127"/>
      <c r="C2272" s="127"/>
      <c r="D2272" s="429"/>
      <c r="E2272" s="430"/>
      <c r="F2272" s="431"/>
      <c r="G2272" s="431"/>
      <c r="H2272" s="436"/>
      <c r="I2272" s="431"/>
      <c r="J2272" s="436"/>
      <c r="K2272" s="437"/>
      <c r="M2272" s="431"/>
    </row>
    <row r="2273" spans="2:13">
      <c r="B2273" s="127"/>
      <c r="C2273" s="127"/>
    </row>
    <row r="2274" spans="2:13">
      <c r="B2274" s="127"/>
      <c r="C2274" s="127"/>
      <c r="D2274" s="438"/>
      <c r="E2274" s="438"/>
      <c r="F2274" s="438"/>
      <c r="G2274" s="438"/>
      <c r="H2274" s="438"/>
      <c r="I2274" s="438"/>
      <c r="J2274" s="438"/>
      <c r="K2274" s="438"/>
      <c r="M2274" s="597"/>
    </row>
    <row r="2275" spans="2:13" ht="16.2" thickBot="1">
      <c r="B2275" s="127"/>
      <c r="C2275" s="127"/>
      <c r="D2275" s="439"/>
      <c r="E2275" s="439"/>
      <c r="F2275" s="440"/>
      <c r="G2275" s="440"/>
      <c r="H2275" s="440"/>
      <c r="I2275" s="440"/>
      <c r="J2275" s="439"/>
      <c r="K2275" s="439"/>
    </row>
    <row r="2276" spans="2:13">
      <c r="B2276" s="127"/>
      <c r="C2276" s="127"/>
      <c r="D2276" s="441"/>
      <c r="E2276" s="441"/>
      <c r="F2276" s="441"/>
      <c r="G2276" s="442"/>
      <c r="H2276" s="441"/>
      <c r="I2276" s="441"/>
      <c r="J2276" s="441"/>
      <c r="K2276" s="441"/>
      <c r="M2276" s="455"/>
    </row>
    <row r="2277" spans="2:13">
      <c r="B2277" s="127"/>
      <c r="C2277" s="127"/>
    </row>
    <row r="2278" spans="2:13">
      <c r="B2278" s="127"/>
      <c r="C2278" s="127"/>
      <c r="J2278" s="428"/>
    </row>
    <row r="2279" spans="2:13">
      <c r="B2279" s="127"/>
      <c r="C2279" s="127"/>
      <c r="F2279" s="428"/>
      <c r="G2279" s="428"/>
      <c r="H2279" s="435"/>
      <c r="I2279" s="428"/>
      <c r="J2279" s="428"/>
      <c r="K2279" s="435"/>
      <c r="M2279" s="428"/>
    </row>
    <row r="2280" spans="2:13">
      <c r="B2280" s="127"/>
      <c r="C2280" s="127"/>
    </row>
    <row r="2281" spans="2:13">
      <c r="B2281" s="127"/>
      <c r="C2281" s="127"/>
      <c r="D2281" s="429"/>
      <c r="E2281" s="430"/>
      <c r="F2281" s="431"/>
      <c r="G2281" s="431"/>
      <c r="H2281" s="436"/>
      <c r="I2281" s="431"/>
      <c r="J2281" s="436"/>
      <c r="K2281" s="437"/>
      <c r="M2281" s="431"/>
    </row>
    <row r="2282" spans="2:13">
      <c r="B2282" s="127"/>
      <c r="C2282" s="127"/>
      <c r="D2282" s="429"/>
      <c r="E2282" s="430"/>
      <c r="F2282" s="432"/>
      <c r="G2282" s="432"/>
      <c r="H2282" s="443"/>
      <c r="I2282" s="432"/>
      <c r="J2282" s="443"/>
      <c r="K2282" s="444"/>
      <c r="M2282" s="431"/>
    </row>
    <row r="2283" spans="2:13">
      <c r="B2283" s="127"/>
      <c r="C2283" s="127"/>
      <c r="D2283" s="427"/>
      <c r="E2283" s="427"/>
      <c r="F2283" s="445"/>
      <c r="G2283" s="445"/>
      <c r="H2283" s="446"/>
      <c r="I2283" s="445"/>
      <c r="J2283" s="446"/>
      <c r="K2283" s="447"/>
      <c r="M2283" s="596"/>
    </row>
    <row r="2284" spans="2:13">
      <c r="B2284" s="127"/>
      <c r="C2284" s="127"/>
      <c r="F2284" s="398"/>
      <c r="G2284" s="398"/>
      <c r="H2284" s="398"/>
      <c r="I2284" s="398"/>
      <c r="J2284" s="398"/>
      <c r="K2284" s="398"/>
    </row>
    <row r="2285" spans="2:13">
      <c r="B2285" s="127"/>
      <c r="C2285" s="127"/>
      <c r="D2285" s="427"/>
      <c r="E2285" s="427"/>
      <c r="F2285" s="445"/>
      <c r="G2285" s="445"/>
      <c r="H2285" s="446"/>
      <c r="I2285" s="445"/>
      <c r="J2285" s="446"/>
      <c r="K2285" s="447"/>
      <c r="M2285" s="596"/>
    </row>
    <row r="2286" spans="2:13">
      <c r="B2286" s="127"/>
      <c r="C2286" s="127"/>
    </row>
    <row r="2287" spans="2:13">
      <c r="B2287" s="127"/>
      <c r="C2287" s="127"/>
      <c r="E2287" s="427"/>
      <c r="F2287" s="427"/>
      <c r="G2287" s="427"/>
      <c r="H2287" s="427"/>
      <c r="I2287" s="427"/>
      <c r="J2287" s="427"/>
      <c r="K2287" s="427"/>
      <c r="M2287" s="427"/>
    </row>
    <row r="2288" spans="2:13">
      <c r="B2288" s="127"/>
      <c r="C2288" s="127"/>
      <c r="E2288" s="427"/>
      <c r="F2288" s="427"/>
      <c r="G2288" s="427"/>
      <c r="H2288" s="427"/>
      <c r="I2288" s="427"/>
      <c r="J2288" s="427"/>
      <c r="K2288" s="427"/>
      <c r="M2288" s="427"/>
    </row>
    <row r="2289" spans="2:13">
      <c r="B2289" s="127"/>
      <c r="C2289" s="127"/>
      <c r="D2289" s="429"/>
      <c r="E2289" s="430"/>
      <c r="F2289" s="432"/>
      <c r="G2289" s="432"/>
      <c r="H2289" s="443"/>
      <c r="I2289" s="432"/>
      <c r="J2289" s="443"/>
      <c r="K2289" s="444"/>
      <c r="M2289" s="431"/>
    </row>
    <row r="2290" spans="2:13">
      <c r="B2290" s="127"/>
      <c r="C2290" s="127"/>
      <c r="D2290" s="427"/>
      <c r="E2290" s="427"/>
      <c r="F2290" s="445"/>
      <c r="G2290" s="445"/>
      <c r="H2290" s="446"/>
      <c r="I2290" s="445"/>
      <c r="J2290" s="446"/>
      <c r="K2290" s="447"/>
      <c r="M2290" s="596"/>
    </row>
    <row r="2291" spans="2:13">
      <c r="B2291" s="127"/>
      <c r="C2291" s="127"/>
      <c r="F2291" s="398"/>
      <c r="G2291" s="398"/>
      <c r="H2291" s="398"/>
      <c r="I2291" s="398"/>
      <c r="J2291" s="398"/>
      <c r="K2291" s="398"/>
    </row>
    <row r="2292" spans="2:13">
      <c r="B2292" s="127"/>
      <c r="C2292" s="127"/>
      <c r="D2292" s="427"/>
      <c r="E2292" s="427"/>
      <c r="F2292" s="445"/>
      <c r="G2292" s="445"/>
      <c r="H2292" s="446"/>
      <c r="I2292" s="445"/>
      <c r="J2292" s="446"/>
      <c r="K2292" s="447"/>
      <c r="M2292" s="596"/>
    </row>
    <row r="2293" spans="2:13">
      <c r="B2293" s="127"/>
      <c r="C2293" s="127"/>
      <c r="F2293" s="398"/>
      <c r="G2293" s="398"/>
      <c r="H2293" s="398"/>
      <c r="I2293" s="398"/>
      <c r="J2293" s="398"/>
      <c r="K2293" s="398"/>
    </row>
    <row r="2294" spans="2:13">
      <c r="B2294" s="127"/>
      <c r="C2294" s="127"/>
      <c r="D2294" s="427"/>
      <c r="E2294" s="427"/>
      <c r="F2294" s="445"/>
      <c r="G2294" s="445"/>
      <c r="H2294" s="446"/>
      <c r="I2294" s="445"/>
      <c r="J2294" s="446"/>
      <c r="K2294" s="447"/>
      <c r="M2294" s="596"/>
    </row>
    <row r="2295" spans="2:13">
      <c r="B2295" s="127"/>
      <c r="C2295" s="127"/>
      <c r="F2295" s="398"/>
      <c r="G2295" s="398"/>
      <c r="H2295" s="398"/>
      <c r="I2295" s="398"/>
      <c r="J2295" s="398"/>
      <c r="K2295" s="398"/>
    </row>
    <row r="2296" spans="2:13">
      <c r="B2296" s="127"/>
      <c r="C2296" s="127"/>
      <c r="D2296" s="427"/>
      <c r="E2296" s="427"/>
      <c r="F2296" s="445"/>
      <c r="G2296" s="445"/>
      <c r="H2296" s="446"/>
      <c r="I2296" s="445"/>
      <c r="J2296" s="446"/>
      <c r="K2296" s="447"/>
      <c r="M2296" s="596"/>
    </row>
    <row r="2297" spans="2:13">
      <c r="B2297" s="127"/>
      <c r="C2297" s="127"/>
      <c r="F2297" s="398"/>
      <c r="G2297" s="398"/>
      <c r="H2297" s="398"/>
      <c r="I2297" s="398"/>
      <c r="J2297" s="398"/>
      <c r="K2297" s="398"/>
    </row>
    <row r="2298" spans="2:13">
      <c r="B2298" s="127"/>
      <c r="C2298" s="127"/>
      <c r="D2298" s="427"/>
      <c r="E2298" s="427"/>
      <c r="F2298" s="445"/>
      <c r="G2298" s="445"/>
      <c r="H2298" s="446"/>
      <c r="I2298" s="445"/>
      <c r="J2298" s="446"/>
      <c r="K2298" s="447"/>
      <c r="M2298" s="596"/>
    </row>
    <row r="2299" spans="2:13">
      <c r="B2299" s="127"/>
      <c r="C2299" s="127"/>
    </row>
    <row r="2300" spans="2:13">
      <c r="B2300" s="127"/>
      <c r="C2300" s="127"/>
      <c r="D2300" s="427"/>
      <c r="E2300" s="427"/>
      <c r="F2300" s="427"/>
      <c r="G2300" s="427"/>
      <c r="H2300" s="427"/>
      <c r="I2300" s="427"/>
      <c r="J2300" s="427"/>
      <c r="K2300" s="427"/>
      <c r="M2300" s="427"/>
    </row>
    <row r="2301" spans="2:13">
      <c r="B2301" s="127"/>
      <c r="C2301" s="127"/>
      <c r="E2301" s="427"/>
      <c r="F2301" s="427"/>
      <c r="G2301" s="427"/>
      <c r="H2301" s="427"/>
      <c r="I2301" s="427"/>
      <c r="J2301" s="427"/>
      <c r="K2301" s="427"/>
      <c r="M2301" s="427"/>
    </row>
    <row r="2302" spans="2:13">
      <c r="B2302" s="127"/>
      <c r="C2302" s="127"/>
      <c r="E2302" s="427"/>
      <c r="F2302" s="427"/>
      <c r="G2302" s="427"/>
      <c r="H2302" s="427"/>
      <c r="I2302" s="427"/>
      <c r="J2302" s="427"/>
      <c r="K2302" s="427"/>
      <c r="M2302" s="427"/>
    </row>
    <row r="2303" spans="2:13">
      <c r="B2303" s="127"/>
      <c r="C2303" s="127"/>
      <c r="E2303" s="427"/>
      <c r="F2303" s="427"/>
      <c r="G2303" s="427"/>
      <c r="H2303" s="427"/>
      <c r="I2303" s="427"/>
      <c r="J2303" s="427"/>
      <c r="K2303" s="427"/>
      <c r="M2303" s="427"/>
    </row>
    <row r="2304" spans="2:13">
      <c r="B2304" s="127"/>
      <c r="C2304" s="127"/>
      <c r="E2304" s="427"/>
      <c r="F2304" s="427"/>
      <c r="G2304" s="427"/>
      <c r="H2304" s="427"/>
      <c r="I2304" s="427"/>
      <c r="J2304" s="427"/>
      <c r="K2304" s="427"/>
      <c r="M2304" s="427"/>
    </row>
    <row r="2305" spans="2:13">
      <c r="B2305" s="127"/>
      <c r="C2305" s="127"/>
      <c r="D2305" s="429"/>
      <c r="E2305" s="430"/>
      <c r="F2305" s="431"/>
      <c r="G2305" s="431"/>
      <c r="H2305" s="436"/>
      <c r="I2305" s="431"/>
      <c r="J2305" s="436"/>
      <c r="K2305" s="437"/>
      <c r="M2305" s="431"/>
    </row>
    <row r="2306" spans="2:13">
      <c r="B2306" s="127"/>
      <c r="C2306" s="127"/>
      <c r="D2306" s="429"/>
      <c r="E2306" s="430"/>
      <c r="F2306" s="432"/>
      <c r="G2306" s="432"/>
      <c r="H2306" s="443"/>
      <c r="I2306" s="432"/>
      <c r="J2306" s="443"/>
      <c r="K2306" s="444"/>
      <c r="M2306" s="431"/>
    </row>
    <row r="2307" spans="2:13">
      <c r="B2307" s="127"/>
      <c r="C2307" s="127"/>
      <c r="D2307" s="427"/>
      <c r="E2307" s="427"/>
      <c r="F2307" s="445"/>
      <c r="G2307" s="445"/>
      <c r="H2307" s="446"/>
      <c r="I2307" s="445"/>
      <c r="J2307" s="446"/>
      <c r="K2307" s="447"/>
      <c r="M2307" s="596"/>
    </row>
    <row r="2308" spans="2:13">
      <c r="B2308" s="127"/>
      <c r="C2308" s="127"/>
      <c r="F2308" s="398"/>
      <c r="G2308" s="398"/>
      <c r="H2308" s="398"/>
      <c r="I2308" s="398"/>
      <c r="J2308" s="398"/>
      <c r="K2308" s="398"/>
    </row>
    <row r="2309" spans="2:13">
      <c r="B2309" s="127"/>
      <c r="C2309" s="127"/>
      <c r="D2309" s="427"/>
      <c r="E2309" s="427"/>
      <c r="F2309" s="445"/>
      <c r="G2309" s="445"/>
      <c r="H2309" s="446"/>
      <c r="I2309" s="445"/>
      <c r="J2309" s="446"/>
      <c r="K2309" s="447"/>
      <c r="M2309" s="596"/>
    </row>
    <row r="2310" spans="2:13">
      <c r="B2310" s="127"/>
      <c r="C2310" s="127"/>
      <c r="F2310" s="398"/>
      <c r="G2310" s="398"/>
      <c r="H2310" s="398"/>
      <c r="I2310" s="398"/>
      <c r="J2310" s="398"/>
      <c r="K2310" s="398"/>
    </row>
    <row r="2311" spans="2:13">
      <c r="B2311" s="127"/>
      <c r="C2311" s="127"/>
      <c r="D2311" s="427"/>
      <c r="E2311" s="427"/>
      <c r="F2311" s="445"/>
      <c r="G2311" s="445"/>
      <c r="H2311" s="446"/>
      <c r="I2311" s="445"/>
      <c r="J2311" s="446"/>
      <c r="K2311" s="447"/>
      <c r="M2311" s="596"/>
    </row>
    <row r="2312" spans="2:13">
      <c r="B2312" s="127"/>
      <c r="C2312" s="127"/>
      <c r="F2312" s="398"/>
      <c r="G2312" s="398"/>
      <c r="H2312" s="398"/>
      <c r="I2312" s="398"/>
      <c r="J2312" s="398"/>
      <c r="K2312" s="398"/>
    </row>
    <row r="2313" spans="2:13">
      <c r="B2313" s="127"/>
      <c r="C2313" s="127"/>
      <c r="D2313" s="427"/>
      <c r="E2313" s="427"/>
      <c r="F2313" s="445"/>
      <c r="G2313" s="445"/>
      <c r="H2313" s="446"/>
      <c r="I2313" s="445"/>
      <c r="J2313" s="446"/>
      <c r="K2313" s="447"/>
      <c r="M2313" s="596"/>
    </row>
    <row r="2314" spans="2:13">
      <c r="B2314" s="127"/>
      <c r="C2314" s="127"/>
    </row>
    <row r="2315" spans="2:13">
      <c r="B2315" s="127"/>
      <c r="C2315" s="127"/>
      <c r="E2315" s="427"/>
      <c r="F2315" s="427"/>
      <c r="G2315" s="427"/>
      <c r="H2315" s="427"/>
      <c r="I2315" s="427"/>
      <c r="J2315" s="427"/>
      <c r="K2315" s="427"/>
      <c r="M2315" s="427"/>
    </row>
    <row r="2316" spans="2:13">
      <c r="B2316" s="127"/>
      <c r="C2316" s="127"/>
      <c r="E2316" s="427"/>
      <c r="F2316" s="427"/>
      <c r="G2316" s="427"/>
      <c r="H2316" s="427"/>
      <c r="I2316" s="427"/>
      <c r="J2316" s="427"/>
      <c r="K2316" s="427"/>
      <c r="M2316" s="427"/>
    </row>
    <row r="2317" spans="2:13">
      <c r="B2317" s="127"/>
      <c r="C2317" s="127"/>
      <c r="E2317" s="427"/>
      <c r="F2317" s="427"/>
      <c r="G2317" s="427"/>
      <c r="H2317" s="427"/>
      <c r="I2317" s="427"/>
      <c r="J2317" s="427"/>
      <c r="K2317" s="427"/>
      <c r="M2317" s="427"/>
    </row>
    <row r="2318" spans="2:13">
      <c r="B2318" s="127"/>
      <c r="C2318" s="127"/>
      <c r="E2318" s="427"/>
      <c r="F2318" s="427"/>
      <c r="G2318" s="427"/>
      <c r="H2318" s="427"/>
      <c r="I2318" s="427"/>
      <c r="J2318" s="427"/>
      <c r="K2318" s="427"/>
      <c r="M2318" s="427"/>
    </row>
    <row r="2319" spans="2:13">
      <c r="B2319" s="127"/>
      <c r="C2319" s="127"/>
      <c r="D2319" s="429"/>
      <c r="E2319" s="430"/>
      <c r="F2319" s="432"/>
      <c r="G2319" s="432"/>
      <c r="H2319" s="443"/>
      <c r="I2319" s="432"/>
      <c r="J2319" s="443"/>
      <c r="K2319" s="444"/>
      <c r="M2319" s="431"/>
    </row>
    <row r="2320" spans="2:13">
      <c r="B2320" s="127"/>
      <c r="C2320" s="127"/>
      <c r="D2320" s="427"/>
      <c r="E2320" s="427"/>
      <c r="F2320" s="445"/>
      <c r="G2320" s="445"/>
      <c r="H2320" s="446"/>
      <c r="I2320" s="445"/>
      <c r="J2320" s="446"/>
      <c r="K2320" s="447"/>
      <c r="M2320" s="596"/>
    </row>
    <row r="2321" spans="2:13">
      <c r="B2321" s="127"/>
      <c r="C2321" s="127"/>
    </row>
    <row r="2322" spans="2:13">
      <c r="B2322" s="127"/>
      <c r="C2322" s="127"/>
      <c r="E2322" s="427"/>
      <c r="F2322" s="427"/>
      <c r="G2322" s="427"/>
      <c r="H2322" s="427"/>
      <c r="I2322" s="427"/>
      <c r="J2322" s="427"/>
      <c r="K2322" s="427"/>
      <c r="M2322" s="427"/>
    </row>
    <row r="2323" spans="2:13">
      <c r="B2323" s="127"/>
      <c r="C2323" s="127"/>
      <c r="D2323" s="429"/>
      <c r="E2323" s="430"/>
      <c r="F2323" s="432"/>
      <c r="G2323" s="432"/>
      <c r="H2323" s="443"/>
      <c r="I2323" s="432"/>
      <c r="J2323" s="443"/>
      <c r="K2323" s="444"/>
      <c r="M2323" s="431"/>
    </row>
    <row r="2324" spans="2:13">
      <c r="B2324" s="127"/>
      <c r="C2324" s="127"/>
      <c r="D2324" s="427"/>
      <c r="E2324" s="427"/>
      <c r="F2324" s="445"/>
      <c r="G2324" s="445"/>
      <c r="H2324" s="446"/>
      <c r="I2324" s="445"/>
      <c r="J2324" s="446"/>
      <c r="K2324" s="447"/>
      <c r="M2324" s="596"/>
    </row>
    <row r="2325" spans="2:13">
      <c r="B2325" s="127"/>
      <c r="C2325" s="127"/>
      <c r="F2325" s="398"/>
      <c r="G2325" s="398"/>
      <c r="H2325" s="398"/>
      <c r="I2325" s="398"/>
      <c r="J2325" s="398"/>
      <c r="K2325" s="398"/>
    </row>
    <row r="2326" spans="2:13">
      <c r="B2326" s="127"/>
      <c r="C2326" s="127"/>
      <c r="D2326" s="427"/>
      <c r="E2326" s="427"/>
      <c r="F2326" s="445"/>
      <c r="G2326" s="445"/>
      <c r="H2326" s="446"/>
      <c r="I2326" s="445"/>
      <c r="J2326" s="446"/>
      <c r="K2326" s="447"/>
      <c r="M2326" s="596"/>
    </row>
    <row r="2327" spans="2:13">
      <c r="B2327" s="127"/>
      <c r="C2327" s="127"/>
      <c r="F2327" s="398"/>
      <c r="G2327" s="398"/>
      <c r="H2327" s="398"/>
      <c r="I2327" s="398"/>
      <c r="J2327" s="398"/>
      <c r="K2327" s="398"/>
    </row>
    <row r="2328" spans="2:13">
      <c r="B2328" s="127"/>
      <c r="C2328" s="127"/>
      <c r="D2328" s="427"/>
      <c r="E2328" s="427"/>
      <c r="F2328" s="445"/>
      <c r="G2328" s="445"/>
      <c r="H2328" s="446"/>
      <c r="I2328" s="445"/>
      <c r="J2328" s="446"/>
      <c r="K2328" s="447"/>
      <c r="M2328" s="596"/>
    </row>
    <row r="2329" spans="2:13">
      <c r="B2329" s="127"/>
      <c r="C2329" s="127"/>
      <c r="F2329" s="398"/>
      <c r="G2329" s="398"/>
      <c r="H2329" s="398"/>
      <c r="I2329" s="398"/>
      <c r="J2329" s="398"/>
      <c r="K2329" s="398"/>
    </row>
    <row r="2330" spans="2:13">
      <c r="B2330" s="127"/>
      <c r="C2330" s="127"/>
      <c r="D2330" s="427"/>
      <c r="E2330" s="427"/>
      <c r="F2330" s="445"/>
      <c r="G2330" s="445"/>
      <c r="H2330" s="446"/>
      <c r="I2330" s="445"/>
      <c r="J2330" s="446"/>
      <c r="K2330" s="447"/>
      <c r="M2330" s="596"/>
    </row>
    <row r="2331" spans="2:13">
      <c r="B2331" s="127"/>
      <c r="C2331" s="127"/>
      <c r="F2331" s="398"/>
      <c r="G2331" s="398"/>
      <c r="H2331" s="398"/>
      <c r="I2331" s="398"/>
      <c r="J2331" s="398"/>
      <c r="K2331" s="398"/>
    </row>
    <row r="2332" spans="2:13">
      <c r="B2332" s="127"/>
      <c r="C2332" s="127"/>
      <c r="D2332" s="427"/>
      <c r="E2332" s="427"/>
      <c r="F2332" s="445"/>
      <c r="G2332" s="445"/>
      <c r="H2332" s="446"/>
      <c r="I2332" s="445"/>
      <c r="J2332" s="446"/>
      <c r="K2332" s="447"/>
      <c r="M2332" s="596"/>
    </row>
    <row r="2333" spans="2:13">
      <c r="B2333" s="127"/>
      <c r="C2333" s="127"/>
    </row>
    <row r="2334" spans="2:13">
      <c r="B2334" s="127"/>
      <c r="C2334" s="127"/>
      <c r="D2334" s="427"/>
      <c r="E2334" s="427"/>
      <c r="F2334" s="427"/>
      <c r="G2334" s="427"/>
      <c r="H2334" s="427"/>
      <c r="I2334" s="427"/>
      <c r="J2334" s="427"/>
      <c r="K2334" s="427"/>
      <c r="M2334" s="427"/>
    </row>
    <row r="2335" spans="2:13">
      <c r="B2335" s="127"/>
      <c r="C2335" s="127"/>
      <c r="E2335" s="427"/>
      <c r="F2335" s="427"/>
      <c r="G2335" s="427"/>
      <c r="H2335" s="427"/>
      <c r="I2335" s="427"/>
      <c r="J2335" s="427"/>
      <c r="K2335" s="427"/>
      <c r="M2335" s="427"/>
    </row>
    <row r="2336" spans="2:13">
      <c r="B2336" s="127"/>
      <c r="C2336" s="127"/>
      <c r="E2336" s="427"/>
      <c r="F2336" s="427"/>
      <c r="G2336" s="427"/>
      <c r="H2336" s="427"/>
      <c r="I2336" s="427"/>
      <c r="J2336" s="427"/>
      <c r="K2336" s="427"/>
      <c r="M2336" s="427"/>
    </row>
    <row r="2337" spans="2:13">
      <c r="B2337" s="127"/>
      <c r="C2337" s="127"/>
      <c r="E2337" s="427"/>
      <c r="F2337" s="427"/>
      <c r="G2337" s="427"/>
      <c r="H2337" s="427"/>
      <c r="I2337" s="427"/>
      <c r="J2337" s="427"/>
      <c r="K2337" s="427"/>
      <c r="M2337" s="427"/>
    </row>
    <row r="2338" spans="2:13">
      <c r="B2338" s="127"/>
      <c r="C2338" s="127"/>
      <c r="E2338" s="427"/>
      <c r="F2338" s="427"/>
      <c r="G2338" s="427"/>
      <c r="H2338" s="427"/>
      <c r="I2338" s="427"/>
      <c r="J2338" s="427"/>
      <c r="K2338" s="427"/>
      <c r="M2338" s="427"/>
    </row>
    <row r="2339" spans="2:13">
      <c r="B2339" s="127"/>
      <c r="C2339" s="127"/>
      <c r="D2339" s="429"/>
      <c r="E2339" s="430"/>
      <c r="F2339" s="432"/>
      <c r="G2339" s="432"/>
      <c r="H2339" s="443"/>
      <c r="I2339" s="432"/>
      <c r="J2339" s="443"/>
      <c r="K2339" s="444"/>
      <c r="M2339" s="431"/>
    </row>
    <row r="2340" spans="2:13">
      <c r="B2340" s="127"/>
      <c r="C2340" s="127"/>
      <c r="D2340" s="427"/>
      <c r="E2340" s="427"/>
      <c r="F2340" s="445"/>
      <c r="G2340" s="445"/>
      <c r="H2340" s="446"/>
      <c r="I2340" s="445"/>
      <c r="J2340" s="446"/>
      <c r="K2340" s="447"/>
      <c r="M2340" s="596"/>
    </row>
    <row r="2341" spans="2:13">
      <c r="B2341" s="127"/>
      <c r="C2341" s="127"/>
    </row>
    <row r="2342" spans="2:13">
      <c r="B2342" s="127"/>
      <c r="C2342" s="127"/>
      <c r="E2342" s="427"/>
      <c r="F2342" s="427"/>
      <c r="G2342" s="427"/>
      <c r="H2342" s="427"/>
      <c r="I2342" s="427"/>
      <c r="J2342" s="427"/>
      <c r="K2342" s="427"/>
      <c r="M2342" s="427"/>
    </row>
    <row r="2343" spans="2:13">
      <c r="B2343" s="127"/>
      <c r="C2343" s="127"/>
      <c r="D2343" s="429"/>
      <c r="E2343" s="430"/>
      <c r="F2343" s="432"/>
      <c r="G2343" s="432"/>
      <c r="H2343" s="443"/>
      <c r="I2343" s="432"/>
      <c r="J2343" s="443"/>
      <c r="K2343" s="444"/>
      <c r="M2343" s="431"/>
    </row>
    <row r="2344" spans="2:13">
      <c r="B2344" s="127"/>
      <c r="C2344" s="127"/>
      <c r="D2344" s="427"/>
      <c r="E2344" s="427"/>
      <c r="F2344" s="445"/>
      <c r="G2344" s="445"/>
      <c r="H2344" s="446"/>
      <c r="I2344" s="445"/>
      <c r="J2344" s="446"/>
      <c r="K2344" s="447"/>
      <c r="M2344" s="596"/>
    </row>
    <row r="2345" spans="2:13">
      <c r="B2345" s="127"/>
      <c r="C2345" s="127"/>
      <c r="F2345" s="398"/>
      <c r="G2345" s="398"/>
      <c r="H2345" s="398"/>
      <c r="I2345" s="398"/>
      <c r="J2345" s="398"/>
      <c r="K2345" s="398"/>
    </row>
    <row r="2346" spans="2:13">
      <c r="B2346" s="127"/>
      <c r="C2346" s="127"/>
      <c r="D2346" s="427"/>
      <c r="E2346" s="427"/>
      <c r="F2346" s="445"/>
      <c r="G2346" s="445"/>
      <c r="H2346" s="446"/>
      <c r="I2346" s="445"/>
      <c r="J2346" s="446"/>
      <c r="K2346" s="447"/>
      <c r="M2346" s="596"/>
    </row>
    <row r="2347" spans="2:13">
      <c r="B2347" s="127"/>
      <c r="C2347" s="127"/>
      <c r="F2347" s="398"/>
      <c r="G2347" s="398"/>
      <c r="H2347" s="398"/>
      <c r="I2347" s="398"/>
      <c r="J2347" s="398"/>
      <c r="K2347" s="398"/>
    </row>
    <row r="2348" spans="2:13">
      <c r="B2348" s="127"/>
      <c r="C2348" s="127"/>
      <c r="D2348" s="427"/>
      <c r="E2348" s="427"/>
      <c r="F2348" s="445"/>
      <c r="G2348" s="445"/>
      <c r="H2348" s="446"/>
      <c r="I2348" s="445"/>
      <c r="J2348" s="446"/>
      <c r="K2348" s="447"/>
      <c r="M2348" s="596"/>
    </row>
    <row r="2349" spans="2:13">
      <c r="B2349" s="127"/>
      <c r="C2349" s="127"/>
      <c r="F2349" s="398"/>
      <c r="G2349" s="398"/>
      <c r="H2349" s="398"/>
      <c r="I2349" s="398"/>
      <c r="J2349" s="398"/>
      <c r="K2349" s="398"/>
    </row>
    <row r="2350" spans="2:13">
      <c r="B2350" s="127"/>
      <c r="C2350" s="127"/>
      <c r="D2350" s="427"/>
      <c r="E2350" s="427"/>
      <c r="F2350" s="445"/>
      <c r="G2350" s="445"/>
      <c r="H2350" s="446"/>
      <c r="I2350" s="445"/>
      <c r="J2350" s="446"/>
      <c r="K2350" s="447"/>
      <c r="M2350" s="596"/>
    </row>
    <row r="2351" spans="2:13">
      <c r="B2351" s="127"/>
      <c r="C2351" s="127"/>
    </row>
    <row r="2352" spans="2:13">
      <c r="B2352" s="127"/>
      <c r="C2352" s="127"/>
    </row>
    <row r="2353" spans="2:13">
      <c r="B2353" s="127"/>
      <c r="C2353" s="127"/>
      <c r="D2353" s="438"/>
      <c r="E2353" s="438"/>
      <c r="F2353" s="438"/>
      <c r="G2353" s="438"/>
      <c r="H2353" s="438"/>
      <c r="I2353" s="438"/>
      <c r="J2353" s="438"/>
      <c r="K2353" s="438"/>
      <c r="M2353" s="597"/>
    </row>
    <row r="2354" spans="2:13" ht="16.2" thickBot="1">
      <c r="B2354" s="127"/>
      <c r="C2354" s="127"/>
      <c r="D2354" s="439"/>
      <c r="E2354" s="439"/>
      <c r="F2354" s="440"/>
      <c r="G2354" s="440"/>
      <c r="H2354" s="440"/>
      <c r="I2354" s="440"/>
      <c r="J2354" s="439"/>
      <c r="K2354" s="439"/>
    </row>
    <row r="2355" spans="2:13">
      <c r="B2355" s="127"/>
      <c r="C2355" s="127"/>
      <c r="D2355" s="441"/>
      <c r="E2355" s="441"/>
      <c r="F2355" s="441"/>
      <c r="G2355" s="442"/>
      <c r="H2355" s="441"/>
      <c r="I2355" s="441"/>
      <c r="J2355" s="441"/>
      <c r="K2355" s="441"/>
      <c r="M2355" s="455"/>
    </row>
    <row r="2356" spans="2:13">
      <c r="B2356" s="127"/>
      <c r="C2356" s="127"/>
    </row>
    <row r="2357" spans="2:13">
      <c r="B2357" s="127"/>
      <c r="C2357" s="127"/>
      <c r="J2357" s="428"/>
    </row>
    <row r="2358" spans="2:13">
      <c r="B2358" s="127"/>
      <c r="C2358" s="127"/>
      <c r="F2358" s="428"/>
      <c r="G2358" s="428"/>
      <c r="H2358" s="435"/>
      <c r="I2358" s="428"/>
      <c r="J2358" s="428"/>
      <c r="K2358" s="435"/>
      <c r="M2358" s="428"/>
    </row>
    <row r="2359" spans="2:13">
      <c r="B2359" s="127"/>
      <c r="C2359" s="127"/>
    </row>
    <row r="2360" spans="2:13">
      <c r="B2360" s="127"/>
      <c r="C2360" s="127"/>
      <c r="E2360" s="427"/>
      <c r="F2360" s="427"/>
      <c r="G2360" s="427"/>
      <c r="H2360" s="427"/>
      <c r="I2360" s="427"/>
      <c r="J2360" s="427"/>
      <c r="K2360" s="427"/>
      <c r="M2360" s="427"/>
    </row>
    <row r="2361" spans="2:13">
      <c r="B2361" s="127"/>
      <c r="C2361" s="127"/>
      <c r="E2361" s="427"/>
      <c r="F2361" s="427"/>
      <c r="G2361" s="427"/>
      <c r="H2361" s="427"/>
      <c r="I2361" s="427"/>
      <c r="J2361" s="427"/>
      <c r="K2361" s="427"/>
      <c r="M2361" s="427"/>
    </row>
    <row r="2362" spans="2:13">
      <c r="B2362" s="127"/>
      <c r="C2362" s="127"/>
      <c r="E2362" s="427"/>
      <c r="F2362" s="427"/>
      <c r="G2362" s="427"/>
      <c r="H2362" s="427"/>
      <c r="I2362" s="427"/>
      <c r="J2362" s="427"/>
      <c r="K2362" s="427"/>
      <c r="M2362" s="427"/>
    </row>
    <row r="2363" spans="2:13">
      <c r="B2363" s="127"/>
      <c r="C2363" s="127"/>
      <c r="E2363" s="427"/>
      <c r="F2363" s="427"/>
      <c r="G2363" s="427"/>
      <c r="H2363" s="427"/>
      <c r="I2363" s="427"/>
      <c r="J2363" s="427"/>
      <c r="K2363" s="427"/>
      <c r="M2363" s="427"/>
    </row>
    <row r="2364" spans="2:13">
      <c r="B2364" s="127"/>
      <c r="C2364" s="127"/>
      <c r="D2364" s="429"/>
      <c r="E2364" s="430"/>
      <c r="F2364" s="432"/>
      <c r="G2364" s="432"/>
      <c r="H2364" s="443"/>
      <c r="I2364" s="432"/>
      <c r="J2364" s="443"/>
      <c r="K2364" s="444"/>
      <c r="M2364" s="431"/>
    </row>
    <row r="2365" spans="2:13">
      <c r="B2365" s="127"/>
      <c r="C2365" s="127"/>
      <c r="D2365" s="427"/>
      <c r="E2365" s="427"/>
      <c r="F2365" s="445"/>
      <c r="G2365" s="445"/>
      <c r="H2365" s="446"/>
      <c r="I2365" s="445"/>
      <c r="J2365" s="446"/>
      <c r="K2365" s="447"/>
      <c r="M2365" s="596"/>
    </row>
    <row r="2366" spans="2:13">
      <c r="B2366" s="127"/>
      <c r="C2366" s="127"/>
      <c r="F2366" s="398"/>
      <c r="G2366" s="398"/>
      <c r="H2366" s="398"/>
      <c r="I2366" s="398"/>
      <c r="J2366" s="398"/>
      <c r="K2366" s="398"/>
    </row>
    <row r="2367" spans="2:13">
      <c r="B2367" s="127"/>
      <c r="C2367" s="127"/>
      <c r="D2367" s="427"/>
      <c r="E2367" s="427"/>
      <c r="F2367" s="445"/>
      <c r="G2367" s="445"/>
      <c r="H2367" s="446"/>
      <c r="I2367" s="445"/>
      <c r="J2367" s="446"/>
      <c r="K2367" s="447"/>
      <c r="M2367" s="596"/>
    </row>
    <row r="2368" spans="2:13">
      <c r="B2368" s="127"/>
      <c r="C2368" s="127"/>
      <c r="F2368" s="398"/>
      <c r="G2368" s="398"/>
      <c r="H2368" s="398"/>
      <c r="I2368" s="398"/>
      <c r="J2368" s="398"/>
      <c r="K2368" s="398"/>
    </row>
    <row r="2369" spans="2:13">
      <c r="B2369" s="127"/>
      <c r="C2369" s="127"/>
      <c r="D2369" s="427"/>
      <c r="E2369" s="427"/>
      <c r="F2369" s="445"/>
      <c r="G2369" s="445"/>
      <c r="H2369" s="446"/>
      <c r="I2369" s="445"/>
      <c r="J2369" s="446"/>
      <c r="K2369" s="447"/>
      <c r="M2369" s="596"/>
    </row>
    <row r="2370" spans="2:13">
      <c r="B2370" s="127"/>
      <c r="C2370" s="127"/>
      <c r="F2370" s="398"/>
      <c r="G2370" s="398"/>
      <c r="H2370" s="398"/>
      <c r="I2370" s="398"/>
      <c r="J2370" s="398"/>
      <c r="K2370" s="398"/>
    </row>
    <row r="2371" spans="2:13">
      <c r="B2371" s="127"/>
      <c r="C2371" s="127"/>
      <c r="D2371" s="427"/>
      <c r="E2371" s="427"/>
      <c r="F2371" s="445"/>
      <c r="G2371" s="445"/>
      <c r="H2371" s="446"/>
      <c r="I2371" s="445"/>
      <c r="J2371" s="446"/>
      <c r="K2371" s="447"/>
      <c r="M2371" s="596"/>
    </row>
    <row r="2372" spans="2:13">
      <c r="B2372" s="127"/>
      <c r="C2372" s="127"/>
      <c r="F2372" s="398"/>
      <c r="G2372" s="398"/>
      <c r="H2372" s="398"/>
      <c r="I2372" s="398"/>
      <c r="J2372" s="398"/>
      <c r="K2372" s="398"/>
    </row>
    <row r="2373" spans="2:13">
      <c r="B2373" s="127"/>
      <c r="C2373" s="127"/>
      <c r="D2373" s="427"/>
      <c r="E2373" s="427"/>
      <c r="F2373" s="445"/>
      <c r="G2373" s="445"/>
      <c r="H2373" s="446"/>
      <c r="I2373" s="445"/>
      <c r="J2373" s="446"/>
      <c r="K2373" s="447"/>
      <c r="M2373" s="596"/>
    </row>
    <row r="2374" spans="2:13">
      <c r="B2374" s="127"/>
      <c r="C2374" s="127"/>
    </row>
    <row r="2375" spans="2:13">
      <c r="B2375" s="127"/>
      <c r="C2375" s="127"/>
      <c r="D2375" s="427"/>
      <c r="E2375" s="427"/>
      <c r="F2375" s="427"/>
      <c r="G2375" s="427"/>
      <c r="H2375" s="427"/>
      <c r="I2375" s="427"/>
      <c r="J2375" s="427"/>
      <c r="K2375" s="427"/>
      <c r="M2375" s="427"/>
    </row>
    <row r="2376" spans="2:13">
      <c r="B2376" s="127"/>
      <c r="C2376" s="127"/>
      <c r="E2376" s="427"/>
      <c r="F2376" s="427"/>
      <c r="G2376" s="427"/>
      <c r="H2376" s="427"/>
      <c r="I2376" s="427"/>
      <c r="J2376" s="427"/>
      <c r="K2376" s="427"/>
      <c r="M2376" s="427"/>
    </row>
    <row r="2377" spans="2:13">
      <c r="B2377" s="127"/>
      <c r="C2377" s="127"/>
      <c r="E2377" s="427"/>
      <c r="F2377" s="427"/>
      <c r="G2377" s="427"/>
      <c r="H2377" s="427"/>
      <c r="I2377" s="427"/>
      <c r="J2377" s="427"/>
      <c r="K2377" s="427"/>
      <c r="M2377" s="427"/>
    </row>
    <row r="2378" spans="2:13">
      <c r="B2378" s="127"/>
      <c r="C2378" s="127"/>
      <c r="E2378" s="427"/>
      <c r="F2378" s="427"/>
      <c r="G2378" s="427"/>
      <c r="H2378" s="427"/>
      <c r="I2378" s="427"/>
      <c r="J2378" s="427"/>
      <c r="K2378" s="427"/>
      <c r="M2378" s="427"/>
    </row>
    <row r="2379" spans="2:13">
      <c r="B2379" s="127"/>
      <c r="C2379" s="127"/>
      <c r="E2379" s="427"/>
      <c r="F2379" s="427"/>
      <c r="G2379" s="427"/>
      <c r="H2379" s="427"/>
      <c r="I2379" s="427"/>
      <c r="J2379" s="427"/>
      <c r="K2379" s="427"/>
      <c r="M2379" s="427"/>
    </row>
    <row r="2380" spans="2:13">
      <c r="B2380" s="127"/>
      <c r="C2380" s="127"/>
      <c r="D2380" s="429"/>
      <c r="E2380" s="430"/>
      <c r="F2380" s="431"/>
      <c r="G2380" s="431"/>
      <c r="H2380" s="436"/>
      <c r="I2380" s="431"/>
      <c r="J2380" s="436"/>
      <c r="K2380" s="437"/>
      <c r="M2380" s="431"/>
    </row>
    <row r="2381" spans="2:13">
      <c r="B2381" s="127"/>
      <c r="C2381" s="127"/>
      <c r="D2381" s="429"/>
      <c r="E2381" s="430"/>
      <c r="F2381" s="431"/>
      <c r="G2381" s="431"/>
      <c r="H2381" s="436"/>
      <c r="I2381" s="431"/>
      <c r="J2381" s="436"/>
      <c r="K2381" s="437"/>
      <c r="M2381" s="431"/>
    </row>
    <row r="2382" spans="2:13">
      <c r="B2382" s="127"/>
      <c r="C2382" s="127"/>
      <c r="D2382" s="429"/>
      <c r="E2382" s="430"/>
      <c r="F2382" s="431"/>
      <c r="G2382" s="431"/>
      <c r="H2382" s="436"/>
      <c r="I2382" s="431"/>
      <c r="J2382" s="436"/>
      <c r="K2382" s="437"/>
      <c r="M2382" s="431"/>
    </row>
    <row r="2383" spans="2:13">
      <c r="B2383" s="127"/>
      <c r="C2383" s="127"/>
      <c r="D2383" s="429"/>
      <c r="E2383" s="430"/>
      <c r="F2383" s="431"/>
      <c r="G2383" s="431"/>
      <c r="H2383" s="436"/>
      <c r="I2383" s="431"/>
      <c r="J2383" s="436"/>
      <c r="K2383" s="437"/>
      <c r="M2383" s="431"/>
    </row>
    <row r="2384" spans="2:13">
      <c r="B2384" s="127"/>
      <c r="C2384" s="127"/>
      <c r="D2384" s="429"/>
      <c r="E2384" s="430"/>
      <c r="F2384" s="431"/>
      <c r="G2384" s="431"/>
      <c r="H2384" s="436"/>
      <c r="I2384" s="431"/>
      <c r="J2384" s="436"/>
      <c r="K2384" s="437"/>
      <c r="M2384" s="431"/>
    </row>
    <row r="2385" spans="2:13">
      <c r="B2385" s="127"/>
      <c r="C2385" s="127"/>
      <c r="D2385" s="429"/>
      <c r="E2385" s="430"/>
      <c r="F2385" s="431"/>
      <c r="G2385" s="431"/>
      <c r="H2385" s="436"/>
      <c r="I2385" s="431"/>
      <c r="J2385" s="436"/>
      <c r="K2385" s="437"/>
      <c r="M2385" s="431"/>
    </row>
    <row r="2386" spans="2:13">
      <c r="B2386" s="127"/>
      <c r="C2386" s="127"/>
      <c r="D2386" s="429"/>
      <c r="E2386" s="430"/>
      <c r="F2386" s="431"/>
      <c r="G2386" s="431"/>
      <c r="H2386" s="436"/>
      <c r="I2386" s="431"/>
      <c r="J2386" s="436"/>
      <c r="K2386" s="437"/>
      <c r="M2386" s="431"/>
    </row>
    <row r="2387" spans="2:13">
      <c r="B2387" s="127"/>
      <c r="C2387" s="127"/>
      <c r="D2387" s="429"/>
      <c r="E2387" s="430"/>
      <c r="F2387" s="431"/>
      <c r="G2387" s="431"/>
      <c r="H2387" s="436"/>
      <c r="I2387" s="431"/>
      <c r="J2387" s="436"/>
      <c r="K2387" s="437"/>
      <c r="M2387" s="431"/>
    </row>
    <row r="2388" spans="2:13">
      <c r="B2388" s="127"/>
      <c r="C2388" s="127"/>
      <c r="D2388" s="429"/>
      <c r="E2388" s="430"/>
      <c r="F2388" s="431"/>
      <c r="G2388" s="431"/>
      <c r="H2388" s="436"/>
      <c r="I2388" s="431"/>
      <c r="J2388" s="436"/>
      <c r="K2388" s="437"/>
      <c r="M2388" s="431"/>
    </row>
    <row r="2389" spans="2:13">
      <c r="B2389" s="127"/>
      <c r="C2389" s="127"/>
      <c r="D2389" s="429"/>
      <c r="E2389" s="430"/>
      <c r="F2389" s="431"/>
      <c r="G2389" s="431"/>
      <c r="H2389" s="436"/>
      <c r="I2389" s="431"/>
      <c r="J2389" s="436"/>
      <c r="K2389" s="437"/>
      <c r="M2389" s="431"/>
    </row>
    <row r="2390" spans="2:13">
      <c r="B2390" s="127"/>
      <c r="C2390" s="127"/>
      <c r="D2390" s="429"/>
      <c r="E2390" s="430"/>
      <c r="F2390" s="431"/>
      <c r="G2390" s="431"/>
      <c r="H2390" s="436"/>
      <c r="I2390" s="431"/>
      <c r="J2390" s="436"/>
      <c r="K2390" s="437"/>
      <c r="M2390" s="431"/>
    </row>
    <row r="2391" spans="2:13">
      <c r="B2391" s="127"/>
      <c r="C2391" s="127"/>
      <c r="D2391" s="429"/>
      <c r="E2391" s="430"/>
      <c r="F2391" s="431"/>
      <c r="G2391" s="431"/>
      <c r="H2391" s="436"/>
      <c r="I2391" s="431"/>
      <c r="J2391" s="436"/>
      <c r="K2391" s="437"/>
      <c r="M2391" s="431"/>
    </row>
    <row r="2392" spans="2:13">
      <c r="B2392" s="127"/>
      <c r="C2392" s="127"/>
      <c r="D2392" s="429"/>
      <c r="E2392" s="430"/>
      <c r="F2392" s="431"/>
      <c r="G2392" s="431"/>
      <c r="H2392" s="436"/>
      <c r="I2392" s="431"/>
      <c r="J2392" s="436"/>
      <c r="K2392" s="437"/>
      <c r="M2392" s="431"/>
    </row>
    <row r="2393" spans="2:13">
      <c r="B2393" s="127"/>
      <c r="C2393" s="127"/>
      <c r="D2393" s="429"/>
      <c r="E2393" s="430"/>
      <c r="F2393" s="431"/>
      <c r="G2393" s="431"/>
      <c r="H2393" s="436"/>
      <c r="I2393" s="431"/>
      <c r="J2393" s="436"/>
      <c r="K2393" s="437"/>
      <c r="M2393" s="431"/>
    </row>
    <row r="2394" spans="2:13">
      <c r="B2394" s="127"/>
      <c r="C2394" s="127"/>
      <c r="D2394" s="429"/>
      <c r="E2394" s="430"/>
      <c r="F2394" s="431"/>
      <c r="G2394" s="431"/>
      <c r="H2394" s="436"/>
      <c r="I2394" s="431"/>
      <c r="J2394" s="436"/>
      <c r="K2394" s="437"/>
      <c r="M2394" s="431"/>
    </row>
    <row r="2395" spans="2:13">
      <c r="B2395" s="127"/>
      <c r="C2395" s="127"/>
      <c r="D2395" s="429"/>
      <c r="E2395" s="430"/>
      <c r="F2395" s="431"/>
      <c r="G2395" s="431"/>
      <c r="H2395" s="436"/>
      <c r="I2395" s="431"/>
      <c r="J2395" s="436"/>
      <c r="K2395" s="437"/>
      <c r="M2395" s="431"/>
    </row>
    <row r="2396" spans="2:13">
      <c r="B2396" s="127"/>
      <c r="C2396" s="127"/>
      <c r="D2396" s="429"/>
      <c r="E2396" s="430"/>
      <c r="F2396" s="431"/>
      <c r="G2396" s="431"/>
      <c r="H2396" s="436"/>
      <c r="I2396" s="431"/>
      <c r="J2396" s="436"/>
      <c r="K2396" s="437"/>
      <c r="M2396" s="431"/>
    </row>
    <row r="2397" spans="2:13">
      <c r="B2397" s="127"/>
      <c r="C2397" s="127"/>
      <c r="D2397" s="429"/>
      <c r="E2397" s="430"/>
      <c r="F2397" s="431"/>
      <c r="G2397" s="431"/>
      <c r="H2397" s="436"/>
      <c r="I2397" s="431"/>
      <c r="J2397" s="436"/>
      <c r="K2397" s="437"/>
      <c r="M2397" s="431"/>
    </row>
    <row r="2398" spans="2:13">
      <c r="B2398" s="127"/>
      <c r="C2398" s="127"/>
      <c r="D2398" s="429"/>
      <c r="E2398" s="430"/>
      <c r="F2398" s="431"/>
      <c r="G2398" s="431"/>
      <c r="H2398" s="436"/>
      <c r="I2398" s="431"/>
      <c r="J2398" s="436"/>
      <c r="K2398" s="437"/>
      <c r="M2398" s="431"/>
    </row>
    <row r="2399" spans="2:13">
      <c r="B2399" s="127"/>
      <c r="C2399" s="127"/>
      <c r="D2399" s="429"/>
      <c r="E2399" s="430"/>
      <c r="F2399" s="431"/>
      <c r="G2399" s="431"/>
      <c r="H2399" s="436"/>
      <c r="I2399" s="431"/>
      <c r="J2399" s="436"/>
      <c r="K2399" s="437"/>
      <c r="M2399" s="431"/>
    </row>
    <row r="2400" spans="2:13">
      <c r="B2400" s="127"/>
      <c r="C2400" s="127"/>
      <c r="D2400" s="429"/>
      <c r="E2400" s="430"/>
      <c r="F2400" s="431"/>
      <c r="G2400" s="431"/>
      <c r="H2400" s="436"/>
      <c r="I2400" s="431"/>
      <c r="J2400" s="436"/>
      <c r="K2400" s="437"/>
      <c r="M2400" s="431"/>
    </row>
    <row r="2401" spans="2:13">
      <c r="B2401" s="127"/>
      <c r="C2401" s="127"/>
      <c r="D2401" s="429"/>
      <c r="E2401" s="430"/>
      <c r="F2401" s="431"/>
      <c r="G2401" s="431"/>
      <c r="H2401" s="436"/>
      <c r="I2401" s="431"/>
      <c r="J2401" s="436"/>
      <c r="K2401" s="437"/>
      <c r="M2401" s="431"/>
    </row>
    <row r="2402" spans="2:13">
      <c r="B2402" s="127"/>
      <c r="C2402" s="127"/>
      <c r="D2402" s="429"/>
      <c r="E2402" s="430"/>
      <c r="F2402" s="431"/>
      <c r="G2402" s="431"/>
      <c r="H2402" s="436"/>
      <c r="I2402" s="431"/>
      <c r="J2402" s="436"/>
      <c r="K2402" s="437"/>
      <c r="M2402" s="431"/>
    </row>
    <row r="2403" spans="2:13">
      <c r="B2403" s="127"/>
      <c r="C2403" s="127"/>
      <c r="D2403" s="429"/>
      <c r="E2403" s="430"/>
      <c r="F2403" s="432"/>
      <c r="G2403" s="432"/>
      <c r="H2403" s="443"/>
      <c r="I2403" s="432"/>
      <c r="J2403" s="443"/>
      <c r="K2403" s="444"/>
      <c r="M2403" s="431"/>
    </row>
    <row r="2404" spans="2:13">
      <c r="B2404" s="127"/>
      <c r="C2404" s="127"/>
      <c r="D2404" s="427"/>
      <c r="E2404" s="427"/>
      <c r="F2404" s="445"/>
      <c r="G2404" s="445"/>
      <c r="H2404" s="446"/>
      <c r="I2404" s="445"/>
      <c r="J2404" s="446"/>
      <c r="K2404" s="447"/>
      <c r="M2404" s="596"/>
    </row>
    <row r="2405" spans="2:13">
      <c r="B2405" s="127"/>
      <c r="C2405" s="127"/>
    </row>
    <row r="2406" spans="2:13">
      <c r="B2406" s="127"/>
      <c r="C2406" s="127"/>
      <c r="E2406" s="427"/>
      <c r="F2406" s="427"/>
      <c r="G2406" s="427"/>
      <c r="H2406" s="427"/>
      <c r="I2406" s="427"/>
      <c r="J2406" s="427"/>
      <c r="K2406" s="427"/>
      <c r="M2406" s="427"/>
    </row>
    <row r="2407" spans="2:13">
      <c r="B2407" s="127"/>
      <c r="C2407" s="127"/>
      <c r="D2407" s="429"/>
      <c r="E2407" s="430"/>
      <c r="F2407" s="432"/>
      <c r="G2407" s="432"/>
      <c r="H2407" s="443"/>
      <c r="I2407" s="432"/>
      <c r="J2407" s="443"/>
      <c r="K2407" s="444"/>
      <c r="M2407" s="431"/>
    </row>
    <row r="2408" spans="2:13">
      <c r="B2408" s="127"/>
      <c r="C2408" s="127"/>
      <c r="D2408" s="427"/>
      <c r="E2408" s="427"/>
      <c r="F2408" s="445"/>
      <c r="G2408" s="445"/>
      <c r="H2408" s="446"/>
      <c r="I2408" s="445"/>
      <c r="J2408" s="446"/>
      <c r="K2408" s="447"/>
      <c r="M2408" s="596"/>
    </row>
    <row r="2409" spans="2:13">
      <c r="B2409" s="127"/>
      <c r="C2409" s="127"/>
      <c r="F2409" s="398"/>
      <c r="G2409" s="398"/>
      <c r="H2409" s="398"/>
      <c r="I2409" s="398"/>
      <c r="J2409" s="398"/>
      <c r="K2409" s="398"/>
    </row>
    <row r="2410" spans="2:13">
      <c r="B2410" s="127"/>
      <c r="C2410" s="127"/>
      <c r="D2410" s="427"/>
      <c r="E2410" s="427"/>
      <c r="F2410" s="445"/>
      <c r="G2410" s="445"/>
      <c r="H2410" s="446"/>
      <c r="I2410" s="445"/>
      <c r="J2410" s="446"/>
      <c r="K2410" s="447"/>
      <c r="M2410" s="596"/>
    </row>
    <row r="2411" spans="2:13">
      <c r="B2411" s="127"/>
      <c r="C2411" s="127"/>
      <c r="F2411" s="398"/>
      <c r="G2411" s="398"/>
      <c r="H2411" s="398"/>
      <c r="I2411" s="398"/>
      <c r="J2411" s="398"/>
      <c r="K2411" s="398"/>
    </row>
    <row r="2412" spans="2:13">
      <c r="B2412" s="127"/>
      <c r="C2412" s="127"/>
      <c r="D2412" s="427"/>
      <c r="E2412" s="427"/>
      <c r="F2412" s="445"/>
      <c r="G2412" s="445"/>
      <c r="H2412" s="446"/>
      <c r="I2412" s="445"/>
      <c r="J2412" s="446"/>
      <c r="K2412" s="447"/>
      <c r="M2412" s="596"/>
    </row>
    <row r="2413" spans="2:13">
      <c r="B2413" s="127"/>
      <c r="C2413" s="127"/>
      <c r="F2413" s="398"/>
      <c r="G2413" s="398"/>
      <c r="H2413" s="398"/>
      <c r="I2413" s="398"/>
      <c r="J2413" s="398"/>
      <c r="K2413" s="398"/>
    </row>
    <row r="2414" spans="2:13">
      <c r="B2414" s="127"/>
      <c r="C2414" s="127"/>
      <c r="D2414" s="427"/>
      <c r="E2414" s="427"/>
      <c r="F2414" s="445"/>
      <c r="G2414" s="445"/>
      <c r="H2414" s="446"/>
      <c r="I2414" s="445"/>
      <c r="J2414" s="446"/>
      <c r="K2414" s="447"/>
      <c r="M2414" s="596"/>
    </row>
    <row r="2415" spans="2:13">
      <c r="B2415" s="127"/>
      <c r="C2415" s="127"/>
    </row>
    <row r="2416" spans="2:13">
      <c r="B2416" s="127"/>
      <c r="C2416" s="127"/>
      <c r="E2416" s="427"/>
      <c r="F2416" s="427"/>
      <c r="G2416" s="427"/>
      <c r="H2416" s="427"/>
      <c r="I2416" s="427"/>
      <c r="J2416" s="427"/>
      <c r="K2416" s="427"/>
      <c r="M2416" s="427"/>
    </row>
    <row r="2417" spans="2:13">
      <c r="B2417" s="127"/>
      <c r="C2417" s="127"/>
      <c r="E2417" s="427"/>
      <c r="F2417" s="427"/>
      <c r="G2417" s="427"/>
      <c r="H2417" s="427"/>
      <c r="I2417" s="427"/>
      <c r="J2417" s="427"/>
      <c r="K2417" s="427"/>
      <c r="M2417" s="427"/>
    </row>
    <row r="2418" spans="2:13">
      <c r="B2418" s="127"/>
      <c r="C2418" s="127"/>
      <c r="E2418" s="427"/>
      <c r="F2418" s="427"/>
      <c r="G2418" s="427"/>
      <c r="H2418" s="427"/>
      <c r="I2418" s="427"/>
      <c r="J2418" s="427"/>
      <c r="K2418" s="427"/>
      <c r="M2418" s="427"/>
    </row>
    <row r="2419" spans="2:13">
      <c r="B2419" s="127"/>
      <c r="C2419" s="127"/>
      <c r="E2419" s="427"/>
      <c r="F2419" s="427"/>
      <c r="G2419" s="427"/>
      <c r="H2419" s="427"/>
      <c r="I2419" s="427"/>
      <c r="J2419" s="427"/>
      <c r="K2419" s="427"/>
      <c r="M2419" s="427"/>
    </row>
    <row r="2420" spans="2:13">
      <c r="B2420" s="127"/>
      <c r="C2420" s="127"/>
      <c r="D2420" s="429"/>
      <c r="E2420" s="430"/>
      <c r="F2420" s="431"/>
      <c r="G2420" s="431"/>
      <c r="H2420" s="436"/>
      <c r="I2420" s="431"/>
      <c r="J2420" s="436"/>
      <c r="K2420" s="437"/>
      <c r="M2420" s="431"/>
    </row>
    <row r="2421" spans="2:13">
      <c r="B2421" s="127"/>
      <c r="C2421" s="127"/>
      <c r="D2421" s="429"/>
      <c r="E2421" s="430"/>
      <c r="F2421" s="431"/>
      <c r="G2421" s="431"/>
      <c r="H2421" s="436"/>
      <c r="I2421" s="431"/>
      <c r="J2421" s="436"/>
      <c r="K2421" s="437"/>
      <c r="M2421" s="431"/>
    </row>
    <row r="2422" spans="2:13">
      <c r="B2422" s="127"/>
      <c r="C2422" s="127"/>
      <c r="D2422" s="429"/>
      <c r="E2422" s="430"/>
      <c r="F2422" s="431"/>
      <c r="G2422" s="431"/>
      <c r="H2422" s="436"/>
      <c r="I2422" s="431"/>
      <c r="J2422" s="436"/>
      <c r="K2422" s="437"/>
      <c r="M2422" s="431"/>
    </row>
    <row r="2423" spans="2:13">
      <c r="B2423" s="127"/>
      <c r="C2423" s="127"/>
      <c r="D2423" s="429"/>
      <c r="E2423" s="430"/>
      <c r="F2423" s="431"/>
      <c r="G2423" s="431"/>
      <c r="H2423" s="436"/>
      <c r="I2423" s="431"/>
      <c r="J2423" s="436"/>
      <c r="K2423" s="437"/>
      <c r="M2423" s="431"/>
    </row>
    <row r="2424" spans="2:13">
      <c r="B2424" s="127"/>
      <c r="C2424" s="127"/>
      <c r="D2424" s="429"/>
      <c r="E2424" s="430"/>
      <c r="F2424" s="431"/>
      <c r="G2424" s="431"/>
      <c r="H2424" s="436"/>
      <c r="I2424" s="431"/>
      <c r="J2424" s="436"/>
      <c r="K2424" s="437"/>
      <c r="M2424" s="431"/>
    </row>
    <row r="2425" spans="2:13">
      <c r="B2425" s="127"/>
      <c r="C2425" s="127"/>
    </row>
    <row r="2426" spans="2:13">
      <c r="B2426" s="127"/>
      <c r="C2426" s="127"/>
      <c r="D2426" s="438"/>
      <c r="E2426" s="438"/>
      <c r="F2426" s="438"/>
      <c r="G2426" s="438"/>
      <c r="H2426" s="438"/>
      <c r="I2426" s="438"/>
      <c r="J2426" s="438"/>
      <c r="K2426" s="438"/>
      <c r="M2426" s="597"/>
    </row>
    <row r="2427" spans="2:13" ht="16.2" thickBot="1">
      <c r="B2427" s="127"/>
      <c r="C2427" s="127"/>
      <c r="D2427" s="439"/>
      <c r="E2427" s="439"/>
      <c r="F2427" s="440"/>
      <c r="G2427" s="440"/>
      <c r="H2427" s="440"/>
      <c r="I2427" s="440"/>
      <c r="J2427" s="439"/>
      <c r="K2427" s="439"/>
    </row>
    <row r="2428" spans="2:13">
      <c r="B2428" s="127"/>
      <c r="C2428" s="127"/>
      <c r="D2428" s="441"/>
      <c r="E2428" s="441"/>
      <c r="F2428" s="441"/>
      <c r="G2428" s="442"/>
      <c r="H2428" s="441"/>
      <c r="I2428" s="441"/>
      <c r="J2428" s="441"/>
      <c r="K2428" s="441"/>
      <c r="M2428" s="455"/>
    </row>
    <row r="2429" spans="2:13">
      <c r="B2429" s="127"/>
      <c r="C2429" s="127"/>
    </row>
    <row r="2430" spans="2:13">
      <c r="B2430" s="127"/>
      <c r="C2430" s="127"/>
      <c r="J2430" s="428"/>
    </row>
    <row r="2431" spans="2:13">
      <c r="B2431" s="127"/>
      <c r="C2431" s="127"/>
      <c r="F2431" s="428"/>
      <c r="G2431" s="428"/>
      <c r="H2431" s="435"/>
      <c r="I2431" s="428"/>
      <c r="J2431" s="428"/>
      <c r="K2431" s="435"/>
      <c r="M2431" s="428"/>
    </row>
    <row r="2432" spans="2:13">
      <c r="B2432" s="127"/>
      <c r="C2432" s="127"/>
    </row>
    <row r="2433" spans="2:13">
      <c r="B2433" s="127"/>
      <c r="C2433" s="127"/>
      <c r="D2433" s="429"/>
      <c r="E2433" s="430"/>
      <c r="F2433" s="431"/>
      <c r="G2433" s="431"/>
      <c r="H2433" s="436"/>
      <c r="I2433" s="431"/>
      <c r="J2433" s="436"/>
      <c r="K2433" s="437"/>
      <c r="M2433" s="431"/>
    </row>
    <row r="2434" spans="2:13">
      <c r="B2434" s="127"/>
      <c r="C2434" s="127"/>
      <c r="D2434" s="429"/>
      <c r="E2434" s="430"/>
      <c r="F2434" s="431"/>
      <c r="G2434" s="431"/>
      <c r="H2434" s="436"/>
      <c r="I2434" s="431"/>
      <c r="J2434" s="436"/>
      <c r="K2434" s="437"/>
      <c r="M2434" s="431"/>
    </row>
    <row r="2435" spans="2:13">
      <c r="B2435" s="127"/>
      <c r="C2435" s="127"/>
      <c r="D2435" s="429"/>
      <c r="E2435" s="430"/>
      <c r="F2435" s="431"/>
      <c r="G2435" s="431"/>
      <c r="H2435" s="436"/>
      <c r="I2435" s="431"/>
      <c r="J2435" s="436"/>
      <c r="K2435" s="437"/>
      <c r="M2435" s="431"/>
    </row>
    <row r="2436" spans="2:13">
      <c r="B2436" s="127"/>
      <c r="C2436" s="127"/>
      <c r="D2436" s="429"/>
      <c r="E2436" s="430"/>
      <c r="F2436" s="432"/>
      <c r="G2436" s="432"/>
      <c r="H2436" s="443"/>
      <c r="I2436" s="432"/>
      <c r="J2436" s="443"/>
      <c r="K2436" s="444"/>
      <c r="M2436" s="431"/>
    </row>
    <row r="2437" spans="2:13">
      <c r="B2437" s="127"/>
      <c r="C2437" s="127"/>
      <c r="D2437" s="427"/>
      <c r="E2437" s="427"/>
      <c r="F2437" s="445"/>
      <c r="G2437" s="445"/>
      <c r="H2437" s="446"/>
      <c r="I2437" s="445"/>
      <c r="J2437" s="446"/>
      <c r="K2437" s="447"/>
      <c r="M2437" s="596"/>
    </row>
    <row r="2438" spans="2:13">
      <c r="B2438" s="127"/>
      <c r="C2438" s="127"/>
    </row>
    <row r="2439" spans="2:13">
      <c r="B2439" s="127"/>
      <c r="C2439" s="127"/>
      <c r="E2439" s="427"/>
      <c r="F2439" s="427"/>
      <c r="G2439" s="427"/>
      <c r="H2439" s="427"/>
      <c r="I2439" s="427"/>
      <c r="J2439" s="427"/>
      <c r="K2439" s="427"/>
      <c r="M2439" s="427"/>
    </row>
    <row r="2440" spans="2:13">
      <c r="B2440" s="127"/>
      <c r="C2440" s="127"/>
      <c r="D2440" s="429"/>
      <c r="E2440" s="430"/>
      <c r="F2440" s="431"/>
      <c r="G2440" s="431"/>
      <c r="H2440" s="436"/>
      <c r="I2440" s="431"/>
      <c r="J2440" s="436"/>
      <c r="K2440" s="437"/>
      <c r="M2440" s="431"/>
    </row>
    <row r="2441" spans="2:13">
      <c r="B2441" s="127"/>
      <c r="C2441" s="127"/>
      <c r="D2441" s="429"/>
      <c r="E2441" s="430"/>
      <c r="F2441" s="431"/>
      <c r="G2441" s="431"/>
      <c r="H2441" s="436"/>
      <c r="I2441" s="431"/>
      <c r="J2441" s="436"/>
      <c r="K2441" s="437"/>
      <c r="M2441" s="431"/>
    </row>
    <row r="2442" spans="2:13">
      <c r="B2442" s="127"/>
      <c r="C2442" s="127"/>
      <c r="D2442" s="429"/>
      <c r="E2442" s="430"/>
      <c r="F2442" s="431"/>
      <c r="G2442" s="431"/>
      <c r="H2442" s="436"/>
      <c r="I2442" s="431"/>
      <c r="J2442" s="436"/>
      <c r="K2442" s="437"/>
      <c r="M2442" s="431"/>
    </row>
    <row r="2443" spans="2:13">
      <c r="B2443" s="127"/>
      <c r="C2443" s="127"/>
      <c r="D2443" s="429"/>
      <c r="E2443" s="430"/>
      <c r="F2443" s="432"/>
      <c r="G2443" s="432"/>
      <c r="H2443" s="443"/>
      <c r="I2443" s="432"/>
      <c r="J2443" s="443"/>
      <c r="K2443" s="444"/>
      <c r="M2443" s="431"/>
    </row>
    <row r="2444" spans="2:13">
      <c r="B2444" s="127"/>
      <c r="C2444" s="127"/>
      <c r="D2444" s="427"/>
      <c r="E2444" s="427"/>
      <c r="F2444" s="445"/>
      <c r="G2444" s="445"/>
      <c r="H2444" s="446"/>
      <c r="I2444" s="445"/>
      <c r="J2444" s="446"/>
      <c r="K2444" s="447"/>
      <c r="M2444" s="596"/>
    </row>
    <row r="2445" spans="2:13">
      <c r="B2445" s="127"/>
      <c r="C2445" s="127"/>
    </row>
    <row r="2446" spans="2:13">
      <c r="B2446" s="127"/>
      <c r="C2446" s="127"/>
      <c r="E2446" s="427"/>
      <c r="F2446" s="427"/>
      <c r="G2446" s="427"/>
      <c r="H2446" s="427"/>
      <c r="I2446" s="427"/>
      <c r="J2446" s="427"/>
      <c r="K2446" s="427"/>
      <c r="M2446" s="427"/>
    </row>
    <row r="2447" spans="2:13">
      <c r="B2447" s="127"/>
      <c r="C2447" s="127"/>
      <c r="D2447" s="429"/>
      <c r="E2447" s="430"/>
      <c r="F2447" s="432"/>
      <c r="G2447" s="432"/>
      <c r="H2447" s="443"/>
      <c r="I2447" s="432"/>
      <c r="J2447" s="443"/>
      <c r="K2447" s="444"/>
      <c r="M2447" s="431"/>
    </row>
    <row r="2448" spans="2:13">
      <c r="B2448" s="127"/>
      <c r="C2448" s="127"/>
      <c r="D2448" s="427"/>
      <c r="E2448" s="427"/>
      <c r="F2448" s="445"/>
      <c r="G2448" s="445"/>
      <c r="H2448" s="446"/>
      <c r="I2448" s="445"/>
      <c r="J2448" s="446"/>
      <c r="K2448" s="447"/>
      <c r="M2448" s="596"/>
    </row>
    <row r="2449" spans="2:13">
      <c r="B2449" s="127"/>
      <c r="C2449" s="127"/>
    </row>
    <row r="2450" spans="2:13">
      <c r="B2450" s="127"/>
      <c r="C2450" s="127"/>
      <c r="E2450" s="427"/>
      <c r="F2450" s="427"/>
      <c r="G2450" s="427"/>
      <c r="H2450" s="427"/>
      <c r="I2450" s="427"/>
      <c r="J2450" s="427"/>
      <c r="K2450" s="427"/>
      <c r="M2450" s="427"/>
    </row>
    <row r="2451" spans="2:13">
      <c r="B2451" s="127"/>
      <c r="C2451" s="127"/>
      <c r="D2451" s="429"/>
      <c r="E2451" s="430"/>
      <c r="F2451" s="431"/>
      <c r="G2451" s="431"/>
      <c r="H2451" s="436"/>
      <c r="I2451" s="431"/>
      <c r="J2451" s="436"/>
      <c r="K2451" s="437"/>
      <c r="M2451" s="431"/>
    </row>
    <row r="2452" spans="2:13">
      <c r="B2452" s="127"/>
      <c r="C2452" s="127"/>
      <c r="D2452" s="429"/>
      <c r="E2452" s="430"/>
      <c r="F2452" s="431"/>
      <c r="G2452" s="431"/>
      <c r="H2452" s="436"/>
      <c r="I2452" s="431"/>
      <c r="J2452" s="436"/>
      <c r="K2452" s="437"/>
      <c r="M2452" s="431"/>
    </row>
    <row r="2453" spans="2:13">
      <c r="B2453" s="127"/>
      <c r="C2453" s="127"/>
      <c r="D2453" s="429"/>
      <c r="E2453" s="430"/>
      <c r="F2453" s="431"/>
      <c r="G2453" s="431"/>
      <c r="H2453" s="436"/>
      <c r="I2453" s="431"/>
      <c r="J2453" s="436"/>
      <c r="K2453" s="437"/>
      <c r="M2453" s="431"/>
    </row>
    <row r="2454" spans="2:13">
      <c r="B2454" s="127"/>
      <c r="C2454" s="127"/>
      <c r="D2454" s="429"/>
      <c r="E2454" s="430"/>
      <c r="F2454" s="431"/>
      <c r="G2454" s="431"/>
      <c r="H2454" s="436"/>
      <c r="I2454" s="431"/>
      <c r="J2454" s="436"/>
      <c r="K2454" s="437"/>
      <c r="M2454" s="431"/>
    </row>
    <row r="2455" spans="2:13">
      <c r="B2455" s="127"/>
      <c r="C2455" s="127"/>
      <c r="D2455" s="429"/>
      <c r="E2455" s="430"/>
      <c r="F2455" s="431"/>
      <c r="G2455" s="431"/>
      <c r="H2455" s="436"/>
      <c r="I2455" s="431"/>
      <c r="J2455" s="436"/>
      <c r="K2455" s="437"/>
      <c r="M2455" s="431"/>
    </row>
    <row r="2456" spans="2:13">
      <c r="B2456" s="127"/>
      <c r="C2456" s="127"/>
      <c r="D2456" s="429"/>
      <c r="E2456" s="430"/>
      <c r="F2456" s="431"/>
      <c r="G2456" s="431"/>
      <c r="H2456" s="436"/>
      <c r="I2456" s="431"/>
      <c r="J2456" s="436"/>
      <c r="K2456" s="437"/>
      <c r="M2456" s="431"/>
    </row>
    <row r="2457" spans="2:13">
      <c r="B2457" s="127"/>
      <c r="C2457" s="127"/>
      <c r="D2457" s="429"/>
      <c r="E2457" s="430"/>
      <c r="F2457" s="431"/>
      <c r="G2457" s="431"/>
      <c r="H2457" s="436"/>
      <c r="I2457" s="431"/>
      <c r="J2457" s="436"/>
      <c r="K2457" s="437"/>
      <c r="M2457" s="431"/>
    </row>
    <row r="2458" spans="2:13">
      <c r="B2458" s="127"/>
      <c r="C2458" s="127"/>
      <c r="D2458" s="429"/>
      <c r="E2458" s="430"/>
      <c r="F2458" s="431"/>
      <c r="G2458" s="431"/>
      <c r="H2458" s="436"/>
      <c r="I2458" s="431"/>
      <c r="J2458" s="436"/>
      <c r="K2458" s="437"/>
      <c r="M2458" s="431"/>
    </row>
    <row r="2459" spans="2:13">
      <c r="B2459" s="127"/>
      <c r="C2459" s="127"/>
      <c r="D2459" s="429"/>
      <c r="E2459" s="430"/>
      <c r="F2459" s="431"/>
      <c r="G2459" s="431"/>
      <c r="H2459" s="436"/>
      <c r="I2459" s="431"/>
      <c r="J2459" s="436"/>
      <c r="K2459" s="437"/>
      <c r="M2459" s="431"/>
    </row>
    <row r="2460" spans="2:13">
      <c r="B2460" s="127"/>
      <c r="C2460" s="127"/>
      <c r="D2460" s="429"/>
      <c r="E2460" s="430"/>
      <c r="F2460" s="431"/>
      <c r="G2460" s="431"/>
      <c r="H2460" s="436"/>
      <c r="I2460" s="431"/>
      <c r="J2460" s="436"/>
      <c r="K2460" s="437"/>
      <c r="M2460" s="431"/>
    </row>
    <row r="2461" spans="2:13">
      <c r="B2461" s="127"/>
      <c r="C2461" s="127"/>
      <c r="D2461" s="429"/>
      <c r="E2461" s="430"/>
      <c r="F2461" s="431"/>
      <c r="G2461" s="431"/>
      <c r="H2461" s="436"/>
      <c r="I2461" s="431"/>
      <c r="J2461" s="436"/>
      <c r="K2461" s="437"/>
      <c r="M2461" s="431"/>
    </row>
    <row r="2462" spans="2:13">
      <c r="B2462" s="127"/>
      <c r="C2462" s="127"/>
      <c r="D2462" s="429"/>
      <c r="E2462" s="430"/>
      <c r="F2462" s="431"/>
      <c r="G2462" s="431"/>
      <c r="H2462" s="436"/>
      <c r="I2462" s="431"/>
      <c r="J2462" s="436"/>
      <c r="K2462" s="437"/>
      <c r="M2462" s="431"/>
    </row>
    <row r="2463" spans="2:13">
      <c r="B2463" s="127"/>
      <c r="C2463" s="127"/>
      <c r="D2463" s="429"/>
      <c r="E2463" s="430"/>
      <c r="F2463" s="431"/>
      <c r="G2463" s="431"/>
      <c r="H2463" s="436"/>
      <c r="I2463" s="431"/>
      <c r="J2463" s="436"/>
      <c r="K2463" s="437"/>
      <c r="M2463" s="431"/>
    </row>
    <row r="2464" spans="2:13">
      <c r="B2464" s="127"/>
      <c r="C2464" s="127"/>
      <c r="D2464" s="429"/>
      <c r="E2464" s="430"/>
      <c r="F2464" s="431"/>
      <c r="G2464" s="431"/>
      <c r="H2464" s="436"/>
      <c r="I2464" s="431"/>
      <c r="J2464" s="436"/>
      <c r="K2464" s="437"/>
      <c r="M2464" s="431"/>
    </row>
    <row r="2465" spans="2:13">
      <c r="B2465" s="127"/>
      <c r="C2465" s="127"/>
      <c r="D2465" s="429"/>
      <c r="E2465" s="430"/>
      <c r="F2465" s="432"/>
      <c r="G2465" s="432"/>
      <c r="H2465" s="443"/>
      <c r="I2465" s="432"/>
      <c r="J2465" s="443"/>
      <c r="K2465" s="444"/>
      <c r="M2465" s="431"/>
    </row>
    <row r="2466" spans="2:13">
      <c r="B2466" s="127"/>
      <c r="C2466" s="127"/>
      <c r="D2466" s="427"/>
      <c r="E2466" s="427"/>
      <c r="F2466" s="445"/>
      <c r="G2466" s="445"/>
      <c r="H2466" s="446"/>
      <c r="I2466" s="445"/>
      <c r="J2466" s="446"/>
      <c r="K2466" s="447"/>
      <c r="M2466" s="596"/>
    </row>
    <row r="2467" spans="2:13">
      <c r="B2467" s="127"/>
      <c r="C2467" s="127"/>
    </row>
    <row r="2468" spans="2:13">
      <c r="B2468" s="127"/>
      <c r="C2468" s="127"/>
      <c r="E2468" s="427"/>
      <c r="F2468" s="427"/>
      <c r="G2468" s="427"/>
      <c r="H2468" s="427"/>
      <c r="I2468" s="427"/>
      <c r="J2468" s="427"/>
      <c r="K2468" s="427"/>
      <c r="M2468" s="427"/>
    </row>
    <row r="2469" spans="2:13">
      <c r="B2469" s="127"/>
      <c r="C2469" s="127"/>
      <c r="D2469" s="429"/>
      <c r="E2469" s="430"/>
      <c r="F2469" s="432"/>
      <c r="G2469" s="432"/>
      <c r="H2469" s="443"/>
      <c r="I2469" s="432"/>
      <c r="J2469" s="443"/>
      <c r="K2469" s="444"/>
      <c r="M2469" s="431"/>
    </row>
    <row r="2470" spans="2:13">
      <c r="B2470" s="127"/>
      <c r="C2470" s="127"/>
      <c r="D2470" s="427"/>
      <c r="E2470" s="427"/>
      <c r="F2470" s="445"/>
      <c r="G2470" s="445"/>
      <c r="H2470" s="446"/>
      <c r="I2470" s="445"/>
      <c r="J2470" s="446"/>
      <c r="K2470" s="447"/>
      <c r="M2470" s="596"/>
    </row>
    <row r="2471" spans="2:13">
      <c r="B2471" s="127"/>
      <c r="C2471" s="127"/>
      <c r="F2471" s="398"/>
      <c r="G2471" s="398"/>
      <c r="H2471" s="398"/>
      <c r="I2471" s="398"/>
      <c r="J2471" s="398"/>
      <c r="K2471" s="398"/>
    </row>
    <row r="2472" spans="2:13">
      <c r="B2472" s="127"/>
      <c r="C2472" s="127"/>
      <c r="D2472" s="427"/>
      <c r="E2472" s="427"/>
      <c r="F2472" s="445"/>
      <c r="G2472" s="445"/>
      <c r="H2472" s="446"/>
      <c r="I2472" s="445"/>
      <c r="J2472" s="446"/>
      <c r="K2472" s="447"/>
      <c r="M2472" s="596"/>
    </row>
    <row r="2473" spans="2:13">
      <c r="B2473" s="127"/>
      <c r="C2473" s="127"/>
    </row>
    <row r="2474" spans="2:13">
      <c r="B2474" s="127"/>
      <c r="C2474" s="127"/>
      <c r="E2474" s="427"/>
      <c r="F2474" s="427"/>
      <c r="G2474" s="427"/>
      <c r="H2474" s="427"/>
      <c r="I2474" s="427"/>
      <c r="J2474" s="427"/>
      <c r="K2474" s="427"/>
      <c r="M2474" s="427"/>
    </row>
    <row r="2475" spans="2:13">
      <c r="B2475" s="127"/>
      <c r="C2475" s="127"/>
      <c r="E2475" s="427"/>
      <c r="F2475" s="427"/>
      <c r="G2475" s="427"/>
      <c r="H2475" s="427"/>
      <c r="I2475" s="427"/>
      <c r="J2475" s="427"/>
      <c r="K2475" s="427"/>
      <c r="M2475" s="427"/>
    </row>
    <row r="2476" spans="2:13">
      <c r="B2476" s="127"/>
      <c r="C2476" s="127"/>
      <c r="D2476" s="429"/>
      <c r="E2476" s="430"/>
      <c r="F2476" s="431"/>
      <c r="G2476" s="431"/>
      <c r="H2476" s="436"/>
      <c r="I2476" s="431"/>
      <c r="J2476" s="436"/>
      <c r="K2476" s="437"/>
      <c r="M2476" s="431"/>
    </row>
    <row r="2477" spans="2:13">
      <c r="B2477" s="127"/>
      <c r="C2477" s="127"/>
      <c r="D2477" s="429"/>
      <c r="E2477" s="430"/>
      <c r="F2477" s="431"/>
      <c r="G2477" s="431"/>
      <c r="H2477" s="436"/>
      <c r="I2477" s="431"/>
      <c r="J2477" s="436"/>
      <c r="K2477" s="437"/>
      <c r="M2477" s="431"/>
    </row>
    <row r="2478" spans="2:13">
      <c r="B2478" s="127"/>
      <c r="C2478" s="127"/>
      <c r="D2478" s="429"/>
      <c r="E2478" s="430"/>
      <c r="F2478" s="431"/>
      <c r="G2478" s="431"/>
      <c r="H2478" s="436"/>
      <c r="I2478" s="431"/>
      <c r="J2478" s="436"/>
      <c r="K2478" s="437"/>
      <c r="M2478" s="431"/>
    </row>
    <row r="2479" spans="2:13">
      <c r="B2479" s="127"/>
      <c r="C2479" s="127"/>
      <c r="D2479" s="429"/>
      <c r="E2479" s="430"/>
      <c r="F2479" s="431"/>
      <c r="G2479" s="431"/>
      <c r="H2479" s="436"/>
      <c r="I2479" s="431"/>
      <c r="J2479" s="436"/>
      <c r="K2479" s="437"/>
      <c r="M2479" s="431"/>
    </row>
    <row r="2480" spans="2:13">
      <c r="B2480" s="127"/>
      <c r="C2480" s="127"/>
      <c r="D2480" s="429"/>
      <c r="E2480" s="430"/>
      <c r="F2480" s="431"/>
      <c r="G2480" s="431"/>
      <c r="H2480" s="436"/>
      <c r="I2480" s="431"/>
      <c r="J2480" s="436"/>
      <c r="K2480" s="437"/>
      <c r="M2480" s="431"/>
    </row>
    <row r="2481" spans="2:13">
      <c r="B2481" s="127"/>
      <c r="C2481" s="127"/>
      <c r="D2481" s="429"/>
      <c r="E2481" s="430"/>
      <c r="F2481" s="431"/>
      <c r="G2481" s="431"/>
      <c r="H2481" s="436"/>
      <c r="I2481" s="431"/>
      <c r="J2481" s="436"/>
      <c r="K2481" s="437"/>
      <c r="M2481" s="431"/>
    </row>
    <row r="2482" spans="2:13">
      <c r="B2482" s="127"/>
      <c r="C2482" s="127"/>
      <c r="D2482" s="429"/>
      <c r="E2482" s="430"/>
      <c r="F2482" s="431"/>
      <c r="G2482" s="431"/>
      <c r="H2482" s="436"/>
      <c r="I2482" s="431"/>
      <c r="J2482" s="436"/>
      <c r="K2482" s="437"/>
      <c r="M2482" s="431"/>
    </row>
    <row r="2483" spans="2:13">
      <c r="B2483" s="127"/>
      <c r="C2483" s="127"/>
      <c r="D2483" s="429"/>
      <c r="E2483" s="430"/>
      <c r="F2483" s="431"/>
      <c r="G2483" s="431"/>
      <c r="H2483" s="436"/>
      <c r="I2483" s="431"/>
      <c r="J2483" s="436"/>
      <c r="K2483" s="437"/>
      <c r="M2483" s="431"/>
    </row>
    <row r="2484" spans="2:13">
      <c r="B2484" s="127"/>
      <c r="C2484" s="127"/>
      <c r="D2484" s="429"/>
      <c r="E2484" s="430"/>
      <c r="F2484" s="432"/>
      <c r="G2484" s="432"/>
      <c r="H2484" s="443"/>
      <c r="I2484" s="432"/>
      <c r="J2484" s="443"/>
      <c r="K2484" s="444"/>
      <c r="M2484" s="431"/>
    </row>
    <row r="2485" spans="2:13">
      <c r="B2485" s="127"/>
      <c r="C2485" s="127"/>
      <c r="D2485" s="427"/>
      <c r="E2485" s="427"/>
      <c r="F2485" s="445"/>
      <c r="G2485" s="445"/>
      <c r="H2485" s="446"/>
      <c r="I2485" s="445"/>
      <c r="J2485" s="446"/>
      <c r="K2485" s="447"/>
      <c r="M2485" s="596"/>
    </row>
    <row r="2486" spans="2:13">
      <c r="B2486" s="127"/>
      <c r="C2486" s="127"/>
    </row>
    <row r="2487" spans="2:13">
      <c r="B2487" s="127"/>
      <c r="C2487" s="127"/>
      <c r="E2487" s="427"/>
      <c r="F2487" s="427"/>
      <c r="G2487" s="427"/>
      <c r="H2487" s="427"/>
      <c r="I2487" s="427"/>
      <c r="J2487" s="427"/>
      <c r="K2487" s="427"/>
      <c r="M2487" s="427"/>
    </row>
    <row r="2488" spans="2:13">
      <c r="B2488" s="127"/>
      <c r="C2488" s="127"/>
      <c r="D2488" s="429"/>
      <c r="E2488" s="430"/>
      <c r="F2488" s="431"/>
      <c r="G2488" s="431"/>
      <c r="H2488" s="436"/>
      <c r="I2488" s="431"/>
      <c r="J2488" s="436"/>
      <c r="K2488" s="437"/>
      <c r="M2488" s="431"/>
    </row>
    <row r="2489" spans="2:13">
      <c r="B2489" s="127"/>
      <c r="C2489" s="127"/>
      <c r="D2489" s="429"/>
      <c r="E2489" s="430"/>
      <c r="F2489" s="431"/>
      <c r="G2489" s="431"/>
      <c r="H2489" s="436"/>
      <c r="I2489" s="431"/>
      <c r="J2489" s="436"/>
      <c r="K2489" s="437"/>
      <c r="M2489" s="431"/>
    </row>
    <row r="2490" spans="2:13">
      <c r="B2490" s="127"/>
      <c r="C2490" s="127"/>
      <c r="D2490" s="429"/>
      <c r="E2490" s="430"/>
      <c r="F2490" s="431"/>
      <c r="G2490" s="431"/>
      <c r="H2490" s="436"/>
      <c r="I2490" s="431"/>
      <c r="J2490" s="436"/>
      <c r="K2490" s="437"/>
      <c r="M2490" s="431"/>
    </row>
    <row r="2491" spans="2:13">
      <c r="B2491" s="127"/>
      <c r="C2491" s="127"/>
      <c r="D2491" s="429"/>
      <c r="E2491" s="430"/>
      <c r="F2491" s="431"/>
      <c r="G2491" s="431"/>
      <c r="H2491" s="436"/>
      <c r="I2491" s="431"/>
      <c r="J2491" s="436"/>
      <c r="K2491" s="437"/>
      <c r="M2491" s="431"/>
    </row>
    <row r="2492" spans="2:13">
      <c r="B2492" s="127"/>
      <c r="C2492" s="127"/>
      <c r="D2492" s="429"/>
      <c r="E2492" s="430"/>
      <c r="F2492" s="431"/>
      <c r="G2492" s="431"/>
      <c r="H2492" s="436"/>
      <c r="I2492" s="431"/>
      <c r="J2492" s="436"/>
      <c r="K2492" s="437"/>
      <c r="M2492" s="431"/>
    </row>
    <row r="2493" spans="2:13">
      <c r="B2493" s="127"/>
      <c r="C2493" s="127"/>
      <c r="D2493" s="429"/>
      <c r="E2493" s="430"/>
      <c r="F2493" s="432"/>
      <c r="G2493" s="432"/>
      <c r="H2493" s="443"/>
      <c r="I2493" s="432"/>
      <c r="J2493" s="443"/>
      <c r="K2493" s="444"/>
      <c r="M2493" s="431"/>
    </row>
    <row r="2494" spans="2:13">
      <c r="B2494" s="127"/>
      <c r="C2494" s="127"/>
      <c r="D2494" s="427"/>
      <c r="E2494" s="427"/>
      <c r="F2494" s="445"/>
      <c r="G2494" s="445"/>
      <c r="H2494" s="446"/>
      <c r="I2494" s="445"/>
      <c r="J2494" s="446"/>
      <c r="K2494" s="447"/>
      <c r="M2494" s="596"/>
    </row>
    <row r="2495" spans="2:13">
      <c r="B2495" s="127"/>
      <c r="C2495" s="127"/>
    </row>
    <row r="2496" spans="2:13">
      <c r="B2496" s="127"/>
      <c r="C2496" s="127"/>
    </row>
    <row r="2497" spans="2:13">
      <c r="B2497" s="127"/>
      <c r="C2497" s="127"/>
      <c r="D2497" s="438"/>
      <c r="E2497" s="438"/>
      <c r="F2497" s="438"/>
      <c r="G2497" s="438"/>
      <c r="H2497" s="438"/>
      <c r="I2497" s="438"/>
      <c r="J2497" s="438"/>
      <c r="K2497" s="438"/>
      <c r="M2497" s="597"/>
    </row>
    <row r="2498" spans="2:13" ht="16.2" thickBot="1">
      <c r="B2498" s="127"/>
      <c r="C2498" s="127"/>
      <c r="D2498" s="439"/>
      <c r="E2498" s="439"/>
      <c r="F2498" s="440"/>
      <c r="G2498" s="440"/>
      <c r="H2498" s="440"/>
      <c r="I2498" s="440"/>
      <c r="J2498" s="439"/>
      <c r="K2498" s="439"/>
    </row>
    <row r="2499" spans="2:13">
      <c r="B2499" s="127"/>
      <c r="C2499" s="127"/>
      <c r="D2499" s="441"/>
      <c r="E2499" s="441"/>
      <c r="F2499" s="441"/>
      <c r="G2499" s="442"/>
      <c r="H2499" s="441"/>
      <c r="I2499" s="441"/>
      <c r="J2499" s="441"/>
      <c r="K2499" s="441"/>
      <c r="M2499" s="455"/>
    </row>
    <row r="2500" spans="2:13">
      <c r="B2500" s="127"/>
      <c r="C2500" s="127"/>
    </row>
    <row r="2501" spans="2:13">
      <c r="B2501" s="127"/>
      <c r="C2501" s="127"/>
      <c r="J2501" s="428"/>
    </row>
    <row r="2502" spans="2:13">
      <c r="B2502" s="127"/>
      <c r="C2502" s="127"/>
      <c r="F2502" s="428"/>
      <c r="G2502" s="428"/>
      <c r="H2502" s="435"/>
      <c r="I2502" s="428"/>
      <c r="J2502" s="428"/>
      <c r="K2502" s="435"/>
      <c r="M2502" s="428"/>
    </row>
    <row r="2503" spans="2:13">
      <c r="B2503" s="127"/>
      <c r="C2503" s="127"/>
    </row>
    <row r="2504" spans="2:13">
      <c r="B2504" s="127"/>
      <c r="C2504" s="127"/>
      <c r="E2504" s="427"/>
      <c r="F2504" s="427"/>
      <c r="G2504" s="427"/>
      <c r="H2504" s="427"/>
      <c r="I2504" s="427"/>
      <c r="J2504" s="427"/>
      <c r="K2504" s="427"/>
      <c r="M2504" s="427"/>
    </row>
    <row r="2505" spans="2:13">
      <c r="B2505" s="127"/>
      <c r="C2505" s="127"/>
      <c r="D2505" s="429"/>
      <c r="E2505" s="430"/>
      <c r="F2505" s="431"/>
      <c r="G2505" s="431"/>
      <c r="H2505" s="436"/>
      <c r="I2505" s="431"/>
      <c r="J2505" s="436"/>
      <c r="K2505" s="437"/>
      <c r="M2505" s="431"/>
    </row>
    <row r="2506" spans="2:13">
      <c r="B2506" s="127"/>
      <c r="C2506" s="127"/>
      <c r="D2506" s="429"/>
      <c r="E2506" s="430"/>
      <c r="F2506" s="431"/>
      <c r="G2506" s="431"/>
      <c r="H2506" s="436"/>
      <c r="I2506" s="431"/>
      <c r="J2506" s="436"/>
      <c r="K2506" s="437"/>
      <c r="M2506" s="431"/>
    </row>
    <row r="2507" spans="2:13">
      <c r="B2507" s="127"/>
      <c r="C2507" s="127"/>
      <c r="D2507" s="429"/>
      <c r="E2507" s="430"/>
      <c r="F2507" s="432"/>
      <c r="G2507" s="432"/>
      <c r="H2507" s="443"/>
      <c r="I2507" s="432"/>
      <c r="J2507" s="443"/>
      <c r="K2507" s="444"/>
      <c r="M2507" s="431"/>
    </row>
    <row r="2508" spans="2:13">
      <c r="B2508" s="127"/>
      <c r="C2508" s="127"/>
      <c r="D2508" s="427"/>
      <c r="E2508" s="427"/>
      <c r="F2508" s="445"/>
      <c r="G2508" s="445"/>
      <c r="H2508" s="446"/>
      <c r="I2508" s="445"/>
      <c r="J2508" s="446"/>
      <c r="K2508" s="447"/>
      <c r="M2508" s="596"/>
    </row>
    <row r="2509" spans="2:13">
      <c r="B2509" s="127"/>
      <c r="C2509" s="127"/>
    </row>
    <row r="2510" spans="2:13">
      <c r="B2510" s="127"/>
      <c r="C2510" s="127"/>
      <c r="E2510" s="427"/>
      <c r="F2510" s="427"/>
      <c r="G2510" s="427"/>
      <c r="H2510" s="427"/>
      <c r="I2510" s="427"/>
      <c r="J2510" s="427"/>
      <c r="K2510" s="427"/>
      <c r="M2510" s="427"/>
    </row>
    <row r="2511" spans="2:13">
      <c r="B2511" s="127"/>
      <c r="C2511" s="127"/>
      <c r="D2511" s="429"/>
      <c r="E2511" s="430"/>
      <c r="F2511" s="431"/>
      <c r="G2511" s="431"/>
      <c r="H2511" s="436"/>
      <c r="I2511" s="431"/>
      <c r="J2511" s="436"/>
      <c r="K2511" s="437"/>
      <c r="M2511" s="431"/>
    </row>
    <row r="2512" spans="2:13">
      <c r="B2512" s="127"/>
      <c r="C2512" s="127"/>
      <c r="D2512" s="429"/>
      <c r="E2512" s="430"/>
      <c r="F2512" s="431"/>
      <c r="G2512" s="431"/>
      <c r="H2512" s="436"/>
      <c r="I2512" s="431"/>
      <c r="J2512" s="436"/>
      <c r="K2512" s="437"/>
      <c r="M2512" s="431"/>
    </row>
    <row r="2513" spans="2:13">
      <c r="B2513" s="127"/>
      <c r="C2513" s="127"/>
      <c r="D2513" s="429"/>
      <c r="E2513" s="430"/>
      <c r="F2513" s="432"/>
      <c r="G2513" s="432"/>
      <c r="H2513" s="443"/>
      <c r="I2513" s="432"/>
      <c r="J2513" s="443"/>
      <c r="K2513" s="444"/>
      <c r="M2513" s="431"/>
    </row>
    <row r="2514" spans="2:13">
      <c r="B2514" s="127"/>
      <c r="C2514" s="127"/>
      <c r="D2514" s="427"/>
      <c r="E2514" s="427"/>
      <c r="F2514" s="445"/>
      <c r="G2514" s="445"/>
      <c r="H2514" s="446"/>
      <c r="I2514" s="445"/>
      <c r="J2514" s="446"/>
      <c r="K2514" s="447"/>
      <c r="M2514" s="596"/>
    </row>
    <row r="2515" spans="2:13">
      <c r="B2515" s="127"/>
      <c r="C2515" s="127"/>
    </row>
    <row r="2516" spans="2:13">
      <c r="B2516" s="127"/>
      <c r="C2516" s="127"/>
      <c r="E2516" s="427"/>
      <c r="F2516" s="427"/>
      <c r="G2516" s="427"/>
      <c r="H2516" s="427"/>
      <c r="I2516" s="427"/>
      <c r="J2516" s="427"/>
      <c r="K2516" s="427"/>
      <c r="M2516" s="427"/>
    </row>
    <row r="2517" spans="2:13">
      <c r="B2517" s="127"/>
      <c r="C2517" s="127"/>
      <c r="D2517" s="429"/>
      <c r="E2517" s="430"/>
      <c r="F2517" s="432"/>
      <c r="G2517" s="432"/>
      <c r="H2517" s="443"/>
      <c r="I2517" s="432"/>
      <c r="J2517" s="443"/>
      <c r="K2517" s="444"/>
      <c r="M2517" s="431"/>
    </row>
    <row r="2518" spans="2:13">
      <c r="B2518" s="127"/>
      <c r="C2518" s="127"/>
      <c r="D2518" s="427"/>
      <c r="E2518" s="427"/>
      <c r="F2518" s="445"/>
      <c r="G2518" s="445"/>
      <c r="H2518" s="446"/>
      <c r="I2518" s="445"/>
      <c r="J2518" s="446"/>
      <c r="K2518" s="447"/>
      <c r="M2518" s="596"/>
    </row>
    <row r="2519" spans="2:13">
      <c r="B2519" s="127"/>
      <c r="C2519" s="127"/>
      <c r="F2519" s="398"/>
      <c r="G2519" s="398"/>
      <c r="H2519" s="398"/>
      <c r="I2519" s="398"/>
      <c r="J2519" s="398"/>
      <c r="K2519" s="398"/>
    </row>
    <row r="2520" spans="2:13">
      <c r="B2520" s="127"/>
      <c r="C2520" s="127"/>
      <c r="D2520" s="427"/>
      <c r="E2520" s="427"/>
      <c r="F2520" s="445"/>
      <c r="G2520" s="445"/>
      <c r="H2520" s="446"/>
      <c r="I2520" s="445"/>
      <c r="J2520" s="446"/>
      <c r="K2520" s="447"/>
      <c r="M2520" s="596"/>
    </row>
    <row r="2521" spans="2:13">
      <c r="B2521" s="127"/>
      <c r="C2521" s="127"/>
    </row>
    <row r="2522" spans="2:13">
      <c r="B2522" s="127"/>
      <c r="C2522" s="127"/>
      <c r="E2522" s="427"/>
      <c r="F2522" s="427"/>
      <c r="G2522" s="427"/>
      <c r="H2522" s="427"/>
      <c r="I2522" s="427"/>
      <c r="J2522" s="427"/>
      <c r="K2522" s="427"/>
      <c r="M2522" s="427"/>
    </row>
    <row r="2523" spans="2:13">
      <c r="B2523" s="127"/>
      <c r="C2523" s="127"/>
      <c r="E2523" s="427"/>
      <c r="F2523" s="427"/>
      <c r="G2523" s="427"/>
      <c r="H2523" s="427"/>
      <c r="I2523" s="427"/>
      <c r="J2523" s="427"/>
      <c r="K2523" s="427"/>
      <c r="M2523" s="427"/>
    </row>
    <row r="2524" spans="2:13">
      <c r="B2524" s="127"/>
      <c r="C2524" s="127"/>
      <c r="D2524" s="429"/>
      <c r="E2524" s="430"/>
      <c r="F2524" s="431"/>
      <c r="G2524" s="431"/>
      <c r="H2524" s="436"/>
      <c r="I2524" s="431"/>
      <c r="J2524" s="436"/>
      <c r="K2524" s="437"/>
      <c r="M2524" s="431"/>
    </row>
    <row r="2525" spans="2:13">
      <c r="B2525" s="127"/>
      <c r="C2525" s="127"/>
      <c r="D2525" s="429"/>
      <c r="E2525" s="430"/>
      <c r="F2525" s="431"/>
      <c r="G2525" s="431"/>
      <c r="H2525" s="436"/>
      <c r="I2525" s="431"/>
      <c r="J2525" s="436"/>
      <c r="K2525" s="437"/>
      <c r="M2525" s="431"/>
    </row>
    <row r="2526" spans="2:13">
      <c r="B2526" s="127"/>
      <c r="C2526" s="127"/>
      <c r="D2526" s="429"/>
      <c r="E2526" s="430"/>
      <c r="F2526" s="431"/>
      <c r="G2526" s="431"/>
      <c r="H2526" s="436"/>
      <c r="I2526" s="431"/>
      <c r="J2526" s="436"/>
      <c r="K2526" s="437"/>
      <c r="M2526" s="431"/>
    </row>
    <row r="2527" spans="2:13">
      <c r="B2527" s="127"/>
      <c r="C2527" s="127"/>
      <c r="D2527" s="429"/>
      <c r="E2527" s="430"/>
      <c r="F2527" s="431"/>
      <c r="G2527" s="431"/>
      <c r="H2527" s="436"/>
      <c r="I2527" s="431"/>
      <c r="J2527" s="436"/>
      <c r="K2527" s="437"/>
      <c r="M2527" s="431"/>
    </row>
    <row r="2528" spans="2:13">
      <c r="B2528" s="127"/>
      <c r="C2528" s="127"/>
      <c r="D2528" s="429"/>
      <c r="E2528" s="430"/>
      <c r="F2528" s="431"/>
      <c r="G2528" s="431"/>
      <c r="H2528" s="436"/>
      <c r="I2528" s="431"/>
      <c r="J2528" s="436"/>
      <c r="K2528" s="437"/>
      <c r="M2528" s="431"/>
    </row>
    <row r="2529" spans="2:13">
      <c r="B2529" s="127"/>
      <c r="C2529" s="127"/>
      <c r="D2529" s="429"/>
      <c r="E2529" s="430"/>
      <c r="F2529" s="432"/>
      <c r="G2529" s="432"/>
      <c r="H2529" s="443"/>
      <c r="I2529" s="432"/>
      <c r="J2529" s="443"/>
      <c r="K2529" s="444"/>
      <c r="M2529" s="431"/>
    </row>
    <row r="2530" spans="2:13">
      <c r="B2530" s="127"/>
      <c r="C2530" s="127"/>
      <c r="D2530" s="427"/>
      <c r="E2530" s="427"/>
      <c r="F2530" s="445"/>
      <c r="G2530" s="445"/>
      <c r="H2530" s="446"/>
      <c r="I2530" s="445"/>
      <c r="J2530" s="446"/>
      <c r="K2530" s="447"/>
      <c r="M2530" s="596"/>
    </row>
    <row r="2531" spans="2:13">
      <c r="B2531" s="127"/>
      <c r="C2531" s="127"/>
    </row>
    <row r="2532" spans="2:13">
      <c r="B2532" s="127"/>
      <c r="C2532" s="127"/>
      <c r="E2532" s="427"/>
      <c r="F2532" s="427"/>
      <c r="G2532" s="427"/>
      <c r="H2532" s="427"/>
      <c r="I2532" s="427"/>
      <c r="J2532" s="427"/>
      <c r="K2532" s="427"/>
      <c r="M2532" s="427"/>
    </row>
    <row r="2533" spans="2:13">
      <c r="B2533" s="127"/>
      <c r="C2533" s="127"/>
      <c r="D2533" s="429"/>
      <c r="E2533" s="430"/>
      <c r="F2533" s="432"/>
      <c r="G2533" s="432"/>
      <c r="H2533" s="443"/>
      <c r="I2533" s="432"/>
      <c r="J2533" s="443"/>
      <c r="K2533" s="444"/>
      <c r="M2533" s="431"/>
    </row>
    <row r="2534" spans="2:13">
      <c r="B2534" s="127"/>
      <c r="C2534" s="127"/>
      <c r="D2534" s="427"/>
      <c r="E2534" s="427"/>
      <c r="F2534" s="445"/>
      <c r="G2534" s="445"/>
      <c r="H2534" s="446"/>
      <c r="I2534" s="445"/>
      <c r="J2534" s="446"/>
      <c r="K2534" s="447"/>
      <c r="M2534" s="596"/>
    </row>
    <row r="2535" spans="2:13">
      <c r="B2535" s="127"/>
      <c r="C2535" s="127"/>
    </row>
    <row r="2536" spans="2:13">
      <c r="B2536" s="127"/>
      <c r="C2536" s="127"/>
      <c r="E2536" s="427"/>
      <c r="F2536" s="427"/>
      <c r="G2536" s="427"/>
      <c r="H2536" s="427"/>
      <c r="I2536" s="427"/>
      <c r="J2536" s="427"/>
      <c r="K2536" s="427"/>
      <c r="M2536" s="427"/>
    </row>
    <row r="2537" spans="2:13">
      <c r="B2537" s="127"/>
      <c r="C2537" s="127"/>
      <c r="D2537" s="429"/>
      <c r="E2537" s="430"/>
      <c r="F2537" s="431"/>
      <c r="G2537" s="431"/>
      <c r="H2537" s="436"/>
      <c r="I2537" s="431"/>
      <c r="J2537" s="436"/>
      <c r="K2537" s="437"/>
      <c r="M2537" s="431"/>
    </row>
    <row r="2538" spans="2:13">
      <c r="B2538" s="127"/>
      <c r="C2538" s="127"/>
      <c r="D2538" s="429"/>
      <c r="E2538" s="430"/>
      <c r="F2538" s="432"/>
      <c r="G2538" s="432"/>
      <c r="H2538" s="443"/>
      <c r="I2538" s="432"/>
      <c r="J2538" s="443"/>
      <c r="K2538" s="444"/>
      <c r="M2538" s="431"/>
    </row>
    <row r="2539" spans="2:13">
      <c r="B2539" s="127"/>
      <c r="C2539" s="127"/>
      <c r="D2539" s="427"/>
      <c r="E2539" s="427"/>
      <c r="F2539" s="445"/>
      <c r="G2539" s="445"/>
      <c r="H2539" s="446"/>
      <c r="I2539" s="445"/>
      <c r="J2539" s="446"/>
      <c r="K2539" s="447"/>
      <c r="M2539" s="596"/>
    </row>
    <row r="2540" spans="2:13">
      <c r="B2540" s="127"/>
      <c r="C2540" s="127"/>
    </row>
    <row r="2541" spans="2:13">
      <c r="B2541" s="127"/>
      <c r="C2541" s="127"/>
      <c r="E2541" s="427"/>
      <c r="F2541" s="427"/>
      <c r="G2541" s="427"/>
      <c r="H2541" s="427"/>
      <c r="I2541" s="427"/>
      <c r="J2541" s="427"/>
      <c r="K2541" s="427"/>
      <c r="M2541" s="427"/>
    </row>
    <row r="2542" spans="2:13">
      <c r="B2542" s="127"/>
      <c r="C2542" s="127"/>
      <c r="D2542" s="429"/>
      <c r="E2542" s="430"/>
      <c r="F2542" s="432"/>
      <c r="G2542" s="432"/>
      <c r="H2542" s="443"/>
      <c r="I2542" s="432"/>
      <c r="J2542" s="443"/>
      <c r="K2542" s="444"/>
      <c r="M2542" s="431"/>
    </row>
    <row r="2543" spans="2:13">
      <c r="B2543" s="127"/>
      <c r="C2543" s="127"/>
      <c r="D2543" s="427"/>
      <c r="E2543" s="427"/>
      <c r="F2543" s="445"/>
      <c r="G2543" s="445"/>
      <c r="H2543" s="446"/>
      <c r="I2543" s="445"/>
      <c r="J2543" s="446"/>
      <c r="K2543" s="447"/>
      <c r="M2543" s="596"/>
    </row>
    <row r="2544" spans="2:13">
      <c r="B2544" s="127"/>
      <c r="C2544" s="127"/>
      <c r="F2544" s="398"/>
      <c r="G2544" s="398"/>
      <c r="H2544" s="398"/>
      <c r="I2544" s="398"/>
      <c r="J2544" s="398"/>
      <c r="K2544" s="398"/>
    </row>
    <row r="2545" spans="2:13">
      <c r="B2545" s="127"/>
      <c r="C2545" s="127"/>
      <c r="D2545" s="427"/>
      <c r="E2545" s="427"/>
      <c r="F2545" s="445"/>
      <c r="G2545" s="445"/>
      <c r="H2545" s="446"/>
      <c r="I2545" s="445"/>
      <c r="J2545" s="446"/>
      <c r="K2545" s="447"/>
      <c r="M2545" s="596"/>
    </row>
    <row r="2546" spans="2:13">
      <c r="B2546" s="127"/>
      <c r="C2546" s="127"/>
    </row>
    <row r="2547" spans="2:13">
      <c r="B2547" s="127"/>
      <c r="C2547" s="127"/>
      <c r="E2547" s="427"/>
      <c r="F2547" s="427"/>
      <c r="G2547" s="427"/>
      <c r="H2547" s="427"/>
      <c r="I2547" s="427"/>
      <c r="J2547" s="427"/>
      <c r="K2547" s="427"/>
      <c r="M2547" s="427"/>
    </row>
    <row r="2548" spans="2:13">
      <c r="B2548" s="127"/>
      <c r="C2548" s="127"/>
      <c r="E2548" s="427"/>
      <c r="F2548" s="427"/>
      <c r="G2548" s="427"/>
      <c r="H2548" s="427"/>
      <c r="I2548" s="427"/>
      <c r="J2548" s="427"/>
      <c r="K2548" s="427"/>
      <c r="M2548" s="427"/>
    </row>
    <row r="2549" spans="2:13">
      <c r="B2549" s="127"/>
      <c r="C2549" s="127"/>
      <c r="D2549" s="429"/>
      <c r="E2549" s="430"/>
      <c r="F2549" s="431"/>
      <c r="G2549" s="431"/>
      <c r="H2549" s="436"/>
      <c r="I2549" s="431"/>
      <c r="J2549" s="436"/>
      <c r="K2549" s="437"/>
      <c r="M2549" s="431"/>
    </row>
    <row r="2550" spans="2:13">
      <c r="B2550" s="127"/>
      <c r="C2550" s="127"/>
      <c r="D2550" s="429"/>
      <c r="E2550" s="430"/>
      <c r="F2550" s="431"/>
      <c r="G2550" s="431"/>
      <c r="H2550" s="436"/>
      <c r="I2550" s="431"/>
      <c r="J2550" s="436"/>
      <c r="K2550" s="437"/>
      <c r="M2550" s="431"/>
    </row>
    <row r="2551" spans="2:13">
      <c r="B2551" s="127"/>
      <c r="C2551" s="127"/>
      <c r="D2551" s="429"/>
      <c r="E2551" s="430"/>
      <c r="F2551" s="431"/>
      <c r="G2551" s="431"/>
      <c r="H2551" s="436"/>
      <c r="I2551" s="431"/>
      <c r="J2551" s="436"/>
      <c r="K2551" s="437"/>
      <c r="M2551" s="431"/>
    </row>
    <row r="2552" spans="2:13">
      <c r="B2552" s="127"/>
      <c r="C2552" s="127"/>
      <c r="D2552" s="429"/>
      <c r="E2552" s="430"/>
      <c r="F2552" s="431"/>
      <c r="G2552" s="431"/>
      <c r="H2552" s="436"/>
      <c r="I2552" s="431"/>
      <c r="J2552" s="436"/>
      <c r="K2552" s="437"/>
      <c r="M2552" s="431"/>
    </row>
    <row r="2553" spans="2:13">
      <c r="B2553" s="127"/>
      <c r="C2553" s="127"/>
      <c r="D2553" s="429"/>
      <c r="E2553" s="430"/>
      <c r="F2553" s="431"/>
      <c r="G2553" s="431"/>
      <c r="H2553" s="436"/>
      <c r="I2553" s="431"/>
      <c r="J2553" s="436"/>
      <c r="K2553" s="437"/>
      <c r="M2553" s="431"/>
    </row>
    <row r="2554" spans="2:13">
      <c r="B2554" s="127"/>
      <c r="C2554" s="127"/>
      <c r="D2554" s="429"/>
      <c r="E2554" s="430"/>
      <c r="F2554" s="431"/>
      <c r="G2554" s="431"/>
      <c r="H2554" s="436"/>
      <c r="I2554" s="431"/>
      <c r="J2554" s="436"/>
      <c r="K2554" s="437"/>
      <c r="M2554" s="431"/>
    </row>
    <row r="2555" spans="2:13">
      <c r="B2555" s="127"/>
      <c r="C2555" s="127"/>
      <c r="D2555" s="429"/>
      <c r="E2555" s="430"/>
      <c r="F2555" s="431"/>
      <c r="G2555" s="431"/>
      <c r="H2555" s="436"/>
      <c r="I2555" s="431"/>
      <c r="J2555" s="436"/>
      <c r="K2555" s="437"/>
      <c r="M2555" s="431"/>
    </row>
    <row r="2556" spans="2:13">
      <c r="B2556" s="127"/>
      <c r="C2556" s="127"/>
      <c r="D2556" s="429"/>
      <c r="E2556" s="430"/>
      <c r="F2556" s="431"/>
      <c r="G2556" s="431"/>
      <c r="H2556" s="436"/>
      <c r="I2556" s="431"/>
      <c r="J2556" s="436"/>
      <c r="K2556" s="437"/>
      <c r="M2556" s="431"/>
    </row>
    <row r="2557" spans="2:13">
      <c r="B2557" s="127"/>
      <c r="C2557" s="127"/>
      <c r="D2557" s="429"/>
      <c r="E2557" s="430"/>
      <c r="F2557" s="431"/>
      <c r="G2557" s="431"/>
      <c r="H2557" s="436"/>
      <c r="I2557" s="431"/>
      <c r="J2557" s="436"/>
      <c r="K2557" s="437"/>
      <c r="M2557" s="431"/>
    </row>
    <row r="2558" spans="2:13">
      <c r="B2558" s="127"/>
      <c r="C2558" s="127"/>
      <c r="D2558" s="429"/>
      <c r="E2558" s="430"/>
      <c r="F2558" s="432"/>
      <c r="G2558" s="432"/>
      <c r="H2558" s="443"/>
      <c r="I2558" s="432"/>
      <c r="J2558" s="443"/>
      <c r="K2558" s="444"/>
      <c r="M2558" s="431"/>
    </row>
    <row r="2559" spans="2:13">
      <c r="B2559" s="127"/>
      <c r="C2559" s="127"/>
      <c r="D2559" s="427"/>
      <c r="E2559" s="427"/>
      <c r="F2559" s="445"/>
      <c r="G2559" s="445"/>
      <c r="H2559" s="446"/>
      <c r="I2559" s="445"/>
      <c r="J2559" s="446"/>
      <c r="K2559" s="447"/>
      <c r="M2559" s="596"/>
    </row>
    <row r="2560" spans="2:13">
      <c r="B2560" s="127"/>
      <c r="C2560" s="127"/>
    </row>
    <row r="2561" spans="2:13">
      <c r="B2561" s="127"/>
      <c r="C2561" s="127"/>
      <c r="E2561" s="427"/>
      <c r="F2561" s="427"/>
      <c r="G2561" s="427"/>
      <c r="H2561" s="427"/>
      <c r="I2561" s="427"/>
      <c r="J2561" s="427"/>
      <c r="K2561" s="427"/>
      <c r="M2561" s="427"/>
    </row>
    <row r="2562" spans="2:13">
      <c r="B2562" s="127"/>
      <c r="C2562" s="127"/>
      <c r="D2562" s="429"/>
      <c r="E2562" s="430"/>
      <c r="F2562" s="432"/>
      <c r="G2562" s="432"/>
      <c r="H2562" s="443"/>
      <c r="I2562" s="432"/>
      <c r="J2562" s="443"/>
      <c r="K2562" s="444"/>
      <c r="M2562" s="431"/>
    </row>
    <row r="2563" spans="2:13">
      <c r="B2563" s="127"/>
      <c r="C2563" s="127"/>
      <c r="D2563" s="427"/>
      <c r="E2563" s="427"/>
      <c r="F2563" s="445"/>
      <c r="G2563" s="445"/>
      <c r="H2563" s="446"/>
      <c r="I2563" s="445"/>
      <c r="J2563" s="446"/>
      <c r="K2563" s="447"/>
      <c r="M2563" s="596"/>
    </row>
    <row r="2564" spans="2:13">
      <c r="B2564" s="127"/>
      <c r="C2564" s="127"/>
    </row>
    <row r="2565" spans="2:13">
      <c r="B2565" s="127"/>
      <c r="C2565" s="127"/>
      <c r="E2565" s="427"/>
      <c r="F2565" s="427"/>
      <c r="G2565" s="427"/>
      <c r="H2565" s="427"/>
      <c r="I2565" s="427"/>
      <c r="J2565" s="427"/>
      <c r="K2565" s="427"/>
      <c r="M2565" s="427"/>
    </row>
    <row r="2566" spans="2:13">
      <c r="B2566" s="127"/>
      <c r="C2566" s="127"/>
      <c r="D2566" s="429"/>
      <c r="E2566" s="430"/>
      <c r="F2566" s="431"/>
      <c r="G2566" s="431"/>
      <c r="H2566" s="436"/>
      <c r="I2566" s="431"/>
      <c r="J2566" s="436"/>
      <c r="K2566" s="437"/>
      <c r="M2566" s="431"/>
    </row>
    <row r="2567" spans="2:13">
      <c r="B2567" s="127"/>
      <c r="C2567" s="127"/>
      <c r="D2567" s="429"/>
      <c r="E2567" s="430"/>
      <c r="F2567" s="431"/>
      <c r="G2567" s="431"/>
      <c r="H2567" s="436"/>
      <c r="I2567" s="431"/>
      <c r="J2567" s="436"/>
      <c r="K2567" s="437"/>
      <c r="M2567" s="431"/>
    </row>
    <row r="2568" spans="2:13">
      <c r="B2568" s="127"/>
      <c r="C2568" s="127"/>
      <c r="D2568" s="429"/>
      <c r="E2568" s="430"/>
      <c r="F2568" s="431"/>
      <c r="G2568" s="431"/>
      <c r="H2568" s="436"/>
      <c r="I2568" s="431"/>
      <c r="J2568" s="436"/>
      <c r="K2568" s="437"/>
      <c r="M2568" s="431"/>
    </row>
    <row r="2569" spans="2:13">
      <c r="B2569" s="127"/>
      <c r="C2569" s="127"/>
      <c r="D2569" s="429"/>
      <c r="E2569" s="430"/>
      <c r="F2569" s="431"/>
      <c r="G2569" s="431"/>
      <c r="H2569" s="436"/>
      <c r="I2569" s="431"/>
      <c r="J2569" s="436"/>
      <c r="K2569" s="437"/>
      <c r="M2569" s="431"/>
    </row>
    <row r="2570" spans="2:13">
      <c r="B2570" s="127"/>
      <c r="C2570" s="127"/>
      <c r="D2570" s="438"/>
      <c r="E2570" s="438"/>
      <c r="F2570" s="438"/>
      <c r="G2570" s="438"/>
      <c r="H2570" s="438"/>
      <c r="I2570" s="438"/>
      <c r="J2570" s="438"/>
      <c r="K2570" s="438"/>
      <c r="M2570" s="597"/>
    </row>
    <row r="2571" spans="2:13" ht="16.2" thickBot="1">
      <c r="B2571" s="127"/>
      <c r="C2571" s="127"/>
      <c r="D2571" s="439"/>
      <c r="E2571" s="439"/>
      <c r="F2571" s="440"/>
      <c r="G2571" s="440"/>
      <c r="H2571" s="440"/>
      <c r="I2571" s="440"/>
      <c r="J2571" s="439"/>
      <c r="K2571" s="439"/>
    </row>
    <row r="2572" spans="2:13">
      <c r="B2572" s="127"/>
      <c r="C2572" s="127"/>
      <c r="D2572" s="441"/>
      <c r="E2572" s="441"/>
      <c r="F2572" s="441"/>
      <c r="G2572" s="442"/>
      <c r="H2572" s="441"/>
      <c r="I2572" s="441"/>
      <c r="J2572" s="441"/>
      <c r="K2572" s="441"/>
      <c r="M2572" s="455"/>
    </row>
    <row r="2573" spans="2:13">
      <c r="B2573" s="127"/>
      <c r="C2573" s="127"/>
    </row>
    <row r="2574" spans="2:13">
      <c r="B2574" s="127"/>
      <c r="C2574" s="127"/>
      <c r="J2574" s="428"/>
    </row>
    <row r="2575" spans="2:13">
      <c r="B2575" s="127"/>
      <c r="C2575" s="127"/>
      <c r="F2575" s="428"/>
      <c r="G2575" s="428"/>
      <c r="H2575" s="435"/>
      <c r="I2575" s="428"/>
      <c r="J2575" s="428"/>
      <c r="K2575" s="435"/>
      <c r="M2575" s="428"/>
    </row>
    <row r="2576" spans="2:13">
      <c r="B2576" s="127"/>
      <c r="C2576" s="127"/>
    </row>
    <row r="2577" spans="2:13">
      <c r="B2577" s="127"/>
      <c r="C2577" s="127"/>
      <c r="D2577" s="429"/>
      <c r="E2577" s="430"/>
      <c r="F2577" s="432"/>
      <c r="G2577" s="432"/>
      <c r="H2577" s="443"/>
      <c r="I2577" s="432"/>
      <c r="J2577" s="443"/>
      <c r="K2577" s="444"/>
      <c r="M2577" s="431"/>
    </row>
    <row r="2578" spans="2:13">
      <c r="B2578" s="127"/>
      <c r="C2578" s="127"/>
      <c r="D2578" s="427"/>
      <c r="E2578" s="427"/>
      <c r="F2578" s="445"/>
      <c r="G2578" s="445"/>
      <c r="H2578" s="446"/>
      <c r="I2578" s="445"/>
      <c r="J2578" s="446"/>
      <c r="K2578" s="447"/>
      <c r="M2578" s="596"/>
    </row>
    <row r="2579" spans="2:13">
      <c r="B2579" s="127"/>
      <c r="C2579" s="127"/>
    </row>
    <row r="2580" spans="2:13">
      <c r="B2580" s="127"/>
      <c r="C2580" s="127"/>
      <c r="E2580" s="427"/>
      <c r="F2580" s="427"/>
      <c r="G2580" s="427"/>
      <c r="H2580" s="427"/>
      <c r="I2580" s="427"/>
      <c r="J2580" s="427"/>
      <c r="K2580" s="427"/>
      <c r="M2580" s="427"/>
    </row>
    <row r="2581" spans="2:13">
      <c r="B2581" s="127"/>
      <c r="C2581" s="127"/>
      <c r="D2581" s="429"/>
      <c r="E2581" s="430"/>
      <c r="F2581" s="432"/>
      <c r="G2581" s="432"/>
      <c r="H2581" s="443"/>
      <c r="I2581" s="432"/>
      <c r="J2581" s="443"/>
      <c r="K2581" s="444"/>
      <c r="M2581" s="431"/>
    </row>
    <row r="2582" spans="2:13">
      <c r="B2582" s="127"/>
      <c r="C2582" s="127"/>
      <c r="D2582" s="427"/>
      <c r="E2582" s="427"/>
      <c r="F2582" s="445"/>
      <c r="G2582" s="445"/>
      <c r="H2582" s="446"/>
      <c r="I2582" s="445"/>
      <c r="J2582" s="446"/>
      <c r="K2582" s="447"/>
      <c r="M2582" s="596"/>
    </row>
    <row r="2583" spans="2:13">
      <c r="B2583" s="127"/>
      <c r="C2583" s="127"/>
      <c r="F2583" s="398"/>
      <c r="G2583" s="398"/>
      <c r="H2583" s="398"/>
      <c r="I2583" s="398"/>
      <c r="J2583" s="398"/>
      <c r="K2583" s="398"/>
    </row>
    <row r="2584" spans="2:13">
      <c r="B2584" s="127"/>
      <c r="C2584" s="127"/>
      <c r="D2584" s="427"/>
      <c r="E2584" s="427"/>
      <c r="F2584" s="445"/>
      <c r="G2584" s="445"/>
      <c r="H2584" s="446"/>
      <c r="I2584" s="445"/>
      <c r="J2584" s="446"/>
      <c r="K2584" s="447"/>
      <c r="M2584" s="596"/>
    </row>
    <row r="2585" spans="2:13">
      <c r="B2585" s="127"/>
      <c r="C2585" s="127"/>
    </row>
    <row r="2586" spans="2:13">
      <c r="B2586" s="127"/>
      <c r="C2586" s="127"/>
      <c r="E2586" s="427"/>
      <c r="F2586" s="427"/>
      <c r="G2586" s="427"/>
      <c r="H2586" s="427"/>
      <c r="I2586" s="427"/>
      <c r="J2586" s="427"/>
      <c r="K2586" s="427"/>
      <c r="M2586" s="427"/>
    </row>
    <row r="2587" spans="2:13">
      <c r="B2587" s="127"/>
      <c r="C2587" s="127"/>
      <c r="E2587" s="427"/>
      <c r="F2587" s="427"/>
      <c r="G2587" s="427"/>
      <c r="H2587" s="427"/>
      <c r="I2587" s="427"/>
      <c r="J2587" s="427"/>
      <c r="K2587" s="427"/>
      <c r="M2587" s="427"/>
    </row>
    <row r="2588" spans="2:13">
      <c r="B2588" s="127"/>
      <c r="C2588" s="127"/>
      <c r="D2588" s="429"/>
      <c r="E2588" s="430"/>
      <c r="F2588" s="431"/>
      <c r="G2588" s="431"/>
      <c r="H2588" s="436"/>
      <c r="I2588" s="431"/>
      <c r="J2588" s="436"/>
      <c r="K2588" s="437"/>
      <c r="M2588" s="431"/>
    </row>
    <row r="2589" spans="2:13">
      <c r="B2589" s="127"/>
      <c r="C2589" s="127"/>
      <c r="D2589" s="429"/>
      <c r="E2589" s="430"/>
      <c r="F2589" s="431"/>
      <c r="G2589" s="431"/>
      <c r="H2589" s="436"/>
      <c r="I2589" s="431"/>
      <c r="J2589" s="436"/>
      <c r="K2589" s="437"/>
      <c r="M2589" s="431"/>
    </row>
    <row r="2590" spans="2:13">
      <c r="B2590" s="127"/>
      <c r="C2590" s="127"/>
      <c r="D2590" s="429"/>
      <c r="E2590" s="430"/>
      <c r="F2590" s="431"/>
      <c r="G2590" s="431"/>
      <c r="H2590" s="436"/>
      <c r="I2590" s="431"/>
      <c r="J2590" s="436"/>
      <c r="K2590" s="437"/>
      <c r="M2590" s="431"/>
    </row>
    <row r="2591" spans="2:13">
      <c r="B2591" s="127"/>
      <c r="C2591" s="127"/>
      <c r="D2591" s="429"/>
      <c r="E2591" s="430"/>
      <c r="F2591" s="431"/>
      <c r="G2591" s="431"/>
      <c r="H2591" s="436"/>
      <c r="I2591" s="431"/>
      <c r="J2591" s="436"/>
      <c r="K2591" s="437"/>
      <c r="M2591" s="431"/>
    </row>
    <row r="2592" spans="2:13">
      <c r="B2592" s="127"/>
      <c r="C2592" s="127"/>
      <c r="D2592" s="429"/>
      <c r="E2592" s="430"/>
      <c r="F2592" s="431"/>
      <c r="G2592" s="431"/>
      <c r="H2592" s="436"/>
      <c r="I2592" s="431"/>
      <c r="J2592" s="436"/>
      <c r="K2592" s="437"/>
      <c r="M2592" s="431"/>
    </row>
    <row r="2593" spans="2:13">
      <c r="B2593" s="127"/>
      <c r="C2593" s="127"/>
      <c r="D2593" s="429"/>
      <c r="E2593" s="430"/>
      <c r="F2593" s="432"/>
      <c r="G2593" s="432"/>
      <c r="H2593" s="443"/>
      <c r="I2593" s="432"/>
      <c r="J2593" s="443"/>
      <c r="K2593" s="444"/>
      <c r="M2593" s="431"/>
    </row>
    <row r="2594" spans="2:13">
      <c r="B2594" s="127"/>
      <c r="C2594" s="127"/>
      <c r="D2594" s="427"/>
      <c r="E2594" s="427"/>
      <c r="F2594" s="445"/>
      <c r="G2594" s="445"/>
      <c r="H2594" s="446"/>
      <c r="I2594" s="445"/>
      <c r="J2594" s="446"/>
      <c r="K2594" s="447"/>
      <c r="M2594" s="596"/>
    </row>
    <row r="2595" spans="2:13">
      <c r="B2595" s="127"/>
      <c r="C2595" s="127"/>
    </row>
    <row r="2596" spans="2:13">
      <c r="B2596" s="127"/>
      <c r="C2596" s="127"/>
      <c r="E2596" s="427"/>
      <c r="F2596" s="427"/>
      <c r="G2596" s="427"/>
      <c r="H2596" s="427"/>
      <c r="I2596" s="427"/>
      <c r="J2596" s="427"/>
      <c r="K2596" s="427"/>
      <c r="M2596" s="427"/>
    </row>
    <row r="2597" spans="2:13">
      <c r="B2597" s="127"/>
      <c r="C2597" s="127"/>
      <c r="D2597" s="429"/>
      <c r="E2597" s="430"/>
      <c r="F2597" s="431"/>
      <c r="G2597" s="431"/>
      <c r="H2597" s="436"/>
      <c r="I2597" s="431"/>
      <c r="J2597" s="436"/>
      <c r="K2597" s="437"/>
      <c r="M2597" s="431"/>
    </row>
    <row r="2598" spans="2:13">
      <c r="B2598" s="127"/>
      <c r="C2598" s="127"/>
      <c r="D2598" s="429"/>
      <c r="E2598" s="430"/>
      <c r="F2598" s="431"/>
      <c r="G2598" s="431"/>
      <c r="H2598" s="436"/>
      <c r="I2598" s="431"/>
      <c r="J2598" s="436"/>
      <c r="K2598" s="437"/>
      <c r="M2598" s="431"/>
    </row>
    <row r="2599" spans="2:13">
      <c r="B2599" s="127"/>
      <c r="C2599" s="127"/>
      <c r="D2599" s="429"/>
      <c r="E2599" s="430"/>
      <c r="F2599" s="431"/>
      <c r="G2599" s="431"/>
      <c r="H2599" s="436"/>
      <c r="I2599" s="431"/>
      <c r="J2599" s="436"/>
      <c r="K2599" s="437"/>
      <c r="M2599" s="431"/>
    </row>
    <row r="2600" spans="2:13">
      <c r="B2600" s="127"/>
      <c r="C2600" s="127"/>
      <c r="D2600" s="429"/>
      <c r="E2600" s="430"/>
      <c r="F2600" s="432"/>
      <c r="G2600" s="432"/>
      <c r="H2600" s="443"/>
      <c r="I2600" s="432"/>
      <c r="J2600" s="443"/>
      <c r="K2600" s="444"/>
      <c r="M2600" s="431"/>
    </row>
    <row r="2601" spans="2:13">
      <c r="B2601" s="127"/>
      <c r="C2601" s="127"/>
      <c r="D2601" s="427"/>
      <c r="E2601" s="427"/>
      <c r="F2601" s="445"/>
      <c r="G2601" s="445"/>
      <c r="H2601" s="446"/>
      <c r="I2601" s="445"/>
      <c r="J2601" s="446"/>
      <c r="K2601" s="447"/>
      <c r="M2601" s="596"/>
    </row>
    <row r="2602" spans="2:13">
      <c r="B2602" s="127"/>
      <c r="C2602" s="127"/>
    </row>
    <row r="2603" spans="2:13">
      <c r="B2603" s="127"/>
      <c r="C2603" s="127"/>
      <c r="E2603" s="427"/>
      <c r="F2603" s="427"/>
      <c r="G2603" s="427"/>
      <c r="H2603" s="427"/>
      <c r="I2603" s="427"/>
      <c r="J2603" s="427"/>
      <c r="K2603" s="427"/>
      <c r="M2603" s="427"/>
    </row>
    <row r="2604" spans="2:13">
      <c r="B2604" s="127"/>
      <c r="C2604" s="127"/>
      <c r="D2604" s="429"/>
      <c r="E2604" s="430"/>
      <c r="F2604" s="431"/>
      <c r="G2604" s="431"/>
      <c r="H2604" s="436"/>
      <c r="I2604" s="431"/>
      <c r="J2604" s="436"/>
      <c r="K2604" s="437"/>
      <c r="M2604" s="431"/>
    </row>
    <row r="2605" spans="2:13">
      <c r="B2605" s="127"/>
      <c r="C2605" s="127"/>
      <c r="D2605" s="429"/>
      <c r="E2605" s="430"/>
      <c r="F2605" s="431"/>
      <c r="G2605" s="431"/>
      <c r="H2605" s="436"/>
      <c r="I2605" s="431"/>
      <c r="J2605" s="436"/>
      <c r="K2605" s="437"/>
      <c r="M2605" s="431"/>
    </row>
    <row r="2606" spans="2:13">
      <c r="B2606" s="127"/>
      <c r="C2606" s="127"/>
      <c r="D2606" s="429"/>
      <c r="E2606" s="430"/>
      <c r="F2606" s="431"/>
      <c r="G2606" s="431"/>
      <c r="H2606" s="436"/>
      <c r="I2606" s="431"/>
      <c r="J2606" s="436"/>
      <c r="K2606" s="437"/>
      <c r="M2606" s="431"/>
    </row>
    <row r="2607" spans="2:13">
      <c r="B2607" s="127"/>
      <c r="C2607" s="127"/>
      <c r="D2607" s="429"/>
      <c r="E2607" s="430"/>
      <c r="F2607" s="432"/>
      <c r="G2607" s="432"/>
      <c r="H2607" s="443"/>
      <c r="I2607" s="432"/>
      <c r="J2607" s="443"/>
      <c r="K2607" s="444"/>
      <c r="M2607" s="431"/>
    </row>
    <row r="2608" spans="2:13">
      <c r="B2608" s="127"/>
      <c r="C2608" s="127"/>
      <c r="D2608" s="427"/>
      <c r="E2608" s="427"/>
      <c r="F2608" s="445"/>
      <c r="G2608" s="445"/>
      <c r="H2608" s="446"/>
      <c r="I2608" s="445"/>
      <c r="J2608" s="446"/>
      <c r="K2608" s="447"/>
      <c r="M2608" s="596"/>
    </row>
    <row r="2609" spans="2:13">
      <c r="B2609" s="127"/>
      <c r="C2609" s="127"/>
    </row>
    <row r="2610" spans="2:13">
      <c r="B2610" s="127"/>
      <c r="C2610" s="127"/>
      <c r="E2610" s="427"/>
      <c r="F2610" s="427"/>
      <c r="G2610" s="427"/>
      <c r="H2610" s="427"/>
      <c r="I2610" s="427"/>
      <c r="J2610" s="427"/>
      <c r="K2610" s="427"/>
      <c r="M2610" s="427"/>
    </row>
    <row r="2611" spans="2:13">
      <c r="B2611" s="127"/>
      <c r="C2611" s="127"/>
      <c r="D2611" s="429"/>
      <c r="E2611" s="430"/>
      <c r="F2611" s="431"/>
      <c r="G2611" s="431"/>
      <c r="H2611" s="436"/>
      <c r="I2611" s="431"/>
      <c r="J2611" s="436"/>
      <c r="K2611" s="437"/>
      <c r="M2611" s="431"/>
    </row>
    <row r="2612" spans="2:13">
      <c r="B2612" s="127"/>
      <c r="C2612" s="127"/>
      <c r="D2612" s="429"/>
      <c r="E2612" s="430"/>
      <c r="F2612" s="431"/>
      <c r="G2612" s="431"/>
      <c r="H2612" s="436"/>
      <c r="I2612" s="431"/>
      <c r="J2612" s="436"/>
      <c r="K2612" s="437"/>
      <c r="M2612" s="431"/>
    </row>
    <row r="2613" spans="2:13">
      <c r="B2613" s="127"/>
      <c r="C2613" s="127"/>
      <c r="D2613" s="429"/>
      <c r="E2613" s="430"/>
      <c r="F2613" s="432"/>
      <c r="G2613" s="432"/>
      <c r="H2613" s="443"/>
      <c r="I2613" s="432"/>
      <c r="J2613" s="443"/>
      <c r="K2613" s="444"/>
      <c r="M2613" s="431"/>
    </row>
    <row r="2614" spans="2:13">
      <c r="B2614" s="127"/>
      <c r="C2614" s="127"/>
      <c r="D2614" s="427"/>
      <c r="E2614" s="427"/>
      <c r="F2614" s="445"/>
      <c r="G2614" s="445"/>
      <c r="H2614" s="446"/>
      <c r="I2614" s="445"/>
      <c r="J2614" s="446"/>
      <c r="K2614" s="447"/>
      <c r="M2614" s="596"/>
    </row>
    <row r="2615" spans="2:13">
      <c r="B2615" s="127"/>
      <c r="C2615" s="127"/>
    </row>
    <row r="2616" spans="2:13">
      <c r="B2616" s="127"/>
      <c r="C2616" s="127"/>
      <c r="E2616" s="427"/>
      <c r="F2616" s="427"/>
      <c r="G2616" s="427"/>
      <c r="H2616" s="427"/>
      <c r="I2616" s="427"/>
      <c r="J2616" s="427"/>
      <c r="K2616" s="427"/>
      <c r="M2616" s="427"/>
    </row>
    <row r="2617" spans="2:13">
      <c r="B2617" s="127"/>
      <c r="C2617" s="127"/>
      <c r="D2617" s="429"/>
      <c r="E2617" s="430"/>
      <c r="F2617" s="431"/>
      <c r="G2617" s="431"/>
      <c r="H2617" s="436"/>
      <c r="I2617" s="431"/>
      <c r="J2617" s="436"/>
      <c r="K2617" s="437"/>
      <c r="M2617" s="431"/>
    </row>
    <row r="2618" spans="2:13">
      <c r="B2618" s="127"/>
      <c r="C2618" s="127"/>
      <c r="D2618" s="429"/>
      <c r="E2618" s="430"/>
      <c r="F2618" s="432"/>
      <c r="G2618" s="432"/>
      <c r="H2618" s="443"/>
      <c r="I2618" s="432"/>
      <c r="J2618" s="443"/>
      <c r="K2618" s="444"/>
      <c r="M2618" s="431"/>
    </row>
    <row r="2619" spans="2:13">
      <c r="B2619" s="127"/>
      <c r="C2619" s="127"/>
      <c r="D2619" s="427"/>
      <c r="E2619" s="427"/>
      <c r="F2619" s="445"/>
      <c r="G2619" s="445"/>
      <c r="H2619" s="446"/>
      <c r="I2619" s="445"/>
      <c r="J2619" s="446"/>
      <c r="K2619" s="447"/>
      <c r="M2619" s="596"/>
    </row>
    <row r="2620" spans="2:13">
      <c r="B2620" s="127"/>
      <c r="C2620" s="127"/>
      <c r="F2620" s="398"/>
      <c r="G2620" s="398"/>
      <c r="H2620" s="398"/>
      <c r="I2620" s="398"/>
      <c r="J2620" s="398"/>
      <c r="K2620" s="398"/>
    </row>
    <row r="2621" spans="2:13">
      <c r="B2621" s="127"/>
      <c r="C2621" s="127"/>
      <c r="D2621" s="427"/>
      <c r="E2621" s="427"/>
      <c r="F2621" s="445"/>
      <c r="G2621" s="445"/>
      <c r="H2621" s="446"/>
      <c r="I2621" s="445"/>
      <c r="J2621" s="446"/>
      <c r="K2621" s="447"/>
      <c r="M2621" s="596"/>
    </row>
    <row r="2622" spans="2:13">
      <c r="B2622" s="127"/>
      <c r="C2622" s="127"/>
    </row>
    <row r="2623" spans="2:13">
      <c r="B2623" s="127"/>
      <c r="C2623" s="127"/>
      <c r="E2623" s="427"/>
      <c r="F2623" s="427"/>
      <c r="G2623" s="427"/>
      <c r="H2623" s="427"/>
      <c r="I2623" s="427"/>
      <c r="J2623" s="427"/>
      <c r="K2623" s="427"/>
      <c r="M2623" s="427"/>
    </row>
    <row r="2624" spans="2:13">
      <c r="B2624" s="127"/>
      <c r="C2624" s="127"/>
      <c r="E2624" s="427"/>
      <c r="F2624" s="427"/>
      <c r="G2624" s="427"/>
      <c r="H2624" s="427"/>
      <c r="I2624" s="427"/>
      <c r="J2624" s="427"/>
      <c r="K2624" s="427"/>
      <c r="M2624" s="427"/>
    </row>
    <row r="2625" spans="2:13">
      <c r="B2625" s="127"/>
      <c r="C2625" s="127"/>
      <c r="D2625" s="429"/>
      <c r="E2625" s="430"/>
      <c r="F2625" s="431"/>
      <c r="G2625" s="431"/>
      <c r="H2625" s="436"/>
      <c r="I2625" s="431"/>
      <c r="J2625" s="436"/>
      <c r="K2625" s="437"/>
      <c r="M2625" s="431"/>
    </row>
    <row r="2626" spans="2:13">
      <c r="B2626" s="127"/>
      <c r="C2626" s="127"/>
      <c r="D2626" s="429"/>
      <c r="E2626" s="430"/>
      <c r="F2626" s="431"/>
      <c r="G2626" s="431"/>
      <c r="H2626" s="436"/>
      <c r="I2626" s="431"/>
      <c r="J2626" s="436"/>
      <c r="K2626" s="437"/>
      <c r="M2626" s="431"/>
    </row>
    <row r="2627" spans="2:13">
      <c r="B2627" s="127"/>
      <c r="C2627" s="127"/>
      <c r="D2627" s="429"/>
      <c r="E2627" s="430"/>
      <c r="F2627" s="431"/>
      <c r="G2627" s="431"/>
      <c r="H2627" s="436"/>
      <c r="I2627" s="431"/>
      <c r="J2627" s="436"/>
      <c r="K2627" s="437"/>
      <c r="M2627" s="431"/>
    </row>
    <row r="2628" spans="2:13">
      <c r="B2628" s="127"/>
      <c r="C2628" s="127"/>
      <c r="D2628" s="429"/>
      <c r="E2628" s="430"/>
      <c r="F2628" s="431"/>
      <c r="G2628" s="431"/>
      <c r="H2628" s="436"/>
      <c r="I2628" s="431"/>
      <c r="J2628" s="436"/>
      <c r="K2628" s="437"/>
      <c r="M2628" s="431"/>
    </row>
    <row r="2629" spans="2:13">
      <c r="B2629" s="127"/>
      <c r="C2629" s="127"/>
      <c r="D2629" s="429"/>
      <c r="E2629" s="430"/>
      <c r="F2629" s="431"/>
      <c r="G2629" s="431"/>
      <c r="H2629" s="436"/>
      <c r="I2629" s="431"/>
      <c r="J2629" s="436"/>
      <c r="K2629" s="437"/>
      <c r="M2629" s="431"/>
    </row>
    <row r="2630" spans="2:13">
      <c r="B2630" s="127"/>
      <c r="C2630" s="127"/>
      <c r="D2630" s="429"/>
      <c r="E2630" s="430"/>
      <c r="F2630" s="431"/>
      <c r="G2630" s="431"/>
      <c r="H2630" s="436"/>
      <c r="I2630" s="431"/>
      <c r="J2630" s="436"/>
      <c r="K2630" s="437"/>
      <c r="M2630" s="431"/>
    </row>
    <row r="2631" spans="2:13">
      <c r="B2631" s="127"/>
      <c r="C2631" s="127"/>
      <c r="D2631" s="429"/>
      <c r="E2631" s="430"/>
      <c r="F2631" s="431"/>
      <c r="G2631" s="431"/>
      <c r="H2631" s="436"/>
      <c r="I2631" s="431"/>
      <c r="J2631" s="436"/>
      <c r="K2631" s="437"/>
      <c r="M2631" s="431"/>
    </row>
    <row r="2632" spans="2:13">
      <c r="B2632" s="127"/>
      <c r="C2632" s="127"/>
      <c r="D2632" s="429"/>
      <c r="E2632" s="430"/>
      <c r="F2632" s="431"/>
      <c r="G2632" s="431"/>
      <c r="H2632" s="436"/>
      <c r="I2632" s="431"/>
      <c r="J2632" s="436"/>
      <c r="K2632" s="437"/>
      <c r="M2632" s="431"/>
    </row>
    <row r="2633" spans="2:13">
      <c r="B2633" s="127"/>
      <c r="C2633" s="127"/>
      <c r="D2633" s="429"/>
      <c r="E2633" s="430"/>
      <c r="F2633" s="432"/>
      <c r="G2633" s="432"/>
      <c r="H2633" s="443"/>
      <c r="I2633" s="432"/>
      <c r="J2633" s="443"/>
      <c r="K2633" s="444"/>
      <c r="M2633" s="431"/>
    </row>
    <row r="2634" spans="2:13">
      <c r="B2634" s="127"/>
      <c r="C2634" s="127"/>
      <c r="D2634" s="427"/>
      <c r="E2634" s="427"/>
      <c r="F2634" s="445"/>
      <c r="G2634" s="445"/>
      <c r="H2634" s="446"/>
      <c r="I2634" s="445"/>
      <c r="J2634" s="446"/>
      <c r="K2634" s="447"/>
      <c r="M2634" s="596"/>
    </row>
    <row r="2635" spans="2:13">
      <c r="B2635" s="127"/>
      <c r="C2635" s="127"/>
    </row>
    <row r="2636" spans="2:13">
      <c r="B2636" s="127"/>
      <c r="C2636" s="127"/>
      <c r="E2636" s="427"/>
      <c r="F2636" s="427"/>
      <c r="G2636" s="427"/>
      <c r="H2636" s="427"/>
      <c r="I2636" s="427"/>
      <c r="J2636" s="427"/>
      <c r="K2636" s="427"/>
      <c r="M2636" s="427"/>
    </row>
    <row r="2637" spans="2:13">
      <c r="B2637" s="127"/>
      <c r="C2637" s="127"/>
      <c r="D2637" s="429"/>
      <c r="E2637" s="430"/>
      <c r="F2637" s="431"/>
      <c r="G2637" s="431"/>
      <c r="H2637" s="436"/>
      <c r="I2637" s="431"/>
      <c r="J2637" s="436"/>
      <c r="K2637" s="437"/>
      <c r="M2637" s="431"/>
    </row>
    <row r="2638" spans="2:13">
      <c r="B2638" s="127"/>
      <c r="C2638" s="127"/>
      <c r="D2638" s="429"/>
      <c r="E2638" s="430"/>
      <c r="F2638" s="431"/>
      <c r="G2638" s="431"/>
      <c r="H2638" s="436"/>
      <c r="I2638" s="431"/>
      <c r="J2638" s="436"/>
      <c r="K2638" s="437"/>
      <c r="M2638" s="431"/>
    </row>
    <row r="2639" spans="2:13">
      <c r="B2639" s="127"/>
      <c r="C2639" s="127"/>
      <c r="D2639" s="429"/>
      <c r="E2639" s="430"/>
      <c r="F2639" s="431"/>
      <c r="G2639" s="431"/>
      <c r="H2639" s="436"/>
      <c r="I2639" s="431"/>
      <c r="J2639" s="436"/>
      <c r="K2639" s="437"/>
      <c r="M2639" s="431"/>
    </row>
    <row r="2640" spans="2:13">
      <c r="B2640" s="127"/>
      <c r="C2640" s="127"/>
      <c r="D2640" s="429"/>
      <c r="E2640" s="430"/>
      <c r="F2640" s="431"/>
      <c r="G2640" s="431"/>
      <c r="H2640" s="436"/>
      <c r="I2640" s="431"/>
      <c r="J2640" s="436"/>
      <c r="K2640" s="437"/>
      <c r="M2640" s="431"/>
    </row>
    <row r="2641" spans="2:13">
      <c r="B2641" s="127"/>
      <c r="C2641" s="127"/>
    </row>
    <row r="2642" spans="2:13">
      <c r="B2642" s="127"/>
      <c r="C2642" s="127"/>
      <c r="D2642" s="438"/>
      <c r="E2642" s="438"/>
      <c r="F2642" s="438"/>
      <c r="G2642" s="438"/>
      <c r="H2642" s="438"/>
      <c r="I2642" s="438"/>
      <c r="J2642" s="438"/>
      <c r="K2642" s="438"/>
      <c r="M2642" s="597"/>
    </row>
    <row r="2643" spans="2:13" ht="16.2" thickBot="1">
      <c r="B2643" s="127"/>
      <c r="C2643" s="127"/>
      <c r="D2643" s="439"/>
      <c r="E2643" s="439"/>
      <c r="F2643" s="440"/>
      <c r="G2643" s="440"/>
      <c r="H2643" s="440"/>
      <c r="I2643" s="440"/>
      <c r="J2643" s="439"/>
      <c r="K2643" s="439"/>
    </row>
    <row r="2644" spans="2:13">
      <c r="B2644" s="127"/>
      <c r="C2644" s="127"/>
      <c r="D2644" s="441"/>
      <c r="E2644" s="441"/>
      <c r="F2644" s="441"/>
      <c r="G2644" s="442"/>
      <c r="H2644" s="441"/>
      <c r="I2644" s="441"/>
      <c r="J2644" s="441"/>
      <c r="K2644" s="441"/>
      <c r="M2644" s="455"/>
    </row>
    <row r="2645" spans="2:13">
      <c r="B2645" s="127"/>
      <c r="C2645" s="127"/>
    </row>
    <row r="2646" spans="2:13">
      <c r="B2646" s="127"/>
      <c r="C2646" s="127"/>
      <c r="J2646" s="428"/>
    </row>
    <row r="2647" spans="2:13">
      <c r="B2647" s="127"/>
      <c r="C2647" s="127"/>
      <c r="F2647" s="428"/>
      <c r="G2647" s="428"/>
      <c r="H2647" s="435"/>
      <c r="I2647" s="428"/>
      <c r="J2647" s="428"/>
      <c r="K2647" s="435"/>
      <c r="M2647" s="428"/>
    </row>
    <row r="2648" spans="2:13">
      <c r="B2648" s="127"/>
      <c r="C2648" s="127"/>
    </row>
    <row r="2649" spans="2:13">
      <c r="B2649" s="127"/>
      <c r="C2649" s="127"/>
      <c r="D2649" s="429"/>
      <c r="E2649" s="430"/>
      <c r="F2649" s="432"/>
      <c r="G2649" s="432"/>
      <c r="H2649" s="443"/>
      <c r="I2649" s="432"/>
      <c r="J2649" s="443"/>
      <c r="K2649" s="444"/>
      <c r="M2649" s="431"/>
    </row>
    <row r="2650" spans="2:13">
      <c r="B2650" s="127"/>
      <c r="C2650" s="127"/>
      <c r="D2650" s="427"/>
      <c r="E2650" s="427"/>
      <c r="F2650" s="445"/>
      <c r="G2650" s="445"/>
      <c r="H2650" s="446"/>
      <c r="I2650" s="445"/>
      <c r="J2650" s="446"/>
      <c r="K2650" s="447"/>
      <c r="M2650" s="596"/>
    </row>
    <row r="2651" spans="2:13">
      <c r="B2651" s="127"/>
      <c r="C2651" s="127"/>
    </row>
    <row r="2652" spans="2:13">
      <c r="B2652" s="127"/>
      <c r="C2652" s="127"/>
      <c r="E2652" s="427"/>
      <c r="F2652" s="427"/>
      <c r="G2652" s="427"/>
      <c r="H2652" s="427"/>
      <c r="I2652" s="427"/>
      <c r="J2652" s="427"/>
      <c r="K2652" s="427"/>
      <c r="M2652" s="427"/>
    </row>
    <row r="2653" spans="2:13">
      <c r="B2653" s="127"/>
      <c r="C2653" s="127"/>
      <c r="D2653" s="429"/>
      <c r="E2653" s="430"/>
      <c r="F2653" s="432"/>
      <c r="G2653" s="432"/>
      <c r="H2653" s="443"/>
      <c r="I2653" s="432"/>
      <c r="J2653" s="443"/>
      <c r="K2653" s="444"/>
      <c r="M2653" s="431"/>
    </row>
    <row r="2654" spans="2:13">
      <c r="B2654" s="127"/>
      <c r="C2654" s="127"/>
      <c r="D2654" s="427"/>
      <c r="E2654" s="427"/>
      <c r="F2654" s="445"/>
      <c r="G2654" s="445"/>
      <c r="H2654" s="446"/>
      <c r="I2654" s="445"/>
      <c r="J2654" s="446"/>
      <c r="K2654" s="447"/>
      <c r="M2654" s="596"/>
    </row>
    <row r="2655" spans="2:13">
      <c r="B2655" s="127"/>
      <c r="C2655" s="127"/>
    </row>
    <row r="2656" spans="2:13">
      <c r="B2656" s="127"/>
      <c r="C2656" s="127"/>
      <c r="E2656" s="427"/>
      <c r="F2656" s="427"/>
      <c r="G2656" s="427"/>
      <c r="H2656" s="427"/>
      <c r="I2656" s="427"/>
      <c r="J2656" s="427"/>
      <c r="K2656" s="427"/>
      <c r="M2656" s="427"/>
    </row>
    <row r="2657" spans="2:13">
      <c r="B2657" s="127"/>
      <c r="C2657" s="127"/>
      <c r="D2657" s="429"/>
      <c r="E2657" s="430"/>
      <c r="F2657" s="432"/>
      <c r="G2657" s="432"/>
      <c r="H2657" s="443"/>
      <c r="I2657" s="432"/>
      <c r="J2657" s="443"/>
      <c r="K2657" s="444"/>
      <c r="M2657" s="431"/>
    </row>
    <row r="2658" spans="2:13">
      <c r="B2658" s="127"/>
      <c r="C2658" s="127"/>
      <c r="D2658" s="427"/>
      <c r="E2658" s="427"/>
      <c r="F2658" s="445"/>
      <c r="G2658" s="445"/>
      <c r="H2658" s="446"/>
      <c r="I2658" s="445"/>
      <c r="J2658" s="446"/>
      <c r="K2658" s="447"/>
      <c r="M2658" s="596"/>
    </row>
    <row r="2659" spans="2:13">
      <c r="B2659" s="127"/>
      <c r="C2659" s="127"/>
      <c r="F2659" s="398"/>
      <c r="G2659" s="398"/>
      <c r="H2659" s="398"/>
      <c r="I2659" s="398"/>
      <c r="J2659" s="398"/>
      <c r="K2659" s="398"/>
    </row>
    <row r="2660" spans="2:13">
      <c r="B2660" s="127"/>
      <c r="C2660" s="127"/>
      <c r="D2660" s="427"/>
      <c r="E2660" s="427"/>
      <c r="F2660" s="445"/>
      <c r="G2660" s="445"/>
      <c r="H2660" s="446"/>
      <c r="I2660" s="445"/>
      <c r="J2660" s="446"/>
      <c r="K2660" s="447"/>
      <c r="M2660" s="596"/>
    </row>
    <row r="2661" spans="2:13">
      <c r="B2661" s="127"/>
      <c r="C2661" s="127"/>
    </row>
    <row r="2662" spans="2:13">
      <c r="B2662" s="127"/>
      <c r="C2662" s="127"/>
      <c r="E2662" s="427"/>
      <c r="F2662" s="427"/>
      <c r="G2662" s="427"/>
      <c r="H2662" s="427"/>
      <c r="I2662" s="427"/>
      <c r="J2662" s="427"/>
      <c r="K2662" s="427"/>
      <c r="M2662" s="427"/>
    </row>
    <row r="2663" spans="2:13">
      <c r="B2663" s="127"/>
      <c r="C2663" s="127"/>
      <c r="E2663" s="427"/>
      <c r="F2663" s="427"/>
      <c r="G2663" s="427"/>
      <c r="H2663" s="427"/>
      <c r="I2663" s="427"/>
      <c r="J2663" s="427"/>
      <c r="K2663" s="427"/>
      <c r="M2663" s="427"/>
    </row>
    <row r="2664" spans="2:13">
      <c r="B2664" s="127"/>
      <c r="C2664" s="127"/>
      <c r="D2664" s="429"/>
      <c r="E2664" s="430"/>
      <c r="F2664" s="432"/>
      <c r="G2664" s="432"/>
      <c r="H2664" s="443"/>
      <c r="I2664" s="432"/>
      <c r="J2664" s="443"/>
      <c r="K2664" s="444"/>
      <c r="M2664" s="431"/>
    </row>
    <row r="2665" spans="2:13">
      <c r="B2665" s="127"/>
      <c r="C2665" s="127"/>
      <c r="D2665" s="427"/>
      <c r="E2665" s="427"/>
      <c r="F2665" s="445"/>
      <c r="G2665" s="445"/>
      <c r="H2665" s="446"/>
      <c r="I2665" s="445"/>
      <c r="J2665" s="446"/>
      <c r="K2665" s="447"/>
      <c r="M2665" s="596"/>
    </row>
    <row r="2666" spans="2:13">
      <c r="B2666" s="127"/>
      <c r="C2666" s="127"/>
    </row>
    <row r="2667" spans="2:13">
      <c r="B2667" s="127"/>
      <c r="C2667" s="127"/>
      <c r="E2667" s="427"/>
      <c r="F2667" s="427"/>
      <c r="G2667" s="427"/>
      <c r="H2667" s="427"/>
      <c r="I2667" s="427"/>
      <c r="J2667" s="427"/>
      <c r="K2667" s="427"/>
      <c r="M2667" s="427"/>
    </row>
    <row r="2668" spans="2:13">
      <c r="B2668" s="127"/>
      <c r="C2668" s="127"/>
      <c r="D2668" s="429"/>
      <c r="E2668" s="430"/>
      <c r="F2668" s="431"/>
      <c r="G2668" s="431"/>
      <c r="H2668" s="436"/>
      <c r="I2668" s="431"/>
      <c r="J2668" s="436"/>
      <c r="K2668" s="437"/>
      <c r="M2668" s="431"/>
    </row>
    <row r="2669" spans="2:13">
      <c r="B2669" s="127"/>
      <c r="C2669" s="127"/>
      <c r="D2669" s="429"/>
      <c r="E2669" s="430"/>
      <c r="F2669" s="432"/>
      <c r="G2669" s="432"/>
      <c r="H2669" s="443"/>
      <c r="I2669" s="432"/>
      <c r="J2669" s="443"/>
      <c r="K2669" s="444"/>
      <c r="M2669" s="431"/>
    </row>
    <row r="2670" spans="2:13">
      <c r="B2670" s="127"/>
      <c r="C2670" s="127"/>
      <c r="D2670" s="427"/>
      <c r="E2670" s="427"/>
      <c r="F2670" s="445"/>
      <c r="G2670" s="445"/>
      <c r="H2670" s="446"/>
      <c r="I2670" s="445"/>
      <c r="J2670" s="446"/>
      <c r="K2670" s="447"/>
      <c r="M2670" s="596"/>
    </row>
    <row r="2671" spans="2:13">
      <c r="B2671" s="127"/>
      <c r="C2671" s="127"/>
      <c r="F2671" s="398"/>
      <c r="G2671" s="398"/>
      <c r="H2671" s="398"/>
      <c r="I2671" s="398"/>
      <c r="J2671" s="398"/>
      <c r="K2671" s="398"/>
    </row>
    <row r="2672" spans="2:13">
      <c r="B2672" s="127"/>
      <c r="C2672" s="127"/>
      <c r="D2672" s="427"/>
      <c r="E2672" s="427"/>
      <c r="F2672" s="445"/>
      <c r="G2672" s="445"/>
      <c r="H2672" s="446"/>
      <c r="I2672" s="445"/>
      <c r="J2672" s="446"/>
      <c r="K2672" s="447"/>
      <c r="M2672" s="596"/>
    </row>
    <row r="2673" spans="2:13">
      <c r="B2673" s="127"/>
      <c r="C2673" s="127"/>
      <c r="F2673" s="398"/>
      <c r="G2673" s="398"/>
      <c r="H2673" s="398"/>
      <c r="I2673" s="398"/>
      <c r="J2673" s="398"/>
      <c r="K2673" s="398"/>
    </row>
    <row r="2674" spans="2:13">
      <c r="B2674" s="127"/>
      <c r="C2674" s="127"/>
      <c r="D2674" s="427"/>
      <c r="E2674" s="427"/>
      <c r="F2674" s="445"/>
      <c r="G2674" s="445"/>
      <c r="H2674" s="446"/>
      <c r="I2674" s="445"/>
      <c r="J2674" s="446"/>
      <c r="K2674" s="447"/>
      <c r="M2674" s="596"/>
    </row>
    <row r="2675" spans="2:13">
      <c r="B2675" s="127"/>
      <c r="C2675" s="127"/>
      <c r="F2675" s="398"/>
      <c r="G2675" s="398"/>
      <c r="H2675" s="398"/>
      <c r="I2675" s="398"/>
      <c r="J2675" s="398"/>
      <c r="K2675" s="398"/>
    </row>
    <row r="2676" spans="2:13">
      <c r="B2676" s="127"/>
      <c r="C2676" s="127"/>
      <c r="D2676" s="427"/>
      <c r="E2676" s="427"/>
      <c r="F2676" s="445"/>
      <c r="G2676" s="445"/>
      <c r="H2676" s="446"/>
      <c r="I2676" s="445"/>
      <c r="J2676" s="446"/>
      <c r="K2676" s="447"/>
      <c r="M2676" s="596"/>
    </row>
    <row r="2677" spans="2:13">
      <c r="B2677" s="127"/>
      <c r="C2677" s="127"/>
      <c r="F2677" s="398"/>
      <c r="G2677" s="398"/>
      <c r="H2677" s="398"/>
      <c r="I2677" s="398"/>
      <c r="J2677" s="398"/>
      <c r="K2677" s="398"/>
    </row>
    <row r="2678" spans="2:13">
      <c r="B2678" s="127"/>
      <c r="C2678" s="127"/>
      <c r="D2678" s="427"/>
      <c r="E2678" s="427"/>
      <c r="F2678" s="445"/>
      <c r="G2678" s="445"/>
      <c r="H2678" s="446"/>
      <c r="I2678" s="445"/>
      <c r="J2678" s="446"/>
      <c r="K2678" s="447"/>
      <c r="M2678" s="596"/>
    </row>
    <row r="2679" spans="2:13">
      <c r="B2679" s="127"/>
      <c r="C2679" s="127"/>
    </row>
    <row r="2680" spans="2:13">
      <c r="B2680" s="127"/>
      <c r="C2680" s="127"/>
      <c r="D2680" s="427"/>
      <c r="E2680" s="427"/>
      <c r="F2680" s="427"/>
      <c r="G2680" s="427"/>
      <c r="H2680" s="427"/>
      <c r="I2680" s="427"/>
      <c r="J2680" s="427"/>
      <c r="K2680" s="427"/>
      <c r="M2680" s="427"/>
    </row>
    <row r="2681" spans="2:13">
      <c r="B2681" s="127"/>
      <c r="C2681" s="127"/>
      <c r="E2681" s="427"/>
      <c r="F2681" s="427"/>
      <c r="G2681" s="427"/>
      <c r="H2681" s="427"/>
      <c r="I2681" s="427"/>
      <c r="J2681" s="427"/>
      <c r="K2681" s="427"/>
      <c r="M2681" s="427"/>
    </row>
    <row r="2682" spans="2:13">
      <c r="B2682" s="127"/>
      <c r="C2682" s="127"/>
      <c r="E2682" s="427"/>
      <c r="F2682" s="427"/>
      <c r="G2682" s="427"/>
      <c r="H2682" s="427"/>
      <c r="I2682" s="427"/>
      <c r="J2682" s="427"/>
      <c r="K2682" s="427"/>
      <c r="M2682" s="427"/>
    </row>
    <row r="2683" spans="2:13">
      <c r="B2683" s="127"/>
      <c r="C2683" s="127"/>
      <c r="E2683" s="427"/>
      <c r="F2683" s="427"/>
      <c r="G2683" s="427"/>
      <c r="H2683" s="427"/>
      <c r="I2683" s="427"/>
      <c r="J2683" s="427"/>
      <c r="K2683" s="427"/>
      <c r="M2683" s="427"/>
    </row>
    <row r="2684" spans="2:13">
      <c r="B2684" s="127"/>
      <c r="C2684" s="127"/>
      <c r="E2684" s="427"/>
      <c r="F2684" s="427"/>
      <c r="G2684" s="427"/>
      <c r="H2684" s="427"/>
      <c r="I2684" s="427"/>
      <c r="J2684" s="427"/>
      <c r="K2684" s="427"/>
      <c r="M2684" s="427"/>
    </row>
    <row r="2685" spans="2:13">
      <c r="B2685" s="127"/>
      <c r="C2685" s="127"/>
      <c r="D2685" s="429"/>
      <c r="E2685" s="430"/>
      <c r="F2685" s="432"/>
      <c r="G2685" s="432"/>
      <c r="H2685" s="443"/>
      <c r="I2685" s="432"/>
      <c r="J2685" s="443"/>
      <c r="K2685" s="444"/>
      <c r="M2685" s="431"/>
    </row>
    <row r="2686" spans="2:13">
      <c r="B2686" s="127"/>
      <c r="C2686" s="127"/>
      <c r="D2686" s="427"/>
      <c r="E2686" s="427"/>
      <c r="F2686" s="445"/>
      <c r="G2686" s="445"/>
      <c r="H2686" s="446"/>
      <c r="I2686" s="445"/>
      <c r="J2686" s="446"/>
      <c r="K2686" s="447"/>
      <c r="M2686" s="596"/>
    </row>
    <row r="2687" spans="2:13">
      <c r="B2687" s="127"/>
      <c r="C2687" s="127"/>
      <c r="F2687" s="398"/>
      <c r="G2687" s="398"/>
      <c r="H2687" s="398"/>
      <c r="I2687" s="398"/>
      <c r="J2687" s="398"/>
      <c r="K2687" s="398"/>
    </row>
    <row r="2688" spans="2:13">
      <c r="B2688" s="127"/>
      <c r="C2688" s="127"/>
      <c r="D2688" s="427"/>
      <c r="E2688" s="427"/>
      <c r="F2688" s="445"/>
      <c r="G2688" s="445"/>
      <c r="H2688" s="446"/>
      <c r="I2688" s="445"/>
      <c r="J2688" s="446"/>
      <c r="K2688" s="447"/>
      <c r="M2688" s="596"/>
    </row>
    <row r="2689" spans="2:13">
      <c r="B2689" s="127"/>
      <c r="C2689" s="127"/>
      <c r="F2689" s="398"/>
      <c r="G2689" s="398"/>
      <c r="H2689" s="398"/>
      <c r="I2689" s="398"/>
      <c r="J2689" s="398"/>
      <c r="K2689" s="398"/>
    </row>
    <row r="2690" spans="2:13">
      <c r="B2690" s="127"/>
      <c r="C2690" s="127"/>
      <c r="D2690" s="427"/>
      <c r="E2690" s="427"/>
      <c r="F2690" s="445"/>
      <c r="G2690" s="445"/>
      <c r="H2690" s="446"/>
      <c r="I2690" s="445"/>
      <c r="J2690" s="446"/>
      <c r="K2690" s="447"/>
      <c r="M2690" s="596"/>
    </row>
    <row r="2691" spans="2:13">
      <c r="B2691" s="127"/>
      <c r="C2691" s="127"/>
      <c r="F2691" s="398"/>
      <c r="G2691" s="398"/>
      <c r="H2691" s="398"/>
      <c r="I2691" s="398"/>
      <c r="J2691" s="398"/>
      <c r="K2691" s="398"/>
    </row>
    <row r="2692" spans="2:13">
      <c r="B2692" s="127"/>
      <c r="C2692" s="127"/>
      <c r="D2692" s="427"/>
      <c r="E2692" s="427"/>
      <c r="F2692" s="445"/>
      <c r="G2692" s="445"/>
      <c r="H2692" s="446"/>
      <c r="I2692" s="445"/>
      <c r="J2692" s="446"/>
      <c r="K2692" s="447"/>
      <c r="M2692" s="596"/>
    </row>
    <row r="2693" spans="2:13">
      <c r="B2693" s="127"/>
      <c r="C2693" s="127"/>
    </row>
    <row r="2694" spans="2:13">
      <c r="B2694" s="127"/>
      <c r="C2694" s="127"/>
      <c r="E2694" s="427"/>
      <c r="F2694" s="427"/>
      <c r="G2694" s="427"/>
      <c r="H2694" s="427"/>
      <c r="I2694" s="427"/>
      <c r="J2694" s="427"/>
      <c r="K2694" s="427"/>
      <c r="M2694" s="427"/>
    </row>
    <row r="2695" spans="2:13">
      <c r="B2695" s="127"/>
      <c r="C2695" s="127"/>
      <c r="E2695" s="427"/>
      <c r="F2695" s="427"/>
      <c r="G2695" s="427"/>
      <c r="H2695" s="427"/>
      <c r="I2695" s="427"/>
      <c r="J2695" s="427"/>
      <c r="K2695" s="427"/>
      <c r="M2695" s="427"/>
    </row>
    <row r="2696" spans="2:13">
      <c r="B2696" s="127"/>
      <c r="C2696" s="127"/>
      <c r="E2696" s="427"/>
      <c r="F2696" s="427"/>
      <c r="G2696" s="427"/>
      <c r="H2696" s="427"/>
      <c r="I2696" s="427"/>
      <c r="J2696" s="427"/>
      <c r="K2696" s="427"/>
      <c r="M2696" s="427"/>
    </row>
    <row r="2697" spans="2:13">
      <c r="B2697" s="127"/>
      <c r="C2697" s="127"/>
      <c r="E2697" s="427"/>
      <c r="F2697" s="427"/>
      <c r="G2697" s="427"/>
      <c r="H2697" s="427"/>
      <c r="I2697" s="427"/>
      <c r="J2697" s="427"/>
      <c r="K2697" s="427"/>
      <c r="M2697" s="427"/>
    </row>
    <row r="2698" spans="2:13">
      <c r="B2698" s="127"/>
      <c r="C2698" s="127"/>
      <c r="D2698" s="429"/>
      <c r="E2698" s="430"/>
      <c r="F2698" s="432"/>
      <c r="G2698" s="432"/>
      <c r="H2698" s="443"/>
      <c r="I2698" s="432"/>
      <c r="J2698" s="443"/>
      <c r="K2698" s="444"/>
      <c r="M2698" s="431"/>
    </row>
    <row r="2699" spans="2:13">
      <c r="B2699" s="127"/>
      <c r="C2699" s="127"/>
      <c r="D2699" s="427"/>
      <c r="E2699" s="427"/>
      <c r="F2699" s="445"/>
      <c r="G2699" s="445"/>
      <c r="H2699" s="446"/>
      <c r="I2699" s="445"/>
      <c r="J2699" s="446"/>
      <c r="K2699" s="447"/>
      <c r="M2699" s="596"/>
    </row>
    <row r="2700" spans="2:13">
      <c r="B2700" s="127"/>
      <c r="C2700" s="127"/>
      <c r="F2700" s="398"/>
      <c r="G2700" s="398"/>
      <c r="H2700" s="398"/>
      <c r="I2700" s="398"/>
      <c r="J2700" s="398"/>
      <c r="K2700" s="398"/>
    </row>
    <row r="2701" spans="2:13">
      <c r="B2701" s="127"/>
      <c r="C2701" s="127"/>
      <c r="D2701" s="427"/>
      <c r="E2701" s="427"/>
      <c r="F2701" s="445"/>
      <c r="G2701" s="445"/>
      <c r="H2701" s="446"/>
      <c r="I2701" s="445"/>
      <c r="J2701" s="446"/>
      <c r="K2701" s="447"/>
      <c r="M2701" s="596"/>
    </row>
    <row r="2702" spans="2:13">
      <c r="B2702" s="127"/>
      <c r="C2702" s="127"/>
      <c r="F2702" s="398"/>
      <c r="G2702" s="398"/>
      <c r="H2702" s="398"/>
      <c r="I2702" s="398"/>
      <c r="J2702" s="398"/>
      <c r="K2702" s="398"/>
    </row>
    <row r="2703" spans="2:13">
      <c r="B2703" s="127"/>
      <c r="C2703" s="127"/>
      <c r="D2703" s="427"/>
      <c r="E2703" s="427"/>
      <c r="F2703" s="445"/>
      <c r="G2703" s="445"/>
      <c r="H2703" s="446"/>
      <c r="I2703" s="445"/>
      <c r="J2703" s="446"/>
      <c r="K2703" s="447"/>
      <c r="M2703" s="596"/>
    </row>
    <row r="2704" spans="2:13">
      <c r="B2704" s="127"/>
      <c r="C2704" s="127"/>
      <c r="F2704" s="398"/>
      <c r="G2704" s="398"/>
      <c r="H2704" s="398"/>
      <c r="I2704" s="398"/>
      <c r="J2704" s="398"/>
      <c r="K2704" s="398"/>
    </row>
    <row r="2705" spans="2:13">
      <c r="B2705" s="127"/>
      <c r="C2705" s="127"/>
      <c r="D2705" s="427"/>
      <c r="E2705" s="427"/>
      <c r="F2705" s="445"/>
      <c r="G2705" s="445"/>
      <c r="H2705" s="446"/>
      <c r="I2705" s="445"/>
      <c r="J2705" s="446"/>
      <c r="K2705" s="447"/>
      <c r="M2705" s="596"/>
    </row>
    <row r="2706" spans="2:13">
      <c r="B2706" s="127"/>
      <c r="C2706" s="127"/>
      <c r="F2706" s="398"/>
      <c r="G2706" s="398"/>
      <c r="H2706" s="398"/>
      <c r="I2706" s="398"/>
      <c r="J2706" s="398"/>
      <c r="K2706" s="398"/>
    </row>
    <row r="2707" spans="2:13">
      <c r="B2707" s="127"/>
      <c r="C2707" s="127"/>
      <c r="D2707" s="427"/>
      <c r="E2707" s="427"/>
      <c r="F2707" s="445"/>
      <c r="G2707" s="445"/>
      <c r="H2707" s="446"/>
      <c r="I2707" s="445"/>
      <c r="J2707" s="446"/>
      <c r="K2707" s="447"/>
      <c r="M2707" s="596"/>
    </row>
    <row r="2708" spans="2:13">
      <c r="B2708" s="127"/>
      <c r="C2708" s="127"/>
    </row>
    <row r="2709" spans="2:13">
      <c r="B2709" s="127"/>
      <c r="C2709" s="127"/>
      <c r="D2709" s="427"/>
      <c r="E2709" s="427"/>
      <c r="F2709" s="427"/>
      <c r="G2709" s="427"/>
      <c r="H2709" s="427"/>
      <c r="I2709" s="427"/>
      <c r="J2709" s="427"/>
      <c r="K2709" s="427"/>
      <c r="M2709" s="427"/>
    </row>
    <row r="2710" spans="2:13">
      <c r="B2710" s="127"/>
      <c r="C2710" s="127"/>
      <c r="E2710" s="427"/>
      <c r="F2710" s="427"/>
      <c r="G2710" s="427"/>
      <c r="H2710" s="427"/>
      <c r="I2710" s="427"/>
      <c r="J2710" s="427"/>
      <c r="K2710" s="427"/>
      <c r="M2710" s="427"/>
    </row>
    <row r="2711" spans="2:13">
      <c r="B2711" s="127"/>
      <c r="C2711" s="127"/>
      <c r="E2711" s="427"/>
      <c r="F2711" s="427"/>
      <c r="G2711" s="427"/>
      <c r="H2711" s="427"/>
      <c r="I2711" s="427"/>
      <c r="J2711" s="427"/>
      <c r="K2711" s="427"/>
      <c r="M2711" s="427"/>
    </row>
    <row r="2712" spans="2:13">
      <c r="B2712" s="127"/>
      <c r="C2712" s="127"/>
      <c r="E2712" s="427"/>
      <c r="F2712" s="427"/>
      <c r="G2712" s="427"/>
      <c r="H2712" s="427"/>
      <c r="I2712" s="427"/>
      <c r="J2712" s="427"/>
      <c r="K2712" s="427"/>
      <c r="M2712" s="427"/>
    </row>
    <row r="2713" spans="2:13">
      <c r="B2713" s="127"/>
      <c r="C2713" s="127"/>
      <c r="E2713" s="427"/>
      <c r="F2713" s="427"/>
      <c r="G2713" s="427"/>
      <c r="H2713" s="427"/>
      <c r="I2713" s="427"/>
      <c r="J2713" s="427"/>
      <c r="K2713" s="427"/>
      <c r="M2713" s="427"/>
    </row>
    <row r="2714" spans="2:13">
      <c r="B2714" s="127"/>
      <c r="C2714" s="127"/>
      <c r="D2714" s="429"/>
      <c r="E2714" s="430"/>
      <c r="F2714" s="431"/>
      <c r="G2714" s="431"/>
      <c r="H2714" s="436"/>
      <c r="I2714" s="431"/>
      <c r="J2714" s="436"/>
      <c r="K2714" s="437"/>
      <c r="M2714" s="431"/>
    </row>
    <row r="2715" spans="2:13">
      <c r="B2715" s="127"/>
      <c r="C2715" s="127"/>
    </row>
    <row r="2716" spans="2:13">
      <c r="B2716" s="127"/>
      <c r="C2716" s="127"/>
      <c r="D2716" s="438"/>
      <c r="E2716" s="438"/>
      <c r="F2716" s="438"/>
      <c r="G2716" s="438"/>
      <c r="H2716" s="438"/>
      <c r="I2716" s="438"/>
      <c r="J2716" s="438"/>
      <c r="K2716" s="438"/>
      <c r="M2716" s="597"/>
    </row>
    <row r="2717" spans="2:13" ht="16.2" thickBot="1">
      <c r="B2717" s="127"/>
      <c r="C2717" s="127"/>
      <c r="D2717" s="439"/>
      <c r="E2717" s="439"/>
      <c r="F2717" s="440"/>
      <c r="G2717" s="440"/>
      <c r="H2717" s="440"/>
      <c r="I2717" s="440"/>
      <c r="J2717" s="439"/>
      <c r="K2717" s="439"/>
    </row>
    <row r="2718" spans="2:13">
      <c r="B2718" s="127"/>
      <c r="C2718" s="127"/>
      <c r="D2718" s="441"/>
      <c r="E2718" s="441"/>
      <c r="F2718" s="441"/>
      <c r="G2718" s="442"/>
      <c r="H2718" s="441"/>
      <c r="I2718" s="441"/>
      <c r="J2718" s="441"/>
      <c r="K2718" s="441"/>
      <c r="M2718" s="455"/>
    </row>
    <row r="2719" spans="2:13">
      <c r="B2719" s="127"/>
      <c r="C2719" s="127"/>
    </row>
    <row r="2720" spans="2:13">
      <c r="B2720" s="127"/>
      <c r="C2720" s="127"/>
      <c r="J2720" s="428"/>
    </row>
    <row r="2721" spans="2:13">
      <c r="B2721" s="127"/>
      <c r="C2721" s="127"/>
      <c r="F2721" s="428"/>
      <c r="G2721" s="428"/>
      <c r="H2721" s="435"/>
      <c r="I2721" s="428"/>
      <c r="J2721" s="428"/>
      <c r="K2721" s="435"/>
      <c r="M2721" s="428"/>
    </row>
    <row r="2722" spans="2:13">
      <c r="B2722" s="127"/>
      <c r="C2722" s="127"/>
    </row>
    <row r="2723" spans="2:13">
      <c r="B2723" s="127"/>
      <c r="C2723" s="127"/>
      <c r="D2723" s="429"/>
      <c r="E2723" s="430"/>
      <c r="F2723" s="432"/>
      <c r="G2723" s="432"/>
      <c r="H2723" s="443"/>
      <c r="I2723" s="432"/>
      <c r="J2723" s="443"/>
      <c r="K2723" s="444"/>
      <c r="M2723" s="431"/>
    </row>
    <row r="2724" spans="2:13">
      <c r="B2724" s="127"/>
      <c r="C2724" s="127"/>
      <c r="D2724" s="427"/>
      <c r="E2724" s="427"/>
      <c r="F2724" s="445"/>
      <c r="G2724" s="445"/>
      <c r="H2724" s="446"/>
      <c r="I2724" s="445"/>
      <c r="J2724" s="446"/>
      <c r="K2724" s="447"/>
      <c r="M2724" s="596"/>
    </row>
    <row r="2725" spans="2:13">
      <c r="B2725" s="127"/>
      <c r="C2725" s="127"/>
      <c r="F2725" s="398"/>
      <c r="G2725" s="398"/>
      <c r="H2725" s="398"/>
      <c r="I2725" s="398"/>
      <c r="J2725" s="398"/>
      <c r="K2725" s="398"/>
    </row>
    <row r="2726" spans="2:13">
      <c r="B2726" s="127"/>
      <c r="C2726" s="127"/>
      <c r="D2726" s="427"/>
      <c r="E2726" s="427"/>
      <c r="F2726" s="445"/>
      <c r="G2726" s="445"/>
      <c r="H2726" s="446"/>
      <c r="I2726" s="445"/>
      <c r="J2726" s="446"/>
      <c r="K2726" s="447"/>
      <c r="M2726" s="596"/>
    </row>
    <row r="2727" spans="2:13">
      <c r="B2727" s="127"/>
      <c r="C2727" s="127"/>
      <c r="F2727" s="398"/>
      <c r="G2727" s="398"/>
      <c r="H2727" s="398"/>
      <c r="I2727" s="398"/>
      <c r="J2727" s="398"/>
      <c r="K2727" s="398"/>
    </row>
    <row r="2728" spans="2:13">
      <c r="B2728" s="127"/>
      <c r="C2728" s="127"/>
      <c r="D2728" s="427"/>
      <c r="E2728" s="427"/>
      <c r="F2728" s="445"/>
      <c r="G2728" s="445"/>
      <c r="H2728" s="446"/>
      <c r="I2728" s="445"/>
      <c r="J2728" s="446"/>
      <c r="K2728" s="447"/>
      <c r="M2728" s="596"/>
    </row>
    <row r="2729" spans="2:13">
      <c r="B2729" s="127"/>
      <c r="C2729" s="127"/>
      <c r="F2729" s="398"/>
      <c r="G2729" s="398"/>
      <c r="H2729" s="398"/>
      <c r="I2729" s="398"/>
      <c r="J2729" s="398"/>
      <c r="K2729" s="398"/>
    </row>
    <row r="2730" spans="2:13">
      <c r="B2730" s="127"/>
      <c r="C2730" s="127"/>
      <c r="D2730" s="427"/>
      <c r="E2730" s="427"/>
      <c r="F2730" s="445"/>
      <c r="G2730" s="445"/>
      <c r="H2730" s="446"/>
      <c r="I2730" s="445"/>
      <c r="J2730" s="446"/>
      <c r="K2730" s="447"/>
      <c r="M2730" s="596"/>
    </row>
    <row r="2731" spans="2:13">
      <c r="B2731" s="127"/>
      <c r="C2731" s="127"/>
    </row>
    <row r="2732" spans="2:13">
      <c r="B2732" s="127"/>
      <c r="C2732" s="127"/>
      <c r="E2732" s="427"/>
      <c r="F2732" s="427"/>
      <c r="G2732" s="427"/>
      <c r="H2732" s="427"/>
      <c r="I2732" s="427"/>
      <c r="J2732" s="427"/>
      <c r="K2732" s="427"/>
      <c r="M2732" s="427"/>
    </row>
    <row r="2733" spans="2:13">
      <c r="B2733" s="127"/>
      <c r="C2733" s="127"/>
      <c r="E2733" s="427"/>
      <c r="F2733" s="427"/>
      <c r="G2733" s="427"/>
      <c r="H2733" s="427"/>
      <c r="I2733" s="427"/>
      <c r="J2733" s="427"/>
      <c r="K2733" s="427"/>
      <c r="M2733" s="427"/>
    </row>
    <row r="2734" spans="2:13">
      <c r="B2734" s="127"/>
      <c r="C2734" s="127"/>
      <c r="E2734" s="427"/>
      <c r="F2734" s="427"/>
      <c r="G2734" s="427"/>
      <c r="H2734" s="427"/>
      <c r="I2734" s="427"/>
      <c r="J2734" s="427"/>
      <c r="K2734" s="427"/>
      <c r="M2734" s="427"/>
    </row>
    <row r="2735" spans="2:13">
      <c r="B2735" s="127"/>
      <c r="C2735" s="127"/>
      <c r="E2735" s="427"/>
      <c r="F2735" s="427"/>
      <c r="G2735" s="427"/>
      <c r="H2735" s="427"/>
      <c r="I2735" s="427"/>
      <c r="J2735" s="427"/>
      <c r="K2735" s="427"/>
      <c r="M2735" s="427"/>
    </row>
    <row r="2736" spans="2:13">
      <c r="B2736" s="127"/>
      <c r="C2736" s="127"/>
      <c r="D2736" s="429"/>
      <c r="E2736" s="430"/>
      <c r="F2736" s="432"/>
      <c r="G2736" s="432"/>
      <c r="H2736" s="443"/>
      <c r="I2736" s="432"/>
      <c r="J2736" s="443"/>
      <c r="K2736" s="444"/>
      <c r="M2736" s="431"/>
    </row>
    <row r="2737" spans="2:13">
      <c r="B2737" s="127"/>
      <c r="C2737" s="127"/>
      <c r="D2737" s="427"/>
      <c r="E2737" s="427"/>
      <c r="F2737" s="445"/>
      <c r="G2737" s="445"/>
      <c r="H2737" s="446"/>
      <c r="I2737" s="445"/>
      <c r="J2737" s="446"/>
      <c r="K2737" s="447"/>
      <c r="M2737" s="596"/>
    </row>
    <row r="2738" spans="2:13">
      <c r="B2738" s="127"/>
      <c r="C2738" s="127"/>
      <c r="F2738" s="398"/>
      <c r="G2738" s="398"/>
      <c r="H2738" s="398"/>
      <c r="I2738" s="398"/>
      <c r="J2738" s="398"/>
      <c r="K2738" s="398"/>
    </row>
    <row r="2739" spans="2:13">
      <c r="B2739" s="127"/>
      <c r="C2739" s="127"/>
      <c r="D2739" s="427"/>
      <c r="E2739" s="427"/>
      <c r="F2739" s="445"/>
      <c r="G2739" s="445"/>
      <c r="H2739" s="446"/>
      <c r="I2739" s="445"/>
      <c r="J2739" s="446"/>
      <c r="K2739" s="447"/>
      <c r="M2739" s="596"/>
    </row>
    <row r="2740" spans="2:13">
      <c r="B2740" s="127"/>
      <c r="C2740" s="127"/>
      <c r="F2740" s="398"/>
      <c r="G2740" s="398"/>
      <c r="H2740" s="398"/>
      <c r="I2740" s="398"/>
      <c r="J2740" s="398"/>
      <c r="K2740" s="398"/>
    </row>
    <row r="2741" spans="2:13">
      <c r="B2741" s="127"/>
      <c r="C2741" s="127"/>
      <c r="D2741" s="427"/>
      <c r="E2741" s="427"/>
      <c r="F2741" s="445"/>
      <c r="G2741" s="445"/>
      <c r="H2741" s="446"/>
      <c r="I2741" s="445"/>
      <c r="J2741" s="446"/>
      <c r="K2741" s="447"/>
      <c r="M2741" s="596"/>
    </row>
    <row r="2742" spans="2:13">
      <c r="B2742" s="127"/>
      <c r="C2742" s="127"/>
      <c r="F2742" s="398"/>
      <c r="G2742" s="398"/>
      <c r="H2742" s="398"/>
      <c r="I2742" s="398"/>
      <c r="J2742" s="398"/>
      <c r="K2742" s="398"/>
    </row>
    <row r="2743" spans="2:13">
      <c r="B2743" s="127"/>
      <c r="C2743" s="127"/>
      <c r="D2743" s="427"/>
      <c r="E2743" s="427"/>
      <c r="F2743" s="445"/>
      <c r="G2743" s="445"/>
      <c r="H2743" s="446"/>
      <c r="I2743" s="445"/>
      <c r="J2743" s="446"/>
      <c r="K2743" s="447"/>
      <c r="M2743" s="596"/>
    </row>
    <row r="2744" spans="2:13">
      <c r="B2744" s="127"/>
      <c r="C2744" s="127"/>
      <c r="F2744" s="398"/>
      <c r="G2744" s="398"/>
      <c r="H2744" s="398"/>
      <c r="I2744" s="398"/>
      <c r="J2744" s="398"/>
      <c r="K2744" s="398"/>
    </row>
    <row r="2745" spans="2:13">
      <c r="B2745" s="127"/>
      <c r="C2745" s="127"/>
      <c r="D2745" s="427"/>
      <c r="E2745" s="427"/>
      <c r="F2745" s="445"/>
      <c r="G2745" s="445"/>
      <c r="H2745" s="446"/>
      <c r="I2745" s="445"/>
      <c r="J2745" s="446"/>
      <c r="K2745" s="447"/>
      <c r="M2745" s="596"/>
    </row>
    <row r="2746" spans="2:13">
      <c r="B2746" s="127"/>
      <c r="C2746" s="127"/>
    </row>
    <row r="2747" spans="2:13">
      <c r="B2747" s="127"/>
      <c r="C2747" s="127"/>
      <c r="D2747" s="427"/>
      <c r="E2747" s="427"/>
      <c r="F2747" s="427"/>
      <c r="G2747" s="427"/>
      <c r="H2747" s="427"/>
      <c r="I2747" s="427"/>
      <c r="J2747" s="427"/>
      <c r="K2747" s="427"/>
      <c r="M2747" s="427"/>
    </row>
    <row r="2748" spans="2:13">
      <c r="B2748" s="127"/>
      <c r="C2748" s="127"/>
      <c r="E2748" s="427"/>
      <c r="F2748" s="427"/>
      <c r="G2748" s="427"/>
      <c r="H2748" s="427"/>
      <c r="I2748" s="427"/>
      <c r="J2748" s="427"/>
      <c r="K2748" s="427"/>
      <c r="M2748" s="427"/>
    </row>
    <row r="2749" spans="2:13">
      <c r="B2749" s="127"/>
      <c r="C2749" s="127"/>
      <c r="E2749" s="427"/>
      <c r="F2749" s="427"/>
      <c r="G2749" s="427"/>
      <c r="H2749" s="427"/>
      <c r="I2749" s="427"/>
      <c r="J2749" s="427"/>
      <c r="K2749" s="427"/>
      <c r="M2749" s="427"/>
    </row>
    <row r="2750" spans="2:13">
      <c r="B2750" s="127"/>
      <c r="C2750" s="127"/>
      <c r="E2750" s="427"/>
      <c r="F2750" s="427"/>
      <c r="G2750" s="427"/>
      <c r="H2750" s="427"/>
      <c r="I2750" s="427"/>
      <c r="J2750" s="427"/>
      <c r="K2750" s="427"/>
      <c r="M2750" s="427"/>
    </row>
    <row r="2751" spans="2:13">
      <c r="B2751" s="127"/>
      <c r="C2751" s="127"/>
      <c r="E2751" s="427"/>
      <c r="F2751" s="427"/>
      <c r="G2751" s="427"/>
      <c r="H2751" s="427"/>
      <c r="I2751" s="427"/>
      <c r="J2751" s="427"/>
      <c r="K2751" s="427"/>
      <c r="M2751" s="427"/>
    </row>
    <row r="2752" spans="2:13">
      <c r="B2752" s="127"/>
      <c r="C2752" s="127"/>
      <c r="D2752" s="429"/>
      <c r="E2752" s="430"/>
      <c r="F2752" s="431"/>
      <c r="G2752" s="431"/>
      <c r="H2752" s="436"/>
      <c r="I2752" s="431"/>
      <c r="J2752" s="436"/>
      <c r="K2752" s="437"/>
      <c r="M2752" s="431"/>
    </row>
    <row r="2753" spans="2:13">
      <c r="B2753" s="127"/>
      <c r="C2753" s="127"/>
      <c r="D2753" s="429"/>
      <c r="E2753" s="430"/>
      <c r="F2753" s="432"/>
      <c r="G2753" s="432"/>
      <c r="H2753" s="443"/>
      <c r="I2753" s="432"/>
      <c r="J2753" s="443"/>
      <c r="K2753" s="444"/>
      <c r="M2753" s="431"/>
    </row>
    <row r="2754" spans="2:13">
      <c r="B2754" s="127"/>
      <c r="C2754" s="127"/>
      <c r="D2754" s="427"/>
      <c r="E2754" s="427"/>
      <c r="F2754" s="445"/>
      <c r="G2754" s="445"/>
      <c r="H2754" s="446"/>
      <c r="I2754" s="445"/>
      <c r="J2754" s="446"/>
      <c r="K2754" s="447"/>
      <c r="M2754" s="596"/>
    </row>
    <row r="2755" spans="2:13">
      <c r="B2755" s="127"/>
      <c r="C2755" s="127"/>
      <c r="F2755" s="398"/>
      <c r="G2755" s="398"/>
      <c r="H2755" s="398"/>
      <c r="I2755" s="398"/>
      <c r="J2755" s="398"/>
      <c r="K2755" s="398"/>
    </row>
    <row r="2756" spans="2:13">
      <c r="B2756" s="127"/>
      <c r="C2756" s="127"/>
      <c r="D2756" s="427"/>
      <c r="E2756" s="427"/>
      <c r="F2756" s="445"/>
      <c r="G2756" s="445"/>
      <c r="H2756" s="446"/>
      <c r="I2756" s="445"/>
      <c r="J2756" s="446"/>
      <c r="K2756" s="447"/>
      <c r="M2756" s="596"/>
    </row>
    <row r="2757" spans="2:13">
      <c r="B2757" s="127"/>
      <c r="C2757" s="127"/>
      <c r="F2757" s="398"/>
      <c r="G2757" s="398"/>
      <c r="H2757" s="398"/>
      <c r="I2757" s="398"/>
      <c r="J2757" s="398"/>
      <c r="K2757" s="398"/>
    </row>
    <row r="2758" spans="2:13">
      <c r="B2758" s="127"/>
      <c r="C2758" s="127"/>
      <c r="D2758" s="427"/>
      <c r="E2758" s="427"/>
      <c r="F2758" s="445"/>
      <c r="G2758" s="445"/>
      <c r="H2758" s="446"/>
      <c r="I2758" s="445"/>
      <c r="J2758" s="446"/>
      <c r="K2758" s="447"/>
      <c r="M2758" s="596"/>
    </row>
    <row r="2759" spans="2:13">
      <c r="B2759" s="127"/>
      <c r="C2759" s="127"/>
      <c r="F2759" s="398"/>
      <c r="G2759" s="398"/>
      <c r="H2759" s="398"/>
      <c r="I2759" s="398"/>
      <c r="J2759" s="398"/>
      <c r="K2759" s="398"/>
    </row>
    <row r="2760" spans="2:13">
      <c r="B2760" s="127"/>
      <c r="C2760" s="127"/>
      <c r="D2760" s="427"/>
      <c r="E2760" s="427"/>
      <c r="F2760" s="445"/>
      <c r="G2760" s="445"/>
      <c r="H2760" s="446"/>
      <c r="I2760" s="445"/>
      <c r="J2760" s="446"/>
      <c r="K2760" s="447"/>
      <c r="M2760" s="596"/>
    </row>
    <row r="2761" spans="2:13">
      <c r="B2761" s="127"/>
      <c r="C2761" s="127"/>
    </row>
    <row r="2762" spans="2:13">
      <c r="B2762" s="127"/>
      <c r="C2762" s="127"/>
      <c r="E2762" s="427"/>
      <c r="F2762" s="427"/>
      <c r="G2762" s="427"/>
      <c r="H2762" s="427"/>
      <c r="I2762" s="427"/>
      <c r="J2762" s="427"/>
      <c r="K2762" s="427"/>
      <c r="M2762" s="427"/>
    </row>
    <row r="2763" spans="2:13">
      <c r="B2763" s="127"/>
      <c r="C2763" s="127"/>
      <c r="E2763" s="427"/>
      <c r="F2763" s="427"/>
      <c r="G2763" s="427"/>
      <c r="H2763" s="427"/>
      <c r="I2763" s="427"/>
      <c r="J2763" s="427"/>
      <c r="K2763" s="427"/>
      <c r="M2763" s="427"/>
    </row>
    <row r="2764" spans="2:13">
      <c r="B2764" s="127"/>
      <c r="C2764" s="127"/>
      <c r="E2764" s="427"/>
      <c r="F2764" s="427"/>
      <c r="G2764" s="427"/>
      <c r="H2764" s="427"/>
      <c r="I2764" s="427"/>
      <c r="J2764" s="427"/>
      <c r="K2764" s="427"/>
      <c r="M2764" s="427"/>
    </row>
    <row r="2765" spans="2:13">
      <c r="B2765" s="127"/>
      <c r="C2765" s="127"/>
      <c r="E2765" s="427"/>
      <c r="F2765" s="427"/>
      <c r="G2765" s="427"/>
      <c r="H2765" s="427"/>
      <c r="I2765" s="427"/>
      <c r="J2765" s="427"/>
      <c r="K2765" s="427"/>
      <c r="M2765" s="427"/>
    </row>
    <row r="2766" spans="2:13">
      <c r="B2766" s="127"/>
      <c r="C2766" s="127"/>
      <c r="D2766" s="429"/>
      <c r="E2766" s="430"/>
      <c r="F2766" s="432"/>
      <c r="G2766" s="432"/>
      <c r="H2766" s="443"/>
      <c r="I2766" s="432"/>
      <c r="J2766" s="443"/>
      <c r="K2766" s="444"/>
      <c r="M2766" s="431"/>
    </row>
    <row r="2767" spans="2:13">
      <c r="B2767" s="127"/>
      <c r="C2767" s="127"/>
      <c r="D2767" s="427"/>
      <c r="E2767" s="427"/>
      <c r="F2767" s="445"/>
      <c r="G2767" s="445"/>
      <c r="H2767" s="446"/>
      <c r="I2767" s="445"/>
      <c r="J2767" s="446"/>
      <c r="K2767" s="447"/>
      <c r="M2767" s="596"/>
    </row>
    <row r="2768" spans="2:13">
      <c r="B2768" s="127"/>
      <c r="C2768" s="127"/>
      <c r="F2768" s="398"/>
      <c r="G2768" s="398"/>
      <c r="H2768" s="398"/>
      <c r="I2768" s="398"/>
      <c r="J2768" s="398"/>
      <c r="K2768" s="398"/>
    </row>
    <row r="2769" spans="2:13">
      <c r="B2769" s="127"/>
      <c r="C2769" s="127"/>
      <c r="D2769" s="427"/>
      <c r="E2769" s="427"/>
      <c r="F2769" s="445"/>
      <c r="G2769" s="445"/>
      <c r="H2769" s="446"/>
      <c r="I2769" s="445"/>
      <c r="J2769" s="446"/>
      <c r="K2769" s="447"/>
      <c r="M2769" s="596"/>
    </row>
    <row r="2770" spans="2:13">
      <c r="B2770" s="127"/>
      <c r="C2770" s="127"/>
      <c r="F2770" s="398"/>
      <c r="G2770" s="398"/>
      <c r="H2770" s="398"/>
      <c r="I2770" s="398"/>
      <c r="J2770" s="398"/>
      <c r="K2770" s="398"/>
    </row>
    <row r="2771" spans="2:13">
      <c r="B2771" s="127"/>
      <c r="C2771" s="127"/>
      <c r="D2771" s="427"/>
      <c r="E2771" s="427"/>
      <c r="F2771" s="445"/>
      <c r="G2771" s="445"/>
      <c r="H2771" s="446"/>
      <c r="I2771" s="445"/>
      <c r="J2771" s="446"/>
      <c r="K2771" s="447"/>
      <c r="M2771" s="596"/>
    </row>
    <row r="2772" spans="2:13">
      <c r="B2772" s="127"/>
      <c r="C2772" s="127"/>
      <c r="F2772" s="398"/>
      <c r="G2772" s="398"/>
      <c r="H2772" s="398"/>
      <c r="I2772" s="398"/>
      <c r="J2772" s="398"/>
      <c r="K2772" s="398"/>
    </row>
    <row r="2773" spans="2:13">
      <c r="B2773" s="127"/>
      <c r="C2773" s="127"/>
      <c r="D2773" s="427"/>
      <c r="E2773" s="427"/>
      <c r="F2773" s="445"/>
      <c r="G2773" s="445"/>
      <c r="H2773" s="446"/>
      <c r="I2773" s="445"/>
      <c r="J2773" s="446"/>
      <c r="K2773" s="447"/>
      <c r="M2773" s="596"/>
    </row>
    <row r="2774" spans="2:13">
      <c r="B2774" s="127"/>
      <c r="C2774" s="127"/>
      <c r="F2774" s="398"/>
      <c r="G2774" s="398"/>
      <c r="H2774" s="398"/>
      <c r="I2774" s="398"/>
      <c r="J2774" s="398"/>
      <c r="K2774" s="398"/>
    </row>
    <row r="2775" spans="2:13">
      <c r="B2775" s="127"/>
      <c r="C2775" s="127"/>
      <c r="D2775" s="427"/>
      <c r="E2775" s="427"/>
      <c r="F2775" s="445"/>
      <c r="G2775" s="445"/>
      <c r="H2775" s="446"/>
      <c r="I2775" s="445"/>
      <c r="J2775" s="446"/>
      <c r="K2775" s="447"/>
      <c r="M2775" s="596"/>
    </row>
    <row r="2776" spans="2:13">
      <c r="B2776" s="127"/>
      <c r="C2776" s="127"/>
    </row>
    <row r="2777" spans="2:13">
      <c r="B2777" s="127"/>
      <c r="C2777" s="127"/>
      <c r="D2777" s="427"/>
      <c r="E2777" s="427"/>
      <c r="F2777" s="427"/>
      <c r="G2777" s="427"/>
      <c r="H2777" s="427"/>
      <c r="I2777" s="427"/>
      <c r="J2777" s="427"/>
      <c r="K2777" s="427"/>
      <c r="M2777" s="427"/>
    </row>
    <row r="2778" spans="2:13">
      <c r="B2778" s="127"/>
      <c r="C2778" s="127"/>
      <c r="E2778" s="427"/>
      <c r="F2778" s="427"/>
      <c r="G2778" s="427"/>
      <c r="H2778" s="427"/>
      <c r="I2778" s="427"/>
      <c r="J2778" s="427"/>
      <c r="K2778" s="427"/>
      <c r="M2778" s="427"/>
    </row>
    <row r="2779" spans="2:13">
      <c r="B2779" s="127"/>
      <c r="C2779" s="127"/>
      <c r="E2779" s="427"/>
      <c r="F2779" s="427"/>
      <c r="G2779" s="427"/>
      <c r="H2779" s="427"/>
      <c r="I2779" s="427"/>
      <c r="J2779" s="427"/>
      <c r="K2779" s="427"/>
      <c r="M2779" s="427"/>
    </row>
    <row r="2780" spans="2:13">
      <c r="B2780" s="127"/>
      <c r="C2780" s="127"/>
      <c r="E2780" s="427"/>
      <c r="F2780" s="427"/>
      <c r="G2780" s="427"/>
      <c r="H2780" s="427"/>
      <c r="I2780" s="427"/>
      <c r="J2780" s="427"/>
      <c r="K2780" s="427"/>
      <c r="M2780" s="427"/>
    </row>
    <row r="2781" spans="2:13">
      <c r="B2781" s="127"/>
      <c r="C2781" s="127"/>
      <c r="E2781" s="427"/>
      <c r="F2781" s="427"/>
      <c r="G2781" s="427"/>
      <c r="H2781" s="427"/>
      <c r="I2781" s="427"/>
      <c r="J2781" s="427"/>
      <c r="K2781" s="427"/>
      <c r="M2781" s="427"/>
    </row>
    <row r="2782" spans="2:13">
      <c r="B2782" s="127"/>
      <c r="C2782" s="127"/>
      <c r="D2782" s="429"/>
      <c r="E2782" s="430"/>
      <c r="F2782" s="431"/>
      <c r="G2782" s="431"/>
      <c r="H2782" s="436"/>
      <c r="I2782" s="431"/>
      <c r="J2782" s="436"/>
      <c r="K2782" s="437"/>
      <c r="M2782" s="431"/>
    </row>
    <row r="2783" spans="2:13">
      <c r="B2783" s="127"/>
      <c r="C2783" s="127"/>
      <c r="D2783" s="429"/>
      <c r="E2783" s="430"/>
      <c r="F2783" s="431"/>
      <c r="G2783" s="431"/>
      <c r="H2783" s="436"/>
      <c r="I2783" s="431"/>
      <c r="J2783" s="436"/>
      <c r="K2783" s="437"/>
      <c r="M2783" s="431"/>
    </row>
    <row r="2784" spans="2:13">
      <c r="B2784" s="127"/>
      <c r="C2784" s="127"/>
      <c r="D2784" s="429"/>
      <c r="E2784" s="430"/>
      <c r="F2784" s="431"/>
      <c r="G2784" s="431"/>
      <c r="H2784" s="436"/>
      <c r="I2784" s="431"/>
      <c r="J2784" s="436"/>
      <c r="K2784" s="437"/>
      <c r="M2784" s="431"/>
    </row>
    <row r="2785" spans="2:13">
      <c r="B2785" s="127"/>
      <c r="C2785" s="127"/>
      <c r="D2785" s="429"/>
      <c r="E2785" s="430"/>
      <c r="F2785" s="431"/>
      <c r="G2785" s="431"/>
      <c r="H2785" s="436"/>
      <c r="I2785" s="431"/>
      <c r="J2785" s="436"/>
      <c r="K2785" s="437"/>
      <c r="M2785" s="431"/>
    </row>
    <row r="2786" spans="2:13">
      <c r="B2786" s="127"/>
      <c r="C2786" s="127"/>
      <c r="D2786" s="429"/>
      <c r="E2786" s="430"/>
      <c r="F2786" s="431"/>
      <c r="G2786" s="431"/>
      <c r="H2786" s="436"/>
      <c r="I2786" s="431"/>
      <c r="J2786" s="436"/>
      <c r="K2786" s="437"/>
      <c r="M2786" s="431"/>
    </row>
    <row r="2787" spans="2:13">
      <c r="B2787" s="127"/>
      <c r="C2787" s="127"/>
      <c r="D2787" s="429"/>
      <c r="E2787" s="430"/>
      <c r="F2787" s="431"/>
      <c r="G2787" s="431"/>
      <c r="H2787" s="436"/>
      <c r="I2787" s="431"/>
      <c r="J2787" s="436"/>
      <c r="K2787" s="437"/>
      <c r="M2787" s="431"/>
    </row>
    <row r="2788" spans="2:13">
      <c r="B2788" s="127"/>
      <c r="C2788" s="127"/>
      <c r="D2788" s="429"/>
      <c r="E2788" s="430"/>
      <c r="F2788" s="431"/>
      <c r="G2788" s="431"/>
      <c r="H2788" s="436"/>
      <c r="I2788" s="431"/>
      <c r="J2788" s="436"/>
      <c r="K2788" s="437"/>
      <c r="M2788" s="431"/>
    </row>
    <row r="2789" spans="2:13">
      <c r="B2789" s="127"/>
      <c r="C2789" s="127"/>
      <c r="D2789" s="429"/>
      <c r="E2789" s="430"/>
      <c r="F2789" s="431"/>
      <c r="G2789" s="431"/>
      <c r="H2789" s="436"/>
      <c r="I2789" s="431"/>
      <c r="J2789" s="436"/>
      <c r="K2789" s="437"/>
      <c r="M2789" s="431"/>
    </row>
    <row r="2790" spans="2:13">
      <c r="B2790" s="127"/>
      <c r="C2790" s="127"/>
      <c r="D2790" s="429"/>
      <c r="E2790" s="430"/>
      <c r="F2790" s="431"/>
      <c r="G2790" s="431"/>
      <c r="H2790" s="436"/>
      <c r="I2790" s="431"/>
      <c r="J2790" s="436"/>
      <c r="K2790" s="437"/>
      <c r="M2790" s="431"/>
    </row>
    <row r="2791" spans="2:13">
      <c r="B2791" s="127"/>
      <c r="C2791" s="127"/>
    </row>
    <row r="2792" spans="2:13">
      <c r="B2792" s="127"/>
      <c r="C2792" s="127"/>
      <c r="D2792" s="438"/>
      <c r="E2792" s="438"/>
      <c r="F2792" s="438"/>
      <c r="G2792" s="438"/>
      <c r="H2792" s="438"/>
      <c r="I2792" s="438"/>
      <c r="J2792" s="438"/>
      <c r="K2792" s="438"/>
      <c r="M2792" s="597"/>
    </row>
    <row r="2793" spans="2:13" ht="16.2" thickBot="1">
      <c r="B2793" s="127"/>
      <c r="C2793" s="127"/>
      <c r="D2793" s="439"/>
      <c r="E2793" s="439"/>
      <c r="F2793" s="440"/>
      <c r="G2793" s="440"/>
      <c r="H2793" s="440"/>
      <c r="I2793" s="440"/>
      <c r="J2793" s="439"/>
      <c r="K2793" s="439"/>
    </row>
    <row r="2794" spans="2:13">
      <c r="B2794" s="127"/>
      <c r="C2794" s="127"/>
      <c r="D2794" s="441"/>
      <c r="E2794" s="441"/>
      <c r="F2794" s="441"/>
      <c r="G2794" s="442"/>
      <c r="H2794" s="441"/>
      <c r="I2794" s="441"/>
      <c r="J2794" s="441"/>
      <c r="K2794" s="441"/>
      <c r="M2794" s="455"/>
    </row>
    <row r="2795" spans="2:13">
      <c r="B2795" s="127"/>
      <c r="C2795" s="127"/>
    </row>
    <row r="2796" spans="2:13">
      <c r="B2796" s="127"/>
      <c r="C2796" s="127"/>
      <c r="J2796" s="428"/>
    </row>
    <row r="2797" spans="2:13">
      <c r="B2797" s="127"/>
      <c r="C2797" s="127"/>
      <c r="F2797" s="428"/>
      <c r="G2797" s="428"/>
      <c r="H2797" s="435"/>
      <c r="I2797" s="428"/>
      <c r="J2797" s="428"/>
      <c r="K2797" s="435"/>
      <c r="M2797" s="428"/>
    </row>
    <row r="2798" spans="2:13">
      <c r="B2798" s="127"/>
      <c r="C2798" s="127"/>
    </row>
    <row r="2799" spans="2:13">
      <c r="B2799" s="127"/>
      <c r="C2799" s="127"/>
      <c r="D2799" s="429"/>
      <c r="E2799" s="430"/>
      <c r="F2799" s="432"/>
      <c r="G2799" s="432"/>
      <c r="H2799" s="443"/>
      <c r="I2799" s="432"/>
      <c r="J2799" s="443"/>
      <c r="K2799" s="444"/>
      <c r="M2799" s="431"/>
    </row>
    <row r="2800" spans="2:13">
      <c r="B2800" s="127"/>
      <c r="C2800" s="127"/>
      <c r="D2800" s="427"/>
      <c r="E2800" s="427"/>
      <c r="F2800" s="445"/>
      <c r="G2800" s="445"/>
      <c r="H2800" s="446"/>
      <c r="I2800" s="445"/>
      <c r="J2800" s="446"/>
      <c r="K2800" s="447"/>
      <c r="M2800" s="596"/>
    </row>
    <row r="2801" spans="2:13">
      <c r="B2801" s="127"/>
      <c r="C2801" s="127"/>
      <c r="F2801" s="398"/>
      <c r="G2801" s="398"/>
      <c r="H2801" s="398"/>
      <c r="I2801" s="398"/>
      <c r="J2801" s="398"/>
      <c r="K2801" s="398"/>
    </row>
    <row r="2802" spans="2:13">
      <c r="B2802" s="127"/>
      <c r="C2802" s="127"/>
      <c r="D2802" s="427"/>
      <c r="E2802" s="427"/>
      <c r="F2802" s="445"/>
      <c r="G2802" s="445"/>
      <c r="H2802" s="446"/>
      <c r="I2802" s="445"/>
      <c r="J2802" s="446"/>
      <c r="K2802" s="447"/>
      <c r="M2802" s="596"/>
    </row>
    <row r="2803" spans="2:13">
      <c r="B2803" s="127"/>
      <c r="C2803" s="127"/>
      <c r="F2803" s="398"/>
      <c r="G2803" s="398"/>
      <c r="H2803" s="398"/>
      <c r="I2803" s="398"/>
      <c r="J2803" s="398"/>
      <c r="K2803" s="398"/>
    </row>
    <row r="2804" spans="2:13">
      <c r="B2804" s="127"/>
      <c r="C2804" s="127"/>
      <c r="D2804" s="427"/>
      <c r="E2804" s="427"/>
      <c r="F2804" s="445"/>
      <c r="G2804" s="445"/>
      <c r="H2804" s="446"/>
      <c r="I2804" s="445"/>
      <c r="J2804" s="446"/>
      <c r="K2804" s="447"/>
      <c r="M2804" s="596"/>
    </row>
    <row r="2805" spans="2:13">
      <c r="B2805" s="127"/>
      <c r="C2805" s="127"/>
      <c r="F2805" s="398"/>
      <c r="G2805" s="398"/>
      <c r="H2805" s="398"/>
      <c r="I2805" s="398"/>
      <c r="J2805" s="398"/>
      <c r="K2805" s="398"/>
    </row>
    <row r="2806" spans="2:13">
      <c r="B2806" s="127"/>
      <c r="C2806" s="127"/>
      <c r="D2806" s="427"/>
      <c r="E2806" s="427"/>
      <c r="F2806" s="445"/>
      <c r="G2806" s="445"/>
      <c r="H2806" s="446"/>
      <c r="I2806" s="445"/>
      <c r="J2806" s="446"/>
      <c r="K2806" s="447"/>
      <c r="M2806" s="596"/>
    </row>
    <row r="2807" spans="2:13">
      <c r="B2807" s="127"/>
      <c r="C2807" s="127"/>
    </row>
    <row r="2808" spans="2:13">
      <c r="B2808" s="127"/>
      <c r="C2808" s="127"/>
      <c r="E2808" s="427"/>
      <c r="F2808" s="427"/>
      <c r="G2808" s="427"/>
      <c r="H2808" s="427"/>
      <c r="I2808" s="427"/>
      <c r="J2808" s="427"/>
      <c r="K2808" s="427"/>
      <c r="M2808" s="427"/>
    </row>
    <row r="2809" spans="2:13">
      <c r="B2809" s="127"/>
      <c r="C2809" s="127"/>
      <c r="E2809" s="427"/>
      <c r="F2809" s="427"/>
      <c r="G2809" s="427"/>
      <c r="H2809" s="427"/>
      <c r="I2809" s="427"/>
      <c r="J2809" s="427"/>
      <c r="K2809" s="427"/>
      <c r="M2809" s="427"/>
    </row>
    <row r="2810" spans="2:13">
      <c r="B2810" s="127"/>
      <c r="C2810" s="127"/>
      <c r="E2810" s="427"/>
      <c r="F2810" s="427"/>
      <c r="G2810" s="427"/>
      <c r="H2810" s="427"/>
      <c r="I2810" s="427"/>
      <c r="J2810" s="427"/>
      <c r="K2810" s="427"/>
      <c r="M2810" s="427"/>
    </row>
    <row r="2811" spans="2:13">
      <c r="B2811" s="127"/>
      <c r="C2811" s="127"/>
      <c r="E2811" s="427"/>
      <c r="F2811" s="427"/>
      <c r="G2811" s="427"/>
      <c r="H2811" s="427"/>
      <c r="I2811" s="427"/>
      <c r="J2811" s="427"/>
      <c r="K2811" s="427"/>
      <c r="M2811" s="427"/>
    </row>
    <row r="2812" spans="2:13">
      <c r="B2812" s="127"/>
      <c r="C2812" s="127"/>
      <c r="D2812" s="429"/>
      <c r="E2812" s="430"/>
      <c r="F2812" s="431"/>
      <c r="G2812" s="431"/>
      <c r="H2812" s="436"/>
      <c r="I2812" s="431"/>
      <c r="J2812" s="436"/>
      <c r="K2812" s="437"/>
      <c r="M2812" s="431"/>
    </row>
    <row r="2813" spans="2:13">
      <c r="B2813" s="127"/>
      <c r="C2813" s="127"/>
      <c r="D2813" s="429"/>
      <c r="E2813" s="430"/>
      <c r="F2813" s="431"/>
      <c r="G2813" s="431"/>
      <c r="H2813" s="436"/>
      <c r="I2813" s="431"/>
      <c r="J2813" s="436"/>
      <c r="K2813" s="437"/>
      <c r="M2813" s="431"/>
    </row>
    <row r="2814" spans="2:13">
      <c r="B2814" s="127"/>
      <c r="C2814" s="127"/>
      <c r="D2814" s="429"/>
      <c r="E2814" s="430"/>
      <c r="F2814" s="432"/>
      <c r="G2814" s="432"/>
      <c r="H2814" s="443"/>
      <c r="I2814" s="432"/>
      <c r="J2814" s="443"/>
      <c r="K2814" s="444"/>
      <c r="M2814" s="431"/>
    </row>
    <row r="2815" spans="2:13">
      <c r="B2815" s="127"/>
      <c r="C2815" s="127"/>
      <c r="D2815" s="427"/>
      <c r="E2815" s="427"/>
      <c r="F2815" s="445"/>
      <c r="G2815" s="445"/>
      <c r="H2815" s="446"/>
      <c r="I2815" s="445"/>
      <c r="J2815" s="446"/>
      <c r="K2815" s="447"/>
      <c r="M2815" s="596"/>
    </row>
    <row r="2816" spans="2:13">
      <c r="B2816" s="127"/>
      <c r="C2816" s="127"/>
      <c r="F2816" s="398"/>
      <c r="G2816" s="398"/>
      <c r="H2816" s="398"/>
      <c r="I2816" s="398"/>
      <c r="J2816" s="398"/>
      <c r="K2816" s="398"/>
    </row>
    <row r="2817" spans="2:13">
      <c r="B2817" s="127"/>
      <c r="C2817" s="127"/>
      <c r="D2817" s="427"/>
      <c r="E2817" s="427"/>
      <c r="F2817" s="445"/>
      <c r="G2817" s="445"/>
      <c r="H2817" s="446"/>
      <c r="I2817" s="445"/>
      <c r="J2817" s="446"/>
      <c r="K2817" s="447"/>
      <c r="M2817" s="596"/>
    </row>
    <row r="2818" spans="2:13">
      <c r="B2818" s="127"/>
      <c r="C2818" s="127"/>
      <c r="F2818" s="398"/>
      <c r="G2818" s="398"/>
      <c r="H2818" s="398"/>
      <c r="I2818" s="398"/>
      <c r="J2818" s="398"/>
      <c r="K2818" s="398"/>
    </row>
    <row r="2819" spans="2:13">
      <c r="B2819" s="127"/>
      <c r="C2819" s="127"/>
      <c r="D2819" s="427"/>
      <c r="E2819" s="427"/>
      <c r="F2819" s="445"/>
      <c r="G2819" s="445"/>
      <c r="H2819" s="446"/>
      <c r="I2819" s="445"/>
      <c r="J2819" s="446"/>
      <c r="K2819" s="447"/>
      <c r="M2819" s="596"/>
    </row>
    <row r="2820" spans="2:13">
      <c r="B2820" s="127"/>
      <c r="C2820" s="127"/>
      <c r="F2820" s="398"/>
      <c r="G2820" s="398"/>
      <c r="H2820" s="398"/>
      <c r="I2820" s="398"/>
      <c r="J2820" s="398"/>
      <c r="K2820" s="398"/>
    </row>
    <row r="2821" spans="2:13">
      <c r="B2821" s="127"/>
      <c r="C2821" s="127"/>
      <c r="D2821" s="427"/>
      <c r="E2821" s="427"/>
      <c r="F2821" s="445"/>
      <c r="G2821" s="445"/>
      <c r="H2821" s="446"/>
      <c r="I2821" s="445"/>
      <c r="J2821" s="446"/>
      <c r="K2821" s="447"/>
      <c r="M2821" s="596"/>
    </row>
    <row r="2822" spans="2:13">
      <c r="B2822" s="127"/>
      <c r="C2822" s="127"/>
      <c r="F2822" s="398"/>
      <c r="G2822" s="398"/>
      <c r="H2822" s="398"/>
      <c r="I2822" s="398"/>
      <c r="J2822" s="398"/>
      <c r="K2822" s="398"/>
    </row>
    <row r="2823" spans="2:13">
      <c r="B2823" s="127"/>
      <c r="C2823" s="127"/>
      <c r="D2823" s="427"/>
      <c r="E2823" s="427"/>
      <c r="F2823" s="445"/>
      <c r="G2823" s="445"/>
      <c r="H2823" s="446"/>
      <c r="I2823" s="445"/>
      <c r="J2823" s="446"/>
      <c r="K2823" s="447"/>
      <c r="M2823" s="596"/>
    </row>
    <row r="2824" spans="2:13">
      <c r="B2824" s="127"/>
      <c r="C2824" s="127"/>
    </row>
    <row r="2825" spans="2:13">
      <c r="B2825" s="127"/>
      <c r="C2825" s="127"/>
      <c r="D2825" s="427"/>
      <c r="E2825" s="427"/>
      <c r="F2825" s="427"/>
      <c r="G2825" s="427"/>
      <c r="H2825" s="427"/>
      <c r="I2825" s="427"/>
      <c r="J2825" s="427"/>
      <c r="K2825" s="427"/>
      <c r="M2825" s="427"/>
    </row>
    <row r="2826" spans="2:13">
      <c r="B2826" s="127"/>
      <c r="C2826" s="127"/>
      <c r="E2826" s="427"/>
      <c r="F2826" s="427"/>
      <c r="G2826" s="427"/>
      <c r="H2826" s="427"/>
      <c r="I2826" s="427"/>
      <c r="J2826" s="427"/>
      <c r="K2826" s="427"/>
      <c r="M2826" s="427"/>
    </row>
    <row r="2827" spans="2:13">
      <c r="B2827" s="127"/>
      <c r="C2827" s="127"/>
      <c r="E2827" s="427"/>
      <c r="F2827" s="427"/>
      <c r="G2827" s="427"/>
      <c r="H2827" s="427"/>
      <c r="I2827" s="427"/>
      <c r="J2827" s="427"/>
      <c r="K2827" s="427"/>
      <c r="M2827" s="427"/>
    </row>
    <row r="2828" spans="2:13">
      <c r="B2828" s="127"/>
      <c r="C2828" s="127"/>
      <c r="E2828" s="427"/>
      <c r="F2828" s="427"/>
      <c r="G2828" s="427"/>
      <c r="H2828" s="427"/>
      <c r="I2828" s="427"/>
      <c r="J2828" s="427"/>
      <c r="K2828" s="427"/>
      <c r="M2828" s="427"/>
    </row>
    <row r="2829" spans="2:13">
      <c r="B2829" s="127"/>
      <c r="C2829" s="127"/>
      <c r="E2829" s="427"/>
      <c r="F2829" s="427"/>
      <c r="G2829" s="427"/>
      <c r="H2829" s="427"/>
      <c r="I2829" s="427"/>
      <c r="J2829" s="427"/>
      <c r="K2829" s="427"/>
      <c r="M2829" s="427"/>
    </row>
    <row r="2830" spans="2:13">
      <c r="B2830" s="127"/>
      <c r="C2830" s="127"/>
      <c r="D2830" s="429"/>
      <c r="E2830" s="430"/>
      <c r="F2830" s="431"/>
      <c r="G2830" s="431"/>
      <c r="H2830" s="436"/>
      <c r="I2830" s="431"/>
      <c r="J2830" s="436"/>
      <c r="K2830" s="437"/>
      <c r="M2830" s="431"/>
    </row>
    <row r="2831" spans="2:13">
      <c r="B2831" s="127"/>
      <c r="C2831" s="127"/>
      <c r="D2831" s="429"/>
      <c r="E2831" s="430"/>
      <c r="F2831" s="432"/>
      <c r="G2831" s="432"/>
      <c r="H2831" s="443"/>
      <c r="I2831" s="432"/>
      <c r="J2831" s="443"/>
      <c r="K2831" s="444"/>
      <c r="M2831" s="431"/>
    </row>
    <row r="2832" spans="2:13">
      <c r="B2832" s="127"/>
      <c r="C2832" s="127"/>
      <c r="D2832" s="427"/>
      <c r="E2832" s="427"/>
      <c r="F2832" s="445"/>
      <c r="G2832" s="445"/>
      <c r="H2832" s="446"/>
      <c r="I2832" s="445"/>
      <c r="J2832" s="446"/>
      <c r="K2832" s="447"/>
      <c r="M2832" s="596"/>
    </row>
    <row r="2833" spans="2:13">
      <c r="B2833" s="127"/>
      <c r="C2833" s="127"/>
    </row>
    <row r="2834" spans="2:13">
      <c r="B2834" s="127"/>
      <c r="C2834" s="127"/>
      <c r="E2834" s="427"/>
      <c r="F2834" s="427"/>
      <c r="G2834" s="427"/>
      <c r="H2834" s="427"/>
      <c r="I2834" s="427"/>
      <c r="J2834" s="427"/>
      <c r="K2834" s="427"/>
      <c r="M2834" s="427"/>
    </row>
    <row r="2835" spans="2:13">
      <c r="B2835" s="127"/>
      <c r="C2835" s="127"/>
      <c r="D2835" s="429"/>
      <c r="E2835" s="430"/>
      <c r="F2835" s="431"/>
      <c r="G2835" s="431"/>
      <c r="H2835" s="436"/>
      <c r="I2835" s="431"/>
      <c r="J2835" s="436"/>
      <c r="K2835" s="437"/>
      <c r="M2835" s="431"/>
    </row>
    <row r="2836" spans="2:13">
      <c r="B2836" s="127"/>
      <c r="C2836" s="127"/>
      <c r="D2836" s="429"/>
      <c r="E2836" s="430"/>
      <c r="F2836" s="431"/>
      <c r="G2836" s="431"/>
      <c r="H2836" s="436"/>
      <c r="I2836" s="431"/>
      <c r="J2836" s="436"/>
      <c r="K2836" s="437"/>
      <c r="M2836" s="431"/>
    </row>
    <row r="2837" spans="2:13">
      <c r="B2837" s="127"/>
      <c r="C2837" s="127"/>
      <c r="D2837" s="429"/>
      <c r="E2837" s="430"/>
      <c r="F2837" s="432"/>
      <c r="G2837" s="432"/>
      <c r="H2837" s="443"/>
      <c r="I2837" s="432"/>
      <c r="J2837" s="443"/>
      <c r="K2837" s="444"/>
      <c r="M2837" s="431"/>
    </row>
    <row r="2838" spans="2:13">
      <c r="B2838" s="127"/>
      <c r="C2838" s="127"/>
      <c r="D2838" s="427"/>
      <c r="E2838" s="427"/>
      <c r="F2838" s="445"/>
      <c r="G2838" s="445"/>
      <c r="H2838" s="446"/>
      <c r="I2838" s="445"/>
      <c r="J2838" s="446"/>
      <c r="K2838" s="447"/>
      <c r="M2838" s="596"/>
    </row>
    <row r="2839" spans="2:13">
      <c r="B2839" s="127"/>
      <c r="C2839" s="127"/>
      <c r="F2839" s="398"/>
      <c r="G2839" s="398"/>
      <c r="H2839" s="398"/>
      <c r="I2839" s="398"/>
      <c r="J2839" s="398"/>
      <c r="K2839" s="398"/>
    </row>
    <row r="2840" spans="2:13">
      <c r="B2840" s="127"/>
      <c r="C2840" s="127"/>
      <c r="D2840" s="427"/>
      <c r="E2840" s="427"/>
      <c r="F2840" s="445"/>
      <c r="G2840" s="445"/>
      <c r="H2840" s="446"/>
      <c r="I2840" s="445"/>
      <c r="J2840" s="446"/>
      <c r="K2840" s="447"/>
      <c r="M2840" s="596"/>
    </row>
    <row r="2841" spans="2:13">
      <c r="B2841" s="127"/>
      <c r="C2841" s="127"/>
      <c r="F2841" s="398"/>
      <c r="G2841" s="398"/>
      <c r="H2841" s="398"/>
      <c r="I2841" s="398"/>
      <c r="J2841" s="398"/>
      <c r="K2841" s="398"/>
    </row>
    <row r="2842" spans="2:13">
      <c r="B2842" s="127"/>
      <c r="C2842" s="127"/>
      <c r="D2842" s="427"/>
      <c r="E2842" s="427"/>
      <c r="F2842" s="445"/>
      <c r="G2842" s="445"/>
      <c r="H2842" s="446"/>
      <c r="I2842" s="445"/>
      <c r="J2842" s="446"/>
      <c r="K2842" s="447"/>
      <c r="M2842" s="596"/>
    </row>
    <row r="2843" spans="2:13">
      <c r="B2843" s="127"/>
      <c r="C2843" s="127"/>
      <c r="F2843" s="398"/>
      <c r="G2843" s="398"/>
      <c r="H2843" s="398"/>
      <c r="I2843" s="398"/>
      <c r="J2843" s="398"/>
      <c r="K2843" s="398"/>
    </row>
    <row r="2844" spans="2:13">
      <c r="B2844" s="127"/>
      <c r="C2844" s="127"/>
      <c r="D2844" s="427"/>
      <c r="E2844" s="427"/>
      <c r="F2844" s="445"/>
      <c r="G2844" s="445"/>
      <c r="H2844" s="446"/>
      <c r="I2844" s="445"/>
      <c r="J2844" s="446"/>
      <c r="K2844" s="447"/>
      <c r="M2844" s="596"/>
    </row>
    <row r="2845" spans="2:13">
      <c r="B2845" s="127"/>
      <c r="C2845" s="127"/>
    </row>
    <row r="2846" spans="2:13">
      <c r="B2846" s="127"/>
      <c r="C2846" s="127"/>
      <c r="E2846" s="427"/>
      <c r="F2846" s="427"/>
      <c r="G2846" s="427"/>
      <c r="H2846" s="427"/>
      <c r="I2846" s="427"/>
      <c r="J2846" s="427"/>
      <c r="K2846" s="427"/>
      <c r="M2846" s="427"/>
    </row>
    <row r="2847" spans="2:13">
      <c r="B2847" s="127"/>
      <c r="C2847" s="127"/>
      <c r="E2847" s="427"/>
      <c r="F2847" s="427"/>
      <c r="G2847" s="427"/>
      <c r="H2847" s="427"/>
      <c r="I2847" s="427"/>
      <c r="J2847" s="427"/>
      <c r="K2847" s="427"/>
      <c r="M2847" s="427"/>
    </row>
    <row r="2848" spans="2:13">
      <c r="B2848" s="127"/>
      <c r="C2848" s="127"/>
      <c r="E2848" s="427"/>
      <c r="F2848" s="427"/>
      <c r="G2848" s="427"/>
      <c r="H2848" s="427"/>
      <c r="I2848" s="427"/>
      <c r="J2848" s="427"/>
      <c r="K2848" s="427"/>
      <c r="M2848" s="427"/>
    </row>
    <row r="2849" spans="2:13">
      <c r="B2849" s="127"/>
      <c r="C2849" s="127"/>
      <c r="E2849" s="427"/>
      <c r="F2849" s="427"/>
      <c r="G2849" s="427"/>
      <c r="H2849" s="427"/>
      <c r="I2849" s="427"/>
      <c r="J2849" s="427"/>
      <c r="K2849" s="427"/>
      <c r="M2849" s="427"/>
    </row>
    <row r="2850" spans="2:13">
      <c r="B2850" s="127"/>
      <c r="C2850" s="127"/>
      <c r="D2850" s="429"/>
      <c r="E2850" s="430"/>
      <c r="F2850" s="431"/>
      <c r="G2850" s="431"/>
      <c r="H2850" s="436"/>
      <c r="I2850" s="431"/>
      <c r="J2850" s="436"/>
      <c r="K2850" s="437"/>
      <c r="M2850" s="431"/>
    </row>
    <row r="2851" spans="2:13">
      <c r="B2851" s="127"/>
      <c r="C2851" s="127"/>
      <c r="D2851" s="429"/>
      <c r="E2851" s="430"/>
      <c r="F2851" s="431"/>
      <c r="G2851" s="431"/>
      <c r="H2851" s="436"/>
      <c r="I2851" s="431"/>
      <c r="J2851" s="436"/>
      <c r="K2851" s="437"/>
      <c r="M2851" s="431"/>
    </row>
    <row r="2852" spans="2:13">
      <c r="B2852" s="127"/>
      <c r="C2852" s="127"/>
      <c r="D2852" s="429"/>
      <c r="E2852" s="430"/>
      <c r="F2852" s="432"/>
      <c r="G2852" s="432"/>
      <c r="H2852" s="443"/>
      <c r="I2852" s="432"/>
      <c r="J2852" s="443"/>
      <c r="K2852" s="444"/>
      <c r="M2852" s="431"/>
    </row>
    <row r="2853" spans="2:13">
      <c r="B2853" s="127"/>
      <c r="C2853" s="127"/>
      <c r="D2853" s="427"/>
      <c r="E2853" s="427"/>
      <c r="F2853" s="445"/>
      <c r="G2853" s="445"/>
      <c r="H2853" s="446"/>
      <c r="I2853" s="445"/>
      <c r="J2853" s="446"/>
      <c r="K2853" s="447"/>
      <c r="M2853" s="596"/>
    </row>
    <row r="2854" spans="2:13">
      <c r="B2854" s="127"/>
      <c r="C2854" s="127"/>
      <c r="F2854" s="398"/>
      <c r="G2854" s="398"/>
      <c r="H2854" s="398"/>
      <c r="I2854" s="398"/>
      <c r="J2854" s="398"/>
      <c r="K2854" s="398"/>
    </row>
    <row r="2855" spans="2:13">
      <c r="B2855" s="127"/>
      <c r="C2855" s="127"/>
      <c r="D2855" s="427"/>
      <c r="E2855" s="427"/>
      <c r="F2855" s="445"/>
      <c r="G2855" s="445"/>
      <c r="H2855" s="446"/>
      <c r="I2855" s="445"/>
      <c r="J2855" s="446"/>
      <c r="K2855" s="447"/>
      <c r="M2855" s="596"/>
    </row>
    <row r="2856" spans="2:13">
      <c r="B2856" s="127"/>
      <c r="C2856" s="127"/>
      <c r="F2856" s="398"/>
      <c r="G2856" s="398"/>
      <c r="H2856" s="398"/>
      <c r="I2856" s="398"/>
      <c r="J2856" s="398"/>
      <c r="K2856" s="398"/>
    </row>
    <row r="2857" spans="2:13">
      <c r="B2857" s="127"/>
      <c r="C2857" s="127"/>
      <c r="D2857" s="427"/>
      <c r="E2857" s="427"/>
      <c r="F2857" s="445"/>
      <c r="G2857" s="445"/>
      <c r="H2857" s="446"/>
      <c r="I2857" s="445"/>
      <c r="J2857" s="446"/>
      <c r="K2857" s="447"/>
      <c r="M2857" s="596"/>
    </row>
    <row r="2858" spans="2:13">
      <c r="B2858" s="127"/>
      <c r="C2858" s="127"/>
      <c r="F2858" s="398"/>
      <c r="G2858" s="398"/>
      <c r="H2858" s="398"/>
      <c r="I2858" s="398"/>
      <c r="J2858" s="398"/>
      <c r="K2858" s="398"/>
    </row>
    <row r="2859" spans="2:13">
      <c r="B2859" s="127"/>
      <c r="C2859" s="127"/>
      <c r="D2859" s="427"/>
      <c r="E2859" s="427"/>
      <c r="F2859" s="445"/>
      <c r="G2859" s="445"/>
      <c r="H2859" s="446"/>
      <c r="I2859" s="445"/>
      <c r="J2859" s="446"/>
      <c r="K2859" s="447"/>
      <c r="M2859" s="596"/>
    </row>
    <row r="2860" spans="2:13">
      <c r="B2860" s="127"/>
      <c r="C2860" s="127"/>
      <c r="F2860" s="398"/>
      <c r="G2860" s="398"/>
      <c r="H2860" s="398"/>
      <c r="I2860" s="398"/>
      <c r="J2860" s="398"/>
      <c r="K2860" s="398"/>
    </row>
    <row r="2861" spans="2:13">
      <c r="B2861" s="127"/>
      <c r="C2861" s="127"/>
      <c r="D2861" s="427"/>
      <c r="E2861" s="427"/>
      <c r="F2861" s="445"/>
      <c r="G2861" s="445"/>
      <c r="H2861" s="446"/>
      <c r="I2861" s="445"/>
      <c r="J2861" s="446"/>
      <c r="K2861" s="447"/>
      <c r="M2861" s="596"/>
    </row>
    <row r="2862" spans="2:13">
      <c r="B2862" s="127"/>
      <c r="C2862" s="127"/>
    </row>
    <row r="2863" spans="2:13">
      <c r="B2863" s="127"/>
      <c r="C2863" s="127"/>
    </row>
    <row r="2864" spans="2:13">
      <c r="B2864" s="127"/>
      <c r="C2864" s="127"/>
    </row>
    <row r="2865" spans="2:13">
      <c r="B2865" s="127"/>
      <c r="C2865" s="127"/>
      <c r="D2865" s="438"/>
      <c r="E2865" s="438"/>
      <c r="F2865" s="438"/>
      <c r="G2865" s="438"/>
      <c r="H2865" s="438"/>
      <c r="I2865" s="438"/>
      <c r="J2865" s="438"/>
      <c r="K2865" s="438"/>
      <c r="M2865" s="597"/>
    </row>
    <row r="2866" spans="2:13" ht="16.2" thickBot="1">
      <c r="B2866" s="127"/>
      <c r="C2866" s="127"/>
      <c r="D2866" s="439"/>
      <c r="E2866" s="439"/>
      <c r="F2866" s="440"/>
      <c r="G2866" s="440"/>
      <c r="H2866" s="440"/>
      <c r="I2866" s="440"/>
      <c r="J2866" s="439"/>
      <c r="K2866" s="439"/>
    </row>
    <row r="2867" spans="2:13">
      <c r="B2867" s="127"/>
      <c r="C2867" s="127"/>
      <c r="D2867" s="441"/>
      <c r="E2867" s="441"/>
      <c r="F2867" s="441"/>
      <c r="G2867" s="442"/>
      <c r="H2867" s="441"/>
      <c r="I2867" s="441"/>
      <c r="J2867" s="441"/>
      <c r="K2867" s="441"/>
      <c r="M2867" s="455"/>
    </row>
    <row r="2868" spans="2:13">
      <c r="B2868" s="127"/>
      <c r="C2868" s="127"/>
    </row>
    <row r="2869" spans="2:13">
      <c r="B2869" s="127"/>
      <c r="C2869" s="127"/>
      <c r="J2869" s="428"/>
    </row>
    <row r="2870" spans="2:13">
      <c r="B2870" s="127"/>
      <c r="C2870" s="127"/>
      <c r="F2870" s="428"/>
      <c r="G2870" s="428"/>
      <c r="H2870" s="435"/>
      <c r="I2870" s="428"/>
      <c r="J2870" s="428"/>
      <c r="K2870" s="435"/>
      <c r="M2870" s="428"/>
    </row>
    <row r="2871" spans="2:13">
      <c r="B2871" s="127"/>
      <c r="C2871" s="127"/>
    </row>
    <row r="2872" spans="2:13">
      <c r="B2872" s="127"/>
      <c r="C2872" s="127"/>
      <c r="D2872" s="427"/>
      <c r="E2872" s="427"/>
      <c r="F2872" s="427"/>
      <c r="G2872" s="427"/>
      <c r="H2872" s="427"/>
      <c r="I2872" s="427"/>
      <c r="J2872" s="427"/>
      <c r="K2872" s="427"/>
      <c r="M2872" s="427"/>
    </row>
    <row r="2873" spans="2:13">
      <c r="B2873" s="127"/>
      <c r="C2873" s="127"/>
      <c r="E2873" s="427"/>
      <c r="F2873" s="427"/>
      <c r="G2873" s="427"/>
      <c r="H2873" s="427"/>
      <c r="I2873" s="427"/>
      <c r="J2873" s="427"/>
      <c r="K2873" s="427"/>
      <c r="M2873" s="427"/>
    </row>
    <row r="2874" spans="2:13">
      <c r="B2874" s="127"/>
      <c r="C2874" s="127"/>
      <c r="E2874" s="427"/>
      <c r="F2874" s="427"/>
      <c r="G2874" s="427"/>
      <c r="H2874" s="427"/>
      <c r="I2874" s="427"/>
      <c r="J2874" s="427"/>
      <c r="K2874" s="427"/>
      <c r="M2874" s="427"/>
    </row>
    <row r="2875" spans="2:13">
      <c r="B2875" s="127"/>
      <c r="C2875" s="127"/>
      <c r="E2875" s="427"/>
      <c r="F2875" s="427"/>
      <c r="G2875" s="427"/>
      <c r="H2875" s="427"/>
      <c r="I2875" s="427"/>
      <c r="J2875" s="427"/>
      <c r="K2875" s="427"/>
      <c r="M2875" s="427"/>
    </row>
    <row r="2876" spans="2:13">
      <c r="B2876" s="127"/>
      <c r="C2876" s="127"/>
      <c r="E2876" s="427"/>
      <c r="F2876" s="427"/>
      <c r="G2876" s="427"/>
      <c r="H2876" s="427"/>
      <c r="I2876" s="427"/>
      <c r="J2876" s="427"/>
      <c r="K2876" s="427"/>
      <c r="M2876" s="427"/>
    </row>
    <row r="2877" spans="2:13">
      <c r="B2877" s="127"/>
      <c r="C2877" s="127"/>
      <c r="D2877" s="429"/>
      <c r="E2877" s="430"/>
      <c r="F2877" s="432"/>
      <c r="G2877" s="432"/>
      <c r="H2877" s="443"/>
      <c r="I2877" s="432"/>
      <c r="J2877" s="443"/>
      <c r="K2877" s="444"/>
      <c r="M2877" s="431"/>
    </row>
    <row r="2878" spans="2:13">
      <c r="B2878" s="127"/>
      <c r="C2878" s="127"/>
      <c r="D2878" s="427"/>
      <c r="E2878" s="427"/>
      <c r="F2878" s="445"/>
      <c r="G2878" s="445"/>
      <c r="H2878" s="446"/>
      <c r="I2878" s="445"/>
      <c r="J2878" s="446"/>
      <c r="K2878" s="447"/>
      <c r="M2878" s="596"/>
    </row>
    <row r="2879" spans="2:13">
      <c r="B2879" s="127"/>
      <c r="C2879" s="127"/>
      <c r="F2879" s="398"/>
      <c r="G2879" s="398"/>
      <c r="H2879" s="398"/>
      <c r="I2879" s="398"/>
      <c r="J2879" s="398"/>
      <c r="K2879" s="398"/>
    </row>
    <row r="2880" spans="2:13">
      <c r="B2880" s="127"/>
      <c r="C2880" s="127"/>
      <c r="D2880" s="427"/>
      <c r="E2880" s="427"/>
      <c r="F2880" s="445"/>
      <c r="G2880" s="445"/>
      <c r="H2880" s="446"/>
      <c r="I2880" s="445"/>
      <c r="J2880" s="446"/>
      <c r="K2880" s="447"/>
      <c r="M2880" s="596"/>
    </row>
    <row r="2881" spans="2:13">
      <c r="B2881" s="127"/>
      <c r="C2881" s="127"/>
      <c r="F2881" s="398"/>
      <c r="G2881" s="398"/>
      <c r="H2881" s="398"/>
      <c r="I2881" s="398"/>
      <c r="J2881" s="398"/>
      <c r="K2881" s="398"/>
    </row>
    <row r="2882" spans="2:13">
      <c r="B2882" s="127"/>
      <c r="C2882" s="127"/>
      <c r="D2882" s="427"/>
      <c r="E2882" s="427"/>
      <c r="F2882" s="445"/>
      <c r="G2882" s="445"/>
      <c r="H2882" s="446"/>
      <c r="I2882" s="445"/>
      <c r="J2882" s="446"/>
      <c r="K2882" s="447"/>
      <c r="M2882" s="596"/>
    </row>
    <row r="2883" spans="2:13">
      <c r="B2883" s="127"/>
      <c r="C2883" s="127"/>
      <c r="F2883" s="398"/>
      <c r="G2883" s="398"/>
      <c r="H2883" s="398"/>
      <c r="I2883" s="398"/>
      <c r="J2883" s="398"/>
      <c r="K2883" s="398"/>
    </row>
    <row r="2884" spans="2:13">
      <c r="B2884" s="127"/>
      <c r="C2884" s="127"/>
      <c r="D2884" s="427"/>
      <c r="E2884" s="427"/>
      <c r="F2884" s="445"/>
      <c r="G2884" s="445"/>
      <c r="H2884" s="446"/>
      <c r="I2884" s="445"/>
      <c r="J2884" s="446"/>
      <c r="K2884" s="447"/>
      <c r="M2884" s="596"/>
    </row>
    <row r="2885" spans="2:13">
      <c r="B2885" s="127"/>
      <c r="C2885" s="127"/>
    </row>
    <row r="2886" spans="2:13">
      <c r="B2886" s="127"/>
      <c r="C2886" s="127"/>
      <c r="E2886" s="427"/>
      <c r="F2886" s="427"/>
      <c r="G2886" s="427"/>
      <c r="H2886" s="427"/>
      <c r="I2886" s="427"/>
      <c r="J2886" s="427"/>
      <c r="K2886" s="427"/>
      <c r="M2886" s="427"/>
    </row>
    <row r="2887" spans="2:13">
      <c r="B2887" s="127"/>
      <c r="C2887" s="127"/>
      <c r="E2887" s="427"/>
      <c r="F2887" s="427"/>
      <c r="G2887" s="427"/>
      <c r="H2887" s="427"/>
      <c r="I2887" s="427"/>
      <c r="J2887" s="427"/>
      <c r="K2887" s="427"/>
      <c r="M2887" s="427"/>
    </row>
    <row r="2888" spans="2:13">
      <c r="B2888" s="127"/>
      <c r="C2888" s="127"/>
      <c r="E2888" s="427"/>
      <c r="F2888" s="427"/>
      <c r="G2888" s="427"/>
      <c r="H2888" s="427"/>
      <c r="I2888" s="427"/>
      <c r="J2888" s="427"/>
      <c r="K2888" s="427"/>
      <c r="M2888" s="427"/>
    </row>
    <row r="2889" spans="2:13">
      <c r="B2889" s="127"/>
      <c r="C2889" s="127"/>
      <c r="E2889" s="427"/>
      <c r="F2889" s="427"/>
      <c r="G2889" s="427"/>
      <c r="H2889" s="427"/>
      <c r="I2889" s="427"/>
      <c r="J2889" s="427"/>
      <c r="K2889" s="427"/>
      <c r="M2889" s="427"/>
    </row>
    <row r="2890" spans="2:13">
      <c r="B2890" s="127"/>
      <c r="C2890" s="127"/>
      <c r="D2890" s="429"/>
      <c r="E2890" s="430"/>
      <c r="F2890" s="432"/>
      <c r="G2890" s="432"/>
      <c r="H2890" s="443"/>
      <c r="I2890" s="432"/>
      <c r="J2890" s="443"/>
      <c r="K2890" s="444"/>
      <c r="M2890" s="431"/>
    </row>
    <row r="2891" spans="2:13">
      <c r="B2891" s="127"/>
      <c r="C2891" s="127"/>
      <c r="D2891" s="427"/>
      <c r="E2891" s="427"/>
      <c r="F2891" s="445"/>
      <c r="G2891" s="445"/>
      <c r="H2891" s="446"/>
      <c r="I2891" s="445"/>
      <c r="J2891" s="446"/>
      <c r="K2891" s="447"/>
      <c r="M2891" s="596"/>
    </row>
    <row r="2892" spans="2:13">
      <c r="B2892" s="127"/>
      <c r="C2892" s="127"/>
      <c r="F2892" s="398"/>
      <c r="G2892" s="398"/>
      <c r="H2892" s="398"/>
      <c r="I2892" s="398"/>
      <c r="J2892" s="398"/>
      <c r="K2892" s="398"/>
    </row>
    <row r="2893" spans="2:13">
      <c r="B2893" s="127"/>
      <c r="C2893" s="127"/>
      <c r="D2893" s="427"/>
      <c r="E2893" s="427"/>
      <c r="F2893" s="445"/>
      <c r="G2893" s="445"/>
      <c r="H2893" s="446"/>
      <c r="I2893" s="445"/>
      <c r="J2893" s="446"/>
      <c r="K2893" s="447"/>
      <c r="M2893" s="596"/>
    </row>
    <row r="2894" spans="2:13">
      <c r="B2894" s="127"/>
      <c r="C2894" s="127"/>
      <c r="F2894" s="398"/>
      <c r="G2894" s="398"/>
      <c r="H2894" s="398"/>
      <c r="I2894" s="398"/>
      <c r="J2894" s="398"/>
      <c r="K2894" s="398"/>
    </row>
    <row r="2895" spans="2:13">
      <c r="B2895" s="127"/>
      <c r="C2895" s="127"/>
      <c r="D2895" s="427"/>
      <c r="E2895" s="427"/>
      <c r="F2895" s="445"/>
      <c r="G2895" s="445"/>
      <c r="H2895" s="446"/>
      <c r="I2895" s="445"/>
      <c r="J2895" s="446"/>
      <c r="K2895" s="447"/>
      <c r="M2895" s="596"/>
    </row>
    <row r="2896" spans="2:13">
      <c r="B2896" s="127"/>
      <c r="C2896" s="127"/>
      <c r="F2896" s="398"/>
      <c r="G2896" s="398"/>
      <c r="H2896" s="398"/>
      <c r="I2896" s="398"/>
      <c r="J2896" s="398"/>
      <c r="K2896" s="398"/>
    </row>
    <row r="2897" spans="2:13">
      <c r="B2897" s="127"/>
      <c r="C2897" s="127"/>
      <c r="D2897" s="427"/>
      <c r="E2897" s="427"/>
      <c r="F2897" s="445"/>
      <c r="G2897" s="445"/>
      <c r="H2897" s="446"/>
      <c r="I2897" s="445"/>
      <c r="J2897" s="446"/>
      <c r="K2897" s="447"/>
      <c r="M2897" s="596"/>
    </row>
    <row r="2898" spans="2:13">
      <c r="B2898" s="127"/>
      <c r="C2898" s="127"/>
      <c r="F2898" s="398"/>
      <c r="G2898" s="398"/>
      <c r="H2898" s="398"/>
      <c r="I2898" s="398"/>
      <c r="J2898" s="398"/>
      <c r="K2898" s="398"/>
    </row>
    <row r="2899" spans="2:13">
      <c r="B2899" s="127"/>
      <c r="C2899" s="127"/>
      <c r="D2899" s="427"/>
      <c r="E2899" s="427"/>
      <c r="F2899" s="445"/>
      <c r="G2899" s="445"/>
      <c r="H2899" s="446"/>
      <c r="I2899" s="445"/>
      <c r="J2899" s="446"/>
      <c r="K2899" s="447"/>
      <c r="M2899" s="596"/>
    </row>
    <row r="2900" spans="2:13">
      <c r="B2900" s="127"/>
      <c r="C2900" s="127"/>
    </row>
    <row r="2901" spans="2:13">
      <c r="B2901" s="127"/>
      <c r="C2901" s="127"/>
      <c r="D2901" s="427"/>
      <c r="E2901" s="427"/>
      <c r="F2901" s="427"/>
      <c r="G2901" s="427"/>
      <c r="H2901" s="427"/>
      <c r="I2901" s="427"/>
      <c r="J2901" s="427"/>
      <c r="K2901" s="427"/>
      <c r="M2901" s="427"/>
    </row>
    <row r="2902" spans="2:13">
      <c r="B2902" s="127"/>
      <c r="C2902" s="127"/>
      <c r="E2902" s="427"/>
      <c r="F2902" s="427"/>
      <c r="G2902" s="427"/>
      <c r="H2902" s="427"/>
      <c r="I2902" s="427"/>
      <c r="J2902" s="427"/>
      <c r="K2902" s="427"/>
      <c r="M2902" s="427"/>
    </row>
    <row r="2903" spans="2:13">
      <c r="B2903" s="127"/>
      <c r="C2903" s="127"/>
      <c r="E2903" s="427"/>
      <c r="F2903" s="427"/>
      <c r="G2903" s="427"/>
      <c r="H2903" s="427"/>
      <c r="I2903" s="427"/>
      <c r="J2903" s="427"/>
      <c r="K2903" s="427"/>
      <c r="M2903" s="427"/>
    </row>
    <row r="2904" spans="2:13">
      <c r="B2904" s="127"/>
      <c r="C2904" s="127"/>
      <c r="E2904" s="427"/>
      <c r="F2904" s="427"/>
      <c r="G2904" s="427"/>
      <c r="H2904" s="427"/>
      <c r="I2904" s="427"/>
      <c r="J2904" s="427"/>
      <c r="K2904" s="427"/>
      <c r="M2904" s="427"/>
    </row>
    <row r="2905" spans="2:13">
      <c r="B2905" s="127"/>
      <c r="C2905" s="127"/>
      <c r="E2905" s="427"/>
      <c r="F2905" s="427"/>
      <c r="G2905" s="427"/>
      <c r="H2905" s="427"/>
      <c r="I2905" s="427"/>
      <c r="J2905" s="427"/>
      <c r="K2905" s="427"/>
      <c r="M2905" s="427"/>
    </row>
    <row r="2906" spans="2:13">
      <c r="B2906" s="127"/>
      <c r="C2906" s="127"/>
      <c r="D2906" s="429"/>
      <c r="E2906" s="430"/>
      <c r="F2906" s="431"/>
      <c r="G2906" s="431"/>
      <c r="H2906" s="436"/>
      <c r="I2906" s="431"/>
      <c r="J2906" s="436"/>
      <c r="K2906" s="437"/>
      <c r="M2906" s="431"/>
    </row>
    <row r="2907" spans="2:13">
      <c r="B2907" s="127"/>
      <c r="C2907" s="127"/>
      <c r="D2907" s="429"/>
      <c r="E2907" s="430"/>
      <c r="F2907" s="432"/>
      <c r="G2907" s="432"/>
      <c r="H2907" s="443"/>
      <c r="I2907" s="432"/>
      <c r="J2907" s="443"/>
      <c r="K2907" s="444"/>
      <c r="M2907" s="431"/>
    </row>
    <row r="2908" spans="2:13">
      <c r="B2908" s="127"/>
      <c r="C2908" s="127"/>
      <c r="D2908" s="427"/>
      <c r="E2908" s="427"/>
      <c r="F2908" s="445"/>
      <c r="G2908" s="445"/>
      <c r="H2908" s="446"/>
      <c r="I2908" s="445"/>
      <c r="J2908" s="446"/>
      <c r="K2908" s="447"/>
      <c r="M2908" s="596"/>
    </row>
    <row r="2909" spans="2:13">
      <c r="B2909" s="127"/>
      <c r="C2909" s="127"/>
    </row>
    <row r="2910" spans="2:13">
      <c r="B2910" s="127"/>
      <c r="C2910" s="127"/>
      <c r="E2910" s="427"/>
      <c r="F2910" s="427"/>
      <c r="G2910" s="427"/>
      <c r="H2910" s="427"/>
      <c r="I2910" s="427"/>
      <c r="J2910" s="427"/>
      <c r="K2910" s="427"/>
      <c r="M2910" s="427"/>
    </row>
    <row r="2911" spans="2:13">
      <c r="B2911" s="127"/>
      <c r="C2911" s="127"/>
      <c r="D2911" s="429"/>
      <c r="E2911" s="430"/>
      <c r="F2911" s="431"/>
      <c r="G2911" s="431"/>
      <c r="H2911" s="436"/>
      <c r="I2911" s="431"/>
      <c r="J2911" s="436"/>
      <c r="K2911" s="437"/>
      <c r="M2911" s="431"/>
    </row>
    <row r="2912" spans="2:13">
      <c r="B2912" s="127"/>
      <c r="C2912" s="127"/>
      <c r="D2912" s="429"/>
      <c r="E2912" s="430"/>
      <c r="F2912" s="432"/>
      <c r="G2912" s="432"/>
      <c r="H2912" s="443"/>
      <c r="I2912" s="432"/>
      <c r="J2912" s="443"/>
      <c r="K2912" s="444"/>
      <c r="M2912" s="431"/>
    </row>
    <row r="2913" spans="2:13">
      <c r="B2913" s="127"/>
      <c r="C2913" s="127"/>
      <c r="D2913" s="427"/>
      <c r="E2913" s="427"/>
      <c r="F2913" s="445"/>
      <c r="G2913" s="445"/>
      <c r="H2913" s="446"/>
      <c r="I2913" s="445"/>
      <c r="J2913" s="446"/>
      <c r="K2913" s="447"/>
      <c r="M2913" s="596"/>
    </row>
    <row r="2914" spans="2:13">
      <c r="B2914" s="127"/>
      <c r="C2914" s="127"/>
      <c r="F2914" s="398"/>
      <c r="G2914" s="398"/>
      <c r="H2914" s="398"/>
      <c r="I2914" s="398"/>
      <c r="J2914" s="398"/>
      <c r="K2914" s="398"/>
    </row>
    <row r="2915" spans="2:13">
      <c r="B2915" s="127"/>
      <c r="C2915" s="127"/>
      <c r="D2915" s="427"/>
      <c r="E2915" s="427"/>
      <c r="F2915" s="445"/>
      <c r="G2915" s="445"/>
      <c r="H2915" s="446"/>
      <c r="I2915" s="445"/>
      <c r="J2915" s="446"/>
      <c r="K2915" s="447"/>
      <c r="M2915" s="596"/>
    </row>
    <row r="2916" spans="2:13">
      <c r="B2916" s="127"/>
      <c r="C2916" s="127"/>
      <c r="F2916" s="398"/>
      <c r="G2916" s="398"/>
      <c r="H2916" s="398"/>
      <c r="I2916" s="398"/>
      <c r="J2916" s="398"/>
      <c r="K2916" s="398"/>
    </row>
    <row r="2917" spans="2:13">
      <c r="B2917" s="127"/>
      <c r="C2917" s="127"/>
      <c r="D2917" s="427"/>
      <c r="E2917" s="427"/>
      <c r="F2917" s="445"/>
      <c r="G2917" s="445"/>
      <c r="H2917" s="446"/>
      <c r="I2917" s="445"/>
      <c r="J2917" s="446"/>
      <c r="K2917" s="447"/>
      <c r="M2917" s="596"/>
    </row>
    <row r="2918" spans="2:13">
      <c r="B2918" s="127"/>
      <c r="C2918" s="127"/>
      <c r="F2918" s="398"/>
      <c r="G2918" s="398"/>
      <c r="H2918" s="398"/>
      <c r="I2918" s="398"/>
      <c r="J2918" s="398"/>
      <c r="K2918" s="398"/>
    </row>
    <row r="2919" spans="2:13">
      <c r="B2919" s="127"/>
      <c r="C2919" s="127"/>
      <c r="D2919" s="427"/>
      <c r="E2919" s="427"/>
      <c r="F2919" s="445"/>
      <c r="G2919" s="445"/>
      <c r="H2919" s="446"/>
      <c r="I2919" s="445"/>
      <c r="J2919" s="446"/>
      <c r="K2919" s="447"/>
      <c r="M2919" s="596"/>
    </row>
    <row r="2920" spans="2:13">
      <c r="B2920" s="127"/>
      <c r="C2920" s="127"/>
    </row>
    <row r="2921" spans="2:13">
      <c r="B2921" s="127"/>
      <c r="C2921" s="127"/>
      <c r="E2921" s="427"/>
      <c r="F2921" s="427"/>
      <c r="G2921" s="427"/>
      <c r="H2921" s="427"/>
      <c r="I2921" s="427"/>
      <c r="J2921" s="427"/>
      <c r="K2921" s="427"/>
      <c r="M2921" s="427"/>
    </row>
    <row r="2922" spans="2:13">
      <c r="B2922" s="127"/>
      <c r="C2922" s="127"/>
      <c r="E2922" s="427"/>
      <c r="F2922" s="427"/>
      <c r="G2922" s="427"/>
      <c r="H2922" s="427"/>
      <c r="I2922" s="427"/>
      <c r="J2922" s="427"/>
      <c r="K2922" s="427"/>
      <c r="M2922" s="427"/>
    </row>
    <row r="2923" spans="2:13">
      <c r="B2923" s="127"/>
      <c r="C2923" s="127"/>
      <c r="E2923" s="427"/>
      <c r="F2923" s="427"/>
      <c r="G2923" s="427"/>
      <c r="H2923" s="427"/>
      <c r="I2923" s="427"/>
      <c r="J2923" s="427"/>
      <c r="K2923" s="427"/>
      <c r="M2923" s="427"/>
    </row>
    <row r="2924" spans="2:13">
      <c r="B2924" s="127"/>
      <c r="C2924" s="127"/>
      <c r="E2924" s="427"/>
      <c r="F2924" s="427"/>
      <c r="G2924" s="427"/>
      <c r="H2924" s="427"/>
      <c r="I2924" s="427"/>
      <c r="J2924" s="427"/>
      <c r="K2924" s="427"/>
      <c r="M2924" s="427"/>
    </row>
    <row r="2925" spans="2:13">
      <c r="B2925" s="127"/>
      <c r="C2925" s="127"/>
      <c r="D2925" s="429"/>
      <c r="E2925" s="430"/>
      <c r="F2925" s="432"/>
      <c r="G2925" s="432"/>
      <c r="H2925" s="443"/>
      <c r="I2925" s="432"/>
      <c r="J2925" s="443"/>
      <c r="K2925" s="444"/>
      <c r="M2925" s="431"/>
    </row>
    <row r="2926" spans="2:13">
      <c r="B2926" s="127"/>
      <c r="C2926" s="127"/>
      <c r="D2926" s="427"/>
      <c r="E2926" s="427"/>
      <c r="F2926" s="445"/>
      <c r="G2926" s="445"/>
      <c r="H2926" s="446"/>
      <c r="I2926" s="445"/>
      <c r="J2926" s="446"/>
      <c r="K2926" s="447"/>
      <c r="M2926" s="596"/>
    </row>
    <row r="2927" spans="2:13">
      <c r="B2927" s="127"/>
      <c r="C2927" s="127"/>
      <c r="F2927" s="398"/>
      <c r="G2927" s="398"/>
      <c r="H2927" s="398"/>
      <c r="I2927" s="398"/>
      <c r="J2927" s="398"/>
      <c r="K2927" s="398"/>
    </row>
    <row r="2928" spans="2:13">
      <c r="B2928" s="127"/>
      <c r="C2928" s="127"/>
      <c r="D2928" s="427"/>
      <c r="E2928" s="427"/>
      <c r="F2928" s="445"/>
      <c r="G2928" s="445"/>
      <c r="H2928" s="446"/>
      <c r="I2928" s="445"/>
      <c r="J2928" s="446"/>
      <c r="K2928" s="447"/>
      <c r="M2928" s="596"/>
    </row>
    <row r="2929" spans="2:13">
      <c r="B2929" s="127"/>
      <c r="C2929" s="127"/>
      <c r="F2929" s="398"/>
      <c r="G2929" s="398"/>
      <c r="H2929" s="398"/>
      <c r="I2929" s="398"/>
      <c r="J2929" s="398"/>
      <c r="K2929" s="398"/>
    </row>
    <row r="2930" spans="2:13">
      <c r="B2930" s="127"/>
      <c r="C2930" s="127"/>
      <c r="D2930" s="427"/>
      <c r="E2930" s="427"/>
      <c r="F2930" s="445"/>
      <c r="G2930" s="445"/>
      <c r="H2930" s="446"/>
      <c r="I2930" s="445"/>
      <c r="J2930" s="446"/>
      <c r="K2930" s="447"/>
      <c r="M2930" s="596"/>
    </row>
    <row r="2931" spans="2:13">
      <c r="B2931" s="127"/>
      <c r="C2931" s="127"/>
    </row>
    <row r="2932" spans="2:13">
      <c r="B2932" s="127"/>
      <c r="C2932" s="127"/>
      <c r="E2932" s="427"/>
      <c r="F2932" s="427"/>
      <c r="G2932" s="427"/>
      <c r="H2932" s="427"/>
      <c r="I2932" s="427"/>
      <c r="J2932" s="427"/>
      <c r="K2932" s="427"/>
      <c r="M2932" s="427"/>
    </row>
    <row r="2933" spans="2:13">
      <c r="B2933" s="127"/>
      <c r="C2933" s="127"/>
      <c r="E2933" s="427"/>
      <c r="F2933" s="427"/>
      <c r="G2933" s="427"/>
      <c r="H2933" s="427"/>
      <c r="I2933" s="427"/>
      <c r="J2933" s="427"/>
      <c r="K2933" s="427"/>
      <c r="M2933" s="427"/>
    </row>
    <row r="2934" spans="2:13">
      <c r="B2934" s="127"/>
      <c r="C2934" s="127"/>
      <c r="E2934" s="427"/>
      <c r="F2934" s="427"/>
      <c r="G2934" s="427"/>
      <c r="H2934" s="427"/>
      <c r="I2934" s="427"/>
      <c r="J2934" s="427"/>
      <c r="K2934" s="427"/>
      <c r="M2934" s="427"/>
    </row>
    <row r="2935" spans="2:13">
      <c r="B2935" s="127"/>
      <c r="C2935" s="127"/>
      <c r="D2935" s="429"/>
      <c r="E2935" s="430"/>
      <c r="F2935" s="432"/>
      <c r="G2935" s="432"/>
      <c r="H2935" s="443"/>
      <c r="I2935" s="432"/>
      <c r="J2935" s="443"/>
      <c r="K2935" s="444"/>
      <c r="M2935" s="431"/>
    </row>
    <row r="2936" spans="2:13">
      <c r="B2936" s="127"/>
      <c r="C2936" s="127"/>
      <c r="D2936" s="427"/>
      <c r="E2936" s="427"/>
      <c r="F2936" s="445"/>
      <c r="G2936" s="445"/>
      <c r="H2936" s="446"/>
      <c r="I2936" s="445"/>
      <c r="J2936" s="446"/>
      <c r="K2936" s="447"/>
      <c r="M2936" s="596"/>
    </row>
    <row r="2937" spans="2:13">
      <c r="B2937" s="127"/>
      <c r="C2937" s="127"/>
    </row>
    <row r="2938" spans="2:13">
      <c r="B2938" s="127"/>
      <c r="C2938" s="127"/>
    </row>
    <row r="2939" spans="2:13">
      <c r="B2939" s="127"/>
      <c r="C2939" s="127"/>
      <c r="D2939" s="438"/>
      <c r="E2939" s="438"/>
      <c r="F2939" s="438"/>
      <c r="G2939" s="438"/>
      <c r="H2939" s="438"/>
      <c r="I2939" s="438"/>
      <c r="J2939" s="438"/>
      <c r="K2939" s="438"/>
      <c r="M2939" s="597"/>
    </row>
    <row r="2940" spans="2:13" ht="16.2" thickBot="1">
      <c r="B2940" s="127"/>
      <c r="C2940" s="127"/>
      <c r="D2940" s="439"/>
      <c r="E2940" s="439"/>
      <c r="F2940" s="440"/>
      <c r="G2940" s="440"/>
      <c r="H2940" s="440"/>
      <c r="I2940" s="440"/>
      <c r="J2940" s="439"/>
      <c r="K2940" s="439"/>
    </row>
    <row r="2941" spans="2:13">
      <c r="B2941" s="127"/>
      <c r="C2941" s="127"/>
      <c r="D2941" s="441"/>
      <c r="E2941" s="441"/>
      <c r="F2941" s="441"/>
      <c r="G2941" s="442"/>
      <c r="H2941" s="441"/>
      <c r="I2941" s="441"/>
      <c r="J2941" s="441"/>
      <c r="K2941" s="441"/>
      <c r="M2941" s="455"/>
    </row>
    <row r="2942" spans="2:13">
      <c r="B2942" s="127"/>
      <c r="C2942" s="127"/>
    </row>
    <row r="2943" spans="2:13">
      <c r="B2943" s="127"/>
      <c r="C2943" s="127"/>
      <c r="J2943" s="428"/>
    </row>
    <row r="2944" spans="2:13">
      <c r="B2944" s="127"/>
      <c r="C2944" s="127"/>
      <c r="F2944" s="428"/>
      <c r="G2944" s="428"/>
      <c r="H2944" s="435"/>
      <c r="I2944" s="428"/>
      <c r="J2944" s="428"/>
      <c r="K2944" s="435"/>
      <c r="M2944" s="428"/>
    </row>
    <row r="2945" spans="2:13">
      <c r="B2945" s="127"/>
      <c r="C2945" s="127"/>
    </row>
    <row r="2946" spans="2:13">
      <c r="B2946" s="127"/>
      <c r="C2946" s="127"/>
      <c r="E2946" s="427"/>
      <c r="F2946" s="427"/>
      <c r="G2946" s="427"/>
      <c r="H2946" s="427"/>
      <c r="I2946" s="427"/>
      <c r="J2946" s="427"/>
      <c r="K2946" s="427"/>
      <c r="M2946" s="427"/>
    </row>
    <row r="2947" spans="2:13">
      <c r="B2947" s="127"/>
      <c r="C2947" s="127"/>
      <c r="D2947" s="429"/>
      <c r="E2947" s="430"/>
      <c r="F2947" s="432"/>
      <c r="G2947" s="432"/>
      <c r="H2947" s="443"/>
      <c r="I2947" s="432"/>
      <c r="J2947" s="443"/>
      <c r="K2947" s="444"/>
      <c r="M2947" s="431"/>
    </row>
    <row r="2948" spans="2:13">
      <c r="B2948" s="127"/>
      <c r="C2948" s="127"/>
      <c r="D2948" s="427"/>
      <c r="E2948" s="427"/>
      <c r="F2948" s="445"/>
      <c r="G2948" s="445"/>
      <c r="H2948" s="446"/>
      <c r="I2948" s="445"/>
      <c r="J2948" s="446"/>
      <c r="K2948" s="447"/>
      <c r="M2948" s="596"/>
    </row>
    <row r="2949" spans="2:13">
      <c r="B2949" s="127"/>
      <c r="C2949" s="127"/>
      <c r="F2949" s="398"/>
      <c r="G2949" s="398"/>
      <c r="H2949" s="398"/>
      <c r="I2949" s="398"/>
      <c r="J2949" s="398"/>
      <c r="K2949" s="398"/>
    </row>
    <row r="2950" spans="2:13">
      <c r="B2950" s="127"/>
      <c r="C2950" s="127"/>
      <c r="D2950" s="427"/>
      <c r="E2950" s="427"/>
      <c r="F2950" s="445"/>
      <c r="G2950" s="445"/>
      <c r="H2950" s="446"/>
      <c r="I2950" s="445"/>
      <c r="J2950" s="446"/>
      <c r="K2950" s="447"/>
      <c r="M2950" s="596"/>
    </row>
    <row r="2951" spans="2:13">
      <c r="B2951" s="127"/>
      <c r="C2951" s="127"/>
      <c r="F2951" s="398"/>
      <c r="G2951" s="398"/>
      <c r="H2951" s="398"/>
      <c r="I2951" s="398"/>
      <c r="J2951" s="398"/>
      <c r="K2951" s="398"/>
    </row>
    <row r="2952" spans="2:13">
      <c r="B2952" s="127"/>
      <c r="C2952" s="127"/>
      <c r="D2952" s="427"/>
      <c r="E2952" s="427"/>
      <c r="F2952" s="445"/>
      <c r="G2952" s="445"/>
      <c r="H2952" s="446"/>
      <c r="I2952" s="445"/>
      <c r="J2952" s="446"/>
      <c r="K2952" s="447"/>
      <c r="M2952" s="596"/>
    </row>
    <row r="2953" spans="2:13">
      <c r="B2953" s="127"/>
      <c r="C2953" s="127"/>
      <c r="F2953" s="398"/>
      <c r="G2953" s="398"/>
      <c r="H2953" s="398"/>
      <c r="I2953" s="398"/>
      <c r="J2953" s="398"/>
      <c r="K2953" s="398"/>
    </row>
    <row r="2954" spans="2:13">
      <c r="B2954" s="127"/>
      <c r="C2954" s="127"/>
      <c r="D2954" s="427"/>
      <c r="E2954" s="427"/>
      <c r="F2954" s="445"/>
      <c r="G2954" s="445"/>
      <c r="H2954" s="446"/>
      <c r="I2954" s="445"/>
      <c r="J2954" s="446"/>
      <c r="K2954" s="447"/>
      <c r="M2954" s="596"/>
    </row>
    <row r="2955" spans="2:13">
      <c r="B2955" s="127"/>
      <c r="C2955" s="127"/>
      <c r="F2955" s="398"/>
      <c r="G2955" s="398"/>
      <c r="H2955" s="398"/>
      <c r="I2955" s="398"/>
      <c r="J2955" s="398"/>
      <c r="K2955" s="398"/>
    </row>
    <row r="2956" spans="2:13">
      <c r="B2956" s="127"/>
      <c r="C2956" s="127"/>
      <c r="D2956" s="427"/>
      <c r="E2956" s="427"/>
      <c r="F2956" s="445"/>
      <c r="G2956" s="445"/>
      <c r="H2956" s="446"/>
      <c r="I2956" s="445"/>
      <c r="J2956" s="446"/>
      <c r="K2956" s="447"/>
      <c r="M2956" s="596"/>
    </row>
    <row r="2957" spans="2:13">
      <c r="B2957" s="127"/>
      <c r="C2957" s="127"/>
    </row>
    <row r="2958" spans="2:13">
      <c r="B2958" s="127"/>
      <c r="C2958" s="127"/>
      <c r="D2958" s="427"/>
      <c r="E2958" s="427"/>
      <c r="F2958" s="427"/>
      <c r="G2958" s="427"/>
      <c r="H2958" s="427"/>
      <c r="I2958" s="427"/>
      <c r="J2958" s="427"/>
      <c r="K2958" s="427"/>
      <c r="M2958" s="427"/>
    </row>
    <row r="2959" spans="2:13">
      <c r="B2959" s="127"/>
      <c r="C2959" s="127"/>
      <c r="E2959" s="427"/>
      <c r="F2959" s="427"/>
      <c r="G2959" s="427"/>
      <c r="H2959" s="427"/>
      <c r="I2959" s="427"/>
      <c r="J2959" s="427"/>
      <c r="K2959" s="427"/>
      <c r="M2959" s="427"/>
    </row>
    <row r="2960" spans="2:13">
      <c r="B2960" s="127"/>
      <c r="C2960" s="127"/>
      <c r="E2960" s="427"/>
      <c r="F2960" s="427"/>
      <c r="G2960" s="427"/>
      <c r="H2960" s="427"/>
      <c r="I2960" s="427"/>
      <c r="J2960" s="427"/>
      <c r="K2960" s="427"/>
      <c r="M2960" s="427"/>
    </row>
    <row r="2961" spans="2:13">
      <c r="B2961" s="127"/>
      <c r="C2961" s="127"/>
      <c r="E2961" s="427"/>
      <c r="F2961" s="427"/>
      <c r="G2961" s="427"/>
      <c r="H2961" s="427"/>
      <c r="I2961" s="427"/>
      <c r="J2961" s="427"/>
      <c r="K2961" s="427"/>
      <c r="M2961" s="427"/>
    </row>
    <row r="2962" spans="2:13">
      <c r="B2962" s="127"/>
      <c r="C2962" s="127"/>
      <c r="E2962" s="427"/>
      <c r="F2962" s="427"/>
      <c r="G2962" s="427"/>
      <c r="H2962" s="427"/>
      <c r="I2962" s="427"/>
      <c r="J2962" s="427"/>
      <c r="K2962" s="427"/>
      <c r="M2962" s="427"/>
    </row>
    <row r="2963" spans="2:13">
      <c r="B2963" s="127"/>
      <c r="C2963" s="127"/>
      <c r="D2963" s="429"/>
      <c r="E2963" s="430"/>
      <c r="F2963" s="431"/>
      <c r="G2963" s="431"/>
      <c r="H2963" s="436"/>
      <c r="I2963" s="431"/>
      <c r="J2963" s="436"/>
      <c r="K2963" s="437"/>
      <c r="M2963" s="431"/>
    </row>
    <row r="2964" spans="2:13">
      <c r="B2964" s="127"/>
      <c r="C2964" s="127"/>
      <c r="D2964" s="429"/>
      <c r="E2964" s="430"/>
      <c r="F2964" s="432"/>
      <c r="G2964" s="432"/>
      <c r="H2964" s="443"/>
      <c r="I2964" s="432"/>
      <c r="J2964" s="443"/>
      <c r="K2964" s="444"/>
      <c r="M2964" s="431"/>
    </row>
    <row r="2965" spans="2:13">
      <c r="B2965" s="127"/>
      <c r="C2965" s="127"/>
      <c r="D2965" s="427"/>
      <c r="E2965" s="427"/>
      <c r="F2965" s="445"/>
      <c r="G2965" s="445"/>
      <c r="H2965" s="446"/>
      <c r="I2965" s="445"/>
      <c r="J2965" s="446"/>
      <c r="K2965" s="447"/>
      <c r="M2965" s="596"/>
    </row>
    <row r="2966" spans="2:13">
      <c r="B2966" s="127"/>
      <c r="C2966" s="127"/>
    </row>
    <row r="2967" spans="2:13">
      <c r="B2967" s="127"/>
      <c r="C2967" s="127"/>
      <c r="E2967" s="427"/>
      <c r="F2967" s="427"/>
      <c r="G2967" s="427"/>
      <c r="H2967" s="427"/>
      <c r="I2967" s="427"/>
      <c r="J2967" s="427"/>
      <c r="K2967" s="427"/>
      <c r="M2967" s="427"/>
    </row>
    <row r="2968" spans="2:13">
      <c r="B2968" s="127"/>
      <c r="C2968" s="127"/>
      <c r="D2968" s="429"/>
      <c r="E2968" s="430"/>
      <c r="F2968" s="431"/>
      <c r="G2968" s="431"/>
      <c r="H2968" s="436"/>
      <c r="I2968" s="431"/>
      <c r="J2968" s="436"/>
      <c r="K2968" s="437"/>
      <c r="M2968" s="431"/>
    </row>
    <row r="2969" spans="2:13">
      <c r="B2969" s="127"/>
      <c r="C2969" s="127"/>
      <c r="D2969" s="429"/>
      <c r="E2969" s="430"/>
      <c r="F2969" s="431"/>
      <c r="G2969" s="431"/>
      <c r="H2969" s="436"/>
      <c r="I2969" s="431"/>
      <c r="J2969" s="436"/>
      <c r="K2969" s="437"/>
      <c r="M2969" s="431"/>
    </row>
    <row r="2970" spans="2:13">
      <c r="B2970" s="127"/>
      <c r="C2970" s="127"/>
      <c r="D2970" s="429"/>
      <c r="E2970" s="430"/>
      <c r="F2970" s="431"/>
      <c r="G2970" s="431"/>
      <c r="H2970" s="436"/>
      <c r="I2970" s="431"/>
      <c r="J2970" s="436"/>
      <c r="K2970" s="437"/>
      <c r="M2970" s="431"/>
    </row>
    <row r="2971" spans="2:13">
      <c r="B2971" s="127"/>
      <c r="C2971" s="127"/>
      <c r="D2971" s="429"/>
      <c r="E2971" s="430"/>
      <c r="F2971" s="431"/>
      <c r="G2971" s="431"/>
      <c r="H2971" s="436"/>
      <c r="I2971" s="431"/>
      <c r="J2971" s="436"/>
      <c r="K2971" s="437"/>
      <c r="M2971" s="431"/>
    </row>
    <row r="2972" spans="2:13">
      <c r="B2972" s="127"/>
      <c r="C2972" s="127"/>
      <c r="D2972" s="429"/>
      <c r="E2972" s="430"/>
      <c r="F2972" s="431"/>
      <c r="G2972" s="431"/>
      <c r="H2972" s="436"/>
      <c r="I2972" s="431"/>
      <c r="J2972" s="436"/>
      <c r="K2972" s="437"/>
      <c r="M2972" s="431"/>
    </row>
    <row r="2973" spans="2:13">
      <c r="B2973" s="127"/>
      <c r="C2973" s="127"/>
      <c r="D2973" s="429"/>
      <c r="E2973" s="430"/>
      <c r="F2973" s="431"/>
      <c r="G2973" s="431"/>
      <c r="H2973" s="436"/>
      <c r="I2973" s="431"/>
      <c r="J2973" s="436"/>
      <c r="K2973" s="437"/>
      <c r="M2973" s="431"/>
    </row>
    <row r="2974" spans="2:13">
      <c r="B2974" s="127"/>
      <c r="C2974" s="127"/>
      <c r="D2974" s="429"/>
      <c r="E2974" s="430"/>
      <c r="F2974" s="431"/>
      <c r="G2974" s="431"/>
      <c r="H2974" s="436"/>
      <c r="I2974" s="431"/>
      <c r="J2974" s="436"/>
      <c r="K2974" s="437"/>
      <c r="M2974" s="431"/>
    </row>
    <row r="2975" spans="2:13">
      <c r="B2975" s="127"/>
      <c r="C2975" s="127"/>
      <c r="D2975" s="429"/>
      <c r="E2975" s="430"/>
      <c r="F2975" s="431"/>
      <c r="G2975" s="431"/>
      <c r="H2975" s="436"/>
      <c r="I2975" s="431"/>
      <c r="J2975" s="436"/>
      <c r="K2975" s="437"/>
      <c r="M2975" s="431"/>
    </row>
    <row r="2976" spans="2:13">
      <c r="B2976" s="127"/>
      <c r="C2976" s="127"/>
      <c r="D2976" s="429"/>
      <c r="E2976" s="430"/>
      <c r="F2976" s="431"/>
      <c r="G2976" s="431"/>
      <c r="H2976" s="436"/>
      <c r="I2976" s="431"/>
      <c r="J2976" s="436"/>
      <c r="K2976" s="437"/>
      <c r="M2976" s="431"/>
    </row>
    <row r="2977" spans="2:13">
      <c r="B2977" s="127"/>
      <c r="C2977" s="127"/>
      <c r="D2977" s="429"/>
      <c r="E2977" s="430"/>
      <c r="F2977" s="431"/>
      <c r="G2977" s="431"/>
      <c r="H2977" s="436"/>
      <c r="I2977" s="431"/>
      <c r="J2977" s="436"/>
      <c r="K2977" s="437"/>
      <c r="M2977" s="431"/>
    </row>
    <row r="2978" spans="2:13">
      <c r="B2978" s="127"/>
      <c r="C2978" s="127"/>
      <c r="D2978" s="429"/>
      <c r="E2978" s="430"/>
      <c r="F2978" s="431"/>
      <c r="G2978" s="431"/>
      <c r="H2978" s="436"/>
      <c r="I2978" s="431"/>
      <c r="J2978" s="436"/>
      <c r="K2978" s="437"/>
      <c r="M2978" s="431"/>
    </row>
    <row r="2979" spans="2:13">
      <c r="B2979" s="127"/>
      <c r="C2979" s="127"/>
      <c r="D2979" s="429"/>
      <c r="E2979" s="430"/>
      <c r="F2979" s="431"/>
      <c r="G2979" s="431"/>
      <c r="H2979" s="436"/>
      <c r="I2979" s="431"/>
      <c r="J2979" s="436"/>
      <c r="K2979" s="437"/>
      <c r="M2979" s="431"/>
    </row>
    <row r="2980" spans="2:13">
      <c r="B2980" s="127"/>
      <c r="C2980" s="127"/>
      <c r="D2980" s="429"/>
      <c r="E2980" s="430"/>
      <c r="F2980" s="432"/>
      <c r="G2980" s="432"/>
      <c r="H2980" s="443"/>
      <c r="I2980" s="432"/>
      <c r="J2980" s="443"/>
      <c r="K2980" s="444"/>
      <c r="M2980" s="431"/>
    </row>
    <row r="2981" spans="2:13">
      <c r="B2981" s="127"/>
      <c r="C2981" s="127"/>
      <c r="D2981" s="427"/>
      <c r="E2981" s="427"/>
      <c r="F2981" s="445"/>
      <c r="G2981" s="445"/>
      <c r="H2981" s="446"/>
      <c r="I2981" s="445"/>
      <c r="J2981" s="446"/>
      <c r="K2981" s="447"/>
      <c r="M2981" s="596"/>
    </row>
    <row r="2982" spans="2:13">
      <c r="B2982" s="127"/>
      <c r="C2982" s="127"/>
      <c r="F2982" s="398"/>
      <c r="G2982" s="398"/>
      <c r="H2982" s="398"/>
      <c r="I2982" s="398"/>
      <c r="J2982" s="398"/>
      <c r="K2982" s="398"/>
    </row>
    <row r="2983" spans="2:13">
      <c r="B2983" s="127"/>
      <c r="C2983" s="127"/>
      <c r="D2983" s="427"/>
      <c r="E2983" s="427"/>
      <c r="F2983" s="445"/>
      <c r="G2983" s="445"/>
      <c r="H2983" s="446"/>
      <c r="I2983" s="445"/>
      <c r="J2983" s="446"/>
      <c r="K2983" s="447"/>
      <c r="M2983" s="596"/>
    </row>
    <row r="2984" spans="2:13">
      <c r="B2984" s="127"/>
      <c r="C2984" s="127"/>
      <c r="F2984" s="398"/>
      <c r="G2984" s="398"/>
      <c r="H2984" s="398"/>
      <c r="I2984" s="398"/>
      <c r="J2984" s="398"/>
      <c r="K2984" s="398"/>
    </row>
    <row r="2985" spans="2:13">
      <c r="B2985" s="127"/>
      <c r="C2985" s="127"/>
      <c r="D2985" s="427"/>
      <c r="E2985" s="427"/>
      <c r="F2985" s="445"/>
      <c r="G2985" s="445"/>
      <c r="H2985" s="446"/>
      <c r="I2985" s="445"/>
      <c r="J2985" s="446"/>
      <c r="K2985" s="447"/>
      <c r="M2985" s="596"/>
    </row>
    <row r="2986" spans="2:13">
      <c r="B2986" s="127"/>
      <c r="C2986" s="127"/>
      <c r="F2986" s="398"/>
      <c r="G2986" s="398"/>
      <c r="H2986" s="398"/>
      <c r="I2986" s="398"/>
      <c r="J2986" s="398"/>
      <c r="K2986" s="398"/>
    </row>
    <row r="2987" spans="2:13">
      <c r="B2987" s="127"/>
      <c r="C2987" s="127"/>
      <c r="D2987" s="427"/>
      <c r="E2987" s="427"/>
      <c r="F2987" s="445"/>
      <c r="G2987" s="445"/>
      <c r="H2987" s="446"/>
      <c r="I2987" s="445"/>
      <c r="J2987" s="446"/>
      <c r="K2987" s="447"/>
      <c r="M2987" s="596"/>
    </row>
    <row r="2988" spans="2:13">
      <c r="B2988" s="127"/>
      <c r="C2988" s="127"/>
    </row>
    <row r="2989" spans="2:13">
      <c r="B2989" s="127"/>
      <c r="C2989" s="127"/>
      <c r="E2989" s="427"/>
      <c r="F2989" s="427"/>
      <c r="G2989" s="427"/>
      <c r="H2989" s="427"/>
      <c r="I2989" s="427"/>
      <c r="J2989" s="427"/>
      <c r="K2989" s="427"/>
      <c r="M2989" s="427"/>
    </row>
    <row r="2990" spans="2:13">
      <c r="B2990" s="127"/>
      <c r="C2990" s="127"/>
      <c r="E2990" s="427"/>
      <c r="F2990" s="427"/>
      <c r="G2990" s="427"/>
      <c r="H2990" s="427"/>
      <c r="I2990" s="427"/>
      <c r="J2990" s="427"/>
      <c r="K2990" s="427"/>
      <c r="M2990" s="427"/>
    </row>
    <row r="2991" spans="2:13">
      <c r="B2991" s="127"/>
      <c r="C2991" s="127"/>
      <c r="E2991" s="427"/>
      <c r="F2991" s="427"/>
      <c r="G2991" s="427"/>
      <c r="H2991" s="427"/>
      <c r="I2991" s="427"/>
      <c r="J2991" s="427"/>
      <c r="K2991" s="427"/>
      <c r="M2991" s="427"/>
    </row>
    <row r="2992" spans="2:13">
      <c r="B2992" s="127"/>
      <c r="C2992" s="127"/>
      <c r="E2992" s="427"/>
      <c r="F2992" s="427"/>
      <c r="G2992" s="427"/>
      <c r="H2992" s="427"/>
      <c r="I2992" s="427"/>
      <c r="J2992" s="427"/>
      <c r="K2992" s="427"/>
      <c r="M2992" s="427"/>
    </row>
    <row r="2993" spans="2:13">
      <c r="B2993" s="127"/>
      <c r="C2993" s="127"/>
      <c r="D2993" s="429"/>
      <c r="E2993" s="430"/>
      <c r="F2993" s="432"/>
      <c r="G2993" s="432"/>
      <c r="H2993" s="443"/>
      <c r="I2993" s="432"/>
      <c r="J2993" s="443"/>
      <c r="K2993" s="444"/>
      <c r="M2993" s="431"/>
    </row>
    <row r="2994" spans="2:13">
      <c r="B2994" s="127"/>
      <c r="C2994" s="127"/>
      <c r="D2994" s="427"/>
      <c r="E2994" s="427"/>
      <c r="F2994" s="445"/>
      <c r="G2994" s="445"/>
      <c r="H2994" s="446"/>
      <c r="I2994" s="445"/>
      <c r="J2994" s="446"/>
      <c r="K2994" s="447"/>
      <c r="M2994" s="596"/>
    </row>
    <row r="2995" spans="2:13">
      <c r="B2995" s="127"/>
      <c r="C2995" s="127"/>
    </row>
    <row r="2996" spans="2:13">
      <c r="B2996" s="127"/>
      <c r="C2996" s="127"/>
      <c r="E2996" s="427"/>
      <c r="F2996" s="427"/>
      <c r="G2996" s="427"/>
      <c r="H2996" s="427"/>
      <c r="I2996" s="427"/>
      <c r="J2996" s="427"/>
      <c r="K2996" s="427"/>
      <c r="M2996" s="427"/>
    </row>
    <row r="2997" spans="2:13">
      <c r="B2997" s="127"/>
      <c r="C2997" s="127"/>
      <c r="D2997" s="429"/>
      <c r="E2997" s="430"/>
      <c r="F2997" s="432"/>
      <c r="G2997" s="432"/>
      <c r="H2997" s="443"/>
      <c r="I2997" s="432"/>
      <c r="J2997" s="443"/>
      <c r="K2997" s="444"/>
      <c r="M2997" s="431"/>
    </row>
    <row r="2998" spans="2:13">
      <c r="B2998" s="127"/>
      <c r="C2998" s="127"/>
      <c r="D2998" s="427"/>
      <c r="E2998" s="427"/>
      <c r="F2998" s="445"/>
      <c r="G2998" s="445"/>
      <c r="H2998" s="446"/>
      <c r="I2998" s="445"/>
      <c r="J2998" s="446"/>
      <c r="K2998" s="447"/>
      <c r="M2998" s="596"/>
    </row>
    <row r="2999" spans="2:13">
      <c r="B2999" s="127"/>
      <c r="C2999" s="127"/>
    </row>
    <row r="3000" spans="2:13">
      <c r="B3000" s="127"/>
      <c r="C3000" s="127"/>
      <c r="E3000" s="427"/>
      <c r="F3000" s="427"/>
      <c r="G3000" s="427"/>
      <c r="H3000" s="427"/>
      <c r="I3000" s="427"/>
      <c r="J3000" s="427"/>
      <c r="K3000" s="427"/>
      <c r="M3000" s="427"/>
    </row>
    <row r="3001" spans="2:13">
      <c r="B3001" s="127"/>
      <c r="C3001" s="127"/>
      <c r="D3001" s="429"/>
      <c r="E3001" s="430"/>
      <c r="F3001" s="431"/>
      <c r="G3001" s="431"/>
      <c r="H3001" s="436"/>
      <c r="I3001" s="431"/>
      <c r="J3001" s="436"/>
      <c r="K3001" s="437"/>
      <c r="M3001" s="431"/>
    </row>
    <row r="3002" spans="2:13">
      <c r="B3002" s="127"/>
      <c r="C3002" s="127"/>
      <c r="D3002" s="429"/>
      <c r="E3002" s="430"/>
      <c r="F3002" s="431"/>
      <c r="G3002" s="431"/>
      <c r="H3002" s="436"/>
      <c r="I3002" s="431"/>
      <c r="J3002" s="436"/>
      <c r="K3002" s="437"/>
      <c r="M3002" s="431"/>
    </row>
    <row r="3003" spans="2:13">
      <c r="B3003" s="127"/>
      <c r="C3003" s="127"/>
      <c r="D3003" s="429"/>
      <c r="E3003" s="430"/>
      <c r="F3003" s="431"/>
      <c r="G3003" s="431"/>
      <c r="H3003" s="436"/>
      <c r="I3003" s="431"/>
      <c r="J3003" s="436"/>
      <c r="K3003" s="437"/>
      <c r="M3003" s="431"/>
    </row>
    <row r="3004" spans="2:13">
      <c r="B3004" s="127"/>
      <c r="C3004" s="127"/>
      <c r="D3004" s="429"/>
      <c r="E3004" s="430"/>
      <c r="F3004" s="431"/>
      <c r="G3004" s="431"/>
      <c r="H3004" s="436"/>
      <c r="I3004" s="431"/>
      <c r="J3004" s="436"/>
      <c r="K3004" s="437"/>
      <c r="M3004" s="431"/>
    </row>
    <row r="3005" spans="2:13">
      <c r="B3005" s="127"/>
      <c r="C3005" s="127"/>
      <c r="D3005" s="429"/>
      <c r="E3005" s="430"/>
      <c r="F3005" s="431"/>
      <c r="G3005" s="431"/>
      <c r="H3005" s="436"/>
      <c r="I3005" s="431"/>
      <c r="J3005" s="436"/>
      <c r="K3005" s="437"/>
      <c r="M3005" s="431"/>
    </row>
    <row r="3006" spans="2:13">
      <c r="B3006" s="127"/>
      <c r="C3006" s="127"/>
      <c r="D3006" s="429"/>
      <c r="E3006" s="430"/>
      <c r="F3006" s="431"/>
      <c r="G3006" s="431"/>
      <c r="H3006" s="436"/>
      <c r="I3006" s="431"/>
      <c r="J3006" s="436"/>
      <c r="K3006" s="437"/>
      <c r="M3006" s="431"/>
    </row>
    <row r="3007" spans="2:13">
      <c r="B3007" s="127"/>
      <c r="C3007" s="127"/>
      <c r="D3007" s="429"/>
      <c r="E3007" s="430"/>
      <c r="F3007" s="431"/>
      <c r="G3007" s="431"/>
      <c r="H3007" s="436"/>
      <c r="I3007" s="431"/>
      <c r="J3007" s="436"/>
      <c r="K3007" s="437"/>
      <c r="M3007" s="431"/>
    </row>
    <row r="3008" spans="2:13">
      <c r="B3008" s="127"/>
      <c r="C3008" s="127"/>
      <c r="D3008" s="429"/>
      <c r="E3008" s="430"/>
      <c r="F3008" s="431"/>
      <c r="G3008" s="431"/>
      <c r="H3008" s="436"/>
      <c r="I3008" s="431"/>
      <c r="J3008" s="436"/>
      <c r="K3008" s="437"/>
      <c r="M3008" s="431"/>
    </row>
    <row r="3009" spans="2:13">
      <c r="B3009" s="127"/>
      <c r="C3009" s="127"/>
      <c r="D3009" s="429"/>
      <c r="E3009" s="430"/>
      <c r="F3009" s="431"/>
      <c r="G3009" s="431"/>
      <c r="H3009" s="436"/>
      <c r="I3009" s="431"/>
      <c r="J3009" s="436"/>
      <c r="K3009" s="437"/>
      <c r="M3009" s="431"/>
    </row>
    <row r="3010" spans="2:13">
      <c r="B3010" s="127"/>
      <c r="C3010" s="127"/>
      <c r="D3010" s="429"/>
      <c r="E3010" s="430"/>
      <c r="F3010" s="431"/>
      <c r="G3010" s="431"/>
      <c r="H3010" s="436"/>
      <c r="I3010" s="431"/>
      <c r="J3010" s="436"/>
      <c r="K3010" s="437"/>
      <c r="M3010" s="431"/>
    </row>
    <row r="3011" spans="2:13">
      <c r="B3011" s="127"/>
      <c r="C3011" s="127"/>
      <c r="D3011" s="429"/>
      <c r="E3011" s="430"/>
      <c r="F3011" s="431"/>
      <c r="G3011" s="431"/>
      <c r="H3011" s="436"/>
      <c r="I3011" s="431"/>
      <c r="J3011" s="436"/>
      <c r="K3011" s="437"/>
      <c r="M3011" s="431"/>
    </row>
    <row r="3012" spans="2:13">
      <c r="B3012" s="127"/>
      <c r="C3012" s="127"/>
    </row>
    <row r="3013" spans="2:13">
      <c r="B3013" s="127"/>
      <c r="C3013" s="127"/>
      <c r="D3013" s="438"/>
      <c r="E3013" s="438"/>
      <c r="F3013" s="438"/>
      <c r="G3013" s="438"/>
      <c r="H3013" s="438"/>
      <c r="I3013" s="438"/>
      <c r="J3013" s="438"/>
      <c r="K3013" s="438"/>
      <c r="M3013" s="597"/>
    </row>
    <row r="3014" spans="2:13" ht="16.2" thickBot="1">
      <c r="B3014" s="127"/>
      <c r="C3014" s="127"/>
      <c r="D3014" s="439"/>
      <c r="E3014" s="439"/>
      <c r="F3014" s="440"/>
      <c r="G3014" s="440"/>
      <c r="H3014" s="440"/>
      <c r="I3014" s="440"/>
      <c r="J3014" s="439"/>
      <c r="K3014" s="439"/>
    </row>
    <row r="3015" spans="2:13">
      <c r="B3015" s="127"/>
      <c r="C3015" s="127"/>
      <c r="D3015" s="441"/>
      <c r="E3015" s="441"/>
      <c r="F3015" s="441"/>
      <c r="G3015" s="442"/>
      <c r="H3015" s="441"/>
      <c r="I3015" s="441"/>
      <c r="J3015" s="441"/>
      <c r="K3015" s="441"/>
      <c r="M3015" s="455"/>
    </row>
    <row r="3016" spans="2:13">
      <c r="B3016" s="127"/>
      <c r="C3016" s="127"/>
    </row>
    <row r="3017" spans="2:13">
      <c r="B3017" s="127"/>
      <c r="C3017" s="127"/>
      <c r="J3017" s="428"/>
    </row>
    <row r="3018" spans="2:13">
      <c r="B3018" s="127"/>
      <c r="C3018" s="127"/>
      <c r="F3018" s="428"/>
      <c r="G3018" s="428"/>
      <c r="H3018" s="435"/>
      <c r="I3018" s="428"/>
      <c r="J3018" s="428"/>
      <c r="K3018" s="435"/>
      <c r="M3018" s="428"/>
    </row>
    <row r="3019" spans="2:13">
      <c r="B3019" s="127"/>
      <c r="C3019" s="127"/>
    </row>
    <row r="3020" spans="2:13">
      <c r="B3020" s="127"/>
      <c r="C3020" s="127"/>
      <c r="D3020" s="429"/>
      <c r="E3020" s="430"/>
      <c r="F3020" s="431"/>
      <c r="G3020" s="431"/>
      <c r="H3020" s="436"/>
      <c r="I3020" s="431"/>
      <c r="J3020" s="436"/>
      <c r="K3020" s="437"/>
      <c r="M3020" s="431"/>
    </row>
    <row r="3021" spans="2:13">
      <c r="B3021" s="127"/>
      <c r="C3021" s="127"/>
      <c r="D3021" s="429"/>
      <c r="E3021" s="430"/>
      <c r="F3021" s="431"/>
      <c r="G3021" s="431"/>
      <c r="H3021" s="436"/>
      <c r="I3021" s="431"/>
      <c r="J3021" s="436"/>
      <c r="K3021" s="437"/>
      <c r="M3021" s="431"/>
    </row>
    <row r="3022" spans="2:13">
      <c r="B3022" s="127"/>
      <c r="C3022" s="127"/>
      <c r="D3022" s="429"/>
      <c r="E3022" s="430"/>
      <c r="F3022" s="431"/>
      <c r="G3022" s="431"/>
      <c r="H3022" s="436"/>
      <c r="I3022" s="431"/>
      <c r="J3022" s="436"/>
      <c r="K3022" s="437"/>
      <c r="M3022" s="431"/>
    </row>
    <row r="3023" spans="2:13">
      <c r="B3023" s="127"/>
      <c r="C3023" s="127"/>
      <c r="D3023" s="429"/>
      <c r="E3023" s="430"/>
      <c r="F3023" s="431"/>
      <c r="G3023" s="431"/>
      <c r="H3023" s="436"/>
      <c r="I3023" s="431"/>
      <c r="J3023" s="436"/>
      <c r="K3023" s="437"/>
      <c r="M3023" s="431"/>
    </row>
    <row r="3024" spans="2:13">
      <c r="B3024" s="127"/>
      <c r="C3024" s="127"/>
      <c r="D3024" s="429"/>
      <c r="E3024" s="430"/>
      <c r="F3024" s="431"/>
      <c r="G3024" s="431"/>
      <c r="H3024" s="436"/>
      <c r="I3024" s="431"/>
      <c r="J3024" s="436"/>
      <c r="K3024" s="437"/>
      <c r="M3024" s="431"/>
    </row>
    <row r="3025" spans="2:13">
      <c r="B3025" s="127"/>
      <c r="C3025" s="127"/>
      <c r="D3025" s="429"/>
      <c r="E3025" s="430"/>
      <c r="F3025" s="431"/>
      <c r="G3025" s="431"/>
      <c r="H3025" s="436"/>
      <c r="I3025" s="431"/>
      <c r="J3025" s="436"/>
      <c r="K3025" s="437"/>
      <c r="M3025" s="431"/>
    </row>
    <row r="3026" spans="2:13">
      <c r="B3026" s="127"/>
      <c r="C3026" s="127"/>
      <c r="D3026" s="429"/>
      <c r="E3026" s="430"/>
      <c r="F3026" s="431"/>
      <c r="G3026" s="431"/>
      <c r="H3026" s="436"/>
      <c r="I3026" s="431"/>
      <c r="J3026" s="436"/>
      <c r="K3026" s="437"/>
      <c r="M3026" s="431"/>
    </row>
    <row r="3027" spans="2:13">
      <c r="B3027" s="127"/>
      <c r="C3027" s="127"/>
      <c r="D3027" s="429"/>
      <c r="E3027" s="430"/>
      <c r="F3027" s="431"/>
      <c r="G3027" s="431"/>
      <c r="H3027" s="436"/>
      <c r="I3027" s="431"/>
      <c r="J3027" s="436"/>
      <c r="K3027" s="437"/>
      <c r="M3027" s="431"/>
    </row>
    <row r="3028" spans="2:13">
      <c r="B3028" s="127"/>
      <c r="C3028" s="127"/>
      <c r="D3028" s="429"/>
      <c r="E3028" s="430"/>
      <c r="F3028" s="431"/>
      <c r="G3028" s="431"/>
      <c r="H3028" s="436"/>
      <c r="I3028" s="431"/>
      <c r="J3028" s="436"/>
      <c r="K3028" s="437"/>
      <c r="M3028" s="431"/>
    </row>
    <row r="3029" spans="2:13">
      <c r="B3029" s="127"/>
      <c r="C3029" s="127"/>
      <c r="D3029" s="429"/>
      <c r="E3029" s="430"/>
      <c r="F3029" s="431"/>
      <c r="G3029" s="431"/>
      <c r="H3029" s="436"/>
      <c r="I3029" s="431"/>
      <c r="J3029" s="436"/>
      <c r="K3029" s="437"/>
      <c r="M3029" s="431"/>
    </row>
    <row r="3030" spans="2:13">
      <c r="B3030" s="127"/>
      <c r="C3030" s="127"/>
      <c r="D3030" s="429"/>
      <c r="E3030" s="430"/>
      <c r="F3030" s="431"/>
      <c r="G3030" s="431"/>
      <c r="H3030" s="436"/>
      <c r="I3030" s="431"/>
      <c r="J3030" s="436"/>
      <c r="K3030" s="437"/>
      <c r="M3030" s="431"/>
    </row>
    <row r="3031" spans="2:13">
      <c r="B3031" s="127"/>
      <c r="C3031" s="127"/>
      <c r="D3031" s="429"/>
      <c r="E3031" s="430"/>
      <c r="F3031" s="431"/>
      <c r="G3031" s="431"/>
      <c r="H3031" s="436"/>
      <c r="I3031" s="431"/>
      <c r="J3031" s="436"/>
      <c r="K3031" s="437"/>
      <c r="M3031" s="431"/>
    </row>
    <row r="3032" spans="2:13">
      <c r="B3032" s="127"/>
      <c r="C3032" s="127"/>
      <c r="D3032" s="429"/>
      <c r="E3032" s="430"/>
      <c r="F3032" s="431"/>
      <c r="G3032" s="431"/>
      <c r="H3032" s="436"/>
      <c r="I3032" s="431"/>
      <c r="J3032" s="436"/>
      <c r="K3032" s="437"/>
      <c r="M3032" s="431"/>
    </row>
    <row r="3033" spans="2:13">
      <c r="B3033" s="127"/>
      <c r="C3033" s="127"/>
      <c r="D3033" s="429"/>
      <c r="E3033" s="430"/>
      <c r="F3033" s="431"/>
      <c r="G3033" s="431"/>
      <c r="H3033" s="436"/>
      <c r="I3033" s="431"/>
      <c r="J3033" s="436"/>
      <c r="K3033" s="437"/>
      <c r="M3033" s="431"/>
    </row>
    <row r="3034" spans="2:13">
      <c r="B3034" s="127"/>
      <c r="C3034" s="127"/>
      <c r="D3034" s="429"/>
      <c r="E3034" s="430"/>
      <c r="F3034" s="431"/>
      <c r="G3034" s="431"/>
      <c r="H3034" s="436"/>
      <c r="I3034" s="431"/>
      <c r="J3034" s="436"/>
      <c r="K3034" s="437"/>
      <c r="M3034" s="431"/>
    </row>
    <row r="3035" spans="2:13">
      <c r="B3035" s="127"/>
      <c r="C3035" s="127"/>
      <c r="D3035" s="429"/>
      <c r="E3035" s="430"/>
      <c r="F3035" s="431"/>
      <c r="G3035" s="431"/>
      <c r="H3035" s="436"/>
      <c r="I3035" s="431"/>
      <c r="J3035" s="436"/>
      <c r="K3035" s="437"/>
      <c r="M3035" s="431"/>
    </row>
    <row r="3036" spans="2:13">
      <c r="B3036" s="127"/>
      <c r="C3036" s="127"/>
      <c r="D3036" s="429"/>
      <c r="E3036" s="430"/>
      <c r="F3036" s="431"/>
      <c r="G3036" s="431"/>
      <c r="H3036" s="436"/>
      <c r="I3036" s="431"/>
      <c r="J3036" s="436"/>
      <c r="K3036" s="437"/>
      <c r="M3036" s="431"/>
    </row>
    <row r="3037" spans="2:13">
      <c r="B3037" s="127"/>
      <c r="C3037" s="127"/>
      <c r="D3037" s="429"/>
      <c r="E3037" s="430"/>
      <c r="F3037" s="431"/>
      <c r="G3037" s="431"/>
      <c r="H3037" s="436"/>
      <c r="I3037" s="431"/>
      <c r="J3037" s="436"/>
      <c r="K3037" s="437"/>
      <c r="M3037" s="431"/>
    </row>
    <row r="3038" spans="2:13">
      <c r="B3038" s="127"/>
      <c r="C3038" s="127"/>
      <c r="D3038" s="429"/>
      <c r="E3038" s="430"/>
      <c r="F3038" s="431"/>
      <c r="G3038" s="431"/>
      <c r="H3038" s="436"/>
      <c r="I3038" s="431"/>
      <c r="J3038" s="436"/>
      <c r="K3038" s="437"/>
      <c r="M3038" s="431"/>
    </row>
    <row r="3039" spans="2:13">
      <c r="B3039" s="127"/>
      <c r="C3039" s="127"/>
      <c r="D3039" s="429"/>
      <c r="E3039" s="430"/>
      <c r="F3039" s="431"/>
      <c r="G3039" s="431"/>
      <c r="H3039" s="436"/>
      <c r="I3039" s="431"/>
      <c r="J3039" s="436"/>
      <c r="K3039" s="437"/>
      <c r="M3039" s="431"/>
    </row>
    <row r="3040" spans="2:13">
      <c r="B3040" s="127"/>
      <c r="C3040" s="127"/>
      <c r="D3040" s="429"/>
      <c r="E3040" s="430"/>
      <c r="F3040" s="431"/>
      <c r="G3040" s="431"/>
      <c r="H3040" s="436"/>
      <c r="I3040" s="431"/>
      <c r="J3040" s="436"/>
      <c r="K3040" s="437"/>
      <c r="M3040" s="431"/>
    </row>
    <row r="3041" spans="2:13">
      <c r="B3041" s="127"/>
      <c r="C3041" s="127"/>
      <c r="D3041" s="429"/>
      <c r="E3041" s="430"/>
      <c r="F3041" s="431"/>
      <c r="G3041" s="431"/>
      <c r="H3041" s="436"/>
      <c r="I3041" s="431"/>
      <c r="J3041" s="436"/>
      <c r="K3041" s="437"/>
      <c r="M3041" s="431"/>
    </row>
    <row r="3042" spans="2:13">
      <c r="B3042" s="127"/>
      <c r="C3042" s="127"/>
      <c r="D3042" s="429"/>
      <c r="E3042" s="430"/>
      <c r="F3042" s="431"/>
      <c r="G3042" s="431"/>
      <c r="H3042" s="436"/>
      <c r="I3042" s="431"/>
      <c r="J3042" s="436"/>
      <c r="K3042" s="437"/>
      <c r="M3042" s="431"/>
    </row>
    <row r="3043" spans="2:13">
      <c r="B3043" s="127"/>
      <c r="C3043" s="127"/>
      <c r="D3043" s="429"/>
      <c r="E3043" s="430"/>
      <c r="F3043" s="432"/>
      <c r="G3043" s="432"/>
      <c r="H3043" s="443"/>
      <c r="I3043" s="432"/>
      <c r="J3043" s="443"/>
      <c r="K3043" s="444"/>
      <c r="M3043" s="431"/>
    </row>
    <row r="3044" spans="2:13">
      <c r="B3044" s="127"/>
      <c r="C3044" s="127"/>
      <c r="D3044" s="427"/>
      <c r="E3044" s="427"/>
      <c r="F3044" s="445"/>
      <c r="G3044" s="445"/>
      <c r="H3044" s="446"/>
      <c r="I3044" s="445"/>
      <c r="J3044" s="446"/>
      <c r="K3044" s="447"/>
      <c r="M3044" s="596"/>
    </row>
    <row r="3045" spans="2:13">
      <c r="B3045" s="127"/>
      <c r="C3045" s="127"/>
      <c r="F3045" s="398"/>
      <c r="G3045" s="398"/>
      <c r="H3045" s="398"/>
      <c r="I3045" s="398"/>
      <c r="J3045" s="398"/>
      <c r="K3045" s="398"/>
    </row>
    <row r="3046" spans="2:13">
      <c r="B3046" s="127"/>
      <c r="C3046" s="127"/>
      <c r="D3046" s="427"/>
      <c r="E3046" s="427"/>
      <c r="F3046" s="445"/>
      <c r="G3046" s="445"/>
      <c r="H3046" s="446"/>
      <c r="I3046" s="445"/>
      <c r="J3046" s="446"/>
      <c r="K3046" s="447"/>
      <c r="M3046" s="596"/>
    </row>
    <row r="3047" spans="2:13">
      <c r="B3047" s="127"/>
      <c r="C3047" s="127"/>
      <c r="F3047" s="398"/>
      <c r="G3047" s="398"/>
      <c r="H3047" s="398"/>
      <c r="I3047" s="398"/>
      <c r="J3047" s="398"/>
      <c r="K3047" s="398"/>
    </row>
    <row r="3048" spans="2:13">
      <c r="B3048" s="127"/>
      <c r="C3048" s="127"/>
      <c r="D3048" s="427"/>
      <c r="E3048" s="427"/>
      <c r="F3048" s="445"/>
      <c r="G3048" s="445"/>
      <c r="H3048" s="446"/>
      <c r="I3048" s="445"/>
      <c r="J3048" s="446"/>
      <c r="K3048" s="447"/>
      <c r="M3048" s="596"/>
    </row>
    <row r="3049" spans="2:13">
      <c r="B3049" s="127"/>
      <c r="C3049" s="127"/>
      <c r="F3049" s="398"/>
      <c r="G3049" s="398"/>
      <c r="H3049" s="398"/>
      <c r="I3049" s="398"/>
      <c r="J3049" s="398"/>
      <c r="K3049" s="398"/>
    </row>
    <row r="3050" spans="2:13">
      <c r="B3050" s="127"/>
      <c r="C3050" s="127"/>
      <c r="D3050" s="427"/>
      <c r="E3050" s="427"/>
      <c r="F3050" s="445"/>
      <c r="G3050" s="445"/>
      <c r="H3050" s="446"/>
      <c r="I3050" s="445"/>
      <c r="J3050" s="446"/>
      <c r="K3050" s="447"/>
      <c r="M3050" s="596"/>
    </row>
    <row r="3051" spans="2:13">
      <c r="B3051" s="127"/>
      <c r="C3051" s="127"/>
      <c r="F3051" s="398"/>
      <c r="G3051" s="398"/>
      <c r="H3051" s="398"/>
      <c r="I3051" s="398"/>
      <c r="J3051" s="398"/>
      <c r="K3051" s="398"/>
    </row>
    <row r="3052" spans="2:13">
      <c r="B3052" s="127"/>
      <c r="C3052" s="127"/>
      <c r="D3052" s="427"/>
      <c r="E3052" s="427"/>
      <c r="F3052" s="445"/>
      <c r="G3052" s="445"/>
      <c r="H3052" s="446"/>
      <c r="I3052" s="445"/>
      <c r="J3052" s="446"/>
      <c r="K3052" s="447"/>
      <c r="M3052" s="596"/>
    </row>
    <row r="3053" spans="2:13">
      <c r="B3053" s="127"/>
      <c r="C3053" s="127"/>
    </row>
    <row r="3054" spans="2:13">
      <c r="B3054" s="127"/>
      <c r="C3054" s="127"/>
      <c r="D3054" s="427"/>
      <c r="E3054" s="427"/>
      <c r="F3054" s="427"/>
      <c r="G3054" s="427"/>
      <c r="H3054" s="427"/>
      <c r="I3054" s="427"/>
      <c r="J3054" s="427"/>
      <c r="K3054" s="427"/>
      <c r="M3054" s="427"/>
    </row>
    <row r="3055" spans="2:13">
      <c r="B3055" s="127"/>
      <c r="C3055" s="127"/>
      <c r="E3055" s="427"/>
      <c r="F3055" s="427"/>
      <c r="G3055" s="427"/>
      <c r="H3055" s="427"/>
      <c r="I3055" s="427"/>
      <c r="J3055" s="427"/>
      <c r="K3055" s="427"/>
      <c r="M3055" s="427"/>
    </row>
    <row r="3056" spans="2:13">
      <c r="B3056" s="127"/>
      <c r="C3056" s="127"/>
      <c r="E3056" s="427"/>
      <c r="F3056" s="427"/>
      <c r="G3056" s="427"/>
      <c r="H3056" s="427"/>
      <c r="I3056" s="427"/>
      <c r="J3056" s="427"/>
      <c r="K3056" s="427"/>
      <c r="M3056" s="427"/>
    </row>
    <row r="3057" spans="2:13">
      <c r="B3057" s="127"/>
      <c r="C3057" s="127"/>
      <c r="E3057" s="427"/>
      <c r="F3057" s="427"/>
      <c r="G3057" s="427"/>
      <c r="H3057" s="427"/>
      <c r="I3057" s="427"/>
      <c r="J3057" s="427"/>
      <c r="K3057" s="427"/>
      <c r="M3057" s="427"/>
    </row>
    <row r="3058" spans="2:13">
      <c r="B3058" s="127"/>
      <c r="C3058" s="127"/>
      <c r="E3058" s="427"/>
      <c r="F3058" s="427"/>
      <c r="G3058" s="427"/>
      <c r="H3058" s="427"/>
      <c r="I3058" s="427"/>
      <c r="J3058" s="427"/>
      <c r="K3058" s="427"/>
      <c r="M3058" s="427"/>
    </row>
    <row r="3059" spans="2:13">
      <c r="B3059" s="127"/>
      <c r="C3059" s="127"/>
      <c r="D3059" s="429"/>
      <c r="E3059" s="430"/>
      <c r="F3059" s="431"/>
      <c r="G3059" s="431"/>
      <c r="H3059" s="436"/>
      <c r="I3059" s="431"/>
      <c r="J3059" s="436"/>
      <c r="K3059" s="437"/>
      <c r="M3059" s="431"/>
    </row>
    <row r="3060" spans="2:13">
      <c r="B3060" s="127"/>
      <c r="C3060" s="127"/>
      <c r="D3060" s="429"/>
      <c r="E3060" s="430"/>
      <c r="F3060" s="431"/>
      <c r="G3060" s="431"/>
      <c r="H3060" s="436"/>
      <c r="I3060" s="431"/>
      <c r="J3060" s="436"/>
      <c r="K3060" s="437"/>
      <c r="M3060" s="431"/>
    </row>
    <row r="3061" spans="2:13">
      <c r="B3061" s="127"/>
      <c r="C3061" s="127"/>
      <c r="D3061" s="429"/>
      <c r="E3061" s="430"/>
      <c r="F3061" s="432"/>
      <c r="G3061" s="432"/>
      <c r="H3061" s="443"/>
      <c r="I3061" s="432"/>
      <c r="J3061" s="443"/>
      <c r="K3061" s="444"/>
      <c r="M3061" s="431"/>
    </row>
    <row r="3062" spans="2:13">
      <c r="B3062" s="127"/>
      <c r="C3062" s="127"/>
      <c r="D3062" s="427"/>
      <c r="E3062" s="427"/>
      <c r="F3062" s="445"/>
      <c r="G3062" s="445"/>
      <c r="H3062" s="446"/>
      <c r="I3062" s="445"/>
      <c r="J3062" s="446"/>
      <c r="K3062" s="447"/>
      <c r="M3062" s="596"/>
    </row>
    <row r="3063" spans="2:13">
      <c r="B3063" s="127"/>
      <c r="C3063" s="127"/>
      <c r="F3063" s="398"/>
      <c r="G3063" s="398"/>
      <c r="H3063" s="398"/>
      <c r="I3063" s="398"/>
      <c r="J3063" s="398"/>
      <c r="K3063" s="398"/>
    </row>
    <row r="3064" spans="2:13">
      <c r="B3064" s="127"/>
      <c r="C3064" s="127"/>
      <c r="D3064" s="427"/>
      <c r="E3064" s="427"/>
      <c r="F3064" s="445"/>
      <c r="G3064" s="445"/>
      <c r="H3064" s="446"/>
      <c r="I3064" s="445"/>
      <c r="J3064" s="446"/>
      <c r="K3064" s="447"/>
      <c r="M3064" s="596"/>
    </row>
    <row r="3065" spans="2:13">
      <c r="B3065" s="127"/>
      <c r="C3065" s="127"/>
      <c r="F3065" s="398"/>
      <c r="G3065" s="398"/>
      <c r="H3065" s="398"/>
      <c r="I3065" s="398"/>
      <c r="J3065" s="398"/>
      <c r="K3065" s="398"/>
    </row>
    <row r="3066" spans="2:13">
      <c r="B3066" s="127"/>
      <c r="C3066" s="127"/>
      <c r="D3066" s="427"/>
      <c r="E3066" s="427"/>
      <c r="F3066" s="445"/>
      <c r="G3066" s="445"/>
      <c r="H3066" s="446"/>
      <c r="I3066" s="445"/>
      <c r="J3066" s="446"/>
      <c r="K3066" s="447"/>
      <c r="M3066" s="596"/>
    </row>
    <row r="3067" spans="2:13">
      <c r="B3067" s="127"/>
      <c r="C3067" s="127"/>
      <c r="F3067" s="398"/>
      <c r="G3067" s="398"/>
      <c r="H3067" s="398"/>
      <c r="I3067" s="398"/>
      <c r="J3067" s="398"/>
      <c r="K3067" s="398"/>
    </row>
    <row r="3068" spans="2:13">
      <c r="B3068" s="127"/>
      <c r="C3068" s="127"/>
      <c r="D3068" s="427"/>
      <c r="E3068" s="427"/>
      <c r="F3068" s="445"/>
      <c r="G3068" s="445"/>
      <c r="H3068" s="446"/>
      <c r="I3068" s="445"/>
      <c r="J3068" s="446"/>
      <c r="K3068" s="447"/>
      <c r="M3068" s="596"/>
    </row>
    <row r="3069" spans="2:13">
      <c r="B3069" s="127"/>
      <c r="C3069" s="127"/>
    </row>
    <row r="3070" spans="2:13">
      <c r="B3070" s="127"/>
      <c r="C3070" s="127"/>
      <c r="E3070" s="427"/>
      <c r="F3070" s="427"/>
      <c r="G3070" s="427"/>
      <c r="H3070" s="427"/>
      <c r="I3070" s="427"/>
      <c r="J3070" s="427"/>
      <c r="K3070" s="427"/>
      <c r="M3070" s="427"/>
    </row>
    <row r="3071" spans="2:13">
      <c r="B3071" s="127"/>
      <c r="C3071" s="127"/>
      <c r="E3071" s="427"/>
      <c r="F3071" s="427"/>
      <c r="G3071" s="427"/>
      <c r="H3071" s="427"/>
      <c r="I3071" s="427"/>
      <c r="J3071" s="427"/>
      <c r="K3071" s="427"/>
      <c r="M3071" s="427"/>
    </row>
    <row r="3072" spans="2:13">
      <c r="B3072" s="127"/>
      <c r="C3072" s="127"/>
      <c r="E3072" s="427"/>
      <c r="F3072" s="427"/>
      <c r="G3072" s="427"/>
      <c r="H3072" s="427"/>
      <c r="I3072" s="427"/>
      <c r="J3072" s="427"/>
      <c r="K3072" s="427"/>
      <c r="M3072" s="427"/>
    </row>
    <row r="3073" spans="2:13">
      <c r="B3073" s="127"/>
      <c r="C3073" s="127"/>
      <c r="E3073" s="427"/>
      <c r="F3073" s="427"/>
      <c r="G3073" s="427"/>
      <c r="H3073" s="427"/>
      <c r="I3073" s="427"/>
      <c r="J3073" s="427"/>
      <c r="K3073" s="427"/>
      <c r="M3073" s="427"/>
    </row>
    <row r="3074" spans="2:13">
      <c r="B3074" s="127"/>
      <c r="C3074" s="127"/>
      <c r="D3074" s="429"/>
      <c r="E3074" s="430"/>
      <c r="F3074" s="432"/>
      <c r="G3074" s="432"/>
      <c r="H3074" s="443"/>
      <c r="I3074" s="432"/>
      <c r="J3074" s="443"/>
      <c r="K3074" s="444"/>
      <c r="M3074" s="431"/>
    </row>
    <row r="3075" spans="2:13">
      <c r="B3075" s="127"/>
      <c r="C3075" s="127"/>
      <c r="D3075" s="427"/>
      <c r="E3075" s="427"/>
      <c r="F3075" s="445"/>
      <c r="G3075" s="445"/>
      <c r="H3075" s="446"/>
      <c r="I3075" s="445"/>
      <c r="J3075" s="446"/>
      <c r="K3075" s="447"/>
      <c r="M3075" s="596"/>
    </row>
    <row r="3076" spans="2:13">
      <c r="B3076" s="127"/>
      <c r="C3076" s="127"/>
      <c r="F3076" s="398"/>
      <c r="G3076" s="398"/>
      <c r="H3076" s="398"/>
      <c r="I3076" s="398"/>
      <c r="J3076" s="398"/>
      <c r="K3076" s="398"/>
    </row>
    <row r="3077" spans="2:13">
      <c r="B3077" s="127"/>
      <c r="C3077" s="127"/>
      <c r="D3077" s="427"/>
      <c r="E3077" s="427"/>
      <c r="F3077" s="445"/>
      <c r="G3077" s="445"/>
      <c r="H3077" s="446"/>
      <c r="I3077" s="445"/>
      <c r="J3077" s="446"/>
      <c r="K3077" s="447"/>
      <c r="M3077" s="596"/>
    </row>
    <row r="3078" spans="2:13">
      <c r="B3078" s="127"/>
      <c r="C3078" s="127"/>
      <c r="F3078" s="398"/>
      <c r="G3078" s="398"/>
      <c r="H3078" s="398"/>
      <c r="I3078" s="398"/>
      <c r="J3078" s="398"/>
      <c r="K3078" s="398"/>
    </row>
    <row r="3079" spans="2:13">
      <c r="B3079" s="127"/>
      <c r="C3079" s="127"/>
      <c r="D3079" s="427"/>
      <c r="E3079" s="427"/>
      <c r="F3079" s="445"/>
      <c r="G3079" s="445"/>
      <c r="H3079" s="446"/>
      <c r="I3079" s="445"/>
      <c r="J3079" s="446"/>
      <c r="K3079" s="447"/>
      <c r="M3079" s="596"/>
    </row>
    <row r="3080" spans="2:13">
      <c r="B3080" s="127"/>
      <c r="C3080" s="127"/>
      <c r="F3080" s="398"/>
      <c r="G3080" s="398"/>
      <c r="H3080" s="398"/>
      <c r="I3080" s="398"/>
      <c r="J3080" s="398"/>
      <c r="K3080" s="398"/>
    </row>
    <row r="3081" spans="2:13">
      <c r="B3081" s="127"/>
      <c r="C3081" s="127"/>
      <c r="D3081" s="427"/>
      <c r="E3081" s="427"/>
      <c r="F3081" s="445"/>
      <c r="G3081" s="445"/>
      <c r="H3081" s="446"/>
      <c r="I3081" s="445"/>
      <c r="J3081" s="446"/>
      <c r="K3081" s="447"/>
      <c r="M3081" s="596"/>
    </row>
    <row r="3082" spans="2:13">
      <c r="B3082" s="127"/>
      <c r="C3082" s="127"/>
      <c r="F3082" s="398"/>
      <c r="G3082" s="398"/>
      <c r="H3082" s="398"/>
      <c r="I3082" s="398"/>
      <c r="J3082" s="398"/>
      <c r="K3082" s="398"/>
    </row>
    <row r="3083" spans="2:13">
      <c r="B3083" s="127"/>
      <c r="C3083" s="127"/>
      <c r="D3083" s="427"/>
      <c r="E3083" s="427"/>
      <c r="F3083" s="445"/>
      <c r="G3083" s="445"/>
      <c r="H3083" s="446"/>
      <c r="I3083" s="445"/>
      <c r="J3083" s="446"/>
      <c r="K3083" s="447"/>
      <c r="M3083" s="596"/>
    </row>
    <row r="3084" spans="2:13">
      <c r="B3084" s="127"/>
      <c r="C3084" s="127"/>
    </row>
    <row r="3085" spans="2:13">
      <c r="B3085" s="127"/>
      <c r="C3085" s="127"/>
    </row>
    <row r="3086" spans="2:13">
      <c r="B3086" s="127"/>
      <c r="C3086" s="127"/>
      <c r="D3086" s="438"/>
      <c r="E3086" s="438"/>
      <c r="F3086" s="438"/>
      <c r="G3086" s="438"/>
      <c r="H3086" s="438"/>
      <c r="I3086" s="438"/>
      <c r="J3086" s="438"/>
      <c r="K3086" s="438"/>
      <c r="M3086" s="597"/>
    </row>
    <row r="3087" spans="2:13" ht="16.2" thickBot="1">
      <c r="B3087" s="127"/>
      <c r="C3087" s="127"/>
      <c r="D3087" s="439"/>
      <c r="E3087" s="439"/>
      <c r="F3087" s="440"/>
      <c r="G3087" s="440"/>
      <c r="H3087" s="440"/>
      <c r="I3087" s="440"/>
      <c r="J3087" s="439"/>
      <c r="K3087" s="439"/>
    </row>
    <row r="3088" spans="2:13">
      <c r="B3088" s="127"/>
      <c r="C3088" s="127"/>
      <c r="D3088" s="441"/>
      <c r="E3088" s="441"/>
      <c r="F3088" s="441"/>
      <c r="G3088" s="442"/>
      <c r="H3088" s="441"/>
      <c r="I3088" s="441"/>
      <c r="J3088" s="441"/>
      <c r="K3088" s="441"/>
      <c r="M3088" s="455"/>
    </row>
    <row r="3089" spans="2:13">
      <c r="B3089" s="127"/>
      <c r="C3089" s="127"/>
    </row>
    <row r="3090" spans="2:13">
      <c r="B3090" s="127"/>
      <c r="C3090" s="127"/>
      <c r="J3090" s="428"/>
    </row>
    <row r="3091" spans="2:13">
      <c r="B3091" s="127"/>
      <c r="C3091" s="127"/>
      <c r="F3091" s="428"/>
      <c r="G3091" s="428"/>
      <c r="H3091" s="435"/>
      <c r="I3091" s="428"/>
      <c r="J3091" s="428"/>
      <c r="K3091" s="435"/>
      <c r="M3091" s="428"/>
    </row>
    <row r="3092" spans="2:13">
      <c r="B3092" s="127"/>
      <c r="C3092" s="127"/>
    </row>
    <row r="3093" spans="2:13">
      <c r="B3093" s="127"/>
      <c r="C3093" s="127"/>
      <c r="D3093" s="427"/>
      <c r="E3093" s="427"/>
      <c r="F3093" s="427"/>
      <c r="G3093" s="427"/>
      <c r="H3093" s="427"/>
      <c r="I3093" s="427"/>
      <c r="J3093" s="427"/>
      <c r="K3093" s="427"/>
      <c r="M3093" s="427"/>
    </row>
    <row r="3094" spans="2:13">
      <c r="B3094" s="127"/>
      <c r="C3094" s="127"/>
      <c r="E3094" s="427"/>
      <c r="F3094" s="427"/>
      <c r="G3094" s="427"/>
      <c r="H3094" s="427"/>
      <c r="I3094" s="427"/>
      <c r="J3094" s="427"/>
      <c r="K3094" s="427"/>
      <c r="M3094" s="427"/>
    </row>
    <row r="3095" spans="2:13">
      <c r="B3095" s="127"/>
      <c r="C3095" s="127"/>
      <c r="E3095" s="427"/>
      <c r="F3095" s="427"/>
      <c r="G3095" s="427"/>
      <c r="H3095" s="427"/>
      <c r="I3095" s="427"/>
      <c r="J3095" s="427"/>
      <c r="K3095" s="427"/>
      <c r="M3095" s="427"/>
    </row>
    <row r="3096" spans="2:13">
      <c r="B3096" s="127"/>
      <c r="C3096" s="127"/>
      <c r="E3096" s="427"/>
      <c r="F3096" s="427"/>
      <c r="G3096" s="427"/>
      <c r="H3096" s="427"/>
      <c r="I3096" s="427"/>
      <c r="J3096" s="427"/>
      <c r="K3096" s="427"/>
      <c r="M3096" s="427"/>
    </row>
    <row r="3097" spans="2:13">
      <c r="B3097" s="127"/>
      <c r="C3097" s="127"/>
      <c r="E3097" s="427"/>
      <c r="F3097" s="427"/>
      <c r="G3097" s="427"/>
      <c r="H3097" s="427"/>
      <c r="I3097" s="427"/>
      <c r="J3097" s="427"/>
      <c r="K3097" s="427"/>
      <c r="M3097" s="427"/>
    </row>
    <row r="3098" spans="2:13">
      <c r="B3098" s="127"/>
      <c r="C3098" s="127"/>
      <c r="D3098" s="429"/>
      <c r="E3098" s="430"/>
      <c r="F3098" s="432"/>
      <c r="G3098" s="432"/>
      <c r="H3098" s="443"/>
      <c r="I3098" s="432"/>
      <c r="J3098" s="443"/>
      <c r="K3098" s="444"/>
      <c r="M3098" s="431"/>
    </row>
    <row r="3099" spans="2:13">
      <c r="B3099" s="127"/>
      <c r="C3099" s="127"/>
      <c r="D3099" s="427"/>
      <c r="E3099" s="427"/>
      <c r="F3099" s="445"/>
      <c r="G3099" s="445"/>
      <c r="H3099" s="446"/>
      <c r="I3099" s="445"/>
      <c r="J3099" s="446"/>
      <c r="K3099" s="447"/>
      <c r="M3099" s="596"/>
    </row>
    <row r="3100" spans="2:13">
      <c r="B3100" s="127"/>
      <c r="C3100" s="127"/>
      <c r="F3100" s="398"/>
      <c r="G3100" s="398"/>
      <c r="H3100" s="398"/>
      <c r="I3100" s="398"/>
      <c r="J3100" s="398"/>
      <c r="K3100" s="398"/>
    </row>
    <row r="3101" spans="2:13">
      <c r="B3101" s="127"/>
      <c r="C3101" s="127"/>
      <c r="D3101" s="427"/>
      <c r="E3101" s="427"/>
      <c r="F3101" s="445"/>
      <c r="G3101" s="445"/>
      <c r="H3101" s="446"/>
      <c r="I3101" s="445"/>
      <c r="J3101" s="446"/>
      <c r="K3101" s="447"/>
      <c r="M3101" s="596"/>
    </row>
    <row r="3102" spans="2:13">
      <c r="B3102" s="127"/>
      <c r="C3102" s="127"/>
      <c r="F3102" s="398"/>
      <c r="G3102" s="398"/>
      <c r="H3102" s="398"/>
      <c r="I3102" s="398"/>
      <c r="J3102" s="398"/>
      <c r="K3102" s="398"/>
    </row>
    <row r="3103" spans="2:13">
      <c r="B3103" s="127"/>
      <c r="C3103" s="127"/>
      <c r="D3103" s="427"/>
      <c r="E3103" s="427"/>
      <c r="F3103" s="445"/>
      <c r="G3103" s="445"/>
      <c r="H3103" s="446"/>
      <c r="I3103" s="445"/>
      <c r="J3103" s="446"/>
      <c r="K3103" s="447"/>
      <c r="M3103" s="596"/>
    </row>
    <row r="3104" spans="2:13">
      <c r="B3104" s="127"/>
      <c r="C3104" s="127"/>
      <c r="F3104" s="398"/>
      <c r="G3104" s="398"/>
      <c r="H3104" s="398"/>
      <c r="I3104" s="398"/>
      <c r="J3104" s="398"/>
      <c r="K3104" s="398"/>
    </row>
    <row r="3105" spans="2:13">
      <c r="B3105" s="127"/>
      <c r="C3105" s="127"/>
      <c r="D3105" s="427"/>
      <c r="E3105" s="427"/>
      <c r="F3105" s="445"/>
      <c r="G3105" s="445"/>
      <c r="H3105" s="446"/>
      <c r="I3105" s="445"/>
      <c r="J3105" s="446"/>
      <c r="K3105" s="447"/>
      <c r="M3105" s="596"/>
    </row>
    <row r="3106" spans="2:13">
      <c r="B3106" s="127"/>
      <c r="C3106" s="127"/>
      <c r="F3106" s="398"/>
      <c r="G3106" s="398"/>
      <c r="H3106" s="398"/>
      <c r="I3106" s="398"/>
      <c r="J3106" s="398"/>
      <c r="K3106" s="398"/>
    </row>
    <row r="3107" spans="2:13">
      <c r="B3107" s="127"/>
      <c r="C3107" s="127"/>
      <c r="D3107" s="427"/>
      <c r="E3107" s="427"/>
      <c r="F3107" s="445"/>
      <c r="G3107" s="445"/>
      <c r="H3107" s="446"/>
      <c r="I3107" s="445"/>
      <c r="J3107" s="446"/>
      <c r="K3107" s="447"/>
      <c r="M3107" s="596"/>
    </row>
    <row r="3108" spans="2:13">
      <c r="B3108" s="127"/>
      <c r="C3108" s="127"/>
    </row>
    <row r="3109" spans="2:13">
      <c r="B3109" s="127"/>
      <c r="C3109" s="127"/>
      <c r="D3109" s="427"/>
      <c r="E3109" s="427"/>
      <c r="F3109" s="427"/>
      <c r="G3109" s="427"/>
      <c r="H3109" s="427"/>
      <c r="I3109" s="427"/>
      <c r="J3109" s="427"/>
      <c r="K3109" s="427"/>
      <c r="M3109" s="427"/>
    </row>
    <row r="3110" spans="2:13">
      <c r="B3110" s="127"/>
      <c r="C3110" s="127"/>
      <c r="E3110" s="427"/>
      <c r="F3110" s="427"/>
      <c r="G3110" s="427"/>
      <c r="H3110" s="427"/>
      <c r="I3110" s="427"/>
      <c r="J3110" s="427"/>
      <c r="K3110" s="427"/>
      <c r="M3110" s="427"/>
    </row>
    <row r="3111" spans="2:13">
      <c r="B3111" s="127"/>
      <c r="C3111" s="127"/>
      <c r="E3111" s="427"/>
      <c r="F3111" s="427"/>
      <c r="G3111" s="427"/>
      <c r="H3111" s="427"/>
      <c r="I3111" s="427"/>
      <c r="J3111" s="427"/>
      <c r="K3111" s="427"/>
      <c r="M3111" s="427"/>
    </row>
    <row r="3112" spans="2:13">
      <c r="B3112" s="127"/>
      <c r="C3112" s="127"/>
      <c r="E3112" s="427"/>
      <c r="F3112" s="427"/>
      <c r="G3112" s="427"/>
      <c r="H3112" s="427"/>
      <c r="I3112" s="427"/>
      <c r="J3112" s="427"/>
      <c r="K3112" s="427"/>
      <c r="M3112" s="427"/>
    </row>
    <row r="3113" spans="2:13">
      <c r="B3113" s="127"/>
      <c r="C3113" s="127"/>
      <c r="E3113" s="427"/>
      <c r="F3113" s="427"/>
      <c r="G3113" s="427"/>
      <c r="H3113" s="427"/>
      <c r="I3113" s="427"/>
      <c r="J3113" s="427"/>
      <c r="K3113" s="427"/>
      <c r="M3113" s="427"/>
    </row>
    <row r="3114" spans="2:13">
      <c r="B3114" s="127"/>
      <c r="C3114" s="127"/>
      <c r="D3114" s="429"/>
      <c r="E3114" s="430"/>
      <c r="F3114" s="431"/>
      <c r="G3114" s="431"/>
      <c r="H3114" s="436"/>
      <c r="I3114" s="431"/>
      <c r="J3114" s="436"/>
      <c r="K3114" s="437"/>
      <c r="M3114" s="431"/>
    </row>
    <row r="3115" spans="2:13">
      <c r="B3115" s="127"/>
      <c r="C3115" s="127"/>
      <c r="D3115" s="429"/>
      <c r="E3115" s="430"/>
      <c r="F3115" s="432"/>
      <c r="G3115" s="432"/>
      <c r="H3115" s="443"/>
      <c r="I3115" s="432"/>
      <c r="J3115" s="443"/>
      <c r="K3115" s="444"/>
      <c r="M3115" s="431"/>
    </row>
    <row r="3116" spans="2:13">
      <c r="B3116" s="127"/>
      <c r="C3116" s="127"/>
      <c r="D3116" s="427"/>
      <c r="E3116" s="427"/>
      <c r="F3116" s="445"/>
      <c r="G3116" s="445"/>
      <c r="H3116" s="446"/>
      <c r="I3116" s="445"/>
      <c r="J3116" s="446"/>
      <c r="K3116" s="447"/>
      <c r="M3116" s="596"/>
    </row>
    <row r="3117" spans="2:13">
      <c r="B3117" s="127"/>
      <c r="C3117" s="127"/>
    </row>
    <row r="3118" spans="2:13">
      <c r="B3118" s="127"/>
      <c r="C3118" s="127"/>
      <c r="E3118" s="427"/>
      <c r="F3118" s="427"/>
      <c r="G3118" s="427"/>
      <c r="H3118" s="427"/>
      <c r="I3118" s="427"/>
      <c r="J3118" s="427"/>
      <c r="K3118" s="427"/>
      <c r="M3118" s="427"/>
    </row>
    <row r="3119" spans="2:13">
      <c r="B3119" s="127"/>
      <c r="C3119" s="127"/>
      <c r="D3119" s="429"/>
      <c r="E3119" s="430"/>
      <c r="F3119" s="432"/>
      <c r="G3119" s="432"/>
      <c r="H3119" s="443"/>
      <c r="I3119" s="432"/>
      <c r="J3119" s="443"/>
      <c r="K3119" s="444"/>
      <c r="M3119" s="431"/>
    </row>
    <row r="3120" spans="2:13">
      <c r="B3120" s="127"/>
      <c r="C3120" s="127"/>
      <c r="D3120" s="427"/>
      <c r="E3120" s="427"/>
      <c r="F3120" s="445"/>
      <c r="G3120" s="445"/>
      <c r="H3120" s="446"/>
      <c r="I3120" s="445"/>
      <c r="J3120" s="446"/>
      <c r="K3120" s="447"/>
      <c r="M3120" s="596"/>
    </row>
    <row r="3121" spans="2:13">
      <c r="B3121" s="127"/>
      <c r="C3121" s="127"/>
      <c r="F3121" s="398"/>
      <c r="G3121" s="398"/>
      <c r="H3121" s="398"/>
      <c r="I3121" s="398"/>
      <c r="J3121" s="398"/>
      <c r="K3121" s="398"/>
    </row>
    <row r="3122" spans="2:13">
      <c r="B3122" s="127"/>
      <c r="C3122" s="127"/>
      <c r="D3122" s="427"/>
      <c r="E3122" s="427"/>
      <c r="F3122" s="445"/>
      <c r="G3122" s="445"/>
      <c r="H3122" s="446"/>
      <c r="I3122" s="445"/>
      <c r="J3122" s="446"/>
      <c r="K3122" s="447"/>
      <c r="M3122" s="596"/>
    </row>
    <row r="3123" spans="2:13">
      <c r="B3123" s="127"/>
      <c r="C3123" s="127"/>
      <c r="F3123" s="398"/>
      <c r="G3123" s="398"/>
      <c r="H3123" s="398"/>
      <c r="I3123" s="398"/>
      <c r="J3123" s="398"/>
      <c r="K3123" s="398"/>
    </row>
    <row r="3124" spans="2:13">
      <c r="B3124" s="127"/>
      <c r="C3124" s="127"/>
      <c r="D3124" s="427"/>
      <c r="E3124" s="427"/>
      <c r="F3124" s="445"/>
      <c r="G3124" s="445"/>
      <c r="H3124" s="446"/>
      <c r="I3124" s="445"/>
      <c r="J3124" s="446"/>
      <c r="K3124" s="447"/>
      <c r="M3124" s="596"/>
    </row>
    <row r="3125" spans="2:13">
      <c r="B3125" s="127"/>
      <c r="C3125" s="127"/>
      <c r="F3125" s="398"/>
      <c r="G3125" s="398"/>
      <c r="H3125" s="398"/>
      <c r="I3125" s="398"/>
      <c r="J3125" s="398"/>
      <c r="K3125" s="398"/>
    </row>
    <row r="3126" spans="2:13">
      <c r="B3126" s="127"/>
      <c r="C3126" s="127"/>
      <c r="D3126" s="427"/>
      <c r="E3126" s="427"/>
      <c r="F3126" s="445"/>
      <c r="G3126" s="445"/>
      <c r="H3126" s="446"/>
      <c r="I3126" s="445"/>
      <c r="J3126" s="446"/>
      <c r="K3126" s="447"/>
      <c r="M3126" s="596"/>
    </row>
    <row r="3127" spans="2:13">
      <c r="B3127" s="127"/>
      <c r="C3127" s="127"/>
    </row>
    <row r="3128" spans="2:13">
      <c r="B3128" s="127"/>
      <c r="C3128" s="127"/>
      <c r="E3128" s="427"/>
      <c r="F3128" s="427"/>
      <c r="G3128" s="427"/>
      <c r="H3128" s="427"/>
      <c r="I3128" s="427"/>
      <c r="J3128" s="427"/>
      <c r="K3128" s="427"/>
      <c r="M3128" s="427"/>
    </row>
    <row r="3129" spans="2:13">
      <c r="B3129" s="127"/>
      <c r="C3129" s="127"/>
      <c r="E3129" s="427"/>
      <c r="F3129" s="427"/>
      <c r="G3129" s="427"/>
      <c r="H3129" s="427"/>
      <c r="I3129" s="427"/>
      <c r="J3129" s="427"/>
      <c r="K3129" s="427"/>
      <c r="M3129" s="427"/>
    </row>
    <row r="3130" spans="2:13">
      <c r="B3130" s="127"/>
      <c r="C3130" s="127"/>
      <c r="E3130" s="427"/>
      <c r="F3130" s="427"/>
      <c r="G3130" s="427"/>
      <c r="H3130" s="427"/>
      <c r="I3130" s="427"/>
      <c r="J3130" s="427"/>
      <c r="K3130" s="427"/>
      <c r="M3130" s="427"/>
    </row>
    <row r="3131" spans="2:13">
      <c r="B3131" s="127"/>
      <c r="C3131" s="127"/>
      <c r="E3131" s="427"/>
      <c r="F3131" s="427"/>
      <c r="G3131" s="427"/>
      <c r="H3131" s="427"/>
      <c r="I3131" s="427"/>
      <c r="J3131" s="427"/>
      <c r="K3131" s="427"/>
      <c r="M3131" s="427"/>
    </row>
    <row r="3132" spans="2:13">
      <c r="B3132" s="127"/>
      <c r="C3132" s="127"/>
      <c r="D3132" s="429"/>
      <c r="E3132" s="430"/>
      <c r="F3132" s="432"/>
      <c r="G3132" s="432"/>
      <c r="H3132" s="443"/>
      <c r="I3132" s="432"/>
      <c r="J3132" s="443"/>
      <c r="K3132" s="444"/>
      <c r="M3132" s="431"/>
    </row>
    <row r="3133" spans="2:13">
      <c r="B3133" s="127"/>
      <c r="C3133" s="127"/>
      <c r="D3133" s="427"/>
      <c r="E3133" s="427"/>
      <c r="F3133" s="445"/>
      <c r="G3133" s="445"/>
      <c r="H3133" s="446"/>
      <c r="I3133" s="445"/>
      <c r="J3133" s="446"/>
      <c r="K3133" s="447"/>
      <c r="M3133" s="596"/>
    </row>
    <row r="3134" spans="2:13">
      <c r="B3134" s="127"/>
      <c r="C3134" s="127"/>
      <c r="F3134" s="398"/>
      <c r="G3134" s="398"/>
      <c r="H3134" s="398"/>
      <c r="I3134" s="398"/>
      <c r="J3134" s="398"/>
      <c r="K3134" s="398"/>
    </row>
    <row r="3135" spans="2:13">
      <c r="B3135" s="127"/>
      <c r="C3135" s="127"/>
      <c r="D3135" s="427"/>
      <c r="E3135" s="427"/>
      <c r="F3135" s="445"/>
      <c r="G3135" s="445"/>
      <c r="H3135" s="446"/>
      <c r="I3135" s="445"/>
      <c r="J3135" s="446"/>
      <c r="K3135" s="447"/>
      <c r="M3135" s="596"/>
    </row>
    <row r="3136" spans="2:13">
      <c r="B3136" s="127"/>
      <c r="C3136" s="127"/>
      <c r="F3136" s="398"/>
      <c r="G3136" s="398"/>
      <c r="H3136" s="398"/>
      <c r="I3136" s="398"/>
      <c r="J3136" s="398"/>
      <c r="K3136" s="398"/>
    </row>
    <row r="3137" spans="2:13">
      <c r="B3137" s="127"/>
      <c r="C3137" s="127"/>
      <c r="D3137" s="427"/>
      <c r="E3137" s="427"/>
      <c r="F3137" s="445"/>
      <c r="G3137" s="445"/>
      <c r="H3137" s="446"/>
      <c r="I3137" s="445"/>
      <c r="J3137" s="446"/>
      <c r="K3137" s="447"/>
      <c r="M3137" s="596"/>
    </row>
    <row r="3138" spans="2:13">
      <c r="B3138" s="127"/>
      <c r="C3138" s="127"/>
      <c r="F3138" s="398"/>
      <c r="G3138" s="398"/>
      <c r="H3138" s="398"/>
      <c r="I3138" s="398"/>
      <c r="J3138" s="398"/>
      <c r="K3138" s="398"/>
    </row>
    <row r="3139" spans="2:13">
      <c r="B3139" s="127"/>
      <c r="C3139" s="127"/>
      <c r="D3139" s="427"/>
      <c r="E3139" s="427"/>
      <c r="F3139" s="445"/>
      <c r="G3139" s="445"/>
      <c r="H3139" s="446"/>
      <c r="I3139" s="445"/>
      <c r="J3139" s="446"/>
      <c r="K3139" s="447"/>
      <c r="M3139" s="596"/>
    </row>
    <row r="3140" spans="2:13">
      <c r="B3140" s="127"/>
      <c r="C3140" s="127"/>
      <c r="F3140" s="398"/>
      <c r="G3140" s="398"/>
      <c r="H3140" s="398"/>
      <c r="I3140" s="398"/>
      <c r="J3140" s="398"/>
      <c r="K3140" s="398"/>
    </row>
    <row r="3141" spans="2:13">
      <c r="B3141" s="127"/>
      <c r="C3141" s="127"/>
      <c r="D3141" s="427"/>
      <c r="E3141" s="427"/>
      <c r="F3141" s="445"/>
      <c r="G3141" s="445"/>
      <c r="H3141" s="446"/>
      <c r="I3141" s="445"/>
      <c r="J3141" s="446"/>
      <c r="K3141" s="447"/>
      <c r="M3141" s="596"/>
    </row>
    <row r="3142" spans="2:13">
      <c r="B3142" s="127"/>
      <c r="C3142" s="127"/>
    </row>
    <row r="3143" spans="2:13">
      <c r="B3143" s="127"/>
      <c r="C3143" s="127"/>
      <c r="D3143" s="427"/>
      <c r="E3143" s="427"/>
      <c r="F3143" s="427"/>
      <c r="G3143" s="427"/>
      <c r="H3143" s="427"/>
      <c r="I3143" s="427"/>
      <c r="J3143" s="427"/>
      <c r="K3143" s="427"/>
      <c r="M3143" s="427"/>
    </row>
    <row r="3144" spans="2:13">
      <c r="B3144" s="127"/>
      <c r="C3144" s="127"/>
      <c r="E3144" s="427"/>
      <c r="F3144" s="427"/>
      <c r="G3144" s="427"/>
      <c r="H3144" s="427"/>
      <c r="I3144" s="427"/>
      <c r="J3144" s="427"/>
      <c r="K3144" s="427"/>
      <c r="M3144" s="427"/>
    </row>
    <row r="3145" spans="2:13">
      <c r="B3145" s="127"/>
      <c r="C3145" s="127"/>
      <c r="E3145" s="427"/>
      <c r="F3145" s="427"/>
      <c r="G3145" s="427"/>
      <c r="H3145" s="427"/>
      <c r="I3145" s="427"/>
      <c r="J3145" s="427"/>
      <c r="K3145" s="427"/>
      <c r="M3145" s="427"/>
    </row>
    <row r="3146" spans="2:13">
      <c r="B3146" s="127"/>
      <c r="C3146" s="127"/>
      <c r="E3146" s="427"/>
      <c r="F3146" s="427"/>
      <c r="G3146" s="427"/>
      <c r="H3146" s="427"/>
      <c r="I3146" s="427"/>
      <c r="J3146" s="427"/>
      <c r="K3146" s="427"/>
      <c r="M3146" s="427"/>
    </row>
    <row r="3147" spans="2:13">
      <c r="B3147" s="127"/>
      <c r="C3147" s="127"/>
      <c r="E3147" s="427"/>
      <c r="F3147" s="427"/>
      <c r="G3147" s="427"/>
      <c r="H3147" s="427"/>
      <c r="I3147" s="427"/>
      <c r="J3147" s="427"/>
      <c r="K3147" s="427"/>
      <c r="M3147" s="427"/>
    </row>
    <row r="3148" spans="2:13">
      <c r="B3148" s="127"/>
      <c r="C3148" s="127"/>
      <c r="D3148" s="429"/>
      <c r="E3148" s="430"/>
      <c r="F3148" s="431"/>
      <c r="G3148" s="431"/>
      <c r="H3148" s="436"/>
      <c r="I3148" s="431"/>
      <c r="J3148" s="436"/>
      <c r="K3148" s="437"/>
      <c r="M3148" s="431"/>
    </row>
    <row r="3149" spans="2:13">
      <c r="B3149" s="127"/>
      <c r="C3149" s="127"/>
      <c r="D3149" s="429"/>
      <c r="E3149" s="430"/>
      <c r="F3149" s="431"/>
      <c r="G3149" s="431"/>
      <c r="H3149" s="436"/>
      <c r="I3149" s="431"/>
      <c r="J3149" s="436"/>
      <c r="K3149" s="437"/>
      <c r="M3149" s="431"/>
    </row>
    <row r="3150" spans="2:13">
      <c r="B3150" s="127"/>
      <c r="C3150" s="127"/>
      <c r="D3150" s="429"/>
      <c r="E3150" s="430"/>
      <c r="F3150" s="431"/>
      <c r="G3150" s="431"/>
      <c r="H3150" s="436"/>
      <c r="I3150" s="431"/>
      <c r="J3150" s="436"/>
      <c r="K3150" s="437"/>
      <c r="M3150" s="431"/>
    </row>
    <row r="3151" spans="2:13">
      <c r="B3151" s="127"/>
      <c r="C3151" s="127"/>
      <c r="D3151" s="429"/>
      <c r="E3151" s="430"/>
      <c r="F3151" s="431"/>
      <c r="G3151" s="431"/>
      <c r="H3151" s="436"/>
      <c r="I3151" s="431"/>
      <c r="J3151" s="436"/>
      <c r="K3151" s="437"/>
      <c r="M3151" s="431"/>
    </row>
    <row r="3152" spans="2:13">
      <c r="B3152" s="127"/>
      <c r="C3152" s="127"/>
      <c r="D3152" s="429"/>
      <c r="E3152" s="430"/>
      <c r="F3152" s="431"/>
      <c r="G3152" s="431"/>
      <c r="H3152" s="436"/>
      <c r="I3152" s="431"/>
      <c r="J3152" s="436"/>
      <c r="K3152" s="437"/>
      <c r="M3152" s="431"/>
    </row>
    <row r="3153" spans="2:13">
      <c r="B3153" s="127"/>
      <c r="C3153" s="127"/>
      <c r="D3153" s="429"/>
      <c r="E3153" s="430"/>
      <c r="F3153" s="431"/>
      <c r="G3153" s="431"/>
      <c r="H3153" s="436"/>
      <c r="I3153" s="431"/>
      <c r="J3153" s="436"/>
      <c r="K3153" s="437"/>
      <c r="M3153" s="431"/>
    </row>
    <row r="3154" spans="2:13">
      <c r="B3154" s="127"/>
      <c r="C3154" s="127"/>
      <c r="D3154" s="429"/>
      <c r="E3154" s="430"/>
      <c r="F3154" s="431"/>
      <c r="G3154" s="431"/>
      <c r="H3154" s="436"/>
      <c r="I3154" s="431"/>
      <c r="J3154" s="436"/>
      <c r="K3154" s="437"/>
      <c r="M3154" s="431"/>
    </row>
    <row r="3155" spans="2:13">
      <c r="B3155" s="127"/>
      <c r="C3155" s="127"/>
      <c r="D3155" s="429"/>
      <c r="E3155" s="430"/>
      <c r="F3155" s="432"/>
      <c r="G3155" s="432"/>
      <c r="H3155" s="443"/>
      <c r="I3155" s="432"/>
      <c r="J3155" s="443"/>
      <c r="K3155" s="444"/>
      <c r="M3155" s="431"/>
    </row>
    <row r="3156" spans="2:13">
      <c r="B3156" s="127"/>
      <c r="C3156" s="127"/>
      <c r="D3156" s="427"/>
      <c r="E3156" s="427"/>
      <c r="F3156" s="445"/>
      <c r="G3156" s="445"/>
      <c r="H3156" s="446"/>
      <c r="I3156" s="445"/>
      <c r="J3156" s="446"/>
      <c r="K3156" s="447"/>
      <c r="M3156" s="596"/>
    </row>
    <row r="3157" spans="2:13">
      <c r="B3157" s="127"/>
      <c r="C3157" s="127"/>
      <c r="F3157" s="398"/>
      <c r="G3157" s="398"/>
      <c r="H3157" s="398"/>
      <c r="I3157" s="398"/>
      <c r="J3157" s="398"/>
      <c r="K3157" s="398"/>
    </row>
    <row r="3158" spans="2:13">
      <c r="B3158" s="127"/>
      <c r="C3158" s="127"/>
      <c r="D3158" s="427"/>
      <c r="E3158" s="427"/>
      <c r="F3158" s="445"/>
      <c r="G3158" s="445"/>
      <c r="H3158" s="446"/>
      <c r="I3158" s="445"/>
      <c r="J3158" s="446"/>
      <c r="K3158" s="447"/>
      <c r="M3158" s="596"/>
    </row>
    <row r="3159" spans="2:13">
      <c r="B3159" s="127"/>
      <c r="C3159" s="127"/>
      <c r="F3159" s="398"/>
      <c r="G3159" s="398"/>
      <c r="H3159" s="398"/>
      <c r="I3159" s="398"/>
      <c r="J3159" s="398"/>
      <c r="K3159" s="398"/>
    </row>
    <row r="3160" spans="2:13">
      <c r="B3160" s="127"/>
      <c r="C3160" s="127"/>
      <c r="D3160" s="427"/>
      <c r="E3160" s="427"/>
      <c r="F3160" s="445"/>
      <c r="G3160" s="445"/>
      <c r="H3160" s="446"/>
      <c r="I3160" s="445"/>
      <c r="J3160" s="446"/>
      <c r="K3160" s="447"/>
      <c r="M3160" s="596"/>
    </row>
    <row r="3161" spans="2:13">
      <c r="B3161" s="127"/>
      <c r="C3161" s="127"/>
      <c r="F3161" s="398"/>
      <c r="G3161" s="398"/>
      <c r="H3161" s="398"/>
      <c r="I3161" s="398"/>
      <c r="J3161" s="398"/>
      <c r="K3161" s="398"/>
    </row>
    <row r="3162" spans="2:13">
      <c r="B3162" s="127"/>
      <c r="C3162" s="127"/>
      <c r="D3162" s="427"/>
      <c r="E3162" s="427"/>
      <c r="F3162" s="445"/>
      <c r="G3162" s="445"/>
      <c r="H3162" s="446"/>
      <c r="I3162" s="445"/>
      <c r="J3162" s="446"/>
      <c r="K3162" s="447"/>
      <c r="M3162" s="596"/>
    </row>
    <row r="3163" spans="2:13">
      <c r="B3163" s="127"/>
      <c r="C3163" s="127"/>
    </row>
    <row r="3164" spans="2:13">
      <c r="B3164" s="127"/>
      <c r="C3164" s="127"/>
    </row>
    <row r="3165" spans="2:13">
      <c r="B3165" s="127"/>
      <c r="C3165" s="127"/>
      <c r="D3165" s="438"/>
      <c r="E3165" s="438"/>
      <c r="F3165" s="438"/>
      <c r="G3165" s="438"/>
      <c r="H3165" s="438"/>
      <c r="I3165" s="438"/>
      <c r="J3165" s="438"/>
      <c r="K3165" s="438"/>
      <c r="M3165" s="597"/>
    </row>
    <row r="3166" spans="2:13" ht="16.2" thickBot="1">
      <c r="B3166" s="127"/>
      <c r="C3166" s="127"/>
      <c r="D3166" s="439"/>
      <c r="E3166" s="439"/>
      <c r="F3166" s="440"/>
      <c r="G3166" s="440"/>
      <c r="H3166" s="440"/>
      <c r="I3166" s="440"/>
      <c r="J3166" s="439"/>
      <c r="K3166" s="439"/>
    </row>
    <row r="3167" spans="2:13">
      <c r="B3167" s="127"/>
      <c r="C3167" s="127"/>
      <c r="D3167" s="441"/>
      <c r="E3167" s="441"/>
      <c r="F3167" s="441"/>
      <c r="G3167" s="442"/>
      <c r="H3167" s="441"/>
      <c r="I3167" s="441"/>
      <c r="J3167" s="441"/>
      <c r="K3167" s="441"/>
      <c r="M3167" s="455"/>
    </row>
    <row r="3168" spans="2:13">
      <c r="B3168" s="127"/>
      <c r="C3168" s="127"/>
    </row>
    <row r="3169" spans="2:13">
      <c r="B3169" s="127"/>
      <c r="C3169" s="127"/>
      <c r="J3169" s="428"/>
    </row>
    <row r="3170" spans="2:13">
      <c r="B3170" s="127"/>
      <c r="C3170" s="127"/>
      <c r="F3170" s="428"/>
      <c r="G3170" s="428"/>
      <c r="H3170" s="435"/>
      <c r="I3170" s="428"/>
      <c r="J3170" s="428"/>
      <c r="K3170" s="435"/>
      <c r="M3170" s="428"/>
    </row>
    <row r="3171" spans="2:13">
      <c r="B3171" s="127"/>
      <c r="C3171" s="127"/>
    </row>
    <row r="3172" spans="2:13">
      <c r="B3172" s="127"/>
      <c r="C3172" s="127"/>
      <c r="E3172" s="427"/>
      <c r="F3172" s="427"/>
      <c r="G3172" s="427"/>
      <c r="H3172" s="427"/>
      <c r="I3172" s="427"/>
      <c r="J3172" s="427"/>
      <c r="K3172" s="427"/>
      <c r="M3172" s="427"/>
    </row>
    <row r="3173" spans="2:13">
      <c r="B3173" s="127"/>
      <c r="C3173" s="127"/>
      <c r="E3173" s="427"/>
      <c r="F3173" s="427"/>
      <c r="G3173" s="427"/>
      <c r="H3173" s="427"/>
      <c r="I3173" s="427"/>
      <c r="J3173" s="427"/>
      <c r="K3173" s="427"/>
      <c r="M3173" s="427"/>
    </row>
    <row r="3174" spans="2:13">
      <c r="B3174" s="127"/>
      <c r="C3174" s="127"/>
      <c r="E3174" s="427"/>
      <c r="F3174" s="427"/>
      <c r="G3174" s="427"/>
      <c r="H3174" s="427"/>
      <c r="I3174" s="427"/>
      <c r="J3174" s="427"/>
      <c r="K3174" s="427"/>
      <c r="M3174" s="427"/>
    </row>
    <row r="3175" spans="2:13">
      <c r="B3175" s="127"/>
      <c r="C3175" s="127"/>
      <c r="E3175" s="427"/>
      <c r="F3175" s="427"/>
      <c r="G3175" s="427"/>
      <c r="H3175" s="427"/>
      <c r="I3175" s="427"/>
      <c r="J3175" s="427"/>
      <c r="K3175" s="427"/>
      <c r="M3175" s="427"/>
    </row>
    <row r="3176" spans="2:13">
      <c r="B3176" s="127"/>
      <c r="C3176" s="127"/>
      <c r="D3176" s="429"/>
      <c r="E3176" s="430"/>
      <c r="F3176" s="432"/>
      <c r="G3176" s="432"/>
      <c r="H3176" s="443"/>
      <c r="I3176" s="432"/>
      <c r="J3176" s="443"/>
      <c r="K3176" s="444"/>
      <c r="M3176" s="431"/>
    </row>
    <row r="3177" spans="2:13">
      <c r="B3177" s="127"/>
      <c r="C3177" s="127"/>
      <c r="D3177" s="427"/>
      <c r="E3177" s="427"/>
      <c r="F3177" s="445"/>
      <c r="G3177" s="445"/>
      <c r="H3177" s="446"/>
      <c r="I3177" s="445"/>
      <c r="J3177" s="446"/>
      <c r="K3177" s="447"/>
      <c r="M3177" s="596"/>
    </row>
    <row r="3178" spans="2:13">
      <c r="B3178" s="127"/>
      <c r="C3178" s="127"/>
      <c r="F3178" s="398"/>
      <c r="G3178" s="398"/>
      <c r="H3178" s="398"/>
      <c r="I3178" s="398"/>
      <c r="J3178" s="398"/>
      <c r="K3178" s="398"/>
    </row>
    <row r="3179" spans="2:13">
      <c r="B3179" s="127"/>
      <c r="C3179" s="127"/>
      <c r="D3179" s="427"/>
      <c r="E3179" s="427"/>
      <c r="F3179" s="445"/>
      <c r="G3179" s="445"/>
      <c r="H3179" s="446"/>
      <c r="I3179" s="445"/>
      <c r="J3179" s="446"/>
      <c r="K3179" s="447"/>
      <c r="M3179" s="596"/>
    </row>
    <row r="3180" spans="2:13">
      <c r="B3180" s="127"/>
      <c r="C3180" s="127"/>
      <c r="F3180" s="398"/>
      <c r="G3180" s="398"/>
      <c r="H3180" s="398"/>
      <c r="I3180" s="398"/>
      <c r="J3180" s="398"/>
      <c r="K3180" s="398"/>
    </row>
    <row r="3181" spans="2:13">
      <c r="B3181" s="127"/>
      <c r="C3181" s="127"/>
      <c r="D3181" s="427"/>
      <c r="E3181" s="427"/>
      <c r="F3181" s="445"/>
      <c r="G3181" s="445"/>
      <c r="H3181" s="446"/>
      <c r="I3181" s="445"/>
      <c r="J3181" s="446"/>
      <c r="K3181" s="447"/>
      <c r="M3181" s="596"/>
    </row>
    <row r="3182" spans="2:13">
      <c r="B3182" s="127"/>
      <c r="C3182" s="127"/>
    </row>
    <row r="3183" spans="2:13">
      <c r="B3183" s="127"/>
      <c r="C3183" s="127"/>
      <c r="E3183" s="427"/>
      <c r="F3183" s="427"/>
      <c r="G3183" s="427"/>
      <c r="H3183" s="427"/>
      <c r="I3183" s="427"/>
      <c r="J3183" s="427"/>
      <c r="K3183" s="427"/>
      <c r="M3183" s="427"/>
    </row>
    <row r="3184" spans="2:13">
      <c r="B3184" s="127"/>
      <c r="C3184" s="127"/>
      <c r="E3184" s="427"/>
      <c r="F3184" s="427"/>
      <c r="G3184" s="427"/>
      <c r="H3184" s="427"/>
      <c r="I3184" s="427"/>
      <c r="J3184" s="427"/>
      <c r="K3184" s="427"/>
      <c r="M3184" s="427"/>
    </row>
    <row r="3185" spans="2:13">
      <c r="B3185" s="127"/>
      <c r="C3185" s="127"/>
      <c r="E3185" s="427"/>
      <c r="F3185" s="427"/>
      <c r="G3185" s="427"/>
      <c r="H3185" s="427"/>
      <c r="I3185" s="427"/>
      <c r="J3185" s="427"/>
      <c r="K3185" s="427"/>
      <c r="M3185" s="427"/>
    </row>
    <row r="3186" spans="2:13">
      <c r="B3186" s="127"/>
      <c r="C3186" s="127"/>
      <c r="D3186" s="429"/>
      <c r="E3186" s="430"/>
      <c r="F3186" s="432"/>
      <c r="G3186" s="432"/>
      <c r="H3186" s="443"/>
      <c r="I3186" s="432"/>
      <c r="J3186" s="443"/>
      <c r="K3186" s="444"/>
      <c r="M3186" s="431"/>
    </row>
    <row r="3187" spans="2:13">
      <c r="B3187" s="127"/>
      <c r="C3187" s="127"/>
      <c r="D3187" s="427"/>
      <c r="E3187" s="427"/>
      <c r="F3187" s="445"/>
      <c r="G3187" s="445"/>
      <c r="H3187" s="446"/>
      <c r="I3187" s="445"/>
      <c r="J3187" s="446"/>
      <c r="K3187" s="447"/>
      <c r="M3187" s="596"/>
    </row>
    <row r="3188" spans="2:13">
      <c r="B3188" s="127"/>
      <c r="C3188" s="127"/>
    </row>
    <row r="3189" spans="2:13">
      <c r="B3189" s="127"/>
      <c r="C3189" s="127"/>
      <c r="E3189" s="427"/>
      <c r="F3189" s="427"/>
      <c r="G3189" s="427"/>
      <c r="H3189" s="427"/>
      <c r="I3189" s="427"/>
      <c r="J3189" s="427"/>
      <c r="K3189" s="427"/>
      <c r="M3189" s="427"/>
    </row>
    <row r="3190" spans="2:13">
      <c r="B3190" s="127"/>
      <c r="C3190" s="127"/>
      <c r="D3190" s="429"/>
      <c r="E3190" s="430"/>
      <c r="F3190" s="432"/>
      <c r="G3190" s="432"/>
      <c r="H3190" s="443"/>
      <c r="I3190" s="432"/>
      <c r="J3190" s="443"/>
      <c r="K3190" s="444"/>
      <c r="M3190" s="431"/>
    </row>
    <row r="3191" spans="2:13">
      <c r="B3191" s="127"/>
      <c r="C3191" s="127"/>
      <c r="D3191" s="427"/>
      <c r="E3191" s="427"/>
      <c r="F3191" s="445"/>
      <c r="G3191" s="445"/>
      <c r="H3191" s="446"/>
      <c r="I3191" s="445"/>
      <c r="J3191" s="446"/>
      <c r="K3191" s="447"/>
      <c r="M3191" s="596"/>
    </row>
    <row r="3192" spans="2:13">
      <c r="B3192" s="127"/>
      <c r="C3192" s="127"/>
      <c r="F3192" s="398"/>
      <c r="G3192" s="398"/>
      <c r="H3192" s="398"/>
      <c r="I3192" s="398"/>
      <c r="J3192" s="398"/>
      <c r="K3192" s="398"/>
    </row>
    <row r="3193" spans="2:13">
      <c r="B3193" s="127"/>
      <c r="C3193" s="127"/>
      <c r="D3193" s="427"/>
      <c r="E3193" s="427"/>
      <c r="F3193" s="445"/>
      <c r="G3193" s="445"/>
      <c r="H3193" s="446"/>
      <c r="I3193" s="445"/>
      <c r="J3193" s="446"/>
      <c r="K3193" s="447"/>
      <c r="M3193" s="596"/>
    </row>
    <row r="3194" spans="2:13">
      <c r="B3194" s="127"/>
      <c r="C3194" s="127"/>
      <c r="F3194" s="398"/>
      <c r="G3194" s="398"/>
      <c r="H3194" s="398"/>
      <c r="I3194" s="398"/>
      <c r="J3194" s="398"/>
      <c r="K3194" s="398"/>
    </row>
    <row r="3195" spans="2:13">
      <c r="B3195" s="127"/>
      <c r="C3195" s="127"/>
      <c r="D3195" s="427"/>
      <c r="E3195" s="427"/>
      <c r="F3195" s="445"/>
      <c r="G3195" s="445"/>
      <c r="H3195" s="446"/>
      <c r="I3195" s="445"/>
      <c r="J3195" s="446"/>
      <c r="K3195" s="447"/>
      <c r="M3195" s="596"/>
    </row>
    <row r="3196" spans="2:13">
      <c r="B3196" s="127"/>
      <c r="C3196" s="127"/>
    </row>
    <row r="3197" spans="2:13">
      <c r="B3197" s="127"/>
      <c r="C3197" s="127"/>
      <c r="E3197" s="427"/>
      <c r="F3197" s="427"/>
      <c r="G3197" s="427"/>
      <c r="H3197" s="427"/>
      <c r="I3197" s="427"/>
      <c r="J3197" s="427"/>
      <c r="K3197" s="427"/>
      <c r="M3197" s="427"/>
    </row>
    <row r="3198" spans="2:13">
      <c r="B3198" s="127"/>
      <c r="C3198" s="127"/>
      <c r="E3198" s="427"/>
      <c r="F3198" s="427"/>
      <c r="G3198" s="427"/>
      <c r="H3198" s="427"/>
      <c r="I3198" s="427"/>
      <c r="J3198" s="427"/>
      <c r="K3198" s="427"/>
      <c r="M3198" s="427"/>
    </row>
    <row r="3199" spans="2:13">
      <c r="B3199" s="127"/>
      <c r="C3199" s="127"/>
      <c r="E3199" s="427"/>
      <c r="F3199" s="427"/>
      <c r="G3199" s="427"/>
      <c r="H3199" s="427"/>
      <c r="I3199" s="427"/>
      <c r="J3199" s="427"/>
      <c r="K3199" s="427"/>
      <c r="M3199" s="427"/>
    </row>
    <row r="3200" spans="2:13">
      <c r="B3200" s="127"/>
      <c r="C3200" s="127"/>
      <c r="D3200" s="429"/>
      <c r="E3200" s="430"/>
      <c r="F3200" s="431"/>
      <c r="G3200" s="431"/>
      <c r="H3200" s="436"/>
      <c r="I3200" s="431"/>
      <c r="J3200" s="436"/>
      <c r="K3200" s="437"/>
      <c r="M3200" s="431"/>
    </row>
    <row r="3201" spans="2:13">
      <c r="B3201" s="127"/>
      <c r="C3201" s="127"/>
      <c r="D3201" s="429"/>
      <c r="E3201" s="430"/>
      <c r="F3201" s="432"/>
      <c r="G3201" s="432"/>
      <c r="H3201" s="443"/>
      <c r="I3201" s="432"/>
      <c r="J3201" s="443"/>
      <c r="K3201" s="444"/>
      <c r="M3201" s="431"/>
    </row>
    <row r="3202" spans="2:13">
      <c r="B3202" s="127"/>
      <c r="C3202" s="127"/>
      <c r="D3202" s="427"/>
      <c r="E3202" s="427"/>
      <c r="F3202" s="445"/>
      <c r="G3202" s="445"/>
      <c r="H3202" s="446"/>
      <c r="I3202" s="445"/>
      <c r="J3202" s="446"/>
      <c r="K3202" s="447"/>
      <c r="M3202" s="596"/>
    </row>
    <row r="3203" spans="2:13">
      <c r="B3203" s="127"/>
      <c r="C3203" s="127"/>
      <c r="F3203" s="398"/>
      <c r="G3203" s="398"/>
      <c r="H3203" s="398"/>
      <c r="I3203" s="398"/>
      <c r="J3203" s="398"/>
      <c r="K3203" s="398"/>
    </row>
    <row r="3204" spans="2:13">
      <c r="B3204" s="127"/>
      <c r="C3204" s="127"/>
      <c r="D3204" s="427"/>
      <c r="E3204" s="427"/>
      <c r="F3204" s="445"/>
      <c r="G3204" s="445"/>
      <c r="H3204" s="446"/>
      <c r="I3204" s="445"/>
      <c r="J3204" s="446"/>
      <c r="K3204" s="447"/>
      <c r="M3204" s="596"/>
    </row>
    <row r="3205" spans="2:13">
      <c r="B3205" s="127"/>
      <c r="C3205" s="127"/>
      <c r="F3205" s="398"/>
      <c r="G3205" s="398"/>
      <c r="H3205" s="398"/>
      <c r="I3205" s="398"/>
      <c r="J3205" s="398"/>
      <c r="K3205" s="398"/>
    </row>
    <row r="3206" spans="2:13">
      <c r="B3206" s="127"/>
      <c r="C3206" s="127"/>
      <c r="D3206" s="427"/>
      <c r="E3206" s="427"/>
      <c r="F3206" s="445"/>
      <c r="G3206" s="445"/>
      <c r="H3206" s="446"/>
      <c r="I3206" s="445"/>
      <c r="J3206" s="446"/>
      <c r="K3206" s="447"/>
      <c r="M3206" s="596"/>
    </row>
    <row r="3207" spans="2:13">
      <c r="B3207" s="127"/>
      <c r="C3207" s="127"/>
    </row>
    <row r="3208" spans="2:13">
      <c r="B3208" s="127"/>
      <c r="C3208" s="127"/>
      <c r="E3208" s="427"/>
      <c r="F3208" s="427"/>
      <c r="G3208" s="427"/>
      <c r="H3208" s="427"/>
      <c r="I3208" s="427"/>
      <c r="J3208" s="427"/>
      <c r="K3208" s="427"/>
      <c r="M3208" s="427"/>
    </row>
    <row r="3209" spans="2:13">
      <c r="B3209" s="127"/>
      <c r="C3209" s="127"/>
      <c r="E3209" s="427"/>
      <c r="F3209" s="427"/>
      <c r="G3209" s="427"/>
      <c r="H3209" s="427"/>
      <c r="I3209" s="427"/>
      <c r="J3209" s="427"/>
      <c r="K3209" s="427"/>
      <c r="M3209" s="427"/>
    </row>
    <row r="3210" spans="2:13">
      <c r="B3210" s="127"/>
      <c r="C3210" s="127"/>
      <c r="E3210" s="427"/>
      <c r="F3210" s="427"/>
      <c r="G3210" s="427"/>
      <c r="H3210" s="427"/>
      <c r="I3210" s="427"/>
      <c r="J3210" s="427"/>
      <c r="K3210" s="427"/>
      <c r="M3210" s="427"/>
    </row>
    <row r="3211" spans="2:13">
      <c r="B3211" s="127"/>
      <c r="C3211" s="127"/>
      <c r="D3211" s="429"/>
      <c r="E3211" s="430"/>
      <c r="F3211" s="432"/>
      <c r="G3211" s="432"/>
      <c r="H3211" s="443"/>
      <c r="I3211" s="432"/>
      <c r="J3211" s="443"/>
      <c r="K3211" s="444"/>
      <c r="M3211" s="431"/>
    </row>
    <row r="3212" spans="2:13">
      <c r="B3212" s="127"/>
      <c r="C3212" s="127"/>
      <c r="D3212" s="427"/>
      <c r="E3212" s="427"/>
      <c r="F3212" s="445"/>
      <c r="G3212" s="445"/>
      <c r="H3212" s="446"/>
      <c r="I3212" s="445"/>
      <c r="J3212" s="446"/>
      <c r="K3212" s="447"/>
      <c r="M3212" s="596"/>
    </row>
    <row r="3213" spans="2:13">
      <c r="B3213" s="127"/>
      <c r="C3213" s="127"/>
      <c r="F3213" s="398"/>
      <c r="G3213" s="398"/>
      <c r="H3213" s="398"/>
      <c r="I3213" s="398"/>
      <c r="J3213" s="398"/>
      <c r="K3213" s="398"/>
    </row>
    <row r="3214" spans="2:13">
      <c r="B3214" s="127"/>
      <c r="C3214" s="127"/>
      <c r="D3214" s="427"/>
      <c r="E3214" s="427"/>
      <c r="F3214" s="445"/>
      <c r="G3214" s="445"/>
      <c r="H3214" s="446"/>
      <c r="I3214" s="445"/>
      <c r="J3214" s="446"/>
      <c r="K3214" s="447"/>
      <c r="M3214" s="596"/>
    </row>
    <row r="3215" spans="2:13">
      <c r="B3215" s="127"/>
      <c r="C3215" s="127"/>
    </row>
    <row r="3216" spans="2:13">
      <c r="B3216" s="127"/>
      <c r="C3216" s="127"/>
      <c r="E3216" s="427"/>
      <c r="F3216" s="427"/>
      <c r="G3216" s="427"/>
      <c r="H3216" s="427"/>
      <c r="I3216" s="427"/>
      <c r="J3216" s="427"/>
      <c r="K3216" s="427"/>
      <c r="M3216" s="427"/>
    </row>
    <row r="3217" spans="2:13">
      <c r="B3217" s="127"/>
      <c r="C3217" s="127"/>
      <c r="E3217" s="427"/>
      <c r="F3217" s="427"/>
      <c r="G3217" s="427"/>
      <c r="H3217" s="427"/>
      <c r="I3217" s="427"/>
      <c r="J3217" s="427"/>
      <c r="K3217" s="427"/>
      <c r="M3217" s="427"/>
    </row>
    <row r="3218" spans="2:13">
      <c r="B3218" s="127"/>
      <c r="C3218" s="127"/>
      <c r="D3218" s="429"/>
      <c r="E3218" s="430"/>
      <c r="F3218" s="432"/>
      <c r="G3218" s="432"/>
      <c r="H3218" s="443"/>
      <c r="I3218" s="432"/>
      <c r="J3218" s="443"/>
      <c r="K3218" s="444"/>
      <c r="M3218" s="431"/>
    </row>
    <row r="3219" spans="2:13">
      <c r="B3219" s="127"/>
      <c r="C3219" s="127"/>
      <c r="D3219" s="427"/>
      <c r="E3219" s="427"/>
      <c r="F3219" s="445"/>
      <c r="G3219" s="445"/>
      <c r="H3219" s="446"/>
      <c r="I3219" s="445"/>
      <c r="J3219" s="446"/>
      <c r="K3219" s="447"/>
      <c r="M3219" s="596"/>
    </row>
    <row r="3220" spans="2:13">
      <c r="B3220" s="127"/>
      <c r="C3220" s="127"/>
      <c r="F3220" s="398"/>
      <c r="G3220" s="398"/>
      <c r="H3220" s="398"/>
      <c r="I3220" s="398"/>
      <c r="J3220" s="398"/>
      <c r="K3220" s="398"/>
    </row>
    <row r="3221" spans="2:13">
      <c r="B3221" s="127"/>
      <c r="C3221" s="127"/>
      <c r="D3221" s="427"/>
      <c r="E3221" s="427"/>
      <c r="F3221" s="445"/>
      <c r="G3221" s="445"/>
      <c r="H3221" s="446"/>
      <c r="I3221" s="445"/>
      <c r="J3221" s="446"/>
      <c r="K3221" s="447"/>
      <c r="M3221" s="596"/>
    </row>
    <row r="3222" spans="2:13">
      <c r="B3222" s="127"/>
      <c r="C3222" s="127"/>
      <c r="F3222" s="398"/>
      <c r="G3222" s="398"/>
      <c r="H3222" s="398"/>
      <c r="I3222" s="398"/>
      <c r="J3222" s="398"/>
      <c r="K3222" s="398"/>
    </row>
    <row r="3223" spans="2:13">
      <c r="B3223" s="127"/>
      <c r="C3223" s="127"/>
      <c r="D3223" s="427"/>
      <c r="E3223" s="427"/>
      <c r="F3223" s="445"/>
      <c r="G3223" s="445"/>
      <c r="H3223" s="446"/>
      <c r="I3223" s="445"/>
      <c r="J3223" s="446"/>
      <c r="K3223" s="447"/>
      <c r="M3223" s="596"/>
    </row>
    <row r="3224" spans="2:13">
      <c r="B3224" s="127"/>
      <c r="C3224" s="127"/>
    </row>
    <row r="3225" spans="2:13">
      <c r="B3225" s="127"/>
      <c r="C3225" s="127"/>
      <c r="E3225" s="427"/>
      <c r="F3225" s="427"/>
      <c r="G3225" s="427"/>
      <c r="H3225" s="427"/>
      <c r="I3225" s="427"/>
      <c r="J3225" s="427"/>
      <c r="K3225" s="427"/>
      <c r="M3225" s="427"/>
    </row>
    <row r="3226" spans="2:13">
      <c r="B3226" s="127"/>
      <c r="C3226" s="127"/>
      <c r="E3226" s="427"/>
      <c r="F3226" s="427"/>
      <c r="G3226" s="427"/>
      <c r="H3226" s="427"/>
      <c r="I3226" s="427"/>
      <c r="J3226" s="427"/>
      <c r="K3226" s="427"/>
      <c r="M3226" s="427"/>
    </row>
    <row r="3227" spans="2:13">
      <c r="B3227" s="127"/>
      <c r="C3227" s="127"/>
      <c r="E3227" s="427"/>
      <c r="F3227" s="427"/>
      <c r="G3227" s="427"/>
      <c r="H3227" s="427"/>
      <c r="I3227" s="427"/>
      <c r="J3227" s="427"/>
      <c r="K3227" s="427"/>
      <c r="M3227" s="427"/>
    </row>
    <row r="3228" spans="2:13">
      <c r="B3228" s="127"/>
      <c r="C3228" s="127"/>
      <c r="D3228" s="429"/>
      <c r="E3228" s="430"/>
      <c r="F3228" s="432"/>
      <c r="G3228" s="432"/>
      <c r="H3228" s="443"/>
      <c r="I3228" s="432"/>
      <c r="J3228" s="443"/>
      <c r="K3228" s="444"/>
      <c r="M3228" s="431"/>
    </row>
    <row r="3229" spans="2:13">
      <c r="B3229" s="127"/>
      <c r="C3229" s="127"/>
      <c r="D3229" s="427"/>
      <c r="E3229" s="427"/>
      <c r="F3229" s="445"/>
      <c r="G3229" s="445"/>
      <c r="H3229" s="446"/>
      <c r="I3229" s="445"/>
      <c r="J3229" s="446"/>
      <c r="K3229" s="447"/>
      <c r="M3229" s="596"/>
    </row>
    <row r="3230" spans="2:13">
      <c r="B3230" s="127"/>
      <c r="C3230" s="127"/>
      <c r="F3230" s="398"/>
      <c r="G3230" s="398"/>
      <c r="H3230" s="398"/>
      <c r="I3230" s="398"/>
      <c r="J3230" s="398"/>
      <c r="K3230" s="398"/>
    </row>
    <row r="3231" spans="2:13">
      <c r="B3231" s="127"/>
      <c r="C3231" s="127"/>
      <c r="D3231" s="427"/>
      <c r="E3231" s="427"/>
      <c r="F3231" s="445"/>
      <c r="G3231" s="445"/>
      <c r="H3231" s="446"/>
      <c r="I3231" s="445"/>
      <c r="J3231" s="446"/>
      <c r="K3231" s="447"/>
      <c r="M3231" s="596"/>
    </row>
    <row r="3232" spans="2:13">
      <c r="B3232" s="127"/>
      <c r="C3232" s="127"/>
    </row>
    <row r="3233" spans="2:13">
      <c r="B3233" s="127"/>
      <c r="C3233" s="127"/>
      <c r="E3233" s="427"/>
      <c r="F3233" s="427"/>
      <c r="G3233" s="427"/>
      <c r="H3233" s="427"/>
      <c r="I3233" s="427"/>
      <c r="J3233" s="427"/>
      <c r="K3233" s="427"/>
      <c r="M3233" s="427"/>
    </row>
    <row r="3234" spans="2:13">
      <c r="B3234" s="127"/>
      <c r="C3234" s="127"/>
      <c r="E3234" s="427"/>
      <c r="F3234" s="427"/>
      <c r="G3234" s="427"/>
      <c r="H3234" s="427"/>
      <c r="I3234" s="427"/>
      <c r="J3234" s="427"/>
      <c r="K3234" s="427"/>
      <c r="M3234" s="427"/>
    </row>
    <row r="3235" spans="2:13">
      <c r="B3235" s="127"/>
      <c r="C3235" s="127"/>
      <c r="D3235" s="429"/>
      <c r="E3235" s="430"/>
      <c r="F3235" s="431"/>
      <c r="G3235" s="431"/>
      <c r="H3235" s="436"/>
      <c r="I3235" s="431"/>
      <c r="J3235" s="436"/>
      <c r="K3235" s="437"/>
      <c r="M3235" s="431"/>
    </row>
    <row r="3236" spans="2:13">
      <c r="B3236" s="127"/>
      <c r="C3236" s="127"/>
      <c r="D3236" s="429"/>
      <c r="E3236" s="430"/>
      <c r="F3236" s="432"/>
      <c r="G3236" s="432"/>
      <c r="H3236" s="443"/>
      <c r="I3236" s="432"/>
      <c r="J3236" s="443"/>
      <c r="K3236" s="444"/>
      <c r="M3236" s="431"/>
    </row>
    <row r="3237" spans="2:13">
      <c r="B3237" s="127"/>
      <c r="C3237" s="127"/>
      <c r="D3237" s="427"/>
      <c r="E3237" s="427"/>
      <c r="F3237" s="445"/>
      <c r="G3237" s="445"/>
      <c r="H3237" s="446"/>
      <c r="I3237" s="445"/>
      <c r="J3237" s="446"/>
      <c r="K3237" s="447"/>
      <c r="M3237" s="596"/>
    </row>
    <row r="3238" spans="2:13">
      <c r="B3238" s="127"/>
      <c r="C3238" s="127"/>
      <c r="F3238" s="398"/>
      <c r="G3238" s="398"/>
      <c r="H3238" s="398"/>
      <c r="I3238" s="398"/>
      <c r="J3238" s="398"/>
      <c r="K3238" s="398"/>
    </row>
    <row r="3239" spans="2:13">
      <c r="B3239" s="127"/>
      <c r="C3239" s="127"/>
      <c r="D3239" s="427"/>
      <c r="E3239" s="427"/>
      <c r="F3239" s="445"/>
      <c r="G3239" s="445"/>
      <c r="H3239" s="446"/>
      <c r="I3239" s="445"/>
      <c r="J3239" s="446"/>
      <c r="K3239" s="447"/>
      <c r="M3239" s="596"/>
    </row>
    <row r="3240" spans="2:13">
      <c r="B3240" s="127"/>
      <c r="C3240" s="127"/>
      <c r="F3240" s="398"/>
      <c r="G3240" s="398"/>
      <c r="H3240" s="398"/>
      <c r="I3240" s="398"/>
      <c r="J3240" s="398"/>
      <c r="K3240" s="398"/>
    </row>
    <row r="3241" spans="2:13">
      <c r="B3241" s="127"/>
      <c r="C3241" s="127"/>
      <c r="D3241" s="427"/>
      <c r="E3241" s="427"/>
      <c r="F3241" s="445"/>
      <c r="G3241" s="445"/>
      <c r="H3241" s="446"/>
      <c r="I3241" s="445"/>
      <c r="J3241" s="446"/>
      <c r="K3241" s="447"/>
      <c r="M3241" s="596"/>
    </row>
    <row r="3242" spans="2:13">
      <c r="B3242" s="127"/>
      <c r="C3242" s="127"/>
    </row>
    <row r="3243" spans="2:13">
      <c r="B3243" s="127"/>
      <c r="C3243" s="127"/>
    </row>
    <row r="3244" spans="2:13">
      <c r="B3244" s="127"/>
      <c r="C3244" s="127"/>
      <c r="D3244" s="438"/>
      <c r="E3244" s="438"/>
      <c r="F3244" s="438"/>
      <c r="G3244" s="438"/>
      <c r="H3244" s="438"/>
      <c r="I3244" s="438"/>
      <c r="J3244" s="438"/>
      <c r="K3244" s="438"/>
      <c r="M3244" s="597"/>
    </row>
    <row r="3245" spans="2:13" ht="16.2" thickBot="1">
      <c r="B3245" s="127"/>
      <c r="C3245" s="127"/>
      <c r="D3245" s="439"/>
      <c r="E3245" s="439"/>
      <c r="F3245" s="440"/>
      <c r="G3245" s="440"/>
      <c r="H3245" s="440"/>
      <c r="I3245" s="440"/>
      <c r="J3245" s="439"/>
      <c r="K3245" s="439"/>
    </row>
    <row r="3246" spans="2:13">
      <c r="B3246" s="127"/>
      <c r="C3246" s="127"/>
      <c r="D3246" s="441"/>
      <c r="E3246" s="441"/>
      <c r="F3246" s="441"/>
      <c r="G3246" s="442"/>
      <c r="H3246" s="441"/>
      <c r="I3246" s="441"/>
      <c r="J3246" s="441"/>
      <c r="K3246" s="441"/>
      <c r="M3246" s="455"/>
    </row>
    <row r="3247" spans="2:13">
      <c r="B3247" s="127"/>
      <c r="C3247" s="127"/>
    </row>
    <row r="3248" spans="2:13">
      <c r="B3248" s="127"/>
      <c r="C3248" s="127"/>
      <c r="J3248" s="428"/>
    </row>
    <row r="3249" spans="2:13">
      <c r="B3249" s="127"/>
      <c r="C3249" s="127"/>
      <c r="F3249" s="428"/>
      <c r="G3249" s="428"/>
      <c r="H3249" s="435"/>
      <c r="I3249" s="428"/>
      <c r="J3249" s="428"/>
      <c r="K3249" s="435"/>
      <c r="M3249" s="428"/>
    </row>
    <row r="3250" spans="2:13">
      <c r="B3250" s="127"/>
      <c r="C3250" s="127"/>
    </row>
    <row r="3251" spans="2:13">
      <c r="B3251" s="127"/>
      <c r="C3251" s="127"/>
      <c r="E3251" s="427"/>
      <c r="F3251" s="427"/>
      <c r="G3251" s="427"/>
      <c r="H3251" s="427"/>
      <c r="I3251" s="427"/>
      <c r="J3251" s="427"/>
      <c r="K3251" s="427"/>
      <c r="M3251" s="427"/>
    </row>
    <row r="3252" spans="2:13">
      <c r="B3252" s="127"/>
      <c r="C3252" s="127"/>
      <c r="E3252" s="427"/>
      <c r="F3252" s="427"/>
      <c r="G3252" s="427"/>
      <c r="H3252" s="427"/>
      <c r="I3252" s="427"/>
      <c r="J3252" s="427"/>
      <c r="K3252" s="427"/>
      <c r="M3252" s="427"/>
    </row>
    <row r="3253" spans="2:13">
      <c r="B3253" s="127"/>
      <c r="C3253" s="127"/>
      <c r="E3253" s="427"/>
      <c r="F3253" s="427"/>
      <c r="G3253" s="427"/>
      <c r="H3253" s="427"/>
      <c r="I3253" s="427"/>
      <c r="J3253" s="427"/>
      <c r="K3253" s="427"/>
      <c r="M3253" s="427"/>
    </row>
    <row r="3254" spans="2:13">
      <c r="B3254" s="127"/>
      <c r="C3254" s="127"/>
      <c r="D3254" s="429"/>
      <c r="E3254" s="430"/>
      <c r="F3254" s="432"/>
      <c r="G3254" s="432"/>
      <c r="H3254" s="443"/>
      <c r="I3254" s="432"/>
      <c r="J3254" s="443"/>
      <c r="K3254" s="444"/>
      <c r="M3254" s="431"/>
    </row>
    <row r="3255" spans="2:13">
      <c r="B3255" s="127"/>
      <c r="C3255" s="127"/>
      <c r="D3255" s="427"/>
      <c r="E3255" s="427"/>
      <c r="F3255" s="445"/>
      <c r="G3255" s="445"/>
      <c r="H3255" s="446"/>
      <c r="I3255" s="445"/>
      <c r="J3255" s="446"/>
      <c r="K3255" s="447"/>
      <c r="M3255" s="596"/>
    </row>
    <row r="3256" spans="2:13">
      <c r="B3256" s="127"/>
      <c r="C3256" s="127"/>
    </row>
    <row r="3257" spans="2:13">
      <c r="B3257" s="127"/>
      <c r="C3257" s="127"/>
      <c r="E3257" s="427"/>
      <c r="F3257" s="427"/>
      <c r="G3257" s="427"/>
      <c r="H3257" s="427"/>
      <c r="I3257" s="427"/>
      <c r="J3257" s="427"/>
      <c r="K3257" s="427"/>
      <c r="M3257" s="427"/>
    </row>
    <row r="3258" spans="2:13">
      <c r="B3258" s="127"/>
      <c r="C3258" s="127"/>
      <c r="D3258" s="429"/>
      <c r="E3258" s="430"/>
      <c r="F3258" s="432"/>
      <c r="G3258" s="432"/>
      <c r="H3258" s="443"/>
      <c r="I3258" s="432"/>
      <c r="J3258" s="443"/>
      <c r="K3258" s="444"/>
      <c r="M3258" s="431"/>
    </row>
    <row r="3259" spans="2:13">
      <c r="B3259" s="127"/>
      <c r="C3259" s="127"/>
      <c r="D3259" s="427"/>
      <c r="E3259" s="427"/>
      <c r="F3259" s="445"/>
      <c r="G3259" s="445"/>
      <c r="H3259" s="446"/>
      <c r="I3259" s="445"/>
      <c r="J3259" s="446"/>
      <c r="K3259" s="447"/>
      <c r="M3259" s="596"/>
    </row>
    <row r="3260" spans="2:13">
      <c r="B3260" s="127"/>
      <c r="C3260" s="127"/>
      <c r="F3260" s="398"/>
      <c r="G3260" s="398"/>
      <c r="H3260" s="398"/>
      <c r="I3260" s="398"/>
      <c r="J3260" s="398"/>
      <c r="K3260" s="398"/>
    </row>
    <row r="3261" spans="2:13">
      <c r="B3261" s="127"/>
      <c r="C3261" s="127"/>
      <c r="D3261" s="427"/>
      <c r="E3261" s="427"/>
      <c r="F3261" s="445"/>
      <c r="G3261" s="445"/>
      <c r="H3261" s="446"/>
      <c r="I3261" s="445"/>
      <c r="J3261" s="446"/>
      <c r="K3261" s="447"/>
      <c r="M3261" s="596"/>
    </row>
    <row r="3262" spans="2:13">
      <c r="B3262" s="127"/>
      <c r="C3262" s="127"/>
      <c r="F3262" s="398"/>
      <c r="G3262" s="398"/>
      <c r="H3262" s="398"/>
      <c r="I3262" s="398"/>
      <c r="J3262" s="398"/>
      <c r="K3262" s="398"/>
    </row>
    <row r="3263" spans="2:13">
      <c r="B3263" s="127"/>
      <c r="C3263" s="127"/>
      <c r="D3263" s="427"/>
      <c r="E3263" s="427"/>
      <c r="F3263" s="445"/>
      <c r="G3263" s="445"/>
      <c r="H3263" s="446"/>
      <c r="I3263" s="445"/>
      <c r="J3263" s="446"/>
      <c r="K3263" s="447"/>
      <c r="M3263" s="596"/>
    </row>
    <row r="3264" spans="2:13">
      <c r="B3264" s="127"/>
      <c r="C3264" s="127"/>
    </row>
    <row r="3265" spans="2:13">
      <c r="B3265" s="127"/>
      <c r="C3265" s="127"/>
      <c r="E3265" s="427"/>
      <c r="F3265" s="427"/>
      <c r="G3265" s="427"/>
      <c r="H3265" s="427"/>
      <c r="I3265" s="427"/>
      <c r="J3265" s="427"/>
      <c r="K3265" s="427"/>
      <c r="M3265" s="427"/>
    </row>
    <row r="3266" spans="2:13">
      <c r="B3266" s="127"/>
      <c r="C3266" s="127"/>
      <c r="E3266" s="427"/>
      <c r="F3266" s="427"/>
      <c r="G3266" s="427"/>
      <c r="H3266" s="427"/>
      <c r="I3266" s="427"/>
      <c r="J3266" s="427"/>
      <c r="K3266" s="427"/>
      <c r="M3266" s="427"/>
    </row>
    <row r="3267" spans="2:13">
      <c r="B3267" s="127"/>
      <c r="C3267" s="127"/>
      <c r="E3267" s="427"/>
      <c r="F3267" s="427"/>
      <c r="G3267" s="427"/>
      <c r="H3267" s="427"/>
      <c r="I3267" s="427"/>
      <c r="J3267" s="427"/>
      <c r="K3267" s="427"/>
      <c r="M3267" s="427"/>
    </row>
    <row r="3268" spans="2:13">
      <c r="B3268" s="127"/>
      <c r="C3268" s="127"/>
      <c r="D3268" s="429"/>
      <c r="E3268" s="430"/>
      <c r="F3268" s="432"/>
      <c r="G3268" s="432"/>
      <c r="H3268" s="443"/>
      <c r="I3268" s="432"/>
      <c r="J3268" s="443"/>
      <c r="K3268" s="444"/>
      <c r="M3268" s="431"/>
    </row>
    <row r="3269" spans="2:13">
      <c r="B3269" s="127"/>
      <c r="C3269" s="127"/>
      <c r="D3269" s="427"/>
      <c r="E3269" s="427"/>
      <c r="F3269" s="445"/>
      <c r="G3269" s="445"/>
      <c r="H3269" s="446"/>
      <c r="I3269" s="445"/>
      <c r="J3269" s="446"/>
      <c r="K3269" s="447"/>
      <c r="M3269" s="596"/>
    </row>
    <row r="3270" spans="2:13">
      <c r="B3270" s="127"/>
      <c r="C3270" s="127"/>
      <c r="F3270" s="398"/>
      <c r="G3270" s="398"/>
      <c r="H3270" s="398"/>
      <c r="I3270" s="398"/>
      <c r="J3270" s="398"/>
      <c r="K3270" s="398"/>
    </row>
    <row r="3271" spans="2:13">
      <c r="B3271" s="127"/>
      <c r="C3271" s="127"/>
      <c r="D3271" s="427"/>
      <c r="E3271" s="427"/>
      <c r="F3271" s="445"/>
      <c r="G3271" s="445"/>
      <c r="H3271" s="446"/>
      <c r="I3271" s="445"/>
      <c r="J3271" s="446"/>
      <c r="K3271" s="447"/>
      <c r="M3271" s="596"/>
    </row>
    <row r="3272" spans="2:13">
      <c r="B3272" s="127"/>
      <c r="C3272" s="127"/>
      <c r="F3272" s="398"/>
      <c r="G3272" s="398"/>
      <c r="H3272" s="398"/>
      <c r="I3272" s="398"/>
      <c r="J3272" s="398"/>
      <c r="K3272" s="398"/>
    </row>
    <row r="3273" spans="2:13">
      <c r="B3273" s="127"/>
      <c r="C3273" s="127"/>
      <c r="D3273" s="427"/>
      <c r="E3273" s="427"/>
      <c r="F3273" s="445"/>
      <c r="G3273" s="445"/>
      <c r="H3273" s="446"/>
      <c r="I3273" s="445"/>
      <c r="J3273" s="446"/>
      <c r="K3273" s="447"/>
      <c r="M3273" s="596"/>
    </row>
    <row r="3274" spans="2:13">
      <c r="B3274" s="127"/>
      <c r="C3274" s="127"/>
    </row>
    <row r="3275" spans="2:13">
      <c r="B3275" s="127"/>
      <c r="C3275" s="127"/>
      <c r="E3275" s="427"/>
      <c r="F3275" s="427"/>
      <c r="G3275" s="427"/>
      <c r="H3275" s="427"/>
      <c r="I3275" s="427"/>
      <c r="J3275" s="427"/>
      <c r="K3275" s="427"/>
      <c r="M3275" s="427"/>
    </row>
    <row r="3276" spans="2:13">
      <c r="B3276" s="127"/>
      <c r="C3276" s="127"/>
      <c r="E3276" s="427"/>
      <c r="F3276" s="427"/>
      <c r="G3276" s="427"/>
      <c r="H3276" s="427"/>
      <c r="I3276" s="427"/>
      <c r="J3276" s="427"/>
      <c r="K3276" s="427"/>
      <c r="M3276" s="427"/>
    </row>
    <row r="3277" spans="2:13">
      <c r="B3277" s="127"/>
      <c r="C3277" s="127"/>
      <c r="E3277" s="427"/>
      <c r="F3277" s="427"/>
      <c r="G3277" s="427"/>
      <c r="H3277" s="427"/>
      <c r="I3277" s="427"/>
      <c r="J3277" s="427"/>
      <c r="K3277" s="427"/>
      <c r="M3277" s="427"/>
    </row>
    <row r="3278" spans="2:13">
      <c r="B3278" s="127"/>
      <c r="C3278" s="127"/>
      <c r="D3278" s="429"/>
      <c r="E3278" s="430"/>
      <c r="F3278" s="431"/>
      <c r="G3278" s="431"/>
      <c r="H3278" s="436"/>
      <c r="I3278" s="431"/>
      <c r="J3278" s="436"/>
      <c r="K3278" s="437"/>
      <c r="M3278" s="431"/>
    </row>
    <row r="3279" spans="2:13">
      <c r="B3279" s="127"/>
      <c r="C3279" s="127"/>
      <c r="D3279" s="429"/>
      <c r="E3279" s="430"/>
      <c r="F3279" s="432"/>
      <c r="G3279" s="432"/>
      <c r="H3279" s="443"/>
      <c r="I3279" s="432"/>
      <c r="J3279" s="443"/>
      <c r="K3279" s="444"/>
      <c r="M3279" s="431"/>
    </row>
    <row r="3280" spans="2:13">
      <c r="B3280" s="127"/>
      <c r="C3280" s="127"/>
      <c r="D3280" s="427"/>
      <c r="E3280" s="427"/>
      <c r="F3280" s="445"/>
      <c r="G3280" s="445"/>
      <c r="H3280" s="446"/>
      <c r="I3280" s="445"/>
      <c r="J3280" s="446"/>
      <c r="K3280" s="447"/>
      <c r="M3280" s="596"/>
    </row>
    <row r="3281" spans="2:13">
      <c r="B3281" s="127"/>
      <c r="C3281" s="127"/>
      <c r="F3281" s="398"/>
      <c r="G3281" s="398"/>
      <c r="H3281" s="398"/>
      <c r="I3281" s="398"/>
      <c r="J3281" s="398"/>
      <c r="K3281" s="398"/>
    </row>
    <row r="3282" spans="2:13">
      <c r="B3282" s="127"/>
      <c r="C3282" s="127"/>
      <c r="D3282" s="427"/>
      <c r="E3282" s="427"/>
      <c r="F3282" s="445"/>
      <c r="G3282" s="445"/>
      <c r="H3282" s="446"/>
      <c r="I3282" s="445"/>
      <c r="J3282" s="446"/>
      <c r="K3282" s="447"/>
      <c r="M3282" s="596"/>
    </row>
    <row r="3283" spans="2:13">
      <c r="B3283" s="127"/>
      <c r="C3283" s="127"/>
      <c r="F3283" s="398"/>
      <c r="G3283" s="398"/>
      <c r="H3283" s="398"/>
      <c r="I3283" s="398"/>
      <c r="J3283" s="398"/>
      <c r="K3283" s="398"/>
    </row>
    <row r="3284" spans="2:13">
      <c r="B3284" s="127"/>
      <c r="C3284" s="127"/>
      <c r="D3284" s="427"/>
      <c r="E3284" s="427"/>
      <c r="F3284" s="445"/>
      <c r="G3284" s="445"/>
      <c r="H3284" s="446"/>
      <c r="I3284" s="445"/>
      <c r="J3284" s="446"/>
      <c r="K3284" s="447"/>
      <c r="M3284" s="596"/>
    </row>
    <row r="3285" spans="2:13">
      <c r="B3285" s="127"/>
      <c r="C3285" s="127"/>
    </row>
    <row r="3286" spans="2:13">
      <c r="B3286" s="127"/>
      <c r="C3286" s="127"/>
      <c r="E3286" s="427"/>
      <c r="F3286" s="427"/>
      <c r="G3286" s="427"/>
      <c r="H3286" s="427"/>
      <c r="I3286" s="427"/>
      <c r="J3286" s="427"/>
      <c r="K3286" s="427"/>
      <c r="M3286" s="427"/>
    </row>
    <row r="3287" spans="2:13">
      <c r="B3287" s="127"/>
      <c r="C3287" s="127"/>
      <c r="E3287" s="427"/>
      <c r="F3287" s="427"/>
      <c r="G3287" s="427"/>
      <c r="H3287" s="427"/>
      <c r="I3287" s="427"/>
      <c r="J3287" s="427"/>
      <c r="K3287" s="427"/>
      <c r="M3287" s="427"/>
    </row>
    <row r="3288" spans="2:13">
      <c r="B3288" s="127"/>
      <c r="C3288" s="127"/>
      <c r="E3288" s="427"/>
      <c r="F3288" s="427"/>
      <c r="G3288" s="427"/>
      <c r="H3288" s="427"/>
      <c r="I3288" s="427"/>
      <c r="J3288" s="427"/>
      <c r="K3288" s="427"/>
      <c r="M3288" s="427"/>
    </row>
    <row r="3289" spans="2:13">
      <c r="B3289" s="127"/>
      <c r="C3289" s="127"/>
      <c r="D3289" s="429"/>
      <c r="E3289" s="430"/>
      <c r="F3289" s="432"/>
      <c r="G3289" s="432"/>
      <c r="H3289" s="443"/>
      <c r="I3289" s="432"/>
      <c r="J3289" s="443"/>
      <c r="K3289" s="444"/>
      <c r="M3289" s="431"/>
    </row>
    <row r="3290" spans="2:13">
      <c r="B3290" s="127"/>
      <c r="C3290" s="127"/>
      <c r="D3290" s="427"/>
      <c r="E3290" s="427"/>
      <c r="F3290" s="445"/>
      <c r="G3290" s="445"/>
      <c r="H3290" s="446"/>
      <c r="I3290" s="445"/>
      <c r="J3290" s="446"/>
      <c r="K3290" s="447"/>
      <c r="M3290" s="596"/>
    </row>
    <row r="3291" spans="2:13">
      <c r="B3291" s="127"/>
      <c r="C3291" s="127"/>
      <c r="F3291" s="398"/>
      <c r="G3291" s="398"/>
      <c r="H3291" s="398"/>
      <c r="I3291" s="398"/>
      <c r="J3291" s="398"/>
      <c r="K3291" s="398"/>
    </row>
    <row r="3292" spans="2:13">
      <c r="B3292" s="127"/>
      <c r="C3292" s="127"/>
      <c r="D3292" s="427"/>
      <c r="E3292" s="427"/>
      <c r="F3292" s="445"/>
      <c r="G3292" s="445"/>
      <c r="H3292" s="446"/>
      <c r="I3292" s="445"/>
      <c r="J3292" s="446"/>
      <c r="K3292" s="447"/>
      <c r="M3292" s="596"/>
    </row>
    <row r="3293" spans="2:13">
      <c r="B3293" s="127"/>
      <c r="C3293" s="127"/>
      <c r="F3293" s="398"/>
      <c r="G3293" s="398"/>
      <c r="H3293" s="398"/>
      <c r="I3293" s="398"/>
      <c r="J3293" s="398"/>
      <c r="K3293" s="398"/>
    </row>
    <row r="3294" spans="2:13">
      <c r="B3294" s="127"/>
      <c r="C3294" s="127"/>
      <c r="D3294" s="427"/>
      <c r="E3294" s="427"/>
      <c r="F3294" s="445"/>
      <c r="G3294" s="445"/>
      <c r="H3294" s="446"/>
      <c r="I3294" s="445"/>
      <c r="J3294" s="446"/>
      <c r="K3294" s="447"/>
      <c r="M3294" s="596"/>
    </row>
    <row r="3295" spans="2:13">
      <c r="B3295" s="127"/>
      <c r="C3295" s="127"/>
    </row>
    <row r="3296" spans="2:13">
      <c r="B3296" s="127"/>
      <c r="C3296" s="127"/>
      <c r="E3296" s="427"/>
      <c r="F3296" s="427"/>
      <c r="G3296" s="427"/>
      <c r="H3296" s="427"/>
      <c r="I3296" s="427"/>
      <c r="J3296" s="427"/>
      <c r="K3296" s="427"/>
      <c r="M3296" s="427"/>
    </row>
    <row r="3297" spans="2:13">
      <c r="B3297" s="127"/>
      <c r="C3297" s="127"/>
      <c r="E3297" s="427"/>
      <c r="F3297" s="427"/>
      <c r="G3297" s="427"/>
      <c r="H3297" s="427"/>
      <c r="I3297" s="427"/>
      <c r="J3297" s="427"/>
      <c r="K3297" s="427"/>
      <c r="M3297" s="427"/>
    </row>
    <row r="3298" spans="2:13">
      <c r="B3298" s="127"/>
      <c r="C3298" s="127"/>
      <c r="E3298" s="427"/>
      <c r="F3298" s="427"/>
      <c r="G3298" s="427"/>
      <c r="H3298" s="427"/>
      <c r="I3298" s="427"/>
      <c r="J3298" s="427"/>
      <c r="K3298" s="427"/>
      <c r="M3298" s="427"/>
    </row>
    <row r="3299" spans="2:13">
      <c r="B3299" s="127"/>
      <c r="C3299" s="127"/>
      <c r="D3299" s="429"/>
      <c r="E3299" s="430"/>
      <c r="F3299" s="432"/>
      <c r="G3299" s="432"/>
      <c r="H3299" s="443"/>
      <c r="I3299" s="432"/>
      <c r="J3299" s="443"/>
      <c r="K3299" s="444"/>
      <c r="M3299" s="431"/>
    </row>
    <row r="3300" spans="2:13">
      <c r="B3300" s="127"/>
      <c r="C3300" s="127"/>
      <c r="D3300" s="427"/>
      <c r="E3300" s="427"/>
      <c r="F3300" s="445"/>
      <c r="G3300" s="445"/>
      <c r="H3300" s="446"/>
      <c r="I3300" s="445"/>
      <c r="J3300" s="446"/>
      <c r="K3300" s="447"/>
      <c r="M3300" s="596"/>
    </row>
    <row r="3301" spans="2:13">
      <c r="B3301" s="127"/>
      <c r="C3301" s="127"/>
      <c r="F3301" s="398"/>
      <c r="G3301" s="398"/>
      <c r="H3301" s="398"/>
      <c r="I3301" s="398"/>
      <c r="J3301" s="398"/>
      <c r="K3301" s="398"/>
    </row>
    <row r="3302" spans="2:13">
      <c r="B3302" s="127"/>
      <c r="C3302" s="127"/>
      <c r="D3302" s="427"/>
      <c r="E3302" s="427"/>
      <c r="F3302" s="445"/>
      <c r="G3302" s="445"/>
      <c r="H3302" s="446"/>
      <c r="I3302" s="445"/>
      <c r="J3302" s="446"/>
      <c r="K3302" s="447"/>
      <c r="M3302" s="596"/>
    </row>
    <row r="3303" spans="2:13">
      <c r="B3303" s="127"/>
      <c r="C3303" s="127"/>
      <c r="F3303" s="398"/>
      <c r="G3303" s="398"/>
      <c r="H3303" s="398"/>
      <c r="I3303" s="398"/>
      <c r="J3303" s="398"/>
      <c r="K3303" s="398"/>
    </row>
    <row r="3304" spans="2:13">
      <c r="B3304" s="127"/>
      <c r="C3304" s="127"/>
      <c r="D3304" s="427"/>
      <c r="E3304" s="427"/>
      <c r="F3304" s="445"/>
      <c r="G3304" s="445"/>
      <c r="H3304" s="446"/>
      <c r="I3304" s="445"/>
      <c r="J3304" s="446"/>
      <c r="K3304" s="447"/>
      <c r="M3304" s="596"/>
    </row>
    <row r="3305" spans="2:13">
      <c r="B3305" s="127"/>
      <c r="C3305" s="127"/>
    </row>
    <row r="3306" spans="2:13">
      <c r="B3306" s="127"/>
      <c r="C3306" s="127"/>
      <c r="E3306" s="427"/>
      <c r="F3306" s="427"/>
      <c r="G3306" s="427"/>
      <c r="H3306" s="427"/>
      <c r="I3306" s="427"/>
      <c r="J3306" s="427"/>
      <c r="K3306" s="427"/>
      <c r="M3306" s="427"/>
    </row>
    <row r="3307" spans="2:13">
      <c r="B3307" s="127"/>
      <c r="C3307" s="127"/>
      <c r="E3307" s="427"/>
      <c r="F3307" s="427"/>
      <c r="G3307" s="427"/>
      <c r="H3307" s="427"/>
      <c r="I3307" s="427"/>
      <c r="J3307" s="427"/>
      <c r="K3307" s="427"/>
      <c r="M3307" s="427"/>
    </row>
    <row r="3308" spans="2:13">
      <c r="B3308" s="127"/>
      <c r="C3308" s="127"/>
      <c r="E3308" s="427"/>
      <c r="F3308" s="427"/>
      <c r="G3308" s="427"/>
      <c r="H3308" s="427"/>
      <c r="I3308" s="427"/>
      <c r="J3308" s="427"/>
      <c r="K3308" s="427"/>
      <c r="M3308" s="427"/>
    </row>
    <row r="3309" spans="2:13">
      <c r="B3309" s="127"/>
      <c r="C3309" s="127"/>
      <c r="D3309" s="429"/>
      <c r="E3309" s="430"/>
      <c r="F3309" s="432"/>
      <c r="G3309" s="432"/>
      <c r="H3309" s="443"/>
      <c r="I3309" s="432"/>
      <c r="J3309" s="443"/>
      <c r="K3309" s="444"/>
      <c r="M3309" s="431"/>
    </row>
    <row r="3310" spans="2:13">
      <c r="B3310" s="127"/>
      <c r="C3310" s="127"/>
      <c r="D3310" s="427"/>
      <c r="E3310" s="427"/>
      <c r="F3310" s="445"/>
      <c r="G3310" s="445"/>
      <c r="H3310" s="446"/>
      <c r="I3310" s="445"/>
      <c r="J3310" s="446"/>
      <c r="K3310" s="447"/>
      <c r="M3310" s="596"/>
    </row>
    <row r="3311" spans="2:13">
      <c r="B3311" s="127"/>
      <c r="C3311" s="127"/>
    </row>
    <row r="3312" spans="2:13">
      <c r="B3312" s="127"/>
      <c r="C3312" s="127"/>
      <c r="E3312" s="427"/>
      <c r="F3312" s="427"/>
      <c r="G3312" s="427"/>
      <c r="H3312" s="427"/>
      <c r="I3312" s="427"/>
      <c r="J3312" s="427"/>
      <c r="K3312" s="427"/>
      <c r="M3312" s="427"/>
    </row>
    <row r="3313" spans="2:13">
      <c r="B3313" s="127"/>
      <c r="C3313" s="127"/>
      <c r="D3313" s="429"/>
      <c r="E3313" s="430"/>
      <c r="F3313" s="432"/>
      <c r="G3313" s="432"/>
      <c r="H3313" s="443"/>
      <c r="I3313" s="432"/>
      <c r="J3313" s="443"/>
      <c r="K3313" s="444"/>
      <c r="M3313" s="431"/>
    </row>
    <row r="3314" spans="2:13">
      <c r="B3314" s="127"/>
      <c r="C3314" s="127"/>
      <c r="D3314" s="427"/>
      <c r="E3314" s="427"/>
      <c r="F3314" s="445"/>
      <c r="G3314" s="445"/>
      <c r="H3314" s="446"/>
      <c r="I3314" s="445"/>
      <c r="J3314" s="446"/>
      <c r="K3314" s="447"/>
      <c r="M3314" s="596"/>
    </row>
    <row r="3315" spans="2:13">
      <c r="B3315" s="127"/>
      <c r="C3315" s="127"/>
      <c r="F3315" s="398"/>
      <c r="G3315" s="398"/>
      <c r="H3315" s="398"/>
      <c r="I3315" s="398"/>
      <c r="J3315" s="398"/>
      <c r="K3315" s="398"/>
    </row>
    <row r="3316" spans="2:13">
      <c r="B3316" s="127"/>
      <c r="C3316" s="127"/>
      <c r="D3316" s="427"/>
      <c r="E3316" s="427"/>
      <c r="F3316" s="445"/>
      <c r="G3316" s="445"/>
      <c r="H3316" s="446"/>
      <c r="I3316" s="445"/>
      <c r="J3316" s="446"/>
      <c r="K3316" s="447"/>
      <c r="M3316" s="596"/>
    </row>
    <row r="3317" spans="2:13">
      <c r="B3317" s="127"/>
      <c r="C3317" s="127"/>
      <c r="F3317" s="398"/>
      <c r="G3317" s="398"/>
      <c r="H3317" s="398"/>
      <c r="I3317" s="398"/>
      <c r="J3317" s="398"/>
      <c r="K3317" s="398"/>
    </row>
    <row r="3318" spans="2:13">
      <c r="B3318" s="127"/>
      <c r="C3318" s="127"/>
      <c r="D3318" s="427"/>
      <c r="E3318" s="427"/>
      <c r="F3318" s="445"/>
      <c r="G3318" s="445"/>
      <c r="H3318" s="446"/>
      <c r="I3318" s="445"/>
      <c r="J3318" s="446"/>
      <c r="K3318" s="447"/>
      <c r="M3318" s="596"/>
    </row>
    <row r="3319" spans="2:13">
      <c r="B3319" s="127"/>
      <c r="C3319" s="127"/>
    </row>
    <row r="3320" spans="2:13">
      <c r="B3320" s="127"/>
      <c r="C3320" s="127"/>
    </row>
    <row r="3321" spans="2:13">
      <c r="B3321" s="127"/>
      <c r="C3321" s="127"/>
      <c r="D3321" s="438"/>
      <c r="E3321" s="438"/>
      <c r="F3321" s="438"/>
      <c r="G3321" s="438"/>
      <c r="H3321" s="438"/>
      <c r="I3321" s="438"/>
      <c r="J3321" s="438"/>
      <c r="K3321" s="438"/>
      <c r="M3321" s="597"/>
    </row>
    <row r="3322" spans="2:13" ht="16.2" thickBot="1">
      <c r="B3322" s="127"/>
      <c r="C3322" s="127"/>
      <c r="D3322" s="439"/>
      <c r="E3322" s="439"/>
      <c r="F3322" s="440"/>
      <c r="G3322" s="440"/>
      <c r="H3322" s="440"/>
      <c r="I3322" s="440"/>
      <c r="J3322" s="439"/>
      <c r="K3322" s="439"/>
    </row>
    <row r="3323" spans="2:13">
      <c r="B3323" s="127"/>
      <c r="C3323" s="127"/>
      <c r="D3323" s="441"/>
      <c r="E3323" s="441"/>
      <c r="F3323" s="441"/>
      <c r="G3323" s="442"/>
      <c r="H3323" s="441"/>
      <c r="I3323" s="441"/>
      <c r="J3323" s="441"/>
      <c r="K3323" s="441"/>
      <c r="M3323" s="455"/>
    </row>
    <row r="3324" spans="2:13">
      <c r="B3324" s="127"/>
      <c r="C3324" s="127"/>
    </row>
    <row r="3325" spans="2:13">
      <c r="B3325" s="127"/>
      <c r="C3325" s="127"/>
      <c r="J3325" s="428"/>
    </row>
    <row r="3326" spans="2:13">
      <c r="B3326" s="127"/>
      <c r="C3326" s="127"/>
      <c r="F3326" s="428"/>
      <c r="G3326" s="428"/>
      <c r="H3326" s="435"/>
      <c r="I3326" s="428"/>
      <c r="J3326" s="428"/>
      <c r="K3326" s="435"/>
      <c r="M3326" s="428"/>
    </row>
    <row r="3327" spans="2:13">
      <c r="B3327" s="127"/>
      <c r="C3327" s="127"/>
    </row>
    <row r="3328" spans="2:13">
      <c r="B3328" s="127"/>
      <c r="C3328" s="127"/>
      <c r="E3328" s="427"/>
      <c r="F3328" s="427"/>
      <c r="G3328" s="427"/>
      <c r="H3328" s="427"/>
      <c r="I3328" s="427"/>
      <c r="J3328" s="427"/>
      <c r="K3328" s="427"/>
      <c r="M3328" s="427"/>
    </row>
    <row r="3329" spans="2:13">
      <c r="B3329" s="127"/>
      <c r="C3329" s="127"/>
      <c r="E3329" s="427"/>
      <c r="F3329" s="427"/>
      <c r="G3329" s="427"/>
      <c r="H3329" s="427"/>
      <c r="I3329" s="427"/>
      <c r="J3329" s="427"/>
      <c r="K3329" s="427"/>
      <c r="M3329" s="427"/>
    </row>
    <row r="3330" spans="2:13">
      <c r="B3330" s="127"/>
      <c r="C3330" s="127"/>
      <c r="E3330" s="427"/>
      <c r="F3330" s="427"/>
      <c r="G3330" s="427"/>
      <c r="H3330" s="427"/>
      <c r="I3330" s="427"/>
      <c r="J3330" s="427"/>
      <c r="K3330" s="427"/>
      <c r="M3330" s="427"/>
    </row>
    <row r="3331" spans="2:13">
      <c r="B3331" s="127"/>
      <c r="C3331" s="127"/>
      <c r="D3331" s="429"/>
      <c r="E3331" s="430"/>
      <c r="F3331" s="431"/>
      <c r="G3331" s="431"/>
      <c r="H3331" s="436"/>
      <c r="I3331" s="431"/>
      <c r="J3331" s="436"/>
      <c r="K3331" s="437"/>
      <c r="M3331" s="431"/>
    </row>
    <row r="3332" spans="2:13">
      <c r="B3332" s="127"/>
      <c r="C3332" s="127"/>
      <c r="D3332" s="429"/>
      <c r="E3332" s="430"/>
      <c r="F3332" s="432"/>
      <c r="G3332" s="432"/>
      <c r="H3332" s="443"/>
      <c r="I3332" s="432"/>
      <c r="J3332" s="443"/>
      <c r="K3332" s="444"/>
      <c r="M3332" s="431"/>
    </row>
    <row r="3333" spans="2:13">
      <c r="B3333" s="127"/>
      <c r="C3333" s="127"/>
      <c r="D3333" s="427"/>
      <c r="E3333" s="427"/>
      <c r="F3333" s="445"/>
      <c r="G3333" s="445"/>
      <c r="H3333" s="446"/>
      <c r="I3333" s="445"/>
      <c r="J3333" s="446"/>
      <c r="K3333" s="447"/>
      <c r="M3333" s="596"/>
    </row>
    <row r="3334" spans="2:13">
      <c r="B3334" s="127"/>
      <c r="C3334" s="127"/>
      <c r="F3334" s="398"/>
      <c r="G3334" s="398"/>
      <c r="H3334" s="398"/>
      <c r="I3334" s="398"/>
      <c r="J3334" s="398"/>
      <c r="K3334" s="398"/>
    </row>
    <row r="3335" spans="2:13">
      <c r="B3335" s="127"/>
      <c r="C3335" s="127"/>
      <c r="D3335" s="427"/>
      <c r="E3335" s="427"/>
      <c r="F3335" s="445"/>
      <c r="G3335" s="445"/>
      <c r="H3335" s="446"/>
      <c r="I3335" s="445"/>
      <c r="J3335" s="446"/>
      <c r="K3335" s="447"/>
      <c r="M3335" s="596"/>
    </row>
    <row r="3336" spans="2:13">
      <c r="B3336" s="127"/>
      <c r="C3336" s="127"/>
      <c r="F3336" s="398"/>
      <c r="G3336" s="398"/>
      <c r="H3336" s="398"/>
      <c r="I3336" s="398"/>
      <c r="J3336" s="398"/>
      <c r="K3336" s="398"/>
    </row>
    <row r="3337" spans="2:13">
      <c r="B3337" s="127"/>
      <c r="C3337" s="127"/>
      <c r="D3337" s="427"/>
      <c r="E3337" s="427"/>
      <c r="F3337" s="445"/>
      <c r="G3337" s="445"/>
      <c r="H3337" s="446"/>
      <c r="I3337" s="445"/>
      <c r="J3337" s="446"/>
      <c r="K3337" s="447"/>
      <c r="M3337" s="596"/>
    </row>
    <row r="3338" spans="2:13">
      <c r="B3338" s="127"/>
      <c r="C3338" s="127"/>
      <c r="F3338" s="398"/>
      <c r="G3338" s="398"/>
      <c r="H3338" s="398"/>
      <c r="I3338" s="398"/>
      <c r="J3338" s="398"/>
      <c r="K3338" s="398"/>
    </row>
    <row r="3339" spans="2:13">
      <c r="B3339" s="127"/>
      <c r="C3339" s="127"/>
      <c r="D3339" s="427"/>
      <c r="E3339" s="427"/>
      <c r="F3339" s="445"/>
      <c r="G3339" s="445"/>
      <c r="H3339" s="446"/>
      <c r="I3339" s="445"/>
      <c r="J3339" s="446"/>
      <c r="K3339" s="447"/>
      <c r="M3339" s="596"/>
    </row>
    <row r="3340" spans="2:13">
      <c r="B3340" s="127"/>
      <c r="C3340" s="127"/>
      <c r="F3340" s="398"/>
      <c r="G3340" s="398"/>
      <c r="H3340" s="398"/>
      <c r="I3340" s="398"/>
      <c r="J3340" s="398"/>
      <c r="K3340" s="398"/>
    </row>
    <row r="3341" spans="2:13">
      <c r="B3341" s="127"/>
      <c r="C3341" s="127"/>
      <c r="D3341" s="427"/>
      <c r="E3341" s="427"/>
      <c r="F3341" s="445"/>
      <c r="G3341" s="445"/>
      <c r="H3341" s="446"/>
      <c r="I3341" s="445"/>
      <c r="J3341" s="446"/>
      <c r="K3341" s="447"/>
      <c r="M3341" s="596"/>
    </row>
    <row r="3342" spans="2:13">
      <c r="B3342" s="127"/>
      <c r="C3342" s="127"/>
    </row>
    <row r="3343" spans="2:13">
      <c r="B3343" s="127"/>
      <c r="C3343" s="127"/>
      <c r="D3343" s="427"/>
      <c r="E3343" s="427"/>
      <c r="F3343" s="427"/>
      <c r="G3343" s="427"/>
      <c r="H3343" s="427"/>
      <c r="I3343" s="427"/>
      <c r="J3343" s="427"/>
      <c r="K3343" s="427"/>
      <c r="M3343" s="427"/>
    </row>
    <row r="3344" spans="2:13">
      <c r="B3344" s="127"/>
      <c r="C3344" s="127"/>
      <c r="E3344" s="427"/>
      <c r="F3344" s="427"/>
      <c r="G3344" s="427"/>
      <c r="H3344" s="427"/>
      <c r="I3344" s="427"/>
      <c r="J3344" s="427"/>
      <c r="K3344" s="427"/>
      <c r="M3344" s="427"/>
    </row>
    <row r="3345" spans="2:13">
      <c r="B3345" s="127"/>
      <c r="C3345" s="127"/>
      <c r="E3345" s="427"/>
      <c r="F3345" s="427"/>
      <c r="G3345" s="427"/>
      <c r="H3345" s="427"/>
      <c r="I3345" s="427"/>
      <c r="J3345" s="427"/>
      <c r="K3345" s="427"/>
      <c r="M3345" s="427"/>
    </row>
    <row r="3346" spans="2:13">
      <c r="B3346" s="127"/>
      <c r="C3346" s="127"/>
      <c r="E3346" s="427"/>
      <c r="F3346" s="427"/>
      <c r="G3346" s="427"/>
      <c r="H3346" s="427"/>
      <c r="I3346" s="427"/>
      <c r="J3346" s="427"/>
      <c r="K3346" s="427"/>
      <c r="M3346" s="427"/>
    </row>
    <row r="3347" spans="2:13">
      <c r="B3347" s="127"/>
      <c r="C3347" s="127"/>
      <c r="E3347" s="427"/>
      <c r="F3347" s="427"/>
      <c r="G3347" s="427"/>
      <c r="H3347" s="427"/>
      <c r="I3347" s="427"/>
      <c r="J3347" s="427"/>
      <c r="K3347" s="427"/>
      <c r="M3347" s="427"/>
    </row>
    <row r="3348" spans="2:13">
      <c r="B3348" s="127"/>
      <c r="C3348" s="127"/>
      <c r="D3348" s="429"/>
      <c r="E3348" s="430"/>
      <c r="F3348" s="431"/>
      <c r="G3348" s="431"/>
      <c r="H3348" s="436"/>
      <c r="I3348" s="431"/>
      <c r="J3348" s="436"/>
      <c r="K3348" s="437"/>
      <c r="M3348" s="431"/>
    </row>
    <row r="3349" spans="2:13">
      <c r="B3349" s="127"/>
      <c r="C3349" s="127"/>
      <c r="D3349" s="429"/>
      <c r="E3349" s="430"/>
      <c r="F3349" s="432"/>
      <c r="G3349" s="432"/>
      <c r="H3349" s="443"/>
      <c r="I3349" s="432"/>
      <c r="J3349" s="443"/>
      <c r="K3349" s="444"/>
      <c r="M3349" s="431"/>
    </row>
    <row r="3350" spans="2:13">
      <c r="B3350" s="127"/>
      <c r="C3350" s="127"/>
      <c r="D3350" s="427"/>
      <c r="E3350" s="427"/>
      <c r="F3350" s="445"/>
      <c r="G3350" s="445"/>
      <c r="H3350" s="446"/>
      <c r="I3350" s="445"/>
      <c r="J3350" s="446"/>
      <c r="K3350" s="447"/>
      <c r="M3350" s="596"/>
    </row>
    <row r="3351" spans="2:13">
      <c r="B3351" s="127"/>
      <c r="C3351" s="127"/>
    </row>
    <row r="3352" spans="2:13">
      <c r="B3352" s="127"/>
      <c r="C3352" s="127"/>
      <c r="E3352" s="427"/>
      <c r="F3352" s="427"/>
      <c r="G3352" s="427"/>
      <c r="H3352" s="427"/>
      <c r="I3352" s="427"/>
      <c r="J3352" s="427"/>
      <c r="K3352" s="427"/>
      <c r="M3352" s="427"/>
    </row>
    <row r="3353" spans="2:13">
      <c r="B3353" s="127"/>
      <c r="C3353" s="127"/>
      <c r="D3353" s="429"/>
      <c r="E3353" s="430"/>
      <c r="F3353" s="431"/>
      <c r="G3353" s="431"/>
      <c r="H3353" s="436"/>
      <c r="I3353" s="431"/>
      <c r="J3353" s="436"/>
      <c r="K3353" s="437"/>
      <c r="M3353" s="431"/>
    </row>
    <row r="3354" spans="2:13">
      <c r="B3354" s="127"/>
      <c r="C3354" s="127"/>
      <c r="D3354" s="429"/>
      <c r="E3354" s="430"/>
      <c r="F3354" s="431"/>
      <c r="G3354" s="431"/>
      <c r="H3354" s="436"/>
      <c r="I3354" s="431"/>
      <c r="J3354" s="436"/>
      <c r="K3354" s="437"/>
      <c r="M3354" s="431"/>
    </row>
    <row r="3355" spans="2:13">
      <c r="B3355" s="127"/>
      <c r="C3355" s="127"/>
      <c r="D3355" s="429"/>
      <c r="E3355" s="430"/>
      <c r="F3355" s="431"/>
      <c r="G3355" s="431"/>
      <c r="H3355" s="436"/>
      <c r="I3355" s="431"/>
      <c r="J3355" s="436"/>
      <c r="K3355" s="437"/>
      <c r="M3355" s="431"/>
    </row>
    <row r="3356" spans="2:13">
      <c r="B3356" s="127"/>
      <c r="C3356" s="127"/>
      <c r="D3356" s="429"/>
      <c r="E3356" s="430"/>
      <c r="F3356" s="431"/>
      <c r="G3356" s="431"/>
      <c r="H3356" s="436"/>
      <c r="I3356" s="431"/>
      <c r="J3356" s="436"/>
      <c r="K3356" s="437"/>
      <c r="M3356" s="431"/>
    </row>
    <row r="3357" spans="2:13">
      <c r="B3357" s="127"/>
      <c r="C3357" s="127"/>
      <c r="D3357" s="429"/>
      <c r="E3357" s="430"/>
      <c r="F3357" s="432"/>
      <c r="G3357" s="432"/>
      <c r="H3357" s="443"/>
      <c r="I3357" s="432"/>
      <c r="J3357" s="443"/>
      <c r="K3357" s="444"/>
      <c r="M3357" s="431"/>
    </row>
    <row r="3358" spans="2:13">
      <c r="B3358" s="127"/>
      <c r="C3358" s="127"/>
      <c r="D3358" s="427"/>
      <c r="E3358" s="427"/>
      <c r="F3358" s="445"/>
      <c r="G3358" s="445"/>
      <c r="H3358" s="446"/>
      <c r="I3358" s="445"/>
      <c r="J3358" s="446"/>
      <c r="K3358" s="447"/>
      <c r="M3358" s="596"/>
    </row>
    <row r="3359" spans="2:13">
      <c r="B3359" s="127"/>
      <c r="C3359" s="127"/>
      <c r="F3359" s="398"/>
      <c r="G3359" s="398"/>
      <c r="H3359" s="398"/>
      <c r="I3359" s="398"/>
      <c r="J3359" s="398"/>
      <c r="K3359" s="398"/>
    </row>
    <row r="3360" spans="2:13">
      <c r="B3360" s="127"/>
      <c r="C3360" s="127"/>
      <c r="D3360" s="427"/>
      <c r="E3360" s="427"/>
      <c r="F3360" s="445"/>
      <c r="G3360" s="445"/>
      <c r="H3360" s="446"/>
      <c r="I3360" s="445"/>
      <c r="J3360" s="446"/>
      <c r="K3360" s="447"/>
      <c r="M3360" s="596"/>
    </row>
    <row r="3361" spans="2:13">
      <c r="B3361" s="127"/>
      <c r="C3361" s="127"/>
      <c r="F3361" s="398"/>
      <c r="G3361" s="398"/>
      <c r="H3361" s="398"/>
      <c r="I3361" s="398"/>
      <c r="J3361" s="398"/>
      <c r="K3361" s="398"/>
    </row>
    <row r="3362" spans="2:13">
      <c r="B3362" s="127"/>
      <c r="C3362" s="127"/>
      <c r="D3362" s="427"/>
      <c r="E3362" s="427"/>
      <c r="F3362" s="445"/>
      <c r="G3362" s="445"/>
      <c r="H3362" s="446"/>
      <c r="I3362" s="445"/>
      <c r="J3362" s="446"/>
      <c r="K3362" s="447"/>
      <c r="M3362" s="596"/>
    </row>
    <row r="3363" spans="2:13">
      <c r="B3363" s="127"/>
      <c r="C3363" s="127"/>
      <c r="F3363" s="398"/>
      <c r="G3363" s="398"/>
      <c r="H3363" s="398"/>
      <c r="I3363" s="398"/>
      <c r="J3363" s="398"/>
      <c r="K3363" s="398"/>
    </row>
    <row r="3364" spans="2:13">
      <c r="B3364" s="127"/>
      <c r="C3364" s="127"/>
      <c r="D3364" s="427"/>
      <c r="E3364" s="427"/>
      <c r="F3364" s="445"/>
      <c r="G3364" s="445"/>
      <c r="H3364" s="446"/>
      <c r="I3364" s="445"/>
      <c r="J3364" s="446"/>
      <c r="K3364" s="447"/>
      <c r="M3364" s="596"/>
    </row>
    <row r="3365" spans="2:13">
      <c r="B3365" s="127"/>
      <c r="C3365" s="127"/>
    </row>
    <row r="3366" spans="2:13">
      <c r="B3366" s="127"/>
      <c r="C3366" s="127"/>
      <c r="E3366" s="427"/>
      <c r="F3366" s="427"/>
      <c r="G3366" s="427"/>
      <c r="H3366" s="427"/>
      <c r="I3366" s="427"/>
      <c r="J3366" s="427"/>
      <c r="K3366" s="427"/>
      <c r="M3366" s="427"/>
    </row>
    <row r="3367" spans="2:13">
      <c r="B3367" s="127"/>
      <c r="C3367" s="127"/>
      <c r="E3367" s="427"/>
      <c r="F3367" s="427"/>
      <c r="G3367" s="427"/>
      <c r="H3367" s="427"/>
      <c r="I3367" s="427"/>
      <c r="J3367" s="427"/>
      <c r="K3367" s="427"/>
      <c r="M3367" s="427"/>
    </row>
    <row r="3368" spans="2:13">
      <c r="B3368" s="127"/>
      <c r="C3368" s="127"/>
      <c r="E3368" s="427"/>
      <c r="F3368" s="427"/>
      <c r="G3368" s="427"/>
      <c r="H3368" s="427"/>
      <c r="I3368" s="427"/>
      <c r="J3368" s="427"/>
      <c r="K3368" s="427"/>
      <c r="M3368" s="427"/>
    </row>
    <row r="3369" spans="2:13">
      <c r="B3369" s="127"/>
      <c r="C3369" s="127"/>
      <c r="E3369" s="427"/>
      <c r="F3369" s="427"/>
      <c r="G3369" s="427"/>
      <c r="H3369" s="427"/>
      <c r="I3369" s="427"/>
      <c r="J3369" s="427"/>
      <c r="K3369" s="427"/>
      <c r="M3369" s="427"/>
    </row>
    <row r="3370" spans="2:13">
      <c r="B3370" s="127"/>
      <c r="C3370" s="127"/>
      <c r="D3370" s="429"/>
      <c r="E3370" s="430"/>
      <c r="F3370" s="432"/>
      <c r="G3370" s="432"/>
      <c r="H3370" s="443"/>
      <c r="I3370" s="432"/>
      <c r="J3370" s="443"/>
      <c r="K3370" s="444"/>
      <c r="M3370" s="431"/>
    </row>
    <row r="3371" spans="2:13">
      <c r="B3371" s="127"/>
      <c r="C3371" s="127"/>
      <c r="D3371" s="427"/>
      <c r="E3371" s="427"/>
      <c r="F3371" s="445"/>
      <c r="G3371" s="445"/>
      <c r="H3371" s="446"/>
      <c r="I3371" s="445"/>
      <c r="J3371" s="446"/>
      <c r="K3371" s="447"/>
      <c r="M3371" s="596"/>
    </row>
    <row r="3372" spans="2:13">
      <c r="B3372" s="127"/>
      <c r="C3372" s="127"/>
    </row>
    <row r="3373" spans="2:13">
      <c r="B3373" s="127"/>
      <c r="C3373" s="127"/>
      <c r="E3373" s="427"/>
      <c r="F3373" s="427"/>
      <c r="G3373" s="427"/>
      <c r="H3373" s="427"/>
      <c r="I3373" s="427"/>
      <c r="J3373" s="427"/>
      <c r="K3373" s="427"/>
      <c r="M3373" s="427"/>
    </row>
    <row r="3374" spans="2:13">
      <c r="B3374" s="127"/>
      <c r="C3374" s="127"/>
      <c r="D3374" s="429"/>
      <c r="E3374" s="430"/>
      <c r="F3374" s="432"/>
      <c r="G3374" s="432"/>
      <c r="H3374" s="443"/>
      <c r="I3374" s="432"/>
      <c r="J3374" s="443"/>
      <c r="K3374" s="444"/>
      <c r="M3374" s="431"/>
    </row>
    <row r="3375" spans="2:13">
      <c r="B3375" s="127"/>
      <c r="C3375" s="127"/>
      <c r="D3375" s="427"/>
      <c r="E3375" s="427"/>
      <c r="F3375" s="445"/>
      <c r="G3375" s="445"/>
      <c r="H3375" s="446"/>
      <c r="I3375" s="445"/>
      <c r="J3375" s="446"/>
      <c r="K3375" s="447"/>
      <c r="M3375" s="596"/>
    </row>
    <row r="3376" spans="2:13">
      <c r="B3376" s="127"/>
      <c r="C3376" s="127"/>
    </row>
    <row r="3377" spans="2:13">
      <c r="B3377" s="127"/>
      <c r="C3377" s="127"/>
      <c r="E3377" s="427"/>
      <c r="F3377" s="427"/>
      <c r="G3377" s="427"/>
      <c r="H3377" s="427"/>
      <c r="I3377" s="427"/>
      <c r="J3377" s="427"/>
      <c r="K3377" s="427"/>
      <c r="M3377" s="427"/>
    </row>
    <row r="3378" spans="2:13">
      <c r="B3378" s="127"/>
      <c r="C3378" s="127"/>
      <c r="D3378" s="429"/>
      <c r="E3378" s="430"/>
      <c r="F3378" s="432"/>
      <c r="G3378" s="432"/>
      <c r="H3378" s="443"/>
      <c r="I3378" s="432"/>
      <c r="J3378" s="443"/>
      <c r="K3378" s="444"/>
      <c r="M3378" s="431"/>
    </row>
    <row r="3379" spans="2:13">
      <c r="B3379" s="127"/>
      <c r="C3379" s="127"/>
      <c r="D3379" s="427"/>
      <c r="E3379" s="427"/>
      <c r="F3379" s="445"/>
      <c r="G3379" s="445"/>
      <c r="H3379" s="446"/>
      <c r="I3379" s="445"/>
      <c r="J3379" s="446"/>
      <c r="K3379" s="447"/>
      <c r="M3379" s="596"/>
    </row>
    <row r="3380" spans="2:13">
      <c r="B3380" s="127"/>
      <c r="C3380" s="127"/>
    </row>
    <row r="3381" spans="2:13">
      <c r="B3381" s="127"/>
      <c r="C3381" s="127"/>
      <c r="E3381" s="427"/>
      <c r="F3381" s="427"/>
      <c r="G3381" s="427"/>
      <c r="H3381" s="427"/>
      <c r="I3381" s="427"/>
      <c r="J3381" s="427"/>
      <c r="K3381" s="427"/>
      <c r="M3381" s="427"/>
    </row>
    <row r="3382" spans="2:13">
      <c r="B3382" s="127"/>
      <c r="C3382" s="127"/>
      <c r="D3382" s="429"/>
      <c r="E3382" s="430"/>
      <c r="F3382" s="431"/>
      <c r="G3382" s="431"/>
      <c r="H3382" s="436"/>
      <c r="I3382" s="431"/>
      <c r="J3382" s="436"/>
      <c r="K3382" s="437"/>
      <c r="M3382" s="431"/>
    </row>
    <row r="3383" spans="2:13">
      <c r="B3383" s="127"/>
      <c r="C3383" s="127"/>
      <c r="D3383" s="429"/>
      <c r="E3383" s="430"/>
      <c r="F3383" s="431"/>
      <c r="G3383" s="431"/>
      <c r="H3383" s="436"/>
      <c r="I3383" s="431"/>
      <c r="J3383" s="436"/>
      <c r="K3383" s="437"/>
      <c r="M3383" s="431"/>
    </row>
    <row r="3384" spans="2:13">
      <c r="B3384" s="127"/>
      <c r="C3384" s="127"/>
      <c r="D3384" s="429"/>
      <c r="E3384" s="430"/>
      <c r="F3384" s="431"/>
      <c r="G3384" s="431"/>
      <c r="H3384" s="436"/>
      <c r="I3384" s="431"/>
      <c r="J3384" s="436"/>
      <c r="K3384" s="437"/>
      <c r="M3384" s="431"/>
    </row>
    <row r="3385" spans="2:13">
      <c r="B3385" s="127"/>
      <c r="C3385" s="127"/>
      <c r="D3385" s="429"/>
      <c r="E3385" s="430"/>
      <c r="F3385" s="431"/>
      <c r="G3385" s="431"/>
      <c r="H3385" s="436"/>
      <c r="I3385" s="431"/>
      <c r="J3385" s="436"/>
      <c r="K3385" s="437"/>
      <c r="M3385" s="431"/>
    </row>
    <row r="3386" spans="2:13">
      <c r="B3386" s="127"/>
      <c r="C3386" s="127"/>
      <c r="D3386" s="429"/>
      <c r="E3386" s="430"/>
      <c r="F3386" s="431"/>
      <c r="G3386" s="431"/>
      <c r="H3386" s="436"/>
      <c r="I3386" s="431"/>
      <c r="J3386" s="436"/>
      <c r="K3386" s="437"/>
      <c r="M3386" s="431"/>
    </row>
    <row r="3387" spans="2:13">
      <c r="B3387" s="127"/>
      <c r="C3387" s="127"/>
      <c r="D3387" s="429"/>
      <c r="E3387" s="430"/>
      <c r="F3387" s="431"/>
      <c r="G3387" s="431"/>
      <c r="H3387" s="436"/>
      <c r="I3387" s="431"/>
      <c r="J3387" s="436"/>
      <c r="K3387" s="437"/>
      <c r="M3387" s="431"/>
    </row>
    <row r="3388" spans="2:13">
      <c r="B3388" s="127"/>
      <c r="C3388" s="127"/>
      <c r="D3388" s="429"/>
      <c r="E3388" s="430"/>
      <c r="F3388" s="431"/>
      <c r="G3388" s="431"/>
      <c r="H3388" s="436"/>
      <c r="I3388" s="431"/>
      <c r="J3388" s="436"/>
      <c r="K3388" s="437"/>
      <c r="M3388" s="431"/>
    </row>
    <row r="3389" spans="2:13">
      <c r="B3389" s="127"/>
      <c r="C3389" s="127"/>
      <c r="D3389" s="429"/>
      <c r="E3389" s="430"/>
      <c r="F3389" s="431"/>
      <c r="G3389" s="431"/>
      <c r="H3389" s="436"/>
      <c r="I3389" s="431"/>
      <c r="J3389" s="436"/>
      <c r="K3389" s="437"/>
      <c r="M3389" s="431"/>
    </row>
    <row r="3390" spans="2:13">
      <c r="B3390" s="127"/>
      <c r="C3390" s="127"/>
      <c r="D3390" s="429"/>
      <c r="E3390" s="430"/>
      <c r="F3390" s="431"/>
      <c r="G3390" s="431"/>
      <c r="H3390" s="436"/>
      <c r="I3390" s="431"/>
      <c r="J3390" s="436"/>
      <c r="K3390" s="437"/>
      <c r="M3390" s="431"/>
    </row>
    <row r="3391" spans="2:13">
      <c r="B3391" s="127"/>
      <c r="C3391" s="127"/>
      <c r="D3391" s="429"/>
      <c r="E3391" s="430"/>
      <c r="F3391" s="431"/>
      <c r="G3391" s="431"/>
      <c r="H3391" s="436"/>
      <c r="I3391" s="431"/>
      <c r="J3391" s="436"/>
      <c r="K3391" s="437"/>
      <c r="M3391" s="431"/>
    </row>
    <row r="3392" spans="2:13">
      <c r="B3392" s="127"/>
      <c r="C3392" s="127"/>
      <c r="D3392" s="429"/>
      <c r="E3392" s="430"/>
      <c r="F3392" s="431"/>
      <c r="G3392" s="431"/>
      <c r="H3392" s="436"/>
      <c r="I3392" s="431"/>
      <c r="J3392" s="436"/>
      <c r="K3392" s="437"/>
      <c r="M3392" s="431"/>
    </row>
    <row r="3393" spans="2:13">
      <c r="B3393" s="127"/>
      <c r="C3393" s="127"/>
      <c r="D3393" s="429"/>
      <c r="E3393" s="430"/>
      <c r="F3393" s="431"/>
      <c r="G3393" s="431"/>
      <c r="H3393" s="436"/>
      <c r="I3393" s="431"/>
      <c r="J3393" s="436"/>
      <c r="K3393" s="437"/>
      <c r="M3393" s="431"/>
    </row>
    <row r="3394" spans="2:13">
      <c r="B3394" s="127"/>
      <c r="C3394" s="127"/>
      <c r="D3394" s="429"/>
      <c r="E3394" s="430"/>
      <c r="F3394" s="431"/>
      <c r="G3394" s="431"/>
      <c r="H3394" s="436"/>
      <c r="I3394" s="431"/>
      <c r="J3394" s="436"/>
      <c r="K3394" s="437"/>
      <c r="M3394" s="431"/>
    </row>
    <row r="3395" spans="2:13">
      <c r="B3395" s="127"/>
      <c r="C3395" s="127"/>
    </row>
    <row r="3396" spans="2:13">
      <c r="B3396" s="127"/>
      <c r="C3396" s="127"/>
      <c r="D3396" s="438"/>
      <c r="E3396" s="438"/>
      <c r="F3396" s="438"/>
      <c r="G3396" s="438"/>
      <c r="H3396" s="438"/>
      <c r="I3396" s="438"/>
      <c r="J3396" s="438"/>
      <c r="K3396" s="438"/>
      <c r="M3396" s="597"/>
    </row>
    <row r="3397" spans="2:13" ht="16.2" thickBot="1">
      <c r="B3397" s="127"/>
      <c r="C3397" s="127"/>
      <c r="D3397" s="439"/>
      <c r="E3397" s="439"/>
      <c r="F3397" s="440"/>
      <c r="G3397" s="440"/>
      <c r="H3397" s="440"/>
      <c r="I3397" s="440"/>
      <c r="J3397" s="439"/>
      <c r="K3397" s="439"/>
    </row>
    <row r="3398" spans="2:13">
      <c r="B3398" s="127"/>
      <c r="C3398" s="127"/>
      <c r="D3398" s="441"/>
      <c r="E3398" s="441"/>
      <c r="F3398" s="441"/>
      <c r="G3398" s="442"/>
      <c r="H3398" s="441"/>
      <c r="I3398" s="441"/>
      <c r="J3398" s="441"/>
      <c r="K3398" s="441"/>
      <c r="M3398" s="455"/>
    </row>
    <row r="3399" spans="2:13">
      <c r="B3399" s="127"/>
      <c r="C3399" s="127"/>
    </row>
    <row r="3400" spans="2:13">
      <c r="B3400" s="127"/>
      <c r="C3400" s="127"/>
      <c r="J3400" s="428"/>
    </row>
    <row r="3401" spans="2:13">
      <c r="B3401" s="127"/>
      <c r="C3401" s="127"/>
      <c r="F3401" s="428"/>
      <c r="G3401" s="428"/>
      <c r="H3401" s="435"/>
      <c r="I3401" s="428"/>
      <c r="J3401" s="428"/>
      <c r="K3401" s="435"/>
      <c r="M3401" s="428"/>
    </row>
    <row r="3402" spans="2:13">
      <c r="B3402" s="127"/>
      <c r="C3402" s="127"/>
    </row>
    <row r="3403" spans="2:13">
      <c r="B3403" s="127"/>
      <c r="C3403" s="127"/>
      <c r="D3403" s="429"/>
      <c r="E3403" s="430"/>
      <c r="F3403" s="431"/>
      <c r="G3403" s="431"/>
      <c r="H3403" s="436"/>
      <c r="I3403" s="431"/>
      <c r="J3403" s="436"/>
      <c r="K3403" s="437"/>
      <c r="M3403" s="431"/>
    </row>
    <row r="3404" spans="2:13">
      <c r="B3404" s="127"/>
      <c r="C3404" s="127"/>
      <c r="D3404" s="429"/>
      <c r="E3404" s="430"/>
      <c r="F3404" s="431"/>
      <c r="G3404" s="431"/>
      <c r="H3404" s="436"/>
      <c r="I3404" s="431"/>
      <c r="J3404" s="436"/>
      <c r="K3404" s="437"/>
      <c r="M3404" s="431"/>
    </row>
    <row r="3405" spans="2:13">
      <c r="B3405" s="127"/>
      <c r="C3405" s="127"/>
      <c r="D3405" s="429"/>
      <c r="E3405" s="430"/>
      <c r="F3405" s="432"/>
      <c r="G3405" s="432"/>
      <c r="H3405" s="443"/>
      <c r="I3405" s="432"/>
      <c r="J3405" s="443"/>
      <c r="K3405" s="444"/>
      <c r="M3405" s="431"/>
    </row>
    <row r="3406" spans="2:13">
      <c r="B3406" s="127"/>
      <c r="C3406" s="127"/>
      <c r="D3406" s="427"/>
      <c r="E3406" s="427"/>
      <c r="F3406" s="445"/>
      <c r="G3406" s="445"/>
      <c r="H3406" s="446"/>
      <c r="I3406" s="445"/>
      <c r="J3406" s="446"/>
      <c r="K3406" s="447"/>
      <c r="M3406" s="596"/>
    </row>
    <row r="3407" spans="2:13">
      <c r="B3407" s="127"/>
      <c r="C3407" s="127"/>
      <c r="F3407" s="398"/>
      <c r="G3407" s="398"/>
      <c r="H3407" s="398"/>
      <c r="I3407" s="398"/>
      <c r="J3407" s="398"/>
      <c r="K3407" s="398"/>
    </row>
    <row r="3408" spans="2:13">
      <c r="B3408" s="127"/>
      <c r="C3408" s="127"/>
      <c r="D3408" s="427"/>
      <c r="E3408" s="427"/>
      <c r="F3408" s="445"/>
      <c r="G3408" s="445"/>
      <c r="H3408" s="446"/>
      <c r="I3408" s="445"/>
      <c r="J3408" s="446"/>
      <c r="K3408" s="447"/>
      <c r="M3408" s="596"/>
    </row>
    <row r="3409" spans="2:13">
      <c r="B3409" s="127"/>
      <c r="C3409" s="127"/>
      <c r="F3409" s="398"/>
      <c r="G3409" s="398"/>
      <c r="H3409" s="398"/>
      <c r="I3409" s="398"/>
      <c r="J3409" s="398"/>
      <c r="K3409" s="398"/>
    </row>
    <row r="3410" spans="2:13">
      <c r="B3410" s="127"/>
      <c r="C3410" s="127"/>
      <c r="D3410" s="427"/>
      <c r="E3410" s="427"/>
      <c r="F3410" s="445"/>
      <c r="G3410" s="445"/>
      <c r="H3410" s="446"/>
      <c r="I3410" s="445"/>
      <c r="J3410" s="446"/>
      <c r="K3410" s="447"/>
      <c r="M3410" s="596"/>
    </row>
    <row r="3411" spans="2:13">
      <c r="B3411" s="127"/>
      <c r="C3411" s="127"/>
      <c r="F3411" s="398"/>
      <c r="G3411" s="398"/>
      <c r="H3411" s="398"/>
      <c r="I3411" s="398"/>
      <c r="J3411" s="398"/>
      <c r="K3411" s="398"/>
    </row>
    <row r="3412" spans="2:13">
      <c r="B3412" s="127"/>
      <c r="C3412" s="127"/>
      <c r="D3412" s="427"/>
      <c r="E3412" s="427"/>
      <c r="F3412" s="445"/>
      <c r="G3412" s="445"/>
      <c r="H3412" s="446"/>
      <c r="I3412" s="445"/>
      <c r="J3412" s="446"/>
      <c r="K3412" s="447"/>
      <c r="M3412" s="596"/>
    </row>
    <row r="3413" spans="2:13">
      <c r="B3413" s="127"/>
      <c r="C3413" s="127"/>
      <c r="F3413" s="398"/>
      <c r="G3413" s="398"/>
      <c r="H3413" s="398"/>
      <c r="I3413" s="398"/>
      <c r="J3413" s="398"/>
      <c r="K3413" s="398"/>
    </row>
    <row r="3414" spans="2:13">
      <c r="B3414" s="127"/>
      <c r="C3414" s="127"/>
      <c r="D3414" s="427"/>
      <c r="E3414" s="427"/>
      <c r="F3414" s="445"/>
      <c r="G3414" s="445"/>
      <c r="H3414" s="446"/>
      <c r="I3414" s="445"/>
      <c r="J3414" s="446"/>
      <c r="K3414" s="447"/>
      <c r="M3414" s="596"/>
    </row>
    <row r="3415" spans="2:13">
      <c r="B3415" s="127"/>
      <c r="C3415" s="127"/>
    </row>
    <row r="3416" spans="2:13">
      <c r="B3416" s="127"/>
      <c r="C3416" s="127"/>
      <c r="D3416" s="427"/>
      <c r="E3416" s="427"/>
      <c r="F3416" s="427"/>
      <c r="G3416" s="427"/>
      <c r="H3416" s="427"/>
      <c r="I3416" s="427"/>
      <c r="J3416" s="427"/>
      <c r="K3416" s="427"/>
      <c r="M3416" s="427"/>
    </row>
    <row r="3417" spans="2:13">
      <c r="B3417" s="127"/>
      <c r="C3417" s="127"/>
      <c r="E3417" s="427"/>
      <c r="F3417" s="427"/>
      <c r="G3417" s="427"/>
      <c r="H3417" s="427"/>
      <c r="I3417" s="427"/>
      <c r="J3417" s="427"/>
      <c r="K3417" s="427"/>
      <c r="M3417" s="427"/>
    </row>
    <row r="3418" spans="2:13">
      <c r="B3418" s="127"/>
      <c r="C3418" s="127"/>
      <c r="E3418" s="427"/>
      <c r="F3418" s="427"/>
      <c r="G3418" s="427"/>
      <c r="H3418" s="427"/>
      <c r="I3418" s="427"/>
      <c r="J3418" s="427"/>
      <c r="K3418" s="427"/>
      <c r="M3418" s="427"/>
    </row>
    <row r="3419" spans="2:13">
      <c r="B3419" s="127"/>
      <c r="C3419" s="127"/>
      <c r="E3419" s="427"/>
      <c r="F3419" s="427"/>
      <c r="G3419" s="427"/>
      <c r="H3419" s="427"/>
      <c r="I3419" s="427"/>
      <c r="J3419" s="427"/>
      <c r="K3419" s="427"/>
      <c r="M3419" s="427"/>
    </row>
    <row r="3420" spans="2:13">
      <c r="B3420" s="127"/>
      <c r="C3420" s="127"/>
      <c r="E3420" s="427"/>
      <c r="F3420" s="427"/>
      <c r="G3420" s="427"/>
      <c r="H3420" s="427"/>
      <c r="I3420" s="427"/>
      <c r="J3420" s="427"/>
      <c r="K3420" s="427"/>
      <c r="M3420" s="427"/>
    </row>
    <row r="3421" spans="2:13">
      <c r="B3421" s="127"/>
      <c r="C3421" s="127"/>
      <c r="D3421" s="429"/>
      <c r="E3421" s="430"/>
      <c r="F3421" s="431"/>
      <c r="G3421" s="431"/>
      <c r="H3421" s="436"/>
      <c r="I3421" s="431"/>
      <c r="J3421" s="436"/>
      <c r="K3421" s="437"/>
      <c r="M3421" s="431"/>
    </row>
    <row r="3422" spans="2:13">
      <c r="B3422" s="127"/>
      <c r="C3422" s="127"/>
      <c r="D3422" s="429"/>
      <c r="E3422" s="430"/>
      <c r="F3422" s="432"/>
      <c r="G3422" s="432"/>
      <c r="H3422" s="443"/>
      <c r="I3422" s="432"/>
      <c r="J3422" s="443"/>
      <c r="K3422" s="444"/>
      <c r="M3422" s="431"/>
    </row>
    <row r="3423" spans="2:13">
      <c r="B3423" s="127"/>
      <c r="C3423" s="127"/>
      <c r="D3423" s="427"/>
      <c r="E3423" s="427"/>
      <c r="F3423" s="445"/>
      <c r="G3423" s="445"/>
      <c r="H3423" s="446"/>
      <c r="I3423" s="445"/>
      <c r="J3423" s="446"/>
      <c r="K3423" s="447"/>
      <c r="M3423" s="596"/>
    </row>
    <row r="3424" spans="2:13">
      <c r="B3424" s="127"/>
      <c r="C3424" s="127"/>
    </row>
    <row r="3425" spans="2:13">
      <c r="B3425" s="127"/>
      <c r="C3425" s="127"/>
      <c r="E3425" s="427"/>
      <c r="F3425" s="427"/>
      <c r="G3425" s="427"/>
      <c r="H3425" s="427"/>
      <c r="I3425" s="427"/>
      <c r="J3425" s="427"/>
      <c r="K3425" s="427"/>
      <c r="M3425" s="427"/>
    </row>
    <row r="3426" spans="2:13">
      <c r="B3426" s="127"/>
      <c r="C3426" s="127"/>
      <c r="D3426" s="429"/>
      <c r="E3426" s="430"/>
      <c r="F3426" s="432"/>
      <c r="G3426" s="432"/>
      <c r="H3426" s="443"/>
      <c r="I3426" s="432"/>
      <c r="J3426" s="443"/>
      <c r="K3426" s="444"/>
      <c r="M3426" s="431"/>
    </row>
    <row r="3427" spans="2:13">
      <c r="B3427" s="127"/>
      <c r="C3427" s="127"/>
      <c r="D3427" s="427"/>
      <c r="E3427" s="427"/>
      <c r="F3427" s="445"/>
      <c r="G3427" s="445"/>
      <c r="H3427" s="446"/>
      <c r="I3427" s="445"/>
      <c r="J3427" s="446"/>
      <c r="K3427" s="447"/>
      <c r="M3427" s="596"/>
    </row>
    <row r="3428" spans="2:13">
      <c r="B3428" s="127"/>
      <c r="C3428" s="127"/>
      <c r="F3428" s="398"/>
      <c r="G3428" s="398"/>
      <c r="H3428" s="398"/>
      <c r="I3428" s="398"/>
      <c r="J3428" s="398"/>
      <c r="K3428" s="398"/>
    </row>
    <row r="3429" spans="2:13">
      <c r="B3429" s="127"/>
      <c r="C3429" s="127"/>
      <c r="D3429" s="427"/>
      <c r="E3429" s="427"/>
      <c r="F3429" s="445"/>
      <c r="G3429" s="445"/>
      <c r="H3429" s="446"/>
      <c r="I3429" s="445"/>
      <c r="J3429" s="446"/>
      <c r="K3429" s="447"/>
      <c r="M3429" s="596"/>
    </row>
    <row r="3430" spans="2:13">
      <c r="B3430" s="127"/>
      <c r="C3430" s="127"/>
      <c r="F3430" s="398"/>
      <c r="G3430" s="398"/>
      <c r="H3430" s="398"/>
      <c r="I3430" s="398"/>
      <c r="J3430" s="398"/>
      <c r="K3430" s="398"/>
    </row>
    <row r="3431" spans="2:13">
      <c r="B3431" s="127"/>
      <c r="C3431" s="127"/>
      <c r="D3431" s="427"/>
      <c r="E3431" s="427"/>
      <c r="F3431" s="445"/>
      <c r="G3431" s="445"/>
      <c r="H3431" s="446"/>
      <c r="I3431" s="445"/>
      <c r="J3431" s="446"/>
      <c r="K3431" s="447"/>
      <c r="M3431" s="596"/>
    </row>
    <row r="3432" spans="2:13">
      <c r="B3432" s="127"/>
      <c r="C3432" s="127"/>
      <c r="F3432" s="398"/>
      <c r="G3432" s="398"/>
      <c r="H3432" s="398"/>
      <c r="I3432" s="398"/>
      <c r="J3432" s="398"/>
      <c r="K3432" s="398"/>
    </row>
    <row r="3433" spans="2:13">
      <c r="B3433" s="127"/>
      <c r="C3433" s="127"/>
      <c r="D3433" s="427"/>
      <c r="E3433" s="427"/>
      <c r="F3433" s="445"/>
      <c r="G3433" s="445"/>
      <c r="H3433" s="446"/>
      <c r="I3433" s="445"/>
      <c r="J3433" s="446"/>
      <c r="K3433" s="447"/>
      <c r="M3433" s="596"/>
    </row>
    <row r="3434" spans="2:13">
      <c r="B3434" s="127"/>
      <c r="C3434" s="127"/>
    </row>
    <row r="3435" spans="2:13">
      <c r="B3435" s="127"/>
      <c r="C3435" s="127"/>
      <c r="E3435" s="427"/>
      <c r="F3435" s="427"/>
      <c r="G3435" s="427"/>
      <c r="H3435" s="427"/>
      <c r="I3435" s="427"/>
      <c r="J3435" s="427"/>
      <c r="K3435" s="427"/>
      <c r="M3435" s="427"/>
    </row>
    <row r="3436" spans="2:13">
      <c r="B3436" s="127"/>
      <c r="C3436" s="127"/>
      <c r="E3436" s="427"/>
      <c r="F3436" s="427"/>
      <c r="G3436" s="427"/>
      <c r="H3436" s="427"/>
      <c r="I3436" s="427"/>
      <c r="J3436" s="427"/>
      <c r="K3436" s="427"/>
      <c r="M3436" s="427"/>
    </row>
    <row r="3437" spans="2:13">
      <c r="B3437" s="127"/>
      <c r="C3437" s="127"/>
      <c r="E3437" s="427"/>
      <c r="F3437" s="427"/>
      <c r="G3437" s="427"/>
      <c r="H3437" s="427"/>
      <c r="I3437" s="427"/>
      <c r="J3437" s="427"/>
      <c r="K3437" s="427"/>
      <c r="M3437" s="427"/>
    </row>
    <row r="3438" spans="2:13">
      <c r="B3438" s="127"/>
      <c r="C3438" s="127"/>
      <c r="E3438" s="427"/>
      <c r="F3438" s="427"/>
      <c r="G3438" s="427"/>
      <c r="H3438" s="427"/>
      <c r="I3438" s="427"/>
      <c r="J3438" s="427"/>
      <c r="K3438" s="427"/>
      <c r="M3438" s="427"/>
    </row>
    <row r="3439" spans="2:13">
      <c r="B3439" s="127"/>
      <c r="C3439" s="127"/>
      <c r="D3439" s="429"/>
      <c r="E3439" s="430"/>
      <c r="F3439" s="432"/>
      <c r="G3439" s="432"/>
      <c r="H3439" s="443"/>
      <c r="I3439" s="432"/>
      <c r="J3439" s="443"/>
      <c r="K3439" s="444"/>
      <c r="M3439" s="431"/>
    </row>
    <row r="3440" spans="2:13">
      <c r="B3440" s="127"/>
      <c r="C3440" s="127"/>
      <c r="D3440" s="427"/>
      <c r="E3440" s="427"/>
      <c r="F3440" s="445"/>
      <c r="G3440" s="445"/>
      <c r="H3440" s="446"/>
      <c r="I3440" s="445"/>
      <c r="J3440" s="446"/>
      <c r="K3440" s="447"/>
      <c r="M3440" s="596"/>
    </row>
    <row r="3441" spans="2:13">
      <c r="B3441" s="127"/>
      <c r="C3441" s="127"/>
    </row>
    <row r="3442" spans="2:13">
      <c r="B3442" s="127"/>
      <c r="C3442" s="127"/>
      <c r="E3442" s="427"/>
      <c r="F3442" s="427"/>
      <c r="G3442" s="427"/>
      <c r="H3442" s="427"/>
      <c r="I3442" s="427"/>
      <c r="J3442" s="427"/>
      <c r="K3442" s="427"/>
      <c r="M3442" s="427"/>
    </row>
    <row r="3443" spans="2:13">
      <c r="B3443" s="127"/>
      <c r="C3443" s="127"/>
      <c r="D3443" s="429"/>
      <c r="E3443" s="430"/>
      <c r="F3443" s="431"/>
      <c r="G3443" s="431"/>
      <c r="H3443" s="436"/>
      <c r="I3443" s="431"/>
      <c r="J3443" s="436"/>
      <c r="K3443" s="437"/>
      <c r="M3443" s="431"/>
    </row>
    <row r="3444" spans="2:13">
      <c r="B3444" s="127"/>
      <c r="C3444" s="127"/>
      <c r="D3444" s="429"/>
      <c r="E3444" s="430"/>
      <c r="F3444" s="432"/>
      <c r="G3444" s="432"/>
      <c r="H3444" s="443"/>
      <c r="I3444" s="432"/>
      <c r="J3444" s="443"/>
      <c r="K3444" s="444"/>
      <c r="M3444" s="431"/>
    </row>
    <row r="3445" spans="2:13">
      <c r="B3445" s="127"/>
      <c r="C3445" s="127"/>
      <c r="D3445" s="427"/>
      <c r="E3445" s="427"/>
      <c r="F3445" s="445"/>
      <c r="G3445" s="445"/>
      <c r="H3445" s="446"/>
      <c r="I3445" s="445"/>
      <c r="J3445" s="446"/>
      <c r="K3445" s="447"/>
      <c r="M3445" s="596"/>
    </row>
    <row r="3446" spans="2:13">
      <c r="B3446" s="127"/>
      <c r="C3446" s="127"/>
      <c r="F3446" s="398"/>
      <c r="G3446" s="398"/>
      <c r="H3446" s="398"/>
      <c r="I3446" s="398"/>
      <c r="J3446" s="398"/>
      <c r="K3446" s="398"/>
    </row>
    <row r="3447" spans="2:13">
      <c r="B3447" s="127"/>
      <c r="C3447" s="127"/>
      <c r="D3447" s="427"/>
      <c r="E3447" s="427"/>
      <c r="F3447" s="445"/>
      <c r="G3447" s="445"/>
      <c r="H3447" s="446"/>
      <c r="I3447" s="445"/>
      <c r="J3447" s="446"/>
      <c r="K3447" s="447"/>
      <c r="M3447" s="596"/>
    </row>
    <row r="3448" spans="2:13">
      <c r="B3448" s="127"/>
      <c r="C3448" s="127"/>
      <c r="F3448" s="398"/>
      <c r="G3448" s="398"/>
      <c r="H3448" s="398"/>
      <c r="I3448" s="398"/>
      <c r="J3448" s="398"/>
      <c r="K3448" s="398"/>
    </row>
    <row r="3449" spans="2:13">
      <c r="B3449" s="127"/>
      <c r="C3449" s="127"/>
      <c r="D3449" s="427"/>
      <c r="E3449" s="427"/>
      <c r="F3449" s="445"/>
      <c r="G3449" s="445"/>
      <c r="H3449" s="446"/>
      <c r="I3449" s="445"/>
      <c r="J3449" s="446"/>
      <c r="K3449" s="447"/>
      <c r="M3449" s="596"/>
    </row>
    <row r="3450" spans="2:13">
      <c r="B3450" s="127"/>
      <c r="C3450" s="127"/>
    </row>
    <row r="3451" spans="2:13">
      <c r="B3451" s="127"/>
      <c r="C3451" s="127"/>
      <c r="E3451" s="427"/>
      <c r="F3451" s="427"/>
      <c r="G3451" s="427"/>
      <c r="H3451" s="427"/>
      <c r="I3451" s="427"/>
      <c r="J3451" s="427"/>
      <c r="K3451" s="427"/>
      <c r="M3451" s="427"/>
    </row>
    <row r="3452" spans="2:13">
      <c r="B3452" s="127"/>
      <c r="C3452" s="127"/>
      <c r="E3452" s="427"/>
      <c r="F3452" s="427"/>
      <c r="G3452" s="427"/>
      <c r="H3452" s="427"/>
      <c r="I3452" s="427"/>
      <c r="J3452" s="427"/>
      <c r="K3452" s="427"/>
      <c r="M3452" s="427"/>
    </row>
    <row r="3453" spans="2:13">
      <c r="B3453" s="127"/>
      <c r="C3453" s="127"/>
      <c r="E3453" s="427"/>
      <c r="F3453" s="427"/>
      <c r="G3453" s="427"/>
      <c r="H3453" s="427"/>
      <c r="I3453" s="427"/>
      <c r="J3453" s="427"/>
      <c r="K3453" s="427"/>
      <c r="M3453" s="427"/>
    </row>
    <row r="3454" spans="2:13">
      <c r="B3454" s="127"/>
      <c r="C3454" s="127"/>
      <c r="D3454" s="429"/>
      <c r="E3454" s="430"/>
      <c r="F3454" s="432"/>
      <c r="G3454" s="432"/>
      <c r="H3454" s="443"/>
      <c r="I3454" s="432"/>
      <c r="J3454" s="443"/>
      <c r="K3454" s="444"/>
      <c r="M3454" s="431"/>
    </row>
    <row r="3455" spans="2:13">
      <c r="B3455" s="127"/>
      <c r="C3455" s="127"/>
      <c r="D3455" s="427"/>
      <c r="E3455" s="427"/>
      <c r="F3455" s="445"/>
      <c r="G3455" s="445"/>
      <c r="H3455" s="446"/>
      <c r="I3455" s="445"/>
      <c r="J3455" s="446"/>
      <c r="K3455" s="447"/>
      <c r="M3455" s="596"/>
    </row>
    <row r="3456" spans="2:13">
      <c r="B3456" s="127"/>
      <c r="C3456" s="127"/>
      <c r="F3456" s="398"/>
      <c r="G3456" s="398"/>
      <c r="H3456" s="398"/>
      <c r="I3456" s="398"/>
      <c r="J3456" s="398"/>
      <c r="K3456" s="398"/>
    </row>
    <row r="3457" spans="2:13">
      <c r="B3457" s="127"/>
      <c r="C3457" s="127"/>
      <c r="D3457" s="427"/>
      <c r="E3457" s="427"/>
      <c r="F3457" s="445"/>
      <c r="G3457" s="445"/>
      <c r="H3457" s="446"/>
      <c r="I3457" s="445"/>
      <c r="J3457" s="446"/>
      <c r="K3457" s="447"/>
      <c r="M3457" s="596"/>
    </row>
    <row r="3458" spans="2:13">
      <c r="B3458" s="127"/>
      <c r="C3458" s="127"/>
      <c r="F3458" s="398"/>
      <c r="G3458" s="398"/>
      <c r="H3458" s="398"/>
      <c r="I3458" s="398"/>
      <c r="J3458" s="398"/>
      <c r="K3458" s="398"/>
    </row>
    <row r="3459" spans="2:13">
      <c r="B3459" s="127"/>
      <c r="C3459" s="127"/>
      <c r="D3459" s="427"/>
      <c r="E3459" s="427"/>
      <c r="F3459" s="445"/>
      <c r="G3459" s="445"/>
      <c r="H3459" s="446"/>
      <c r="I3459" s="445"/>
      <c r="J3459" s="446"/>
      <c r="K3459" s="447"/>
      <c r="M3459" s="596"/>
    </row>
    <row r="3460" spans="2:13">
      <c r="B3460" s="127"/>
      <c r="C3460" s="127"/>
    </row>
    <row r="3461" spans="2:13">
      <c r="B3461" s="127"/>
      <c r="C3461" s="127"/>
      <c r="E3461" s="427"/>
      <c r="F3461" s="427"/>
      <c r="G3461" s="427"/>
      <c r="H3461" s="427"/>
      <c r="I3461" s="427"/>
      <c r="J3461" s="427"/>
      <c r="K3461" s="427"/>
      <c r="M3461" s="427"/>
    </row>
    <row r="3462" spans="2:13">
      <c r="B3462" s="127"/>
      <c r="C3462" s="127"/>
      <c r="E3462" s="427"/>
      <c r="F3462" s="427"/>
      <c r="G3462" s="427"/>
      <c r="H3462" s="427"/>
      <c r="I3462" s="427"/>
      <c r="J3462" s="427"/>
      <c r="K3462" s="427"/>
      <c r="M3462" s="427"/>
    </row>
    <row r="3463" spans="2:13">
      <c r="B3463" s="127"/>
      <c r="C3463" s="127"/>
      <c r="E3463" s="427"/>
      <c r="F3463" s="427"/>
      <c r="G3463" s="427"/>
      <c r="H3463" s="427"/>
      <c r="I3463" s="427"/>
      <c r="J3463" s="427"/>
      <c r="K3463" s="427"/>
      <c r="M3463" s="427"/>
    </row>
    <row r="3464" spans="2:13">
      <c r="B3464" s="127"/>
      <c r="C3464" s="127"/>
      <c r="D3464" s="429"/>
      <c r="E3464" s="430"/>
      <c r="F3464" s="431"/>
      <c r="G3464" s="431"/>
      <c r="H3464" s="436"/>
      <c r="I3464" s="431"/>
      <c r="J3464" s="436"/>
      <c r="K3464" s="437"/>
      <c r="M3464" s="431"/>
    </row>
    <row r="3465" spans="2:13">
      <c r="B3465" s="127"/>
      <c r="C3465" s="127"/>
      <c r="D3465" s="429"/>
      <c r="E3465" s="430"/>
      <c r="F3465" s="431"/>
      <c r="G3465" s="431"/>
      <c r="H3465" s="436"/>
      <c r="I3465" s="431"/>
      <c r="J3465" s="436"/>
      <c r="K3465" s="437"/>
      <c r="M3465" s="431"/>
    </row>
    <row r="3466" spans="2:13">
      <c r="B3466" s="127"/>
      <c r="C3466" s="127"/>
    </row>
    <row r="3467" spans="2:13">
      <c r="B3467" s="127"/>
      <c r="C3467" s="127"/>
    </row>
    <row r="3468" spans="2:13">
      <c r="B3468" s="127"/>
      <c r="C3468" s="127"/>
      <c r="D3468" s="438"/>
      <c r="E3468" s="438"/>
      <c r="F3468" s="438"/>
      <c r="G3468" s="438"/>
      <c r="H3468" s="438"/>
      <c r="I3468" s="438"/>
      <c r="J3468" s="438"/>
      <c r="K3468" s="438"/>
      <c r="M3468" s="597"/>
    </row>
    <row r="3469" spans="2:13" ht="16.2" thickBot="1">
      <c r="B3469" s="127"/>
      <c r="C3469" s="127"/>
      <c r="D3469" s="439"/>
      <c r="E3469" s="439"/>
      <c r="F3469" s="440"/>
      <c r="G3469" s="440"/>
      <c r="H3469" s="440"/>
      <c r="I3469" s="440"/>
      <c r="J3469" s="439"/>
      <c r="K3469" s="439"/>
    </row>
    <row r="3470" spans="2:13">
      <c r="B3470" s="127"/>
      <c r="C3470" s="127"/>
      <c r="D3470" s="441"/>
      <c r="E3470" s="441"/>
      <c r="F3470" s="441"/>
      <c r="G3470" s="442"/>
      <c r="H3470" s="441"/>
      <c r="I3470" s="441"/>
      <c r="J3470" s="441"/>
      <c r="K3470" s="441"/>
      <c r="M3470" s="455"/>
    </row>
    <row r="3471" spans="2:13">
      <c r="B3471" s="127"/>
      <c r="C3471" s="127"/>
    </row>
    <row r="3472" spans="2:13">
      <c r="B3472" s="127"/>
      <c r="C3472" s="127"/>
      <c r="J3472" s="428"/>
    </row>
    <row r="3473" spans="2:13">
      <c r="B3473" s="127"/>
      <c r="C3473" s="127"/>
      <c r="F3473" s="428"/>
      <c r="G3473" s="428"/>
      <c r="H3473" s="435"/>
      <c r="I3473" s="428"/>
      <c r="J3473" s="428"/>
      <c r="K3473" s="435"/>
      <c r="M3473" s="428"/>
    </row>
    <row r="3474" spans="2:13">
      <c r="B3474" s="127"/>
      <c r="C3474" s="127"/>
    </row>
    <row r="3475" spans="2:13">
      <c r="B3475" s="127"/>
      <c r="C3475" s="127"/>
      <c r="D3475" s="429"/>
      <c r="E3475" s="430"/>
      <c r="F3475" s="432"/>
      <c r="G3475" s="432"/>
      <c r="H3475" s="443"/>
      <c r="I3475" s="432"/>
      <c r="J3475" s="443"/>
      <c r="K3475" s="444"/>
      <c r="M3475" s="431"/>
    </row>
    <row r="3476" spans="2:13">
      <c r="B3476" s="127"/>
      <c r="C3476" s="127"/>
      <c r="D3476" s="427"/>
      <c r="E3476" s="427"/>
      <c r="F3476" s="445"/>
      <c r="G3476" s="445"/>
      <c r="H3476" s="446"/>
      <c r="I3476" s="445"/>
      <c r="J3476" s="446"/>
      <c r="K3476" s="447"/>
      <c r="M3476" s="596"/>
    </row>
    <row r="3477" spans="2:13">
      <c r="B3477" s="127"/>
      <c r="C3477" s="127"/>
      <c r="F3477" s="398"/>
      <c r="G3477" s="398"/>
      <c r="H3477" s="398"/>
      <c r="I3477" s="398"/>
      <c r="J3477" s="398"/>
      <c r="K3477" s="398"/>
    </row>
    <row r="3478" spans="2:13">
      <c r="B3478" s="127"/>
      <c r="C3478" s="127"/>
      <c r="D3478" s="427"/>
      <c r="E3478" s="427"/>
      <c r="F3478" s="445"/>
      <c r="G3478" s="445"/>
      <c r="H3478" s="446"/>
      <c r="I3478" s="445"/>
      <c r="J3478" s="446"/>
      <c r="K3478" s="447"/>
      <c r="M3478" s="596"/>
    </row>
    <row r="3479" spans="2:13">
      <c r="B3479" s="127"/>
      <c r="C3479" s="127"/>
      <c r="F3479" s="398"/>
      <c r="G3479" s="398"/>
      <c r="H3479" s="398"/>
      <c r="I3479" s="398"/>
      <c r="J3479" s="398"/>
      <c r="K3479" s="398"/>
    </row>
    <row r="3480" spans="2:13">
      <c r="B3480" s="127"/>
      <c r="C3480" s="127"/>
      <c r="D3480" s="427"/>
      <c r="E3480" s="427"/>
      <c r="F3480" s="445"/>
      <c r="G3480" s="445"/>
      <c r="H3480" s="446"/>
      <c r="I3480" s="445"/>
      <c r="J3480" s="446"/>
      <c r="K3480" s="447"/>
      <c r="M3480" s="596"/>
    </row>
    <row r="3481" spans="2:13">
      <c r="B3481" s="127"/>
      <c r="C3481" s="127"/>
      <c r="F3481" s="398"/>
      <c r="G3481" s="398"/>
      <c r="H3481" s="398"/>
      <c r="I3481" s="398"/>
      <c r="J3481" s="398"/>
      <c r="K3481" s="398"/>
    </row>
    <row r="3482" spans="2:13">
      <c r="B3482" s="127"/>
      <c r="C3482" s="127"/>
      <c r="D3482" s="427"/>
      <c r="E3482" s="427"/>
      <c r="F3482" s="445"/>
      <c r="G3482" s="445"/>
      <c r="H3482" s="446"/>
      <c r="I3482" s="445"/>
      <c r="J3482" s="446"/>
      <c r="K3482" s="447"/>
      <c r="M3482" s="596"/>
    </row>
    <row r="3483" spans="2:13">
      <c r="B3483" s="127"/>
      <c r="C3483" s="127"/>
      <c r="F3483" s="398"/>
      <c r="G3483" s="398"/>
      <c r="H3483" s="398"/>
      <c r="I3483" s="398"/>
      <c r="J3483" s="398"/>
      <c r="K3483" s="398"/>
    </row>
    <row r="3484" spans="2:13">
      <c r="B3484" s="127"/>
      <c r="C3484" s="127"/>
      <c r="D3484" s="427"/>
      <c r="E3484" s="427"/>
      <c r="F3484" s="445"/>
      <c r="G3484" s="445"/>
      <c r="H3484" s="446"/>
      <c r="I3484" s="445"/>
      <c r="J3484" s="446"/>
      <c r="K3484" s="447"/>
      <c r="M3484" s="596"/>
    </row>
    <row r="3485" spans="2:13">
      <c r="B3485" s="127"/>
      <c r="C3485" s="127"/>
    </row>
    <row r="3486" spans="2:13">
      <c r="B3486" s="127"/>
      <c r="C3486" s="127"/>
      <c r="D3486" s="427"/>
      <c r="E3486" s="427"/>
      <c r="F3486" s="427"/>
      <c r="G3486" s="427"/>
      <c r="H3486" s="427"/>
      <c r="I3486" s="427"/>
      <c r="J3486" s="427"/>
      <c r="K3486" s="427"/>
      <c r="M3486" s="427"/>
    </row>
    <row r="3487" spans="2:13">
      <c r="B3487" s="127"/>
      <c r="C3487" s="127"/>
      <c r="E3487" s="427"/>
      <c r="F3487" s="427"/>
      <c r="G3487" s="427"/>
      <c r="H3487" s="427"/>
      <c r="I3487" s="427"/>
      <c r="J3487" s="427"/>
      <c r="K3487" s="427"/>
      <c r="M3487" s="427"/>
    </row>
    <row r="3488" spans="2:13">
      <c r="B3488" s="127"/>
      <c r="C3488" s="127"/>
      <c r="E3488" s="427"/>
      <c r="F3488" s="427"/>
      <c r="G3488" s="427"/>
      <c r="H3488" s="427"/>
      <c r="I3488" s="427"/>
      <c r="J3488" s="427"/>
      <c r="K3488" s="427"/>
      <c r="M3488" s="427"/>
    </row>
    <row r="3489" spans="2:13">
      <c r="B3489" s="127"/>
      <c r="C3489" s="127"/>
      <c r="E3489" s="427"/>
      <c r="F3489" s="427"/>
      <c r="G3489" s="427"/>
      <c r="H3489" s="427"/>
      <c r="I3489" s="427"/>
      <c r="J3489" s="427"/>
      <c r="K3489" s="427"/>
      <c r="M3489" s="427"/>
    </row>
    <row r="3490" spans="2:13">
      <c r="B3490" s="127"/>
      <c r="C3490" s="127"/>
      <c r="E3490" s="427"/>
      <c r="F3490" s="427"/>
      <c r="G3490" s="427"/>
      <c r="H3490" s="427"/>
      <c r="I3490" s="427"/>
      <c r="J3490" s="427"/>
      <c r="K3490" s="427"/>
      <c r="M3490" s="427"/>
    </row>
    <row r="3491" spans="2:13">
      <c r="B3491" s="127"/>
      <c r="C3491" s="127"/>
      <c r="D3491" s="429"/>
      <c r="E3491" s="430"/>
      <c r="F3491" s="431"/>
      <c r="G3491" s="431"/>
      <c r="H3491" s="436"/>
      <c r="I3491" s="431"/>
      <c r="J3491" s="436"/>
      <c r="K3491" s="437"/>
      <c r="M3491" s="431"/>
    </row>
    <row r="3492" spans="2:13">
      <c r="B3492" s="127"/>
      <c r="C3492" s="127"/>
      <c r="D3492" s="429"/>
      <c r="E3492" s="430"/>
      <c r="F3492" s="431"/>
      <c r="G3492" s="431"/>
      <c r="H3492" s="436"/>
      <c r="I3492" s="431"/>
      <c r="J3492" s="436"/>
      <c r="K3492" s="437"/>
      <c r="M3492" s="431"/>
    </row>
    <row r="3493" spans="2:13">
      <c r="B3493" s="127"/>
      <c r="C3493" s="127"/>
      <c r="D3493" s="429"/>
      <c r="E3493" s="430"/>
      <c r="F3493" s="431"/>
      <c r="G3493" s="431"/>
      <c r="H3493" s="436"/>
      <c r="I3493" s="431"/>
      <c r="J3493" s="436"/>
      <c r="K3493" s="437"/>
      <c r="M3493" s="431"/>
    </row>
    <row r="3494" spans="2:13">
      <c r="B3494" s="127"/>
      <c r="C3494" s="127"/>
      <c r="D3494" s="429"/>
      <c r="E3494" s="430"/>
      <c r="F3494" s="431"/>
      <c r="G3494" s="431"/>
      <c r="H3494" s="436"/>
      <c r="I3494" s="431"/>
      <c r="J3494" s="436"/>
      <c r="K3494" s="437"/>
      <c r="M3494" s="431"/>
    </row>
    <row r="3495" spans="2:13">
      <c r="B3495" s="127"/>
      <c r="C3495" s="127"/>
      <c r="D3495" s="429"/>
      <c r="E3495" s="430"/>
      <c r="F3495" s="431"/>
      <c r="G3495" s="431"/>
      <c r="H3495" s="436"/>
      <c r="I3495" s="431"/>
      <c r="J3495" s="436"/>
      <c r="K3495" s="437"/>
      <c r="M3495" s="431"/>
    </row>
    <row r="3496" spans="2:13">
      <c r="B3496" s="127"/>
      <c r="C3496" s="127"/>
      <c r="D3496" s="429"/>
      <c r="E3496" s="430"/>
      <c r="F3496" s="431"/>
      <c r="G3496" s="431"/>
      <c r="H3496" s="436"/>
      <c r="I3496" s="431"/>
      <c r="J3496" s="436"/>
      <c r="K3496" s="437"/>
      <c r="M3496" s="431"/>
    </row>
    <row r="3497" spans="2:13">
      <c r="B3497" s="127"/>
      <c r="C3497" s="127"/>
      <c r="D3497" s="429"/>
      <c r="E3497" s="430"/>
      <c r="F3497" s="431"/>
      <c r="G3497" s="431"/>
      <c r="H3497" s="436"/>
      <c r="I3497" s="431"/>
      <c r="J3497" s="436"/>
      <c r="K3497" s="437"/>
      <c r="M3497" s="431"/>
    </row>
    <row r="3498" spans="2:13">
      <c r="B3498" s="127"/>
      <c r="C3498" s="127"/>
      <c r="D3498" s="429"/>
      <c r="E3498" s="430"/>
      <c r="F3498" s="431"/>
      <c r="G3498" s="431"/>
      <c r="H3498" s="436"/>
      <c r="I3498" s="431"/>
      <c r="J3498" s="436"/>
      <c r="K3498" s="437"/>
      <c r="M3498" s="431"/>
    </row>
    <row r="3499" spans="2:13">
      <c r="B3499" s="127"/>
      <c r="C3499" s="127"/>
      <c r="D3499" s="429"/>
      <c r="E3499" s="430"/>
      <c r="F3499" s="431"/>
      <c r="G3499" s="431"/>
      <c r="H3499" s="436"/>
      <c r="I3499" s="431"/>
      <c r="J3499" s="436"/>
      <c r="K3499" s="437"/>
      <c r="M3499" s="431"/>
    </row>
    <row r="3500" spans="2:13">
      <c r="B3500" s="127"/>
      <c r="C3500" s="127"/>
      <c r="D3500" s="429"/>
      <c r="E3500" s="430"/>
      <c r="F3500" s="431"/>
      <c r="G3500" s="431"/>
      <c r="H3500" s="436"/>
      <c r="I3500" s="431"/>
      <c r="J3500" s="436"/>
      <c r="K3500" s="437"/>
      <c r="M3500" s="431"/>
    </row>
    <row r="3501" spans="2:13">
      <c r="B3501" s="127"/>
      <c r="C3501" s="127"/>
      <c r="D3501" s="429"/>
      <c r="E3501" s="430"/>
      <c r="F3501" s="431"/>
      <c r="G3501" s="431"/>
      <c r="H3501" s="436"/>
      <c r="I3501" s="431"/>
      <c r="J3501" s="436"/>
      <c r="K3501" s="437"/>
      <c r="M3501" s="431"/>
    </row>
    <row r="3502" spans="2:13">
      <c r="B3502" s="127"/>
      <c r="C3502" s="127"/>
      <c r="D3502" s="429"/>
      <c r="E3502" s="430"/>
      <c r="F3502" s="431"/>
      <c r="G3502" s="431"/>
      <c r="H3502" s="436"/>
      <c r="I3502" s="431"/>
      <c r="J3502" s="436"/>
      <c r="K3502" s="437"/>
      <c r="M3502" s="431"/>
    </row>
    <row r="3503" spans="2:13">
      <c r="B3503" s="127"/>
      <c r="C3503" s="127"/>
      <c r="D3503" s="429"/>
      <c r="E3503" s="430"/>
      <c r="F3503" s="431"/>
      <c r="G3503" s="431"/>
      <c r="H3503" s="436"/>
      <c r="I3503" s="431"/>
      <c r="J3503" s="436"/>
      <c r="K3503" s="437"/>
      <c r="M3503" s="431"/>
    </row>
    <row r="3504" spans="2:13">
      <c r="B3504" s="127"/>
      <c r="C3504" s="127"/>
      <c r="D3504" s="429"/>
      <c r="E3504" s="430"/>
      <c r="F3504" s="431"/>
      <c r="G3504" s="431"/>
      <c r="H3504" s="436"/>
      <c r="I3504" s="431"/>
      <c r="J3504" s="436"/>
      <c r="K3504" s="437"/>
      <c r="M3504" s="431"/>
    </row>
    <row r="3505" spans="2:13">
      <c r="B3505" s="127"/>
      <c r="C3505" s="127"/>
      <c r="D3505" s="429"/>
      <c r="E3505" s="430"/>
      <c r="F3505" s="431"/>
      <c r="G3505" s="431"/>
      <c r="H3505" s="436"/>
      <c r="I3505" s="431"/>
      <c r="J3505" s="436"/>
      <c r="K3505" s="437"/>
      <c r="M3505" s="431"/>
    </row>
    <row r="3506" spans="2:13">
      <c r="B3506" s="127"/>
      <c r="C3506" s="127"/>
      <c r="D3506" s="429"/>
      <c r="E3506" s="430"/>
      <c r="F3506" s="431"/>
      <c r="G3506" s="431"/>
      <c r="H3506" s="436"/>
      <c r="I3506" s="431"/>
      <c r="J3506" s="436"/>
      <c r="K3506" s="437"/>
      <c r="M3506" s="431"/>
    </row>
    <row r="3507" spans="2:13">
      <c r="B3507" s="127"/>
      <c r="C3507" s="127"/>
      <c r="D3507" s="429"/>
      <c r="E3507" s="430"/>
      <c r="F3507" s="431"/>
      <c r="G3507" s="431"/>
      <c r="H3507" s="436"/>
      <c r="I3507" s="431"/>
      <c r="J3507" s="436"/>
      <c r="K3507" s="437"/>
      <c r="M3507" s="431"/>
    </row>
    <row r="3508" spans="2:13">
      <c r="B3508" s="127"/>
      <c r="C3508" s="127"/>
      <c r="D3508" s="429"/>
      <c r="E3508" s="430"/>
      <c r="F3508" s="431"/>
      <c r="G3508" s="431"/>
      <c r="H3508" s="436"/>
      <c r="I3508" s="431"/>
      <c r="J3508" s="436"/>
      <c r="K3508" s="437"/>
      <c r="M3508" s="431"/>
    </row>
    <row r="3509" spans="2:13">
      <c r="B3509" s="127"/>
      <c r="C3509" s="127"/>
      <c r="D3509" s="429"/>
      <c r="E3509" s="430"/>
      <c r="F3509" s="431"/>
      <c r="G3509" s="431"/>
      <c r="H3509" s="436"/>
      <c r="I3509" s="431"/>
      <c r="J3509" s="436"/>
      <c r="K3509" s="437"/>
      <c r="M3509" s="431"/>
    </row>
    <row r="3510" spans="2:13">
      <c r="B3510" s="127"/>
      <c r="C3510" s="127"/>
      <c r="D3510" s="429"/>
      <c r="E3510" s="430"/>
      <c r="F3510" s="431"/>
      <c r="G3510" s="431"/>
      <c r="H3510" s="436"/>
      <c r="I3510" s="431"/>
      <c r="J3510" s="436"/>
      <c r="K3510" s="437"/>
      <c r="M3510" s="431"/>
    </row>
    <row r="3511" spans="2:13">
      <c r="B3511" s="127"/>
      <c r="C3511" s="127"/>
      <c r="D3511" s="429"/>
      <c r="E3511" s="430"/>
      <c r="F3511" s="432"/>
      <c r="G3511" s="432"/>
      <c r="H3511" s="443"/>
      <c r="I3511" s="432"/>
      <c r="J3511" s="443"/>
      <c r="K3511" s="444"/>
      <c r="M3511" s="431"/>
    </row>
    <row r="3512" spans="2:13">
      <c r="B3512" s="127"/>
      <c r="C3512" s="127"/>
      <c r="D3512" s="427"/>
      <c r="E3512" s="427"/>
      <c r="F3512" s="445"/>
      <c r="G3512" s="445"/>
      <c r="H3512" s="446"/>
      <c r="I3512" s="445"/>
      <c r="J3512" s="446"/>
      <c r="K3512" s="447"/>
      <c r="M3512" s="596"/>
    </row>
    <row r="3513" spans="2:13">
      <c r="B3513" s="127"/>
      <c r="C3513" s="127"/>
      <c r="F3513" s="398"/>
      <c r="G3513" s="398"/>
      <c r="H3513" s="398"/>
      <c r="I3513" s="398"/>
      <c r="J3513" s="398"/>
      <c r="K3513" s="398"/>
    </row>
    <row r="3514" spans="2:13">
      <c r="B3514" s="127"/>
      <c r="C3514" s="127"/>
      <c r="D3514" s="427"/>
      <c r="E3514" s="427"/>
      <c r="F3514" s="445"/>
      <c r="G3514" s="445"/>
      <c r="H3514" s="446"/>
      <c r="I3514" s="445"/>
      <c r="J3514" s="446"/>
      <c r="K3514" s="447"/>
      <c r="M3514" s="596"/>
    </row>
    <row r="3515" spans="2:13">
      <c r="B3515" s="127"/>
      <c r="C3515" s="127"/>
      <c r="F3515" s="398"/>
      <c r="G3515" s="398"/>
      <c r="H3515" s="398"/>
      <c r="I3515" s="398"/>
      <c r="J3515" s="398"/>
      <c r="K3515" s="398"/>
    </row>
    <row r="3516" spans="2:13">
      <c r="B3516" s="127"/>
      <c r="C3516" s="127"/>
      <c r="D3516" s="427"/>
      <c r="E3516" s="427"/>
      <c r="F3516" s="445"/>
      <c r="G3516" s="445"/>
      <c r="H3516" s="446"/>
      <c r="I3516" s="445"/>
      <c r="J3516" s="446"/>
      <c r="K3516" s="447"/>
      <c r="M3516" s="596"/>
    </row>
    <row r="3517" spans="2:13">
      <c r="B3517" s="127"/>
      <c r="C3517" s="127"/>
      <c r="F3517" s="398"/>
      <c r="G3517" s="398"/>
      <c r="H3517" s="398"/>
      <c r="I3517" s="398"/>
      <c r="J3517" s="398"/>
      <c r="K3517" s="398"/>
    </row>
    <row r="3518" spans="2:13">
      <c r="B3518" s="127"/>
      <c r="C3518" s="127"/>
      <c r="D3518" s="427"/>
      <c r="E3518" s="427"/>
      <c r="F3518" s="445"/>
      <c r="G3518" s="445"/>
      <c r="H3518" s="446"/>
      <c r="I3518" s="445"/>
      <c r="J3518" s="446"/>
      <c r="K3518" s="447"/>
      <c r="M3518" s="596"/>
    </row>
    <row r="3519" spans="2:13">
      <c r="B3519" s="127"/>
      <c r="C3519" s="127"/>
    </row>
    <row r="3520" spans="2:13">
      <c r="B3520" s="127"/>
      <c r="C3520" s="127"/>
      <c r="E3520" s="427"/>
      <c r="F3520" s="427"/>
      <c r="G3520" s="427"/>
      <c r="H3520" s="427"/>
      <c r="I3520" s="427"/>
      <c r="J3520" s="427"/>
      <c r="K3520" s="427"/>
      <c r="M3520" s="427"/>
    </row>
    <row r="3521" spans="2:13">
      <c r="B3521" s="127"/>
      <c r="C3521" s="127"/>
      <c r="E3521" s="427"/>
      <c r="F3521" s="427"/>
      <c r="G3521" s="427"/>
      <c r="H3521" s="427"/>
      <c r="I3521" s="427"/>
      <c r="J3521" s="427"/>
      <c r="K3521" s="427"/>
      <c r="M3521" s="427"/>
    </row>
    <row r="3522" spans="2:13">
      <c r="B3522" s="127"/>
      <c r="C3522" s="127"/>
      <c r="E3522" s="427"/>
      <c r="F3522" s="427"/>
      <c r="G3522" s="427"/>
      <c r="H3522" s="427"/>
      <c r="I3522" s="427"/>
      <c r="J3522" s="427"/>
      <c r="K3522" s="427"/>
      <c r="M3522" s="427"/>
    </row>
    <row r="3523" spans="2:13">
      <c r="B3523" s="127"/>
      <c r="C3523" s="127"/>
      <c r="E3523" s="427"/>
      <c r="F3523" s="427"/>
      <c r="G3523" s="427"/>
      <c r="H3523" s="427"/>
      <c r="I3523" s="427"/>
      <c r="J3523" s="427"/>
      <c r="K3523" s="427"/>
      <c r="M3523" s="427"/>
    </row>
    <row r="3524" spans="2:13">
      <c r="B3524" s="127"/>
      <c r="C3524" s="127"/>
      <c r="D3524" s="429"/>
      <c r="E3524" s="430"/>
      <c r="F3524" s="431"/>
      <c r="G3524" s="431"/>
      <c r="H3524" s="436"/>
      <c r="I3524" s="431"/>
      <c r="J3524" s="436"/>
      <c r="K3524" s="437"/>
      <c r="M3524" s="431"/>
    </row>
    <row r="3525" spans="2:13">
      <c r="B3525" s="127"/>
      <c r="C3525" s="127"/>
      <c r="D3525" s="429"/>
      <c r="E3525" s="430"/>
      <c r="F3525" s="431"/>
      <c r="G3525" s="431"/>
      <c r="H3525" s="436"/>
      <c r="I3525" s="431"/>
      <c r="J3525" s="436"/>
      <c r="K3525" s="437"/>
      <c r="M3525" s="431"/>
    </row>
    <row r="3526" spans="2:13">
      <c r="B3526" s="127"/>
      <c r="C3526" s="127"/>
      <c r="D3526" s="429"/>
      <c r="E3526" s="430"/>
      <c r="F3526" s="431"/>
      <c r="G3526" s="431"/>
      <c r="H3526" s="436"/>
      <c r="I3526" s="431"/>
      <c r="J3526" s="436"/>
      <c r="K3526" s="437"/>
      <c r="M3526" s="431"/>
    </row>
    <row r="3527" spans="2:13">
      <c r="B3527" s="127"/>
      <c r="C3527" s="127"/>
      <c r="D3527" s="429"/>
      <c r="E3527" s="430"/>
      <c r="F3527" s="431"/>
      <c r="G3527" s="431"/>
      <c r="H3527" s="436"/>
      <c r="I3527" s="431"/>
      <c r="J3527" s="436"/>
      <c r="K3527" s="437"/>
      <c r="M3527" s="431"/>
    </row>
    <row r="3528" spans="2:13">
      <c r="B3528" s="127"/>
      <c r="C3528" s="127"/>
      <c r="D3528" s="429"/>
      <c r="E3528" s="430"/>
      <c r="F3528" s="431"/>
      <c r="G3528" s="431"/>
      <c r="H3528" s="436"/>
      <c r="I3528" s="431"/>
      <c r="J3528" s="436"/>
      <c r="K3528" s="437"/>
      <c r="M3528" s="431"/>
    </row>
    <row r="3529" spans="2:13">
      <c r="B3529" s="127"/>
      <c r="C3529" s="127"/>
      <c r="D3529" s="429"/>
      <c r="E3529" s="430"/>
      <c r="F3529" s="431"/>
      <c r="G3529" s="431"/>
      <c r="H3529" s="436"/>
      <c r="I3529" s="431"/>
      <c r="J3529" s="436"/>
      <c r="K3529" s="437"/>
      <c r="M3529" s="431"/>
    </row>
    <row r="3530" spans="2:13">
      <c r="B3530" s="127"/>
      <c r="C3530" s="127"/>
      <c r="D3530" s="429"/>
      <c r="E3530" s="430"/>
      <c r="F3530" s="431"/>
      <c r="G3530" s="431"/>
      <c r="H3530" s="436"/>
      <c r="I3530" s="431"/>
      <c r="J3530" s="436"/>
      <c r="K3530" s="437"/>
      <c r="M3530" s="431"/>
    </row>
    <row r="3531" spans="2:13">
      <c r="B3531" s="127"/>
      <c r="C3531" s="127"/>
      <c r="D3531" s="429"/>
      <c r="E3531" s="430"/>
      <c r="F3531" s="431"/>
      <c r="G3531" s="431"/>
      <c r="H3531" s="436"/>
      <c r="I3531" s="431"/>
      <c r="J3531" s="436"/>
      <c r="K3531" s="437"/>
      <c r="M3531" s="431"/>
    </row>
    <row r="3532" spans="2:13">
      <c r="B3532" s="127"/>
      <c r="C3532" s="127"/>
      <c r="D3532" s="429"/>
      <c r="E3532" s="430"/>
      <c r="F3532" s="432"/>
      <c r="G3532" s="432"/>
      <c r="H3532" s="443"/>
      <c r="I3532" s="432"/>
      <c r="J3532" s="443"/>
      <c r="K3532" s="444"/>
      <c r="M3532" s="431"/>
    </row>
    <row r="3533" spans="2:13">
      <c r="B3533" s="127"/>
      <c r="C3533" s="127"/>
      <c r="D3533" s="427"/>
      <c r="E3533" s="427"/>
      <c r="F3533" s="445"/>
      <c r="G3533" s="445"/>
      <c r="H3533" s="446"/>
      <c r="I3533" s="445"/>
      <c r="J3533" s="446"/>
      <c r="K3533" s="447"/>
      <c r="M3533" s="596"/>
    </row>
    <row r="3534" spans="2:13">
      <c r="B3534" s="127"/>
      <c r="C3534" s="127"/>
    </row>
    <row r="3535" spans="2:13">
      <c r="B3535" s="127"/>
      <c r="C3535" s="127"/>
      <c r="E3535" s="427"/>
      <c r="F3535" s="427"/>
      <c r="G3535" s="427"/>
      <c r="H3535" s="427"/>
      <c r="I3535" s="427"/>
      <c r="J3535" s="427"/>
      <c r="K3535" s="427"/>
      <c r="M3535" s="427"/>
    </row>
    <row r="3536" spans="2:13">
      <c r="B3536" s="127"/>
      <c r="C3536" s="127"/>
      <c r="D3536" s="429"/>
      <c r="E3536" s="430"/>
      <c r="F3536" s="431"/>
      <c r="G3536" s="431"/>
      <c r="H3536" s="436"/>
      <c r="I3536" s="431"/>
      <c r="J3536" s="436"/>
      <c r="K3536" s="437"/>
      <c r="M3536" s="431"/>
    </row>
    <row r="3537" spans="2:13">
      <c r="B3537" s="127"/>
      <c r="C3537" s="127"/>
      <c r="D3537" s="429"/>
      <c r="E3537" s="430"/>
      <c r="F3537" s="431"/>
      <c r="G3537" s="431"/>
      <c r="H3537" s="436"/>
      <c r="I3537" s="431"/>
      <c r="J3537" s="436"/>
      <c r="K3537" s="437"/>
      <c r="M3537" s="431"/>
    </row>
    <row r="3538" spans="2:13">
      <c r="B3538" s="127"/>
      <c r="C3538" s="127"/>
      <c r="D3538" s="429"/>
      <c r="E3538" s="430"/>
      <c r="F3538" s="431"/>
      <c r="G3538" s="431"/>
      <c r="H3538" s="436"/>
      <c r="I3538" s="431"/>
      <c r="J3538" s="436"/>
      <c r="K3538" s="437"/>
      <c r="M3538" s="431"/>
    </row>
    <row r="3539" spans="2:13">
      <c r="B3539" s="127"/>
      <c r="C3539" s="127"/>
      <c r="D3539" s="429"/>
      <c r="E3539" s="430"/>
      <c r="F3539" s="431"/>
      <c r="G3539" s="431"/>
      <c r="H3539" s="436"/>
      <c r="I3539" s="431"/>
      <c r="J3539" s="436"/>
      <c r="K3539" s="437"/>
      <c r="M3539" s="431"/>
    </row>
    <row r="3540" spans="2:13">
      <c r="B3540" s="127"/>
      <c r="C3540" s="127"/>
    </row>
    <row r="3541" spans="2:13">
      <c r="B3541" s="127"/>
      <c r="C3541" s="127"/>
      <c r="D3541" s="438"/>
      <c r="E3541" s="438"/>
      <c r="F3541" s="438"/>
      <c r="G3541" s="438"/>
      <c r="H3541" s="438"/>
      <c r="I3541" s="438"/>
      <c r="J3541" s="438"/>
      <c r="K3541" s="438"/>
      <c r="M3541" s="597"/>
    </row>
    <row r="3542" spans="2:13" ht="16.2" thickBot="1">
      <c r="B3542" s="127"/>
      <c r="C3542" s="127"/>
      <c r="D3542" s="439"/>
      <c r="E3542" s="439"/>
      <c r="F3542" s="440"/>
      <c r="G3542" s="440"/>
      <c r="H3542" s="440"/>
      <c r="I3542" s="440"/>
      <c r="J3542" s="439"/>
      <c r="K3542" s="439"/>
    </row>
    <row r="3543" spans="2:13">
      <c r="B3543" s="127"/>
      <c r="C3543" s="127"/>
      <c r="D3543" s="441"/>
      <c r="E3543" s="441"/>
      <c r="F3543" s="441"/>
      <c r="G3543" s="442"/>
      <c r="H3543" s="441"/>
      <c r="I3543" s="441"/>
      <c r="J3543" s="441"/>
      <c r="K3543" s="441"/>
      <c r="M3543" s="455"/>
    </row>
    <row r="3544" spans="2:13">
      <c r="B3544" s="127"/>
      <c r="C3544" s="127"/>
    </row>
    <row r="3545" spans="2:13">
      <c r="B3545" s="127"/>
      <c r="C3545" s="127"/>
      <c r="J3545" s="428"/>
    </row>
    <row r="3546" spans="2:13">
      <c r="B3546" s="127"/>
      <c r="C3546" s="127"/>
      <c r="F3546" s="428"/>
      <c r="G3546" s="428"/>
      <c r="H3546" s="435"/>
      <c r="I3546" s="428"/>
      <c r="J3546" s="428"/>
      <c r="K3546" s="435"/>
      <c r="M3546" s="428"/>
    </row>
    <row r="3547" spans="2:13">
      <c r="B3547" s="127"/>
      <c r="C3547" s="127"/>
    </row>
    <row r="3548" spans="2:13">
      <c r="B3548" s="127"/>
      <c r="C3548" s="127"/>
      <c r="D3548" s="429"/>
      <c r="E3548" s="430"/>
      <c r="F3548" s="431"/>
      <c r="G3548" s="431"/>
      <c r="H3548" s="436"/>
      <c r="I3548" s="431"/>
      <c r="J3548" s="436"/>
      <c r="K3548" s="437"/>
      <c r="M3548" s="431"/>
    </row>
    <row r="3549" spans="2:13">
      <c r="B3549" s="127"/>
      <c r="C3549" s="127"/>
      <c r="D3549" s="429"/>
      <c r="E3549" s="430"/>
      <c r="F3549" s="432"/>
      <c r="G3549" s="432"/>
      <c r="H3549" s="443"/>
      <c r="I3549" s="432"/>
      <c r="J3549" s="443"/>
      <c r="K3549" s="444"/>
      <c r="M3549" s="431"/>
    </row>
    <row r="3550" spans="2:13">
      <c r="B3550" s="127"/>
      <c r="C3550" s="127"/>
      <c r="D3550" s="427"/>
      <c r="E3550" s="427"/>
      <c r="F3550" s="445"/>
      <c r="G3550" s="445"/>
      <c r="H3550" s="446"/>
      <c r="I3550" s="445"/>
      <c r="J3550" s="446"/>
      <c r="K3550" s="447"/>
      <c r="M3550" s="596"/>
    </row>
    <row r="3551" spans="2:13">
      <c r="B3551" s="127"/>
      <c r="C3551" s="127"/>
    </row>
    <row r="3552" spans="2:13">
      <c r="B3552" s="127"/>
      <c r="C3552" s="127"/>
      <c r="E3552" s="427"/>
      <c r="F3552" s="427"/>
      <c r="G3552" s="427"/>
      <c r="H3552" s="427"/>
      <c r="I3552" s="427"/>
      <c r="J3552" s="427"/>
      <c r="K3552" s="427"/>
      <c r="M3552" s="427"/>
    </row>
    <row r="3553" spans="2:13">
      <c r="B3553" s="127"/>
      <c r="C3553" s="127"/>
      <c r="D3553" s="429"/>
      <c r="E3553" s="430"/>
      <c r="F3553" s="431"/>
      <c r="G3553" s="431"/>
      <c r="H3553" s="436"/>
      <c r="I3553" s="431"/>
      <c r="J3553" s="436"/>
      <c r="K3553" s="437"/>
      <c r="M3553" s="431"/>
    </row>
    <row r="3554" spans="2:13">
      <c r="B3554" s="127"/>
      <c r="C3554" s="127"/>
      <c r="D3554" s="429"/>
      <c r="E3554" s="430"/>
      <c r="F3554" s="432"/>
      <c r="G3554" s="432"/>
      <c r="H3554" s="443"/>
      <c r="I3554" s="432"/>
      <c r="J3554" s="443"/>
      <c r="K3554" s="444"/>
      <c r="M3554" s="431"/>
    </row>
    <row r="3555" spans="2:13">
      <c r="B3555" s="127"/>
      <c r="C3555" s="127"/>
      <c r="D3555" s="427"/>
      <c r="E3555" s="427"/>
      <c r="F3555" s="445"/>
      <c r="G3555" s="445"/>
      <c r="H3555" s="446"/>
      <c r="I3555" s="445"/>
      <c r="J3555" s="446"/>
      <c r="K3555" s="447"/>
      <c r="M3555" s="596"/>
    </row>
    <row r="3556" spans="2:13">
      <c r="B3556" s="127"/>
      <c r="C3556" s="127"/>
    </row>
    <row r="3557" spans="2:13">
      <c r="B3557" s="127"/>
      <c r="C3557" s="127"/>
      <c r="E3557" s="427"/>
      <c r="F3557" s="427"/>
      <c r="G3557" s="427"/>
      <c r="H3557" s="427"/>
      <c r="I3557" s="427"/>
      <c r="J3557" s="427"/>
      <c r="K3557" s="427"/>
      <c r="M3557" s="427"/>
    </row>
    <row r="3558" spans="2:13">
      <c r="B3558" s="127"/>
      <c r="C3558" s="127"/>
      <c r="D3558" s="429"/>
      <c r="E3558" s="430"/>
      <c r="F3558" s="431"/>
      <c r="G3558" s="431"/>
      <c r="H3558" s="436"/>
      <c r="I3558" s="431"/>
      <c r="J3558" s="436"/>
      <c r="K3558" s="437"/>
      <c r="M3558" s="431"/>
    </row>
    <row r="3559" spans="2:13">
      <c r="B3559" s="127"/>
      <c r="C3559" s="127"/>
      <c r="D3559" s="429"/>
      <c r="E3559" s="430"/>
      <c r="F3559" s="431"/>
      <c r="G3559" s="431"/>
      <c r="H3559" s="436"/>
      <c r="I3559" s="431"/>
      <c r="J3559" s="436"/>
      <c r="K3559" s="437"/>
      <c r="M3559" s="431"/>
    </row>
    <row r="3560" spans="2:13">
      <c r="B3560" s="127"/>
      <c r="C3560" s="127"/>
      <c r="D3560" s="429"/>
      <c r="E3560" s="430"/>
      <c r="F3560" s="431"/>
      <c r="G3560" s="431"/>
      <c r="H3560" s="436"/>
      <c r="I3560" s="431"/>
      <c r="J3560" s="436"/>
      <c r="K3560" s="437"/>
      <c r="M3560" s="431"/>
    </row>
    <row r="3561" spans="2:13">
      <c r="B3561" s="127"/>
      <c r="C3561" s="127"/>
      <c r="D3561" s="429"/>
      <c r="E3561" s="430"/>
      <c r="F3561" s="431"/>
      <c r="G3561" s="431"/>
      <c r="H3561" s="436"/>
      <c r="I3561" s="431"/>
      <c r="J3561" s="436"/>
      <c r="K3561" s="437"/>
      <c r="M3561" s="431"/>
    </row>
    <row r="3562" spans="2:13">
      <c r="B3562" s="127"/>
      <c r="C3562" s="127"/>
      <c r="D3562" s="429"/>
      <c r="E3562" s="430"/>
      <c r="F3562" s="431"/>
      <c r="G3562" s="431"/>
      <c r="H3562" s="436"/>
      <c r="I3562" s="431"/>
      <c r="J3562" s="436"/>
      <c r="K3562" s="437"/>
      <c r="M3562" s="431"/>
    </row>
    <row r="3563" spans="2:13">
      <c r="B3563" s="127"/>
      <c r="C3563" s="127"/>
      <c r="D3563" s="429"/>
      <c r="E3563" s="430"/>
      <c r="F3563" s="432"/>
      <c r="G3563" s="432"/>
      <c r="H3563" s="443"/>
      <c r="I3563" s="432"/>
      <c r="J3563" s="443"/>
      <c r="K3563" s="444"/>
      <c r="M3563" s="431"/>
    </row>
    <row r="3564" spans="2:13">
      <c r="B3564" s="127"/>
      <c r="C3564" s="127"/>
      <c r="D3564" s="427"/>
      <c r="E3564" s="427"/>
      <c r="F3564" s="445"/>
      <c r="G3564" s="445"/>
      <c r="H3564" s="446"/>
      <c r="I3564" s="445"/>
      <c r="J3564" s="446"/>
      <c r="K3564" s="447"/>
      <c r="M3564" s="596"/>
    </row>
    <row r="3565" spans="2:13">
      <c r="B3565" s="127"/>
      <c r="C3565" s="127"/>
    </row>
    <row r="3566" spans="2:13">
      <c r="B3566" s="127"/>
      <c r="C3566" s="127"/>
      <c r="E3566" s="427"/>
      <c r="F3566" s="427"/>
      <c r="G3566" s="427"/>
      <c r="H3566" s="427"/>
      <c r="I3566" s="427"/>
      <c r="J3566" s="427"/>
      <c r="K3566" s="427"/>
      <c r="M3566" s="427"/>
    </row>
    <row r="3567" spans="2:13">
      <c r="B3567" s="127"/>
      <c r="C3567" s="127"/>
      <c r="D3567" s="429"/>
      <c r="E3567" s="430"/>
      <c r="F3567" s="431"/>
      <c r="G3567" s="431"/>
      <c r="H3567" s="436"/>
      <c r="I3567" s="431"/>
      <c r="J3567" s="436"/>
      <c r="K3567" s="437"/>
      <c r="M3567" s="431"/>
    </row>
    <row r="3568" spans="2:13">
      <c r="B3568" s="127"/>
      <c r="C3568" s="127"/>
      <c r="D3568" s="429"/>
      <c r="E3568" s="430"/>
      <c r="F3568" s="432"/>
      <c r="G3568" s="432"/>
      <c r="H3568" s="443"/>
      <c r="I3568" s="432"/>
      <c r="J3568" s="443"/>
      <c r="K3568" s="444"/>
      <c r="M3568" s="431"/>
    </row>
    <row r="3569" spans="2:13">
      <c r="B3569" s="127"/>
      <c r="C3569" s="127"/>
      <c r="D3569" s="427"/>
      <c r="E3569" s="427"/>
      <c r="F3569" s="445"/>
      <c r="G3569" s="445"/>
      <c r="H3569" s="446"/>
      <c r="I3569" s="445"/>
      <c r="J3569" s="446"/>
      <c r="K3569" s="447"/>
      <c r="M3569" s="596"/>
    </row>
    <row r="3570" spans="2:13">
      <c r="B3570" s="127"/>
      <c r="C3570" s="127"/>
      <c r="F3570" s="398"/>
      <c r="G3570" s="398"/>
      <c r="H3570" s="398"/>
      <c r="I3570" s="398"/>
      <c r="J3570" s="398"/>
      <c r="K3570" s="398"/>
    </row>
    <row r="3571" spans="2:13">
      <c r="B3571" s="127"/>
      <c r="C3571" s="127"/>
      <c r="D3571" s="427"/>
      <c r="E3571" s="427"/>
      <c r="F3571" s="445"/>
      <c r="G3571" s="445"/>
      <c r="H3571" s="446"/>
      <c r="I3571" s="445"/>
      <c r="J3571" s="446"/>
      <c r="K3571" s="447"/>
      <c r="M3571" s="596"/>
    </row>
    <row r="3572" spans="2:13">
      <c r="B3572" s="127"/>
      <c r="C3572" s="127"/>
      <c r="F3572" s="398"/>
      <c r="G3572" s="398"/>
      <c r="H3572" s="398"/>
      <c r="I3572" s="398"/>
      <c r="J3572" s="398"/>
      <c r="K3572" s="398"/>
    </row>
    <row r="3573" spans="2:13">
      <c r="B3573" s="127"/>
      <c r="C3573" s="127"/>
      <c r="D3573" s="427"/>
      <c r="E3573" s="427"/>
      <c r="F3573" s="445"/>
      <c r="G3573" s="445"/>
      <c r="H3573" s="446"/>
      <c r="I3573" s="445"/>
      <c r="J3573" s="446"/>
      <c r="K3573" s="447"/>
      <c r="M3573" s="596"/>
    </row>
    <row r="3574" spans="2:13">
      <c r="B3574" s="127"/>
      <c r="C3574" s="127"/>
    </row>
    <row r="3575" spans="2:13">
      <c r="B3575" s="127"/>
      <c r="C3575" s="127"/>
      <c r="E3575" s="427"/>
      <c r="F3575" s="427"/>
      <c r="G3575" s="427"/>
      <c r="H3575" s="427"/>
      <c r="I3575" s="427"/>
      <c r="J3575" s="427"/>
      <c r="K3575" s="427"/>
      <c r="M3575" s="427"/>
    </row>
    <row r="3576" spans="2:13">
      <c r="B3576" s="127"/>
      <c r="C3576" s="127"/>
      <c r="E3576" s="427"/>
      <c r="F3576" s="427"/>
      <c r="G3576" s="427"/>
      <c r="H3576" s="427"/>
      <c r="I3576" s="427"/>
      <c r="J3576" s="427"/>
      <c r="K3576" s="427"/>
      <c r="M3576" s="427"/>
    </row>
    <row r="3577" spans="2:13">
      <c r="B3577" s="127"/>
      <c r="C3577" s="127"/>
      <c r="E3577" s="427"/>
      <c r="F3577" s="427"/>
      <c r="G3577" s="427"/>
      <c r="H3577" s="427"/>
      <c r="I3577" s="427"/>
      <c r="J3577" s="427"/>
      <c r="K3577" s="427"/>
      <c r="M3577" s="427"/>
    </row>
    <row r="3578" spans="2:13">
      <c r="B3578" s="127"/>
      <c r="C3578" s="127"/>
      <c r="D3578" s="429"/>
      <c r="E3578" s="430"/>
      <c r="F3578" s="431"/>
      <c r="G3578" s="431"/>
      <c r="H3578" s="436"/>
      <c r="I3578" s="431"/>
      <c r="J3578" s="436"/>
      <c r="K3578" s="437"/>
      <c r="M3578" s="431"/>
    </row>
    <row r="3579" spans="2:13">
      <c r="B3579" s="127"/>
      <c r="C3579" s="127"/>
      <c r="D3579" s="429"/>
      <c r="E3579" s="430"/>
      <c r="F3579" s="431"/>
      <c r="G3579" s="431"/>
      <c r="H3579" s="436"/>
      <c r="I3579" s="431"/>
      <c r="J3579" s="436"/>
      <c r="K3579" s="437"/>
      <c r="M3579" s="431"/>
    </row>
    <row r="3580" spans="2:13">
      <c r="B3580" s="127"/>
      <c r="C3580" s="127"/>
      <c r="D3580" s="429"/>
      <c r="E3580" s="430"/>
      <c r="F3580" s="431"/>
      <c r="G3580" s="431"/>
      <c r="H3580" s="436"/>
      <c r="I3580" s="431"/>
      <c r="J3580" s="436"/>
      <c r="K3580" s="437"/>
      <c r="M3580" s="431"/>
    </row>
    <row r="3581" spans="2:13">
      <c r="B3581" s="127"/>
      <c r="C3581" s="127"/>
      <c r="D3581" s="429"/>
      <c r="E3581" s="430"/>
      <c r="F3581" s="431"/>
      <c r="G3581" s="431"/>
      <c r="H3581" s="436"/>
      <c r="I3581" s="431"/>
      <c r="J3581" s="436"/>
      <c r="K3581" s="437"/>
      <c r="M3581" s="431"/>
    </row>
    <row r="3582" spans="2:13">
      <c r="B3582" s="127"/>
      <c r="C3582" s="127"/>
      <c r="D3582" s="429"/>
      <c r="E3582" s="430"/>
      <c r="F3582" s="431"/>
      <c r="G3582" s="431"/>
      <c r="H3582" s="436"/>
      <c r="I3582" s="431"/>
      <c r="J3582" s="436"/>
      <c r="K3582" s="437"/>
      <c r="M3582" s="431"/>
    </row>
    <row r="3583" spans="2:13">
      <c r="B3583" s="127"/>
      <c r="C3583" s="127"/>
      <c r="D3583" s="429"/>
      <c r="E3583" s="430"/>
      <c r="F3583" s="431"/>
      <c r="G3583" s="431"/>
      <c r="H3583" s="436"/>
      <c r="I3583" s="431"/>
      <c r="J3583" s="436"/>
      <c r="K3583" s="437"/>
      <c r="M3583" s="431"/>
    </row>
    <row r="3584" spans="2:13">
      <c r="B3584" s="127"/>
      <c r="C3584" s="127"/>
      <c r="D3584" s="429"/>
      <c r="E3584" s="430"/>
      <c r="F3584" s="431"/>
      <c r="G3584" s="431"/>
      <c r="H3584" s="436"/>
      <c r="I3584" s="431"/>
      <c r="J3584" s="436"/>
      <c r="K3584" s="437"/>
      <c r="M3584" s="431"/>
    </row>
    <row r="3585" spans="2:13">
      <c r="B3585" s="127"/>
      <c r="C3585" s="127"/>
      <c r="D3585" s="429"/>
      <c r="E3585" s="430"/>
      <c r="F3585" s="432"/>
      <c r="G3585" s="432"/>
      <c r="H3585" s="443"/>
      <c r="I3585" s="432"/>
      <c r="J3585" s="443"/>
      <c r="K3585" s="444"/>
      <c r="M3585" s="431"/>
    </row>
    <row r="3586" spans="2:13">
      <c r="B3586" s="127"/>
      <c r="C3586" s="127"/>
      <c r="D3586" s="427"/>
      <c r="E3586" s="427"/>
      <c r="F3586" s="445"/>
      <c r="G3586" s="445"/>
      <c r="H3586" s="446"/>
      <c r="I3586" s="445"/>
      <c r="J3586" s="446"/>
      <c r="K3586" s="447"/>
      <c r="M3586" s="596"/>
    </row>
    <row r="3587" spans="2:13">
      <c r="B3587" s="127"/>
      <c r="C3587" s="127"/>
    </row>
    <row r="3588" spans="2:13">
      <c r="B3588" s="127"/>
      <c r="C3588" s="127"/>
      <c r="E3588" s="427"/>
      <c r="F3588" s="427"/>
      <c r="G3588" s="427"/>
      <c r="H3588" s="427"/>
      <c r="I3588" s="427"/>
      <c r="J3588" s="427"/>
      <c r="K3588" s="427"/>
      <c r="M3588" s="427"/>
    </row>
    <row r="3589" spans="2:13">
      <c r="B3589" s="127"/>
      <c r="C3589" s="127"/>
      <c r="D3589" s="429"/>
      <c r="E3589" s="430"/>
      <c r="F3589" s="431"/>
      <c r="G3589" s="431"/>
      <c r="H3589" s="436"/>
      <c r="I3589" s="431"/>
      <c r="J3589" s="436"/>
      <c r="K3589" s="437"/>
      <c r="M3589" s="431"/>
    </row>
    <row r="3590" spans="2:13">
      <c r="B3590" s="127"/>
      <c r="C3590" s="127"/>
      <c r="D3590" s="429"/>
      <c r="E3590" s="430"/>
      <c r="F3590" s="431"/>
      <c r="G3590" s="431"/>
      <c r="H3590" s="436"/>
      <c r="I3590" s="431"/>
      <c r="J3590" s="436"/>
      <c r="K3590" s="437"/>
      <c r="M3590" s="431"/>
    </row>
    <row r="3591" spans="2:13">
      <c r="B3591" s="127"/>
      <c r="C3591" s="127"/>
      <c r="D3591" s="429"/>
      <c r="E3591" s="430"/>
      <c r="F3591" s="432"/>
      <c r="G3591" s="432"/>
      <c r="H3591" s="443"/>
      <c r="I3591" s="432"/>
      <c r="J3591" s="443"/>
      <c r="K3591" s="444"/>
      <c r="M3591" s="431"/>
    </row>
    <row r="3592" spans="2:13">
      <c r="B3592" s="127"/>
      <c r="C3592" s="127"/>
      <c r="D3592" s="427"/>
      <c r="E3592" s="427"/>
      <c r="F3592" s="445"/>
      <c r="G3592" s="445"/>
      <c r="H3592" s="446"/>
      <c r="I3592" s="445"/>
      <c r="J3592" s="446"/>
      <c r="K3592" s="447"/>
      <c r="M3592" s="596"/>
    </row>
    <row r="3593" spans="2:13">
      <c r="B3593" s="127"/>
      <c r="C3593" s="127"/>
    </row>
    <row r="3594" spans="2:13">
      <c r="B3594" s="127"/>
      <c r="C3594" s="127"/>
      <c r="E3594" s="427"/>
      <c r="F3594" s="427"/>
      <c r="G3594" s="427"/>
      <c r="H3594" s="427"/>
      <c r="I3594" s="427"/>
      <c r="J3594" s="427"/>
      <c r="K3594" s="427"/>
      <c r="M3594" s="427"/>
    </row>
    <row r="3595" spans="2:13">
      <c r="B3595" s="127"/>
      <c r="C3595" s="127"/>
      <c r="D3595" s="429"/>
      <c r="E3595" s="430"/>
      <c r="F3595" s="431"/>
      <c r="G3595" s="431"/>
      <c r="H3595" s="436"/>
      <c r="I3595" s="431"/>
      <c r="J3595" s="436"/>
      <c r="K3595" s="437"/>
      <c r="M3595" s="431"/>
    </row>
    <row r="3596" spans="2:13">
      <c r="B3596" s="127"/>
      <c r="C3596" s="127"/>
      <c r="D3596" s="429"/>
      <c r="E3596" s="430"/>
      <c r="F3596" s="431"/>
      <c r="G3596" s="431"/>
      <c r="H3596" s="436"/>
      <c r="I3596" s="431"/>
      <c r="J3596" s="436"/>
      <c r="K3596" s="437"/>
      <c r="M3596" s="431"/>
    </row>
    <row r="3597" spans="2:13">
      <c r="B3597" s="127"/>
      <c r="C3597" s="127"/>
      <c r="D3597" s="429"/>
      <c r="E3597" s="430"/>
      <c r="F3597" s="431"/>
      <c r="G3597" s="431"/>
      <c r="H3597" s="436"/>
      <c r="I3597" s="431"/>
      <c r="J3597" s="436"/>
      <c r="K3597" s="437"/>
      <c r="M3597" s="431"/>
    </row>
    <row r="3598" spans="2:13">
      <c r="B3598" s="127"/>
      <c r="C3598" s="127"/>
      <c r="D3598" s="429"/>
      <c r="E3598" s="430"/>
      <c r="F3598" s="431"/>
      <c r="G3598" s="431"/>
      <c r="H3598" s="436"/>
      <c r="I3598" s="431"/>
      <c r="J3598" s="436"/>
      <c r="K3598" s="437"/>
      <c r="M3598" s="431"/>
    </row>
    <row r="3599" spans="2:13">
      <c r="B3599" s="127"/>
      <c r="C3599" s="127"/>
      <c r="D3599" s="429"/>
      <c r="E3599" s="430"/>
      <c r="F3599" s="431"/>
      <c r="G3599" s="431"/>
      <c r="H3599" s="436"/>
      <c r="I3599" s="431"/>
      <c r="J3599" s="436"/>
      <c r="K3599" s="437"/>
      <c r="M3599" s="431"/>
    </row>
    <row r="3600" spans="2:13">
      <c r="B3600" s="127"/>
      <c r="C3600" s="127"/>
      <c r="D3600" s="429"/>
      <c r="E3600" s="430"/>
      <c r="F3600" s="431"/>
      <c r="G3600" s="431"/>
      <c r="H3600" s="436"/>
      <c r="I3600" s="431"/>
      <c r="J3600" s="436"/>
      <c r="K3600" s="437"/>
      <c r="M3600" s="431"/>
    </row>
    <row r="3601" spans="2:13">
      <c r="B3601" s="127"/>
      <c r="C3601" s="127"/>
      <c r="D3601" s="429"/>
      <c r="E3601" s="430"/>
      <c r="F3601" s="432"/>
      <c r="G3601" s="432"/>
      <c r="H3601" s="443"/>
      <c r="I3601" s="432"/>
      <c r="J3601" s="443"/>
      <c r="K3601" s="444"/>
      <c r="M3601" s="431"/>
    </row>
    <row r="3602" spans="2:13">
      <c r="B3602" s="127"/>
      <c r="C3602" s="127"/>
      <c r="D3602" s="427"/>
      <c r="E3602" s="427"/>
      <c r="F3602" s="445"/>
      <c r="G3602" s="445"/>
      <c r="H3602" s="446"/>
      <c r="I3602" s="445"/>
      <c r="J3602" s="446"/>
      <c r="K3602" s="447"/>
      <c r="M3602" s="596"/>
    </row>
    <row r="3603" spans="2:13">
      <c r="B3603" s="127"/>
      <c r="C3603" s="127"/>
    </row>
    <row r="3604" spans="2:13">
      <c r="B3604" s="127"/>
      <c r="C3604" s="127"/>
      <c r="E3604" s="427"/>
      <c r="F3604" s="427"/>
      <c r="G3604" s="427"/>
      <c r="H3604" s="427"/>
      <c r="I3604" s="427"/>
      <c r="J3604" s="427"/>
      <c r="K3604" s="427"/>
      <c r="M3604" s="427"/>
    </row>
    <row r="3605" spans="2:13">
      <c r="B3605" s="127"/>
      <c r="C3605" s="127"/>
      <c r="D3605" s="429"/>
      <c r="E3605" s="430"/>
      <c r="F3605" s="432"/>
      <c r="G3605" s="432"/>
      <c r="H3605" s="443"/>
      <c r="I3605" s="432"/>
      <c r="J3605" s="443"/>
      <c r="K3605" s="444"/>
      <c r="M3605" s="431"/>
    </row>
    <row r="3606" spans="2:13">
      <c r="B3606" s="127"/>
      <c r="C3606" s="127"/>
      <c r="D3606" s="427"/>
      <c r="E3606" s="427"/>
      <c r="F3606" s="445"/>
      <c r="G3606" s="445"/>
      <c r="H3606" s="446"/>
      <c r="I3606" s="445"/>
      <c r="J3606" s="446"/>
      <c r="K3606" s="447"/>
      <c r="M3606" s="596"/>
    </row>
    <row r="3607" spans="2:13">
      <c r="B3607" s="127"/>
      <c r="C3607" s="127"/>
      <c r="F3607" s="398"/>
      <c r="G3607" s="398"/>
      <c r="H3607" s="398"/>
      <c r="I3607" s="398"/>
      <c r="J3607" s="398"/>
      <c r="K3607" s="398"/>
    </row>
    <row r="3608" spans="2:13">
      <c r="B3608" s="127"/>
      <c r="C3608" s="127"/>
      <c r="D3608" s="427"/>
      <c r="E3608" s="427"/>
      <c r="F3608" s="445"/>
      <c r="G3608" s="445"/>
      <c r="H3608" s="446"/>
      <c r="I3608" s="445"/>
      <c r="J3608" s="446"/>
      <c r="K3608" s="447"/>
      <c r="M3608" s="596"/>
    </row>
    <row r="3609" spans="2:13">
      <c r="B3609" s="127"/>
      <c r="C3609" s="127"/>
    </row>
    <row r="3610" spans="2:13">
      <c r="B3610" s="127"/>
      <c r="C3610" s="127"/>
      <c r="E3610" s="427"/>
      <c r="F3610" s="427"/>
      <c r="G3610" s="427"/>
      <c r="H3610" s="427"/>
      <c r="I3610" s="427"/>
      <c r="J3610" s="427"/>
      <c r="K3610" s="427"/>
      <c r="M3610" s="427"/>
    </row>
    <row r="3611" spans="2:13">
      <c r="B3611" s="127"/>
      <c r="C3611" s="127"/>
      <c r="E3611" s="427"/>
      <c r="F3611" s="427"/>
      <c r="G3611" s="427"/>
      <c r="H3611" s="427"/>
      <c r="I3611" s="427"/>
      <c r="J3611" s="427"/>
      <c r="K3611" s="427"/>
      <c r="M3611" s="427"/>
    </row>
    <row r="3612" spans="2:13">
      <c r="B3612" s="127"/>
      <c r="C3612" s="127"/>
      <c r="D3612" s="429"/>
      <c r="E3612" s="430"/>
      <c r="F3612" s="431"/>
      <c r="G3612" s="431"/>
      <c r="H3612" s="436"/>
      <c r="I3612" s="431"/>
      <c r="J3612" s="436"/>
      <c r="K3612" s="437"/>
      <c r="M3612" s="431"/>
    </row>
    <row r="3613" spans="2:13">
      <c r="B3613" s="127"/>
      <c r="C3613" s="127"/>
      <c r="D3613" s="429"/>
      <c r="E3613" s="430"/>
      <c r="F3613" s="431"/>
      <c r="G3613" s="431"/>
      <c r="H3613" s="436"/>
      <c r="I3613" s="431"/>
      <c r="J3613" s="436"/>
      <c r="K3613" s="437"/>
      <c r="M3613" s="431"/>
    </row>
    <row r="3614" spans="2:13">
      <c r="B3614" s="127"/>
      <c r="C3614" s="127"/>
      <c r="D3614" s="438"/>
      <c r="E3614" s="438"/>
      <c r="F3614" s="438"/>
      <c r="G3614" s="438"/>
      <c r="H3614" s="438"/>
      <c r="I3614" s="438"/>
      <c r="J3614" s="438"/>
      <c r="K3614" s="438"/>
      <c r="M3614" s="597"/>
    </row>
    <row r="3615" spans="2:13" ht="16.2" thickBot="1">
      <c r="B3615" s="127"/>
      <c r="C3615" s="127"/>
      <c r="D3615" s="439"/>
      <c r="E3615" s="439"/>
      <c r="F3615" s="440"/>
      <c r="G3615" s="440"/>
      <c r="H3615" s="440"/>
      <c r="I3615" s="440"/>
      <c r="J3615" s="439"/>
      <c r="K3615" s="439"/>
    </row>
    <row r="3616" spans="2:13">
      <c r="B3616" s="127"/>
      <c r="C3616" s="127"/>
      <c r="D3616" s="441"/>
      <c r="E3616" s="441"/>
      <c r="F3616" s="441"/>
      <c r="G3616" s="442"/>
      <c r="H3616" s="441"/>
      <c r="I3616" s="441"/>
      <c r="J3616" s="441"/>
      <c r="K3616" s="441"/>
      <c r="M3616" s="455"/>
    </row>
    <row r="3617" spans="2:13">
      <c r="B3617" s="127"/>
      <c r="C3617" s="127"/>
    </row>
    <row r="3618" spans="2:13">
      <c r="B3618" s="127"/>
      <c r="C3618" s="127"/>
      <c r="J3618" s="428"/>
    </row>
    <row r="3619" spans="2:13">
      <c r="B3619" s="127"/>
      <c r="C3619" s="127"/>
      <c r="F3619" s="428"/>
      <c r="G3619" s="428"/>
      <c r="H3619" s="435"/>
      <c r="I3619" s="428"/>
      <c r="J3619" s="428"/>
      <c r="K3619" s="435"/>
      <c r="M3619" s="428"/>
    </row>
    <row r="3620" spans="2:13">
      <c r="B3620" s="127"/>
      <c r="C3620" s="127"/>
    </row>
    <row r="3621" spans="2:13">
      <c r="B3621" s="127"/>
      <c r="C3621" s="127"/>
      <c r="D3621" s="429"/>
      <c r="E3621" s="430"/>
      <c r="F3621" s="431"/>
      <c r="G3621" s="431"/>
      <c r="H3621" s="436"/>
      <c r="I3621" s="431"/>
      <c r="J3621" s="436"/>
      <c r="K3621" s="437"/>
      <c r="M3621" s="431"/>
    </row>
    <row r="3622" spans="2:13">
      <c r="B3622" s="127"/>
      <c r="C3622" s="127"/>
      <c r="D3622" s="429"/>
      <c r="E3622" s="430"/>
      <c r="F3622" s="431"/>
      <c r="G3622" s="431"/>
      <c r="H3622" s="436"/>
      <c r="I3622" s="431"/>
      <c r="J3622" s="436"/>
      <c r="K3622" s="437"/>
      <c r="M3622" s="431"/>
    </row>
    <row r="3623" spans="2:13">
      <c r="B3623" s="127"/>
      <c r="C3623" s="127"/>
      <c r="D3623" s="429"/>
      <c r="E3623" s="430"/>
      <c r="F3623" s="431"/>
      <c r="G3623" s="431"/>
      <c r="H3623" s="436"/>
      <c r="I3623" s="431"/>
      <c r="J3623" s="436"/>
      <c r="K3623" s="437"/>
      <c r="M3623" s="431"/>
    </row>
    <row r="3624" spans="2:13">
      <c r="B3624" s="127"/>
      <c r="C3624" s="127"/>
      <c r="D3624" s="429"/>
      <c r="E3624" s="430"/>
      <c r="F3624" s="431"/>
      <c r="G3624" s="431"/>
      <c r="H3624" s="436"/>
      <c r="I3624" s="431"/>
      <c r="J3624" s="436"/>
      <c r="K3624" s="437"/>
      <c r="M3624" s="431"/>
    </row>
    <row r="3625" spans="2:13">
      <c r="B3625" s="127"/>
      <c r="C3625" s="127"/>
      <c r="D3625" s="429"/>
      <c r="E3625" s="430"/>
      <c r="F3625" s="431"/>
      <c r="G3625" s="431"/>
      <c r="H3625" s="436"/>
      <c r="I3625" s="431"/>
      <c r="J3625" s="436"/>
      <c r="K3625" s="437"/>
      <c r="M3625" s="431"/>
    </row>
    <row r="3626" spans="2:13">
      <c r="B3626" s="127"/>
      <c r="C3626" s="127"/>
      <c r="D3626" s="429"/>
      <c r="E3626" s="430"/>
      <c r="F3626" s="432"/>
      <c r="G3626" s="432"/>
      <c r="H3626" s="443"/>
      <c r="I3626" s="432"/>
      <c r="J3626" s="443"/>
      <c r="K3626" s="444"/>
      <c r="M3626" s="431"/>
    </row>
    <row r="3627" spans="2:13">
      <c r="B3627" s="127"/>
      <c r="C3627" s="127"/>
      <c r="D3627" s="427"/>
      <c r="E3627" s="427"/>
      <c r="F3627" s="445"/>
      <c r="G3627" s="445"/>
      <c r="H3627" s="446"/>
      <c r="I3627" s="445"/>
      <c r="J3627" s="446"/>
      <c r="K3627" s="447"/>
      <c r="M3627" s="596"/>
    </row>
    <row r="3628" spans="2:13">
      <c r="B3628" s="127"/>
      <c r="C3628" s="127"/>
    </row>
    <row r="3629" spans="2:13">
      <c r="B3629" s="127"/>
      <c r="C3629" s="127"/>
      <c r="E3629" s="427"/>
      <c r="F3629" s="427"/>
      <c r="G3629" s="427"/>
      <c r="H3629" s="427"/>
      <c r="I3629" s="427"/>
      <c r="J3629" s="427"/>
      <c r="K3629" s="427"/>
      <c r="M3629" s="427"/>
    </row>
    <row r="3630" spans="2:13">
      <c r="B3630" s="127"/>
      <c r="C3630" s="127"/>
      <c r="D3630" s="429"/>
      <c r="E3630" s="430"/>
      <c r="F3630" s="431"/>
      <c r="G3630" s="431"/>
      <c r="H3630" s="436"/>
      <c r="I3630" s="431"/>
      <c r="J3630" s="436"/>
      <c r="K3630" s="437"/>
      <c r="M3630" s="431"/>
    </row>
    <row r="3631" spans="2:13">
      <c r="B3631" s="127"/>
      <c r="C3631" s="127"/>
      <c r="D3631" s="429"/>
      <c r="E3631" s="430"/>
      <c r="F3631" s="431"/>
      <c r="G3631" s="431"/>
      <c r="H3631" s="436"/>
      <c r="I3631" s="431"/>
      <c r="J3631" s="436"/>
      <c r="K3631" s="437"/>
      <c r="M3631" s="431"/>
    </row>
    <row r="3632" spans="2:13">
      <c r="B3632" s="127"/>
      <c r="C3632" s="127"/>
      <c r="D3632" s="429"/>
      <c r="E3632" s="430"/>
      <c r="F3632" s="432"/>
      <c r="G3632" s="432"/>
      <c r="H3632" s="443"/>
      <c r="I3632" s="432"/>
      <c r="J3632" s="443"/>
      <c r="K3632" s="444"/>
      <c r="M3632" s="431"/>
    </row>
    <row r="3633" spans="2:13">
      <c r="B3633" s="127"/>
      <c r="C3633" s="127"/>
      <c r="D3633" s="427"/>
      <c r="E3633" s="427"/>
      <c r="F3633" s="445"/>
      <c r="G3633" s="445"/>
      <c r="H3633" s="446"/>
      <c r="I3633" s="445"/>
      <c r="J3633" s="446"/>
      <c r="K3633" s="447"/>
      <c r="M3633" s="596"/>
    </row>
    <row r="3634" spans="2:13">
      <c r="B3634" s="127"/>
      <c r="C3634" s="127"/>
    </row>
    <row r="3635" spans="2:13">
      <c r="B3635" s="127"/>
      <c r="C3635" s="127"/>
      <c r="E3635" s="427"/>
      <c r="F3635" s="427"/>
      <c r="G3635" s="427"/>
      <c r="H3635" s="427"/>
      <c r="I3635" s="427"/>
      <c r="J3635" s="427"/>
      <c r="K3635" s="427"/>
      <c r="M3635" s="427"/>
    </row>
    <row r="3636" spans="2:13">
      <c r="B3636" s="127"/>
      <c r="C3636" s="127"/>
      <c r="D3636" s="429"/>
      <c r="E3636" s="430"/>
      <c r="F3636" s="431"/>
      <c r="G3636" s="431"/>
      <c r="H3636" s="436"/>
      <c r="I3636" s="431"/>
      <c r="J3636" s="436"/>
      <c r="K3636" s="437"/>
      <c r="M3636" s="431"/>
    </row>
    <row r="3637" spans="2:13">
      <c r="B3637" s="127"/>
      <c r="C3637" s="127"/>
      <c r="D3637" s="429"/>
      <c r="E3637" s="430"/>
      <c r="F3637" s="432"/>
      <c r="G3637" s="432"/>
      <c r="H3637" s="443"/>
      <c r="I3637" s="432"/>
      <c r="J3637" s="443"/>
      <c r="K3637" s="444"/>
      <c r="M3637" s="431"/>
    </row>
    <row r="3638" spans="2:13">
      <c r="B3638" s="127"/>
      <c r="C3638" s="127"/>
      <c r="D3638" s="427"/>
      <c r="E3638" s="427"/>
      <c r="F3638" s="445"/>
      <c r="G3638" s="445"/>
      <c r="H3638" s="446"/>
      <c r="I3638" s="445"/>
      <c r="J3638" s="446"/>
      <c r="K3638" s="447"/>
      <c r="M3638" s="596"/>
    </row>
    <row r="3639" spans="2:13">
      <c r="B3639" s="127"/>
      <c r="C3639" s="127"/>
    </row>
    <row r="3640" spans="2:13">
      <c r="B3640" s="127"/>
      <c r="C3640" s="127"/>
      <c r="E3640" s="427"/>
      <c r="F3640" s="427"/>
      <c r="G3640" s="427"/>
      <c r="H3640" s="427"/>
      <c r="I3640" s="427"/>
      <c r="J3640" s="427"/>
      <c r="K3640" s="427"/>
      <c r="M3640" s="427"/>
    </row>
    <row r="3641" spans="2:13">
      <c r="B3641" s="127"/>
      <c r="C3641" s="127"/>
      <c r="D3641" s="429"/>
      <c r="E3641" s="430"/>
      <c r="F3641" s="431"/>
      <c r="G3641" s="431"/>
      <c r="H3641" s="436"/>
      <c r="I3641" s="431"/>
      <c r="J3641" s="436"/>
      <c r="K3641" s="437"/>
      <c r="M3641" s="431"/>
    </row>
    <row r="3642" spans="2:13">
      <c r="B3642" s="127"/>
      <c r="C3642" s="127"/>
      <c r="D3642" s="429"/>
      <c r="E3642" s="430"/>
      <c r="F3642" s="432"/>
      <c r="G3642" s="432"/>
      <c r="H3642" s="443"/>
      <c r="I3642" s="432"/>
      <c r="J3642" s="443"/>
      <c r="K3642" s="444"/>
      <c r="M3642" s="431"/>
    </row>
    <row r="3643" spans="2:13">
      <c r="B3643" s="127"/>
      <c r="C3643" s="127"/>
      <c r="D3643" s="427"/>
      <c r="E3643" s="427"/>
      <c r="F3643" s="445"/>
      <c r="G3643" s="445"/>
      <c r="H3643" s="446"/>
      <c r="I3643" s="445"/>
      <c r="J3643" s="446"/>
      <c r="K3643" s="447"/>
      <c r="M3643" s="596"/>
    </row>
    <row r="3644" spans="2:13">
      <c r="B3644" s="127"/>
      <c r="C3644" s="127"/>
      <c r="F3644" s="398"/>
      <c r="G3644" s="398"/>
      <c r="H3644" s="398"/>
      <c r="I3644" s="398"/>
      <c r="J3644" s="398"/>
      <c r="K3644" s="398"/>
    </row>
    <row r="3645" spans="2:13">
      <c r="B3645" s="127"/>
      <c r="C3645" s="127"/>
      <c r="D3645" s="427"/>
      <c r="E3645" s="427"/>
      <c r="F3645" s="445"/>
      <c r="G3645" s="445"/>
      <c r="H3645" s="446"/>
      <c r="I3645" s="445"/>
      <c r="J3645" s="446"/>
      <c r="K3645" s="447"/>
      <c r="M3645" s="596"/>
    </row>
    <row r="3646" spans="2:13">
      <c r="B3646" s="127"/>
      <c r="C3646" s="127"/>
      <c r="F3646" s="398"/>
      <c r="G3646" s="398"/>
      <c r="H3646" s="398"/>
      <c r="I3646" s="398"/>
      <c r="J3646" s="398"/>
      <c r="K3646" s="398"/>
    </row>
    <row r="3647" spans="2:13">
      <c r="B3647" s="127"/>
      <c r="C3647" s="127"/>
      <c r="D3647" s="427"/>
      <c r="E3647" s="427"/>
      <c r="F3647" s="445"/>
      <c r="G3647" s="445"/>
      <c r="H3647" s="446"/>
      <c r="I3647" s="445"/>
      <c r="J3647" s="446"/>
      <c r="K3647" s="447"/>
      <c r="M3647" s="596"/>
    </row>
    <row r="3648" spans="2:13">
      <c r="B3648" s="127"/>
      <c r="C3648" s="127"/>
    </row>
    <row r="3649" spans="2:13">
      <c r="B3649" s="127"/>
      <c r="C3649" s="127"/>
      <c r="E3649" s="427"/>
      <c r="F3649" s="427"/>
      <c r="G3649" s="427"/>
      <c r="H3649" s="427"/>
      <c r="I3649" s="427"/>
      <c r="J3649" s="427"/>
      <c r="K3649" s="427"/>
      <c r="M3649" s="427"/>
    </row>
    <row r="3650" spans="2:13">
      <c r="B3650" s="127"/>
      <c r="C3650" s="127"/>
      <c r="E3650" s="427"/>
      <c r="F3650" s="427"/>
      <c r="G3650" s="427"/>
      <c r="H3650" s="427"/>
      <c r="I3650" s="427"/>
      <c r="J3650" s="427"/>
      <c r="K3650" s="427"/>
      <c r="M3650" s="427"/>
    </row>
    <row r="3651" spans="2:13">
      <c r="B3651" s="127"/>
      <c r="C3651" s="127"/>
      <c r="E3651" s="427"/>
      <c r="F3651" s="427"/>
      <c r="G3651" s="427"/>
      <c r="H3651" s="427"/>
      <c r="I3651" s="427"/>
      <c r="J3651" s="427"/>
      <c r="K3651" s="427"/>
      <c r="M3651" s="427"/>
    </row>
    <row r="3652" spans="2:13">
      <c r="B3652" s="127"/>
      <c r="C3652" s="127"/>
      <c r="D3652" s="429"/>
      <c r="E3652" s="430"/>
      <c r="F3652" s="431"/>
      <c r="G3652" s="431"/>
      <c r="H3652" s="436"/>
      <c r="I3652" s="431"/>
      <c r="J3652" s="436"/>
      <c r="K3652" s="437"/>
      <c r="M3652" s="431"/>
    </row>
    <row r="3653" spans="2:13">
      <c r="B3653" s="127"/>
      <c r="C3653" s="127"/>
      <c r="D3653" s="429"/>
      <c r="E3653" s="430"/>
      <c r="F3653" s="431"/>
      <c r="G3653" s="431"/>
      <c r="H3653" s="436"/>
      <c r="I3653" s="431"/>
      <c r="J3653" s="436"/>
      <c r="K3653" s="437"/>
      <c r="M3653" s="431"/>
    </row>
    <row r="3654" spans="2:13">
      <c r="B3654" s="127"/>
      <c r="C3654" s="127"/>
      <c r="D3654" s="429"/>
      <c r="E3654" s="430"/>
      <c r="F3654" s="431"/>
      <c r="G3654" s="431"/>
      <c r="H3654" s="436"/>
      <c r="I3654" s="431"/>
      <c r="J3654" s="436"/>
      <c r="K3654" s="437"/>
      <c r="M3654" s="431"/>
    </row>
    <row r="3655" spans="2:13">
      <c r="B3655" s="127"/>
      <c r="C3655" s="127"/>
      <c r="D3655" s="429"/>
      <c r="E3655" s="430"/>
      <c r="F3655" s="431"/>
      <c r="G3655" s="431"/>
      <c r="H3655" s="436"/>
      <c r="I3655" s="431"/>
      <c r="J3655" s="436"/>
      <c r="K3655" s="437"/>
      <c r="M3655" s="431"/>
    </row>
    <row r="3656" spans="2:13">
      <c r="B3656" s="127"/>
      <c r="C3656" s="127"/>
      <c r="D3656" s="429"/>
      <c r="E3656" s="430"/>
      <c r="F3656" s="431"/>
      <c r="G3656" s="431"/>
      <c r="H3656" s="436"/>
      <c r="I3656" s="431"/>
      <c r="J3656" s="436"/>
      <c r="K3656" s="437"/>
      <c r="M3656" s="431"/>
    </row>
    <row r="3657" spans="2:13">
      <c r="B3657" s="127"/>
      <c r="C3657" s="127"/>
      <c r="D3657" s="429"/>
      <c r="E3657" s="430"/>
      <c r="F3657" s="431"/>
      <c r="G3657" s="431"/>
      <c r="H3657" s="436"/>
      <c r="I3657" s="431"/>
      <c r="J3657" s="436"/>
      <c r="K3657" s="437"/>
      <c r="M3657" s="431"/>
    </row>
    <row r="3658" spans="2:13">
      <c r="B3658" s="127"/>
      <c r="C3658" s="127"/>
      <c r="D3658" s="429"/>
      <c r="E3658" s="430"/>
      <c r="F3658" s="431"/>
      <c r="G3658" s="431"/>
      <c r="H3658" s="436"/>
      <c r="I3658" s="431"/>
      <c r="J3658" s="436"/>
      <c r="K3658" s="437"/>
      <c r="M3658" s="431"/>
    </row>
    <row r="3659" spans="2:13">
      <c r="B3659" s="127"/>
      <c r="C3659" s="127"/>
      <c r="D3659" s="429"/>
      <c r="E3659" s="430"/>
      <c r="F3659" s="432"/>
      <c r="G3659" s="432"/>
      <c r="H3659" s="443"/>
      <c r="I3659" s="432"/>
      <c r="J3659" s="443"/>
      <c r="K3659" s="444"/>
      <c r="M3659" s="431"/>
    </row>
    <row r="3660" spans="2:13">
      <c r="B3660" s="127"/>
      <c r="C3660" s="127"/>
      <c r="D3660" s="427"/>
      <c r="E3660" s="427"/>
      <c r="F3660" s="445"/>
      <c r="G3660" s="445"/>
      <c r="H3660" s="446"/>
      <c r="I3660" s="445"/>
      <c r="J3660" s="446"/>
      <c r="K3660" s="447"/>
      <c r="M3660" s="596"/>
    </row>
    <row r="3661" spans="2:13">
      <c r="B3661" s="127"/>
      <c r="C3661" s="127"/>
    </row>
    <row r="3662" spans="2:13">
      <c r="B3662" s="127"/>
      <c r="C3662" s="127"/>
      <c r="E3662" s="427"/>
      <c r="F3662" s="427"/>
      <c r="G3662" s="427"/>
      <c r="H3662" s="427"/>
      <c r="I3662" s="427"/>
      <c r="J3662" s="427"/>
      <c r="K3662" s="427"/>
      <c r="M3662" s="427"/>
    </row>
    <row r="3663" spans="2:13">
      <c r="B3663" s="127"/>
      <c r="C3663" s="127"/>
      <c r="D3663" s="429"/>
      <c r="E3663" s="430"/>
      <c r="F3663" s="431"/>
      <c r="G3663" s="431"/>
      <c r="H3663" s="436"/>
      <c r="I3663" s="431"/>
      <c r="J3663" s="436"/>
      <c r="K3663" s="437"/>
      <c r="M3663" s="431"/>
    </row>
    <row r="3664" spans="2:13">
      <c r="B3664" s="127"/>
      <c r="C3664" s="127"/>
      <c r="D3664" s="429"/>
      <c r="E3664" s="430"/>
      <c r="F3664" s="431"/>
      <c r="G3664" s="431"/>
      <c r="H3664" s="436"/>
      <c r="I3664" s="431"/>
      <c r="J3664" s="436"/>
      <c r="K3664" s="437"/>
      <c r="M3664" s="431"/>
    </row>
    <row r="3665" spans="2:13">
      <c r="B3665" s="127"/>
      <c r="C3665" s="127"/>
      <c r="D3665" s="429"/>
      <c r="E3665" s="430"/>
      <c r="F3665" s="431"/>
      <c r="G3665" s="431"/>
      <c r="H3665" s="436"/>
      <c r="I3665" s="431"/>
      <c r="J3665" s="436"/>
      <c r="K3665" s="437"/>
      <c r="M3665" s="431"/>
    </row>
    <row r="3666" spans="2:13">
      <c r="B3666" s="127"/>
      <c r="C3666" s="127"/>
      <c r="D3666" s="429"/>
      <c r="E3666" s="430"/>
      <c r="F3666" s="431"/>
      <c r="G3666" s="431"/>
      <c r="H3666" s="436"/>
      <c r="I3666" s="431"/>
      <c r="J3666" s="436"/>
      <c r="K3666" s="437"/>
      <c r="M3666" s="431"/>
    </row>
    <row r="3667" spans="2:13">
      <c r="B3667" s="127"/>
      <c r="C3667" s="127"/>
      <c r="D3667" s="429"/>
      <c r="E3667" s="430"/>
      <c r="F3667" s="431"/>
      <c r="G3667" s="431"/>
      <c r="H3667" s="436"/>
      <c r="I3667" s="431"/>
      <c r="J3667" s="436"/>
      <c r="K3667" s="437"/>
      <c r="M3667" s="431"/>
    </row>
    <row r="3668" spans="2:13">
      <c r="B3668" s="127"/>
      <c r="C3668" s="127"/>
      <c r="D3668" s="429"/>
      <c r="E3668" s="430"/>
      <c r="F3668" s="432"/>
      <c r="G3668" s="432"/>
      <c r="H3668" s="443"/>
      <c r="I3668" s="432"/>
      <c r="J3668" s="443"/>
      <c r="K3668" s="444"/>
      <c r="M3668" s="431"/>
    </row>
    <row r="3669" spans="2:13">
      <c r="B3669" s="127"/>
      <c r="C3669" s="127"/>
      <c r="D3669" s="427"/>
      <c r="E3669" s="427"/>
      <c r="F3669" s="445"/>
      <c r="G3669" s="445"/>
      <c r="H3669" s="446"/>
      <c r="I3669" s="445"/>
      <c r="J3669" s="446"/>
      <c r="K3669" s="447"/>
      <c r="M3669" s="596"/>
    </row>
    <row r="3670" spans="2:13">
      <c r="B3670" s="127"/>
      <c r="C3670" s="127"/>
    </row>
    <row r="3671" spans="2:13">
      <c r="B3671" s="127"/>
      <c r="C3671" s="127"/>
      <c r="E3671" s="427"/>
      <c r="F3671" s="427"/>
      <c r="G3671" s="427"/>
      <c r="H3671" s="427"/>
      <c r="I3671" s="427"/>
      <c r="J3671" s="427"/>
      <c r="K3671" s="427"/>
      <c r="M3671" s="427"/>
    </row>
    <row r="3672" spans="2:13">
      <c r="B3672" s="127"/>
      <c r="C3672" s="127"/>
      <c r="D3672" s="429"/>
      <c r="E3672" s="430"/>
      <c r="F3672" s="431"/>
      <c r="G3672" s="431"/>
      <c r="H3672" s="436"/>
      <c r="I3672" s="431"/>
      <c r="J3672" s="436"/>
      <c r="K3672" s="437"/>
      <c r="M3672" s="431"/>
    </row>
    <row r="3673" spans="2:13">
      <c r="B3673" s="127"/>
      <c r="C3673" s="127"/>
      <c r="D3673" s="429"/>
      <c r="E3673" s="430"/>
      <c r="F3673" s="431"/>
      <c r="G3673" s="431"/>
      <c r="H3673" s="436"/>
      <c r="I3673" s="431"/>
      <c r="J3673" s="436"/>
      <c r="K3673" s="437"/>
      <c r="M3673" s="431"/>
    </row>
    <row r="3674" spans="2:13">
      <c r="B3674" s="127"/>
      <c r="C3674" s="127"/>
      <c r="D3674" s="429"/>
      <c r="E3674" s="430"/>
      <c r="F3674" s="431"/>
      <c r="G3674" s="431"/>
      <c r="H3674" s="436"/>
      <c r="I3674" s="431"/>
      <c r="J3674" s="436"/>
      <c r="K3674" s="437"/>
      <c r="M3674" s="431"/>
    </row>
    <row r="3675" spans="2:13">
      <c r="B3675" s="127"/>
      <c r="C3675" s="127"/>
      <c r="D3675" s="429"/>
      <c r="E3675" s="430"/>
      <c r="F3675" s="431"/>
      <c r="G3675" s="431"/>
      <c r="H3675" s="436"/>
      <c r="I3675" s="431"/>
      <c r="J3675" s="436"/>
      <c r="K3675" s="437"/>
      <c r="M3675" s="431"/>
    </row>
    <row r="3676" spans="2:13">
      <c r="B3676" s="127"/>
      <c r="C3676" s="127"/>
      <c r="D3676" s="429"/>
      <c r="E3676" s="430"/>
      <c r="F3676" s="432"/>
      <c r="G3676" s="432"/>
      <c r="H3676" s="443"/>
      <c r="I3676" s="432"/>
      <c r="J3676" s="443"/>
      <c r="K3676" s="444"/>
      <c r="M3676" s="431"/>
    </row>
    <row r="3677" spans="2:13">
      <c r="B3677" s="127"/>
      <c r="C3677" s="127"/>
      <c r="D3677" s="427"/>
      <c r="E3677" s="427"/>
      <c r="F3677" s="445"/>
      <c r="G3677" s="445"/>
      <c r="H3677" s="446"/>
      <c r="I3677" s="445"/>
      <c r="J3677" s="446"/>
      <c r="K3677" s="447"/>
      <c r="M3677" s="596"/>
    </row>
    <row r="3678" spans="2:13">
      <c r="B3678" s="127"/>
      <c r="C3678" s="127"/>
    </row>
    <row r="3679" spans="2:13">
      <c r="B3679" s="127"/>
      <c r="C3679" s="127"/>
      <c r="E3679" s="427"/>
      <c r="F3679" s="427"/>
      <c r="G3679" s="427"/>
      <c r="H3679" s="427"/>
      <c r="I3679" s="427"/>
      <c r="J3679" s="427"/>
      <c r="K3679" s="427"/>
      <c r="M3679" s="427"/>
    </row>
    <row r="3680" spans="2:13">
      <c r="B3680" s="127"/>
      <c r="C3680" s="127"/>
      <c r="D3680" s="429"/>
      <c r="E3680" s="430"/>
      <c r="F3680" s="431"/>
      <c r="G3680" s="431"/>
      <c r="H3680" s="436"/>
      <c r="I3680" s="431"/>
      <c r="J3680" s="436"/>
      <c r="K3680" s="437"/>
      <c r="M3680" s="431"/>
    </row>
    <row r="3681" spans="2:13">
      <c r="B3681" s="127"/>
      <c r="C3681" s="127"/>
      <c r="D3681" s="429"/>
      <c r="E3681" s="430"/>
      <c r="F3681" s="431"/>
      <c r="G3681" s="431"/>
      <c r="H3681" s="436"/>
      <c r="I3681" s="431"/>
      <c r="J3681" s="436"/>
      <c r="K3681" s="437"/>
      <c r="M3681" s="431"/>
    </row>
    <row r="3682" spans="2:13">
      <c r="B3682" s="127"/>
      <c r="C3682" s="127"/>
      <c r="D3682" s="429"/>
      <c r="E3682" s="430"/>
      <c r="F3682" s="431"/>
      <c r="G3682" s="431"/>
      <c r="H3682" s="436"/>
      <c r="I3682" s="431"/>
      <c r="J3682" s="436"/>
      <c r="K3682" s="437"/>
      <c r="M3682" s="431"/>
    </row>
    <row r="3683" spans="2:13">
      <c r="B3683" s="127"/>
      <c r="C3683" s="127"/>
      <c r="D3683" s="429"/>
      <c r="E3683" s="430"/>
      <c r="F3683" s="431"/>
      <c r="G3683" s="431"/>
      <c r="H3683" s="436"/>
      <c r="I3683" s="431"/>
      <c r="J3683" s="436"/>
      <c r="K3683" s="437"/>
      <c r="M3683" s="431"/>
    </row>
    <row r="3684" spans="2:13">
      <c r="B3684" s="127"/>
      <c r="C3684" s="127"/>
      <c r="D3684" s="429"/>
      <c r="E3684" s="430"/>
      <c r="F3684" s="431"/>
      <c r="G3684" s="431"/>
      <c r="H3684" s="436"/>
      <c r="I3684" s="431"/>
      <c r="J3684" s="436"/>
      <c r="K3684" s="437"/>
      <c r="M3684" s="431"/>
    </row>
    <row r="3685" spans="2:13">
      <c r="B3685" s="127"/>
      <c r="C3685" s="127"/>
    </row>
    <row r="3686" spans="2:13">
      <c r="B3686" s="127"/>
      <c r="C3686" s="127"/>
      <c r="D3686" s="438"/>
      <c r="E3686" s="438"/>
      <c r="F3686" s="438"/>
      <c r="G3686" s="438"/>
      <c r="H3686" s="438"/>
      <c r="I3686" s="438"/>
      <c r="J3686" s="438"/>
      <c r="K3686" s="438"/>
      <c r="M3686" s="597"/>
    </row>
    <row r="3687" spans="2:13" ht="16.2" thickBot="1">
      <c r="B3687" s="127"/>
      <c r="C3687" s="127"/>
      <c r="D3687" s="439"/>
      <c r="E3687" s="439"/>
      <c r="F3687" s="440"/>
      <c r="G3687" s="440"/>
      <c r="H3687" s="440"/>
      <c r="I3687" s="440"/>
      <c r="J3687" s="439"/>
      <c r="K3687" s="439"/>
    </row>
    <row r="3688" spans="2:13">
      <c r="B3688" s="127"/>
      <c r="C3688" s="127"/>
      <c r="D3688" s="441"/>
      <c r="E3688" s="441"/>
      <c r="F3688" s="441"/>
      <c r="G3688" s="442"/>
      <c r="H3688" s="441"/>
      <c r="I3688" s="441"/>
      <c r="J3688" s="441"/>
      <c r="K3688" s="441"/>
      <c r="M3688" s="455"/>
    </row>
    <row r="3689" spans="2:13">
      <c r="B3689" s="127"/>
      <c r="C3689" s="127"/>
    </row>
    <row r="3690" spans="2:13">
      <c r="B3690" s="127"/>
      <c r="C3690" s="127"/>
      <c r="J3690" s="428"/>
    </row>
    <row r="3691" spans="2:13">
      <c r="B3691" s="127"/>
      <c r="C3691" s="127"/>
      <c r="F3691" s="428"/>
      <c r="G3691" s="428"/>
      <c r="H3691" s="435"/>
      <c r="I3691" s="428"/>
      <c r="J3691" s="428"/>
      <c r="K3691" s="435"/>
      <c r="M3691" s="428"/>
    </row>
    <row r="3692" spans="2:13">
      <c r="B3692" s="127"/>
      <c r="C3692" s="127"/>
    </row>
    <row r="3693" spans="2:13">
      <c r="B3693" s="127"/>
      <c r="C3693" s="127"/>
      <c r="D3693" s="429"/>
      <c r="E3693" s="430"/>
      <c r="F3693" s="431"/>
      <c r="G3693" s="431"/>
      <c r="H3693" s="436"/>
      <c r="I3693" s="431"/>
      <c r="J3693" s="436"/>
      <c r="K3693" s="437"/>
      <c r="M3693" s="431"/>
    </row>
    <row r="3694" spans="2:13">
      <c r="B3694" s="127"/>
      <c r="C3694" s="127"/>
      <c r="D3694" s="429"/>
      <c r="E3694" s="430"/>
      <c r="F3694" s="431"/>
      <c r="G3694" s="431"/>
      <c r="H3694" s="436"/>
      <c r="I3694" s="431"/>
      <c r="J3694" s="436"/>
      <c r="K3694" s="437"/>
      <c r="M3694" s="431"/>
    </row>
    <row r="3695" spans="2:13">
      <c r="B3695" s="127"/>
      <c r="C3695" s="127"/>
      <c r="D3695" s="429"/>
      <c r="E3695" s="430"/>
      <c r="F3695" s="432"/>
      <c r="G3695" s="432"/>
      <c r="H3695" s="443"/>
      <c r="I3695" s="432"/>
      <c r="J3695" s="443"/>
      <c r="K3695" s="444"/>
      <c r="M3695" s="431"/>
    </row>
    <row r="3696" spans="2:13">
      <c r="B3696" s="127"/>
      <c r="C3696" s="127"/>
      <c r="D3696" s="427"/>
      <c r="E3696" s="427"/>
      <c r="F3696" s="445"/>
      <c r="G3696" s="445"/>
      <c r="H3696" s="446"/>
      <c r="I3696" s="445"/>
      <c r="J3696" s="446"/>
      <c r="K3696" s="447"/>
      <c r="M3696" s="596"/>
    </row>
    <row r="3697" spans="2:13">
      <c r="B3697" s="127"/>
      <c r="C3697" s="127"/>
    </row>
    <row r="3698" spans="2:13">
      <c r="B3698" s="127"/>
      <c r="C3698" s="127"/>
      <c r="E3698" s="427"/>
      <c r="F3698" s="427"/>
      <c r="G3698" s="427"/>
      <c r="H3698" s="427"/>
      <c r="I3698" s="427"/>
      <c r="J3698" s="427"/>
      <c r="K3698" s="427"/>
      <c r="M3698" s="427"/>
    </row>
    <row r="3699" spans="2:13">
      <c r="B3699" s="127"/>
      <c r="C3699" s="127"/>
      <c r="D3699" s="429"/>
      <c r="E3699" s="430"/>
      <c r="F3699" s="431"/>
      <c r="G3699" s="431"/>
      <c r="H3699" s="436"/>
      <c r="I3699" s="431"/>
      <c r="J3699" s="436"/>
      <c r="K3699" s="437"/>
      <c r="M3699" s="431"/>
    </row>
    <row r="3700" spans="2:13">
      <c r="B3700" s="127"/>
      <c r="C3700" s="127"/>
      <c r="D3700" s="429"/>
      <c r="E3700" s="430"/>
      <c r="F3700" s="432"/>
      <c r="G3700" s="432"/>
      <c r="H3700" s="443"/>
      <c r="I3700" s="432"/>
      <c r="J3700" s="443"/>
      <c r="K3700" s="444"/>
      <c r="M3700" s="431"/>
    </row>
    <row r="3701" spans="2:13">
      <c r="B3701" s="127"/>
      <c r="C3701" s="127"/>
      <c r="D3701" s="427"/>
      <c r="E3701" s="427"/>
      <c r="F3701" s="445"/>
      <c r="G3701" s="445"/>
      <c r="H3701" s="446"/>
      <c r="I3701" s="445"/>
      <c r="J3701" s="446"/>
      <c r="K3701" s="447"/>
      <c r="M3701" s="596"/>
    </row>
    <row r="3702" spans="2:13">
      <c r="B3702" s="127"/>
      <c r="C3702" s="127"/>
      <c r="F3702" s="398"/>
      <c r="G3702" s="398"/>
      <c r="H3702" s="398"/>
      <c r="I3702" s="398"/>
      <c r="J3702" s="398"/>
      <c r="K3702" s="398"/>
    </row>
    <row r="3703" spans="2:13">
      <c r="B3703" s="127"/>
      <c r="C3703" s="127"/>
      <c r="D3703" s="427"/>
      <c r="E3703" s="427"/>
      <c r="F3703" s="445"/>
      <c r="G3703" s="445"/>
      <c r="H3703" s="446"/>
      <c r="I3703" s="445"/>
      <c r="J3703" s="446"/>
      <c r="K3703" s="447"/>
      <c r="M3703" s="596"/>
    </row>
    <row r="3704" spans="2:13">
      <c r="B3704" s="127"/>
      <c r="C3704" s="127"/>
    </row>
    <row r="3705" spans="2:13">
      <c r="B3705" s="127"/>
      <c r="C3705" s="127"/>
      <c r="E3705" s="427"/>
      <c r="F3705" s="427"/>
      <c r="G3705" s="427"/>
      <c r="H3705" s="427"/>
      <c r="I3705" s="427"/>
      <c r="J3705" s="427"/>
      <c r="K3705" s="427"/>
      <c r="M3705" s="427"/>
    </row>
    <row r="3706" spans="2:13">
      <c r="B3706" s="127"/>
      <c r="C3706" s="127"/>
      <c r="E3706" s="427"/>
      <c r="F3706" s="427"/>
      <c r="G3706" s="427"/>
      <c r="H3706" s="427"/>
      <c r="I3706" s="427"/>
      <c r="J3706" s="427"/>
      <c r="K3706" s="427"/>
      <c r="M3706" s="427"/>
    </row>
    <row r="3707" spans="2:13">
      <c r="B3707" s="127"/>
      <c r="C3707" s="127"/>
      <c r="D3707" s="429"/>
      <c r="E3707" s="430"/>
      <c r="F3707" s="431"/>
      <c r="G3707" s="431"/>
      <c r="H3707" s="436"/>
      <c r="I3707" s="431"/>
      <c r="J3707" s="436"/>
      <c r="K3707" s="437"/>
      <c r="M3707" s="431"/>
    </row>
    <row r="3708" spans="2:13">
      <c r="B3708" s="127"/>
      <c r="C3708" s="127"/>
      <c r="D3708" s="429"/>
      <c r="E3708" s="430"/>
      <c r="F3708" s="431"/>
      <c r="G3708" s="431"/>
      <c r="H3708" s="436"/>
      <c r="I3708" s="431"/>
      <c r="J3708" s="436"/>
      <c r="K3708" s="437"/>
      <c r="M3708" s="431"/>
    </row>
    <row r="3709" spans="2:13">
      <c r="B3709" s="127"/>
      <c r="C3709" s="127"/>
      <c r="D3709" s="429"/>
      <c r="E3709" s="430"/>
      <c r="F3709" s="431"/>
      <c r="G3709" s="431"/>
      <c r="H3709" s="436"/>
      <c r="I3709" s="431"/>
      <c r="J3709" s="436"/>
      <c r="K3709" s="437"/>
      <c r="M3709" s="431"/>
    </row>
    <row r="3710" spans="2:13">
      <c r="B3710" s="127"/>
      <c r="C3710" s="127"/>
      <c r="D3710" s="429"/>
      <c r="E3710" s="430"/>
      <c r="F3710" s="431"/>
      <c r="G3710" s="431"/>
      <c r="H3710" s="436"/>
      <c r="I3710" s="431"/>
      <c r="J3710" s="436"/>
      <c r="K3710" s="437"/>
      <c r="M3710" s="431"/>
    </row>
    <row r="3711" spans="2:13">
      <c r="B3711" s="127"/>
      <c r="C3711" s="127"/>
      <c r="D3711" s="429"/>
      <c r="E3711" s="430"/>
      <c r="F3711" s="431"/>
      <c r="G3711" s="431"/>
      <c r="H3711" s="436"/>
      <c r="I3711" s="431"/>
      <c r="J3711" s="436"/>
      <c r="K3711" s="437"/>
      <c r="M3711" s="431"/>
    </row>
    <row r="3712" spans="2:13">
      <c r="B3712" s="127"/>
      <c r="C3712" s="127"/>
      <c r="D3712" s="429"/>
      <c r="E3712" s="430"/>
      <c r="F3712" s="431"/>
      <c r="G3712" s="431"/>
      <c r="H3712" s="436"/>
      <c r="I3712" s="431"/>
      <c r="J3712" s="436"/>
      <c r="K3712" s="437"/>
      <c r="M3712" s="431"/>
    </row>
    <row r="3713" spans="2:13">
      <c r="B3713" s="127"/>
      <c r="C3713" s="127"/>
      <c r="D3713" s="429"/>
      <c r="E3713" s="430"/>
      <c r="F3713" s="431"/>
      <c r="G3713" s="431"/>
      <c r="H3713" s="436"/>
      <c r="I3713" s="431"/>
      <c r="J3713" s="436"/>
      <c r="K3713" s="437"/>
      <c r="M3713" s="431"/>
    </row>
    <row r="3714" spans="2:13">
      <c r="B3714" s="127"/>
      <c r="C3714" s="127"/>
      <c r="D3714" s="429"/>
      <c r="E3714" s="430"/>
      <c r="F3714" s="432"/>
      <c r="G3714" s="432"/>
      <c r="H3714" s="443"/>
      <c r="I3714" s="432"/>
      <c r="J3714" s="443"/>
      <c r="K3714" s="444"/>
      <c r="M3714" s="431"/>
    </row>
    <row r="3715" spans="2:13">
      <c r="B3715" s="127"/>
      <c r="C3715" s="127"/>
      <c r="D3715" s="427"/>
      <c r="E3715" s="427"/>
      <c r="F3715" s="445"/>
      <c r="G3715" s="445"/>
      <c r="H3715" s="446"/>
      <c r="I3715" s="445"/>
      <c r="J3715" s="446"/>
      <c r="K3715" s="447"/>
      <c r="M3715" s="596"/>
    </row>
    <row r="3716" spans="2:13">
      <c r="B3716" s="127"/>
      <c r="C3716" s="127"/>
    </row>
    <row r="3717" spans="2:13">
      <c r="B3717" s="127"/>
      <c r="C3717" s="127"/>
      <c r="E3717" s="427"/>
      <c r="F3717" s="427"/>
      <c r="G3717" s="427"/>
      <c r="H3717" s="427"/>
      <c r="I3717" s="427"/>
      <c r="J3717" s="427"/>
      <c r="K3717" s="427"/>
      <c r="M3717" s="427"/>
    </row>
    <row r="3718" spans="2:13">
      <c r="B3718" s="127"/>
      <c r="C3718" s="127"/>
      <c r="D3718" s="429"/>
      <c r="E3718" s="430"/>
      <c r="F3718" s="431"/>
      <c r="G3718" s="431"/>
      <c r="H3718" s="436"/>
      <c r="I3718" s="431"/>
      <c r="J3718" s="436"/>
      <c r="K3718" s="437"/>
      <c r="M3718" s="431"/>
    </row>
    <row r="3719" spans="2:13">
      <c r="B3719" s="127"/>
      <c r="C3719" s="127"/>
      <c r="D3719" s="429"/>
      <c r="E3719" s="430"/>
      <c r="F3719" s="431"/>
      <c r="G3719" s="431"/>
      <c r="H3719" s="436"/>
      <c r="I3719" s="431"/>
      <c r="J3719" s="436"/>
      <c r="K3719" s="437"/>
      <c r="M3719" s="431"/>
    </row>
    <row r="3720" spans="2:13">
      <c r="B3720" s="127"/>
      <c r="C3720" s="127"/>
      <c r="D3720" s="429"/>
      <c r="E3720" s="430"/>
      <c r="F3720" s="431"/>
      <c r="G3720" s="431"/>
      <c r="H3720" s="436"/>
      <c r="I3720" s="431"/>
      <c r="J3720" s="436"/>
      <c r="K3720" s="437"/>
      <c r="M3720" s="431"/>
    </row>
    <row r="3721" spans="2:13">
      <c r="B3721" s="127"/>
      <c r="C3721" s="127"/>
      <c r="D3721" s="429"/>
      <c r="E3721" s="430"/>
      <c r="F3721" s="431"/>
      <c r="G3721" s="431"/>
      <c r="H3721" s="436"/>
      <c r="I3721" s="431"/>
      <c r="J3721" s="436"/>
      <c r="K3721" s="437"/>
      <c r="M3721" s="431"/>
    </row>
    <row r="3722" spans="2:13">
      <c r="B3722" s="127"/>
      <c r="C3722" s="127"/>
      <c r="D3722" s="429"/>
      <c r="E3722" s="430"/>
      <c r="F3722" s="432"/>
      <c r="G3722" s="432"/>
      <c r="H3722" s="443"/>
      <c r="I3722" s="432"/>
      <c r="J3722" s="443"/>
      <c r="K3722" s="444"/>
      <c r="M3722" s="431"/>
    </row>
    <row r="3723" spans="2:13">
      <c r="B3723" s="127"/>
      <c r="C3723" s="127"/>
      <c r="D3723" s="427"/>
      <c r="E3723" s="427"/>
      <c r="F3723" s="445"/>
      <c r="G3723" s="445"/>
      <c r="H3723" s="446"/>
      <c r="I3723" s="445"/>
      <c r="J3723" s="446"/>
      <c r="K3723" s="447"/>
      <c r="M3723" s="596"/>
    </row>
    <row r="3724" spans="2:13">
      <c r="B3724" s="127"/>
      <c r="C3724" s="127"/>
    </row>
    <row r="3725" spans="2:13">
      <c r="B3725" s="127"/>
      <c r="C3725" s="127"/>
      <c r="E3725" s="427"/>
      <c r="F3725" s="427"/>
      <c r="G3725" s="427"/>
      <c r="H3725" s="427"/>
      <c r="I3725" s="427"/>
      <c r="J3725" s="427"/>
      <c r="K3725" s="427"/>
      <c r="M3725" s="427"/>
    </row>
    <row r="3726" spans="2:13">
      <c r="B3726" s="127"/>
      <c r="C3726" s="127"/>
      <c r="D3726" s="429"/>
      <c r="E3726" s="430"/>
      <c r="F3726" s="431"/>
      <c r="G3726" s="431"/>
      <c r="H3726" s="436"/>
      <c r="I3726" s="431"/>
      <c r="J3726" s="436"/>
      <c r="K3726" s="437"/>
      <c r="M3726" s="431"/>
    </row>
    <row r="3727" spans="2:13">
      <c r="B3727" s="127"/>
      <c r="C3727" s="127"/>
      <c r="D3727" s="429"/>
      <c r="E3727" s="430"/>
      <c r="F3727" s="431"/>
      <c r="G3727" s="431"/>
      <c r="H3727" s="436"/>
      <c r="I3727" s="431"/>
      <c r="J3727" s="436"/>
      <c r="K3727" s="437"/>
      <c r="M3727" s="431"/>
    </row>
    <row r="3728" spans="2:13">
      <c r="B3728" s="127"/>
      <c r="C3728" s="127"/>
      <c r="D3728" s="429"/>
      <c r="E3728" s="430"/>
      <c r="F3728" s="431"/>
      <c r="G3728" s="431"/>
      <c r="H3728" s="436"/>
      <c r="I3728" s="431"/>
      <c r="J3728" s="436"/>
      <c r="K3728" s="437"/>
      <c r="M3728" s="431"/>
    </row>
    <row r="3729" spans="2:13">
      <c r="B3729" s="127"/>
      <c r="C3729" s="127"/>
      <c r="D3729" s="429"/>
      <c r="E3729" s="430"/>
      <c r="F3729" s="432"/>
      <c r="G3729" s="432"/>
      <c r="H3729" s="443"/>
      <c r="I3729" s="432"/>
      <c r="J3729" s="443"/>
      <c r="K3729" s="444"/>
      <c r="M3729" s="431"/>
    </row>
    <row r="3730" spans="2:13">
      <c r="B3730" s="127"/>
      <c r="C3730" s="127"/>
      <c r="D3730" s="427"/>
      <c r="E3730" s="427"/>
      <c r="F3730" s="445"/>
      <c r="G3730" s="445"/>
      <c r="H3730" s="446"/>
      <c r="I3730" s="445"/>
      <c r="J3730" s="446"/>
      <c r="K3730" s="447"/>
      <c r="M3730" s="596"/>
    </row>
    <row r="3731" spans="2:13">
      <c r="B3731" s="127"/>
      <c r="C3731" s="127"/>
    </row>
    <row r="3732" spans="2:13">
      <c r="B3732" s="127"/>
      <c r="C3732" s="127"/>
      <c r="E3732" s="427"/>
      <c r="F3732" s="427"/>
      <c r="G3732" s="427"/>
      <c r="H3732" s="427"/>
      <c r="I3732" s="427"/>
      <c r="J3732" s="427"/>
      <c r="K3732" s="427"/>
      <c r="M3732" s="427"/>
    </row>
    <row r="3733" spans="2:13">
      <c r="B3733" s="127"/>
      <c r="C3733" s="127"/>
      <c r="D3733" s="429"/>
      <c r="E3733" s="430"/>
      <c r="F3733" s="431"/>
      <c r="G3733" s="431"/>
      <c r="H3733" s="436"/>
      <c r="I3733" s="431"/>
      <c r="J3733" s="436"/>
      <c r="K3733" s="437"/>
      <c r="M3733" s="431"/>
    </row>
    <row r="3734" spans="2:13">
      <c r="B3734" s="127"/>
      <c r="C3734" s="127"/>
      <c r="D3734" s="429"/>
      <c r="E3734" s="430"/>
      <c r="F3734" s="431"/>
      <c r="G3734" s="431"/>
      <c r="H3734" s="436"/>
      <c r="I3734" s="431"/>
      <c r="J3734" s="436"/>
      <c r="K3734" s="437"/>
      <c r="M3734" s="431"/>
    </row>
    <row r="3735" spans="2:13">
      <c r="B3735" s="127"/>
      <c r="C3735" s="127"/>
      <c r="D3735" s="429"/>
      <c r="E3735" s="430"/>
      <c r="F3735" s="431"/>
      <c r="G3735" s="431"/>
      <c r="H3735" s="436"/>
      <c r="I3735" s="431"/>
      <c r="J3735" s="436"/>
      <c r="K3735" s="437"/>
      <c r="M3735" s="431"/>
    </row>
    <row r="3736" spans="2:13">
      <c r="B3736" s="127"/>
      <c r="C3736" s="127"/>
      <c r="D3736" s="429"/>
      <c r="E3736" s="430"/>
      <c r="F3736" s="431"/>
      <c r="G3736" s="431"/>
      <c r="H3736" s="436"/>
      <c r="I3736" s="431"/>
      <c r="J3736" s="436"/>
      <c r="K3736" s="437"/>
      <c r="M3736" s="431"/>
    </row>
    <row r="3737" spans="2:13">
      <c r="B3737" s="127"/>
      <c r="C3737" s="127"/>
      <c r="D3737" s="429"/>
      <c r="E3737" s="430"/>
      <c r="F3737" s="432"/>
      <c r="G3737" s="432"/>
      <c r="H3737" s="443"/>
      <c r="I3737" s="432"/>
      <c r="J3737" s="443"/>
      <c r="K3737" s="444"/>
      <c r="M3737" s="431"/>
    </row>
    <row r="3738" spans="2:13">
      <c r="B3738" s="127"/>
      <c r="C3738" s="127"/>
      <c r="D3738" s="427"/>
      <c r="E3738" s="427"/>
      <c r="F3738" s="445"/>
      <c r="G3738" s="445"/>
      <c r="H3738" s="446"/>
      <c r="I3738" s="445"/>
      <c r="J3738" s="446"/>
      <c r="K3738" s="447"/>
      <c r="M3738" s="596"/>
    </row>
    <row r="3739" spans="2:13">
      <c r="B3739" s="127"/>
      <c r="C3739" s="127"/>
    </row>
    <row r="3740" spans="2:13">
      <c r="B3740" s="127"/>
      <c r="C3740" s="127"/>
      <c r="E3740" s="427"/>
      <c r="F3740" s="427"/>
      <c r="G3740" s="427"/>
      <c r="H3740" s="427"/>
      <c r="I3740" s="427"/>
      <c r="J3740" s="427"/>
      <c r="K3740" s="427"/>
      <c r="M3740" s="427"/>
    </row>
    <row r="3741" spans="2:13">
      <c r="B3741" s="127"/>
      <c r="C3741" s="127"/>
      <c r="D3741" s="429"/>
      <c r="E3741" s="430"/>
      <c r="F3741" s="431"/>
      <c r="G3741" s="431"/>
      <c r="H3741" s="436"/>
      <c r="I3741" s="431"/>
      <c r="J3741" s="436"/>
      <c r="K3741" s="437"/>
      <c r="M3741" s="431"/>
    </row>
    <row r="3742" spans="2:13">
      <c r="B3742" s="127"/>
      <c r="C3742" s="127"/>
      <c r="D3742" s="429"/>
      <c r="E3742" s="430"/>
      <c r="F3742" s="432"/>
      <c r="G3742" s="432"/>
      <c r="H3742" s="443"/>
      <c r="I3742" s="432"/>
      <c r="J3742" s="443"/>
      <c r="K3742" s="444"/>
      <c r="M3742" s="431"/>
    </row>
    <row r="3743" spans="2:13">
      <c r="B3743" s="127"/>
      <c r="C3743" s="127"/>
      <c r="D3743" s="427"/>
      <c r="E3743" s="427"/>
      <c r="F3743" s="445"/>
      <c r="G3743" s="445"/>
      <c r="H3743" s="446"/>
      <c r="I3743" s="445"/>
      <c r="J3743" s="446"/>
      <c r="K3743" s="447"/>
      <c r="M3743" s="596"/>
    </row>
    <row r="3744" spans="2:13">
      <c r="B3744" s="127"/>
      <c r="C3744" s="127"/>
    </row>
    <row r="3745" spans="2:13">
      <c r="B3745" s="127"/>
      <c r="C3745" s="127"/>
      <c r="E3745" s="427"/>
      <c r="F3745" s="427"/>
      <c r="G3745" s="427"/>
      <c r="H3745" s="427"/>
      <c r="I3745" s="427"/>
      <c r="J3745" s="427"/>
      <c r="K3745" s="427"/>
      <c r="M3745" s="427"/>
    </row>
    <row r="3746" spans="2:13">
      <c r="B3746" s="127"/>
      <c r="C3746" s="127"/>
      <c r="D3746" s="429"/>
      <c r="E3746" s="430"/>
      <c r="F3746" s="432"/>
      <c r="G3746" s="432"/>
      <c r="H3746" s="443"/>
      <c r="I3746" s="432"/>
      <c r="J3746" s="443"/>
      <c r="K3746" s="444"/>
      <c r="M3746" s="431"/>
    </row>
    <row r="3747" spans="2:13">
      <c r="B3747" s="127"/>
      <c r="C3747" s="127"/>
      <c r="D3747" s="427"/>
      <c r="E3747" s="427"/>
      <c r="F3747" s="445"/>
      <c r="G3747" s="445"/>
      <c r="H3747" s="446"/>
      <c r="I3747" s="445"/>
      <c r="J3747" s="446"/>
      <c r="K3747" s="447"/>
      <c r="M3747" s="596"/>
    </row>
    <row r="3748" spans="2:13">
      <c r="B3748" s="127"/>
      <c r="C3748" s="127"/>
      <c r="F3748" s="398"/>
      <c r="G3748" s="398"/>
      <c r="H3748" s="398"/>
      <c r="I3748" s="398"/>
      <c r="J3748" s="398"/>
      <c r="K3748" s="398"/>
    </row>
    <row r="3749" spans="2:13">
      <c r="B3749" s="127"/>
      <c r="C3749" s="127"/>
      <c r="D3749" s="427"/>
      <c r="E3749" s="427"/>
      <c r="F3749" s="445"/>
      <c r="G3749" s="445"/>
      <c r="H3749" s="446"/>
      <c r="I3749" s="445"/>
      <c r="J3749" s="446"/>
      <c r="K3749" s="447"/>
      <c r="M3749" s="596"/>
    </row>
    <row r="3750" spans="2:13">
      <c r="B3750" s="127"/>
      <c r="C3750" s="127"/>
      <c r="F3750" s="398"/>
      <c r="G3750" s="398"/>
      <c r="H3750" s="398"/>
      <c r="I3750" s="398"/>
      <c r="J3750" s="398"/>
      <c r="K3750" s="398"/>
    </row>
    <row r="3751" spans="2:13">
      <c r="B3751" s="127"/>
      <c r="C3751" s="127"/>
      <c r="D3751" s="427"/>
      <c r="E3751" s="427"/>
      <c r="F3751" s="445"/>
      <c r="G3751" s="445"/>
      <c r="H3751" s="446"/>
      <c r="I3751" s="445"/>
      <c r="J3751" s="446"/>
      <c r="K3751" s="447"/>
      <c r="M3751" s="596"/>
    </row>
    <row r="3752" spans="2:13">
      <c r="B3752" s="127"/>
      <c r="C3752" s="127"/>
    </row>
    <row r="3753" spans="2:13">
      <c r="B3753" s="127"/>
      <c r="C3753" s="127"/>
      <c r="E3753" s="427"/>
      <c r="F3753" s="427"/>
      <c r="G3753" s="427"/>
      <c r="H3753" s="427"/>
      <c r="I3753" s="427"/>
      <c r="J3753" s="427"/>
      <c r="K3753" s="427"/>
      <c r="M3753" s="427"/>
    </row>
    <row r="3754" spans="2:13">
      <c r="B3754" s="127"/>
      <c r="C3754" s="127"/>
      <c r="E3754" s="427"/>
      <c r="F3754" s="427"/>
      <c r="G3754" s="427"/>
      <c r="H3754" s="427"/>
      <c r="I3754" s="427"/>
      <c r="J3754" s="427"/>
      <c r="K3754" s="427"/>
      <c r="M3754" s="427"/>
    </row>
    <row r="3755" spans="2:13">
      <c r="B3755" s="127"/>
      <c r="C3755" s="127"/>
      <c r="E3755" s="427"/>
      <c r="F3755" s="427"/>
      <c r="G3755" s="427"/>
      <c r="H3755" s="427"/>
      <c r="I3755" s="427"/>
      <c r="J3755" s="427"/>
      <c r="K3755" s="427"/>
      <c r="M3755" s="427"/>
    </row>
    <row r="3756" spans="2:13">
      <c r="B3756" s="127"/>
      <c r="C3756" s="127"/>
      <c r="D3756" s="429"/>
      <c r="E3756" s="430"/>
      <c r="F3756" s="431"/>
      <c r="G3756" s="431"/>
      <c r="H3756" s="436"/>
      <c r="I3756" s="431"/>
      <c r="J3756" s="436"/>
      <c r="K3756" s="437"/>
      <c r="M3756" s="431"/>
    </row>
    <row r="3757" spans="2:13">
      <c r="B3757" s="127"/>
      <c r="C3757" s="127"/>
      <c r="D3757" s="429"/>
      <c r="E3757" s="430"/>
      <c r="F3757" s="431"/>
      <c r="G3757" s="431"/>
      <c r="H3757" s="436"/>
      <c r="I3757" s="431"/>
      <c r="J3757" s="436"/>
      <c r="K3757" s="437"/>
      <c r="M3757" s="431"/>
    </row>
    <row r="3758" spans="2:13">
      <c r="B3758" s="127"/>
      <c r="C3758" s="127"/>
      <c r="D3758" s="429"/>
      <c r="E3758" s="430"/>
      <c r="F3758" s="431"/>
      <c r="G3758" s="431"/>
      <c r="H3758" s="436"/>
      <c r="I3758" s="431"/>
      <c r="J3758" s="436"/>
      <c r="K3758" s="437"/>
      <c r="M3758" s="431"/>
    </row>
    <row r="3759" spans="2:13">
      <c r="B3759" s="127"/>
      <c r="C3759" s="127"/>
      <c r="D3759" s="438"/>
      <c r="E3759" s="438"/>
      <c r="F3759" s="438"/>
      <c r="G3759" s="438"/>
      <c r="H3759" s="438"/>
      <c r="I3759" s="438"/>
      <c r="J3759" s="438"/>
      <c r="K3759" s="438"/>
      <c r="M3759" s="597"/>
    </row>
    <row r="3760" spans="2:13" ht="16.2" thickBot="1">
      <c r="B3760" s="127"/>
      <c r="C3760" s="127"/>
      <c r="D3760" s="439"/>
      <c r="E3760" s="439"/>
      <c r="F3760" s="440"/>
      <c r="G3760" s="440"/>
      <c r="H3760" s="440"/>
      <c r="I3760" s="440"/>
      <c r="J3760" s="439"/>
      <c r="K3760" s="439"/>
    </row>
    <row r="3761" spans="2:13">
      <c r="B3761" s="127"/>
      <c r="C3761" s="127"/>
      <c r="D3761" s="441"/>
      <c r="E3761" s="441"/>
      <c r="F3761" s="441"/>
      <c r="G3761" s="442"/>
      <c r="H3761" s="441"/>
      <c r="I3761" s="441"/>
      <c r="J3761" s="441"/>
      <c r="K3761" s="441"/>
      <c r="M3761" s="455"/>
    </row>
    <row r="3762" spans="2:13">
      <c r="B3762" s="127"/>
      <c r="C3762" s="127"/>
    </row>
    <row r="3763" spans="2:13">
      <c r="B3763" s="127"/>
      <c r="C3763" s="127"/>
      <c r="J3763" s="428"/>
    </row>
    <row r="3764" spans="2:13">
      <c r="B3764" s="127"/>
      <c r="C3764" s="127"/>
      <c r="F3764" s="428"/>
      <c r="G3764" s="428"/>
      <c r="H3764" s="435"/>
      <c r="I3764" s="428"/>
      <c r="J3764" s="428"/>
      <c r="K3764" s="435"/>
      <c r="M3764" s="428"/>
    </row>
    <row r="3765" spans="2:13">
      <c r="B3765" s="127"/>
      <c r="C3765" s="127"/>
    </row>
    <row r="3766" spans="2:13">
      <c r="B3766" s="127"/>
      <c r="C3766" s="127"/>
      <c r="D3766" s="429"/>
      <c r="E3766" s="430"/>
      <c r="F3766" s="431"/>
      <c r="G3766" s="431"/>
      <c r="H3766" s="436"/>
      <c r="I3766" s="431"/>
      <c r="J3766" s="436"/>
      <c r="K3766" s="437"/>
      <c r="M3766" s="431"/>
    </row>
    <row r="3767" spans="2:13">
      <c r="B3767" s="127"/>
      <c r="C3767" s="127"/>
      <c r="D3767" s="429"/>
      <c r="E3767" s="430"/>
      <c r="F3767" s="431"/>
      <c r="G3767" s="431"/>
      <c r="H3767" s="436"/>
      <c r="I3767" s="431"/>
      <c r="J3767" s="436"/>
      <c r="K3767" s="437"/>
      <c r="M3767" s="431"/>
    </row>
    <row r="3768" spans="2:13">
      <c r="B3768" s="127"/>
      <c r="C3768" s="127"/>
      <c r="D3768" s="429"/>
      <c r="E3768" s="430"/>
      <c r="F3768" s="431"/>
      <c r="G3768" s="431"/>
      <c r="H3768" s="436"/>
      <c r="I3768" s="431"/>
      <c r="J3768" s="436"/>
      <c r="K3768" s="437"/>
      <c r="M3768" s="431"/>
    </row>
    <row r="3769" spans="2:13">
      <c r="B3769" s="127"/>
      <c r="C3769" s="127"/>
      <c r="D3769" s="429"/>
      <c r="E3769" s="430"/>
      <c r="F3769" s="431"/>
      <c r="G3769" s="431"/>
      <c r="H3769" s="436"/>
      <c r="I3769" s="431"/>
      <c r="J3769" s="436"/>
      <c r="K3769" s="437"/>
      <c r="M3769" s="431"/>
    </row>
    <row r="3770" spans="2:13">
      <c r="B3770" s="127"/>
      <c r="C3770" s="127"/>
      <c r="D3770" s="429"/>
      <c r="E3770" s="430"/>
      <c r="F3770" s="432"/>
      <c r="G3770" s="432"/>
      <c r="H3770" s="443"/>
      <c r="I3770" s="432"/>
      <c r="J3770" s="443"/>
      <c r="K3770" s="444"/>
      <c r="M3770" s="431"/>
    </row>
    <row r="3771" spans="2:13">
      <c r="B3771" s="127"/>
      <c r="C3771" s="127"/>
      <c r="D3771" s="427"/>
      <c r="E3771" s="427"/>
      <c r="F3771" s="445"/>
      <c r="G3771" s="445"/>
      <c r="H3771" s="446"/>
      <c r="I3771" s="445"/>
      <c r="J3771" s="446"/>
      <c r="K3771" s="447"/>
      <c r="M3771" s="596"/>
    </row>
    <row r="3772" spans="2:13">
      <c r="B3772" s="127"/>
      <c r="C3772" s="127"/>
    </row>
    <row r="3773" spans="2:13">
      <c r="B3773" s="127"/>
      <c r="C3773" s="127"/>
      <c r="E3773" s="427"/>
      <c r="F3773" s="427"/>
      <c r="G3773" s="427"/>
      <c r="H3773" s="427"/>
      <c r="I3773" s="427"/>
      <c r="J3773" s="427"/>
      <c r="K3773" s="427"/>
      <c r="M3773" s="427"/>
    </row>
    <row r="3774" spans="2:13">
      <c r="B3774" s="127"/>
      <c r="C3774" s="127"/>
      <c r="D3774" s="429"/>
      <c r="E3774" s="430"/>
      <c r="F3774" s="431"/>
      <c r="G3774" s="431"/>
      <c r="H3774" s="436"/>
      <c r="I3774" s="431"/>
      <c r="J3774" s="436"/>
      <c r="K3774" s="437"/>
      <c r="M3774" s="431"/>
    </row>
    <row r="3775" spans="2:13">
      <c r="B3775" s="127"/>
      <c r="C3775" s="127"/>
      <c r="D3775" s="429"/>
      <c r="E3775" s="430"/>
      <c r="F3775" s="431"/>
      <c r="G3775" s="431"/>
      <c r="H3775" s="436"/>
      <c r="I3775" s="431"/>
      <c r="J3775" s="436"/>
      <c r="K3775" s="437"/>
      <c r="M3775" s="431"/>
    </row>
    <row r="3776" spans="2:13">
      <c r="B3776" s="127"/>
      <c r="C3776" s="127"/>
      <c r="D3776" s="429"/>
      <c r="E3776" s="430"/>
      <c r="F3776" s="431"/>
      <c r="G3776" s="431"/>
      <c r="H3776" s="436"/>
      <c r="I3776" s="431"/>
      <c r="J3776" s="436"/>
      <c r="K3776" s="437"/>
      <c r="M3776" s="431"/>
    </row>
    <row r="3777" spans="2:13">
      <c r="B3777" s="127"/>
      <c r="C3777" s="127"/>
      <c r="D3777" s="429"/>
      <c r="E3777" s="430"/>
      <c r="F3777" s="431"/>
      <c r="G3777" s="431"/>
      <c r="H3777" s="436"/>
      <c r="I3777" s="431"/>
      <c r="J3777" s="436"/>
      <c r="K3777" s="437"/>
      <c r="M3777" s="431"/>
    </row>
    <row r="3778" spans="2:13">
      <c r="B3778" s="127"/>
      <c r="C3778" s="127"/>
      <c r="D3778" s="429"/>
      <c r="E3778" s="430"/>
      <c r="F3778" s="432"/>
      <c r="G3778" s="432"/>
      <c r="H3778" s="443"/>
      <c r="I3778" s="432"/>
      <c r="J3778" s="443"/>
      <c r="K3778" s="444"/>
      <c r="M3778" s="431"/>
    </row>
    <row r="3779" spans="2:13">
      <c r="B3779" s="127"/>
      <c r="C3779" s="127"/>
      <c r="D3779" s="427"/>
      <c r="E3779" s="427"/>
      <c r="F3779" s="445"/>
      <c r="G3779" s="445"/>
      <c r="H3779" s="446"/>
      <c r="I3779" s="445"/>
      <c r="J3779" s="446"/>
      <c r="K3779" s="447"/>
      <c r="M3779" s="596"/>
    </row>
    <row r="3780" spans="2:13">
      <c r="B3780" s="127"/>
      <c r="C3780" s="127"/>
    </row>
    <row r="3781" spans="2:13">
      <c r="B3781" s="127"/>
      <c r="C3781" s="127"/>
      <c r="E3781" s="427"/>
      <c r="F3781" s="427"/>
      <c r="G3781" s="427"/>
      <c r="H3781" s="427"/>
      <c r="I3781" s="427"/>
      <c r="J3781" s="427"/>
      <c r="K3781" s="427"/>
      <c r="M3781" s="427"/>
    </row>
    <row r="3782" spans="2:13">
      <c r="B3782" s="127"/>
      <c r="C3782" s="127"/>
      <c r="D3782" s="429"/>
      <c r="E3782" s="430"/>
      <c r="F3782" s="431"/>
      <c r="G3782" s="431"/>
      <c r="H3782" s="436"/>
      <c r="I3782" s="431"/>
      <c r="J3782" s="436"/>
      <c r="K3782" s="437"/>
      <c r="M3782" s="431"/>
    </row>
    <row r="3783" spans="2:13">
      <c r="B3783" s="127"/>
      <c r="C3783" s="127"/>
      <c r="D3783" s="429"/>
      <c r="E3783" s="430"/>
      <c r="F3783" s="431"/>
      <c r="G3783" s="431"/>
      <c r="H3783" s="436"/>
      <c r="I3783" s="431"/>
      <c r="J3783" s="436"/>
      <c r="K3783" s="437"/>
      <c r="M3783" s="431"/>
    </row>
    <row r="3784" spans="2:13">
      <c r="B3784" s="127"/>
      <c r="C3784" s="127"/>
      <c r="D3784" s="429"/>
      <c r="E3784" s="430"/>
      <c r="F3784" s="431"/>
      <c r="G3784" s="431"/>
      <c r="H3784" s="436"/>
      <c r="I3784" s="431"/>
      <c r="J3784" s="436"/>
      <c r="K3784" s="437"/>
      <c r="M3784" s="431"/>
    </row>
    <row r="3785" spans="2:13">
      <c r="B3785" s="127"/>
      <c r="C3785" s="127"/>
      <c r="D3785" s="429"/>
      <c r="E3785" s="430"/>
      <c r="F3785" s="431"/>
      <c r="G3785" s="431"/>
      <c r="H3785" s="436"/>
      <c r="I3785" s="431"/>
      <c r="J3785" s="436"/>
      <c r="K3785" s="437"/>
      <c r="M3785" s="431"/>
    </row>
    <row r="3786" spans="2:13">
      <c r="B3786" s="127"/>
      <c r="C3786" s="127"/>
      <c r="D3786" s="429"/>
      <c r="E3786" s="430"/>
      <c r="F3786" s="432"/>
      <c r="G3786" s="432"/>
      <c r="H3786" s="443"/>
      <c r="I3786" s="432"/>
      <c r="J3786" s="443"/>
      <c r="K3786" s="444"/>
      <c r="M3786" s="431"/>
    </row>
    <row r="3787" spans="2:13">
      <c r="B3787" s="127"/>
      <c r="C3787" s="127"/>
      <c r="D3787" s="427"/>
      <c r="E3787" s="427"/>
      <c r="F3787" s="445"/>
      <c r="G3787" s="445"/>
      <c r="H3787" s="446"/>
      <c r="I3787" s="445"/>
      <c r="J3787" s="446"/>
      <c r="K3787" s="447"/>
      <c r="M3787" s="596"/>
    </row>
    <row r="3788" spans="2:13">
      <c r="B3788" s="127"/>
      <c r="C3788" s="127"/>
    </row>
    <row r="3789" spans="2:13">
      <c r="B3789" s="127"/>
      <c r="C3789" s="127"/>
      <c r="E3789" s="427"/>
      <c r="F3789" s="427"/>
      <c r="G3789" s="427"/>
      <c r="H3789" s="427"/>
      <c r="I3789" s="427"/>
      <c r="J3789" s="427"/>
      <c r="K3789" s="427"/>
      <c r="M3789" s="427"/>
    </row>
    <row r="3790" spans="2:13">
      <c r="B3790" s="127"/>
      <c r="C3790" s="127"/>
      <c r="D3790" s="429"/>
      <c r="E3790" s="430"/>
      <c r="F3790" s="431"/>
      <c r="G3790" s="431"/>
      <c r="H3790" s="436"/>
      <c r="I3790" s="431"/>
      <c r="J3790" s="436"/>
      <c r="K3790" s="437"/>
      <c r="M3790" s="431"/>
    </row>
    <row r="3791" spans="2:13">
      <c r="B3791" s="127"/>
      <c r="C3791" s="127"/>
      <c r="D3791" s="429"/>
      <c r="E3791" s="430"/>
      <c r="F3791" s="431"/>
      <c r="G3791" s="431"/>
      <c r="H3791" s="436"/>
      <c r="I3791" s="431"/>
      <c r="J3791" s="436"/>
      <c r="K3791" s="437"/>
      <c r="M3791" s="431"/>
    </row>
    <row r="3792" spans="2:13">
      <c r="B3792" s="127"/>
      <c r="C3792" s="127"/>
      <c r="D3792" s="429"/>
      <c r="E3792" s="430"/>
      <c r="F3792" s="431"/>
      <c r="G3792" s="431"/>
      <c r="H3792" s="436"/>
      <c r="I3792" s="431"/>
      <c r="J3792" s="436"/>
      <c r="K3792" s="437"/>
      <c r="M3792" s="431"/>
    </row>
    <row r="3793" spans="2:13">
      <c r="B3793" s="127"/>
      <c r="C3793" s="127"/>
      <c r="D3793" s="429"/>
      <c r="E3793" s="430"/>
      <c r="F3793" s="431"/>
      <c r="G3793" s="431"/>
      <c r="H3793" s="436"/>
      <c r="I3793" s="431"/>
      <c r="J3793" s="436"/>
      <c r="K3793" s="437"/>
      <c r="M3793" s="431"/>
    </row>
    <row r="3794" spans="2:13">
      <c r="B3794" s="127"/>
      <c r="C3794" s="127"/>
      <c r="D3794" s="429"/>
      <c r="E3794" s="430"/>
      <c r="F3794" s="431"/>
      <c r="G3794" s="431"/>
      <c r="H3794" s="436"/>
      <c r="I3794" s="431"/>
      <c r="J3794" s="436"/>
      <c r="K3794" s="437"/>
      <c r="M3794" s="431"/>
    </row>
    <row r="3795" spans="2:13">
      <c r="B3795" s="127"/>
      <c r="C3795" s="127"/>
      <c r="D3795" s="429"/>
      <c r="E3795" s="430"/>
      <c r="F3795" s="431"/>
      <c r="G3795" s="431"/>
      <c r="H3795" s="436"/>
      <c r="I3795" s="431"/>
      <c r="J3795" s="436"/>
      <c r="K3795" s="437"/>
      <c r="M3795" s="431"/>
    </row>
    <row r="3796" spans="2:13">
      <c r="B3796" s="127"/>
      <c r="C3796" s="127"/>
      <c r="D3796" s="429"/>
      <c r="E3796" s="430"/>
      <c r="F3796" s="432"/>
      <c r="G3796" s="432"/>
      <c r="H3796" s="443"/>
      <c r="I3796" s="432"/>
      <c r="J3796" s="443"/>
      <c r="K3796" s="444"/>
      <c r="M3796" s="431"/>
    </row>
    <row r="3797" spans="2:13">
      <c r="B3797" s="127"/>
      <c r="C3797" s="127"/>
      <c r="D3797" s="427"/>
      <c r="E3797" s="427"/>
      <c r="F3797" s="445"/>
      <c r="G3797" s="445"/>
      <c r="H3797" s="446"/>
      <c r="I3797" s="445"/>
      <c r="J3797" s="446"/>
      <c r="K3797" s="447"/>
      <c r="M3797" s="596"/>
    </row>
    <row r="3798" spans="2:13">
      <c r="B3798" s="127"/>
      <c r="C3798" s="127"/>
    </row>
    <row r="3799" spans="2:13">
      <c r="B3799" s="127"/>
      <c r="C3799" s="127"/>
      <c r="E3799" s="427"/>
      <c r="F3799" s="427"/>
      <c r="G3799" s="427"/>
      <c r="H3799" s="427"/>
      <c r="I3799" s="427"/>
      <c r="J3799" s="427"/>
      <c r="K3799" s="427"/>
      <c r="M3799" s="427"/>
    </row>
    <row r="3800" spans="2:13">
      <c r="B3800" s="127"/>
      <c r="C3800" s="127"/>
      <c r="D3800" s="429"/>
      <c r="E3800" s="430"/>
      <c r="F3800" s="431"/>
      <c r="G3800" s="431"/>
      <c r="H3800" s="436"/>
      <c r="I3800" s="431"/>
      <c r="J3800" s="436"/>
      <c r="K3800" s="437"/>
      <c r="M3800" s="431"/>
    </row>
    <row r="3801" spans="2:13">
      <c r="B3801" s="127"/>
      <c r="C3801" s="127"/>
      <c r="D3801" s="429"/>
      <c r="E3801" s="430"/>
      <c r="F3801" s="432"/>
      <c r="G3801" s="432"/>
      <c r="H3801" s="443"/>
      <c r="I3801" s="432"/>
      <c r="J3801" s="443"/>
      <c r="K3801" s="444"/>
      <c r="M3801" s="431"/>
    </row>
    <row r="3802" spans="2:13">
      <c r="B3802" s="127"/>
      <c r="C3802" s="127"/>
      <c r="D3802" s="427"/>
      <c r="E3802" s="427"/>
      <c r="F3802" s="445"/>
      <c r="G3802" s="445"/>
      <c r="H3802" s="446"/>
      <c r="I3802" s="445"/>
      <c r="J3802" s="446"/>
      <c r="K3802" s="447"/>
      <c r="M3802" s="596"/>
    </row>
    <row r="3803" spans="2:13">
      <c r="B3803" s="127"/>
      <c r="C3803" s="127"/>
    </row>
    <row r="3804" spans="2:13">
      <c r="B3804" s="127"/>
      <c r="C3804" s="127"/>
      <c r="E3804" s="427"/>
      <c r="F3804" s="427"/>
      <c r="G3804" s="427"/>
      <c r="H3804" s="427"/>
      <c r="I3804" s="427"/>
      <c r="J3804" s="427"/>
      <c r="K3804" s="427"/>
      <c r="M3804" s="427"/>
    </row>
    <row r="3805" spans="2:13">
      <c r="B3805" s="127"/>
      <c r="C3805" s="127"/>
      <c r="D3805" s="429"/>
      <c r="E3805" s="430"/>
      <c r="F3805" s="432"/>
      <c r="G3805" s="432"/>
      <c r="H3805" s="443"/>
      <c r="I3805" s="432"/>
      <c r="J3805" s="443"/>
      <c r="K3805" s="444"/>
      <c r="M3805" s="431"/>
    </row>
    <row r="3806" spans="2:13">
      <c r="B3806" s="127"/>
      <c r="C3806" s="127"/>
      <c r="D3806" s="427"/>
      <c r="E3806" s="427"/>
      <c r="F3806" s="445"/>
      <c r="G3806" s="445"/>
      <c r="H3806" s="446"/>
      <c r="I3806" s="445"/>
      <c r="J3806" s="446"/>
      <c r="K3806" s="447"/>
      <c r="M3806" s="596"/>
    </row>
    <row r="3807" spans="2:13">
      <c r="B3807" s="127"/>
      <c r="C3807" s="127"/>
      <c r="F3807" s="398"/>
      <c r="G3807" s="398"/>
      <c r="H3807" s="398"/>
      <c r="I3807" s="398"/>
      <c r="J3807" s="398"/>
      <c r="K3807" s="398"/>
    </row>
    <row r="3808" spans="2:13">
      <c r="B3808" s="127"/>
      <c r="C3808" s="127"/>
      <c r="D3808" s="427"/>
      <c r="E3808" s="427"/>
      <c r="F3808" s="445"/>
      <c r="G3808" s="445"/>
      <c r="H3808" s="446"/>
      <c r="I3808" s="445"/>
      <c r="J3808" s="446"/>
      <c r="K3808" s="447"/>
      <c r="M3808" s="596"/>
    </row>
    <row r="3809" spans="2:13">
      <c r="B3809" s="127"/>
      <c r="C3809" s="127"/>
    </row>
    <row r="3810" spans="2:13">
      <c r="B3810" s="127"/>
      <c r="C3810" s="127"/>
      <c r="E3810" s="427"/>
      <c r="F3810" s="427"/>
      <c r="G3810" s="427"/>
      <c r="H3810" s="427"/>
      <c r="I3810" s="427"/>
      <c r="J3810" s="427"/>
      <c r="K3810" s="427"/>
      <c r="M3810" s="427"/>
    </row>
    <row r="3811" spans="2:13">
      <c r="B3811" s="127"/>
      <c r="C3811" s="127"/>
      <c r="E3811" s="427"/>
      <c r="F3811" s="427"/>
      <c r="G3811" s="427"/>
      <c r="H3811" s="427"/>
      <c r="I3811" s="427"/>
      <c r="J3811" s="427"/>
      <c r="K3811" s="427"/>
      <c r="M3811" s="427"/>
    </row>
    <row r="3812" spans="2:13">
      <c r="B3812" s="127"/>
      <c r="C3812" s="127"/>
      <c r="D3812" s="429"/>
      <c r="E3812" s="430"/>
      <c r="F3812" s="432"/>
      <c r="G3812" s="432"/>
      <c r="H3812" s="443"/>
      <c r="I3812" s="432"/>
      <c r="J3812" s="443"/>
      <c r="K3812" s="444"/>
      <c r="M3812" s="431"/>
    </row>
    <row r="3813" spans="2:13">
      <c r="B3813" s="127"/>
      <c r="C3813" s="127"/>
      <c r="D3813" s="427"/>
      <c r="E3813" s="427"/>
      <c r="F3813" s="445"/>
      <c r="G3813" s="445"/>
      <c r="H3813" s="446"/>
      <c r="I3813" s="445"/>
      <c r="J3813" s="446"/>
      <c r="K3813" s="447"/>
      <c r="M3813" s="596"/>
    </row>
    <row r="3814" spans="2:13">
      <c r="B3814" s="127"/>
      <c r="C3814" s="127"/>
      <c r="F3814" s="398"/>
      <c r="G3814" s="398"/>
      <c r="H3814" s="398"/>
      <c r="I3814" s="398"/>
      <c r="J3814" s="398"/>
      <c r="K3814" s="398"/>
    </row>
    <row r="3815" spans="2:13">
      <c r="B3815" s="127"/>
      <c r="C3815" s="127"/>
      <c r="D3815" s="427"/>
      <c r="E3815" s="427"/>
      <c r="F3815" s="445"/>
      <c r="G3815" s="445"/>
      <c r="H3815" s="446"/>
      <c r="I3815" s="445"/>
      <c r="J3815" s="446"/>
      <c r="K3815" s="447"/>
      <c r="M3815" s="596"/>
    </row>
    <row r="3816" spans="2:13">
      <c r="B3816" s="127"/>
      <c r="C3816" s="127"/>
      <c r="F3816" s="398"/>
      <c r="G3816" s="398"/>
      <c r="H3816" s="398"/>
      <c r="I3816" s="398"/>
      <c r="J3816" s="398"/>
      <c r="K3816" s="398"/>
    </row>
    <row r="3817" spans="2:13">
      <c r="B3817" s="127"/>
      <c r="C3817" s="127"/>
      <c r="D3817" s="427"/>
      <c r="E3817" s="427"/>
      <c r="F3817" s="445"/>
      <c r="G3817" s="445"/>
      <c r="H3817" s="446"/>
      <c r="I3817" s="445"/>
      <c r="J3817" s="446"/>
      <c r="K3817" s="447"/>
      <c r="M3817" s="596"/>
    </row>
    <row r="3818" spans="2:13">
      <c r="B3818" s="127"/>
      <c r="C3818" s="127"/>
    </row>
    <row r="3819" spans="2:13">
      <c r="B3819" s="127"/>
      <c r="C3819" s="127"/>
      <c r="E3819" s="427"/>
      <c r="F3819" s="427"/>
      <c r="G3819" s="427"/>
      <c r="H3819" s="427"/>
      <c r="I3819" s="427"/>
      <c r="J3819" s="427"/>
      <c r="K3819" s="427"/>
      <c r="M3819" s="427"/>
    </row>
    <row r="3820" spans="2:13">
      <c r="B3820" s="127"/>
      <c r="C3820" s="127"/>
      <c r="E3820" s="427"/>
      <c r="F3820" s="427"/>
      <c r="G3820" s="427"/>
      <c r="H3820" s="427"/>
      <c r="I3820" s="427"/>
      <c r="J3820" s="427"/>
      <c r="K3820" s="427"/>
      <c r="M3820" s="427"/>
    </row>
    <row r="3821" spans="2:13">
      <c r="B3821" s="127"/>
      <c r="C3821" s="127"/>
      <c r="E3821" s="427"/>
      <c r="F3821" s="427"/>
      <c r="G3821" s="427"/>
      <c r="H3821" s="427"/>
      <c r="I3821" s="427"/>
      <c r="J3821" s="427"/>
      <c r="K3821" s="427"/>
      <c r="M3821" s="427"/>
    </row>
    <row r="3822" spans="2:13">
      <c r="B3822" s="127"/>
      <c r="C3822" s="127"/>
      <c r="D3822" s="429"/>
      <c r="E3822" s="430"/>
      <c r="F3822" s="431"/>
      <c r="G3822" s="431"/>
      <c r="H3822" s="436"/>
      <c r="I3822" s="431"/>
      <c r="J3822" s="436"/>
      <c r="K3822" s="437"/>
      <c r="M3822" s="431"/>
    </row>
    <row r="3823" spans="2:13">
      <c r="B3823" s="127"/>
      <c r="C3823" s="127"/>
      <c r="D3823" s="429"/>
      <c r="E3823" s="430"/>
      <c r="F3823" s="431"/>
      <c r="G3823" s="431"/>
      <c r="H3823" s="436"/>
      <c r="I3823" s="431"/>
      <c r="J3823" s="436"/>
      <c r="K3823" s="437"/>
      <c r="M3823" s="431"/>
    </row>
    <row r="3824" spans="2:13">
      <c r="B3824" s="127"/>
      <c r="C3824" s="127"/>
      <c r="D3824" s="429"/>
      <c r="E3824" s="430"/>
      <c r="F3824" s="431"/>
      <c r="G3824" s="431"/>
      <c r="H3824" s="436"/>
      <c r="I3824" s="431"/>
      <c r="J3824" s="436"/>
      <c r="K3824" s="437"/>
      <c r="M3824" s="431"/>
    </row>
    <row r="3825" spans="2:13">
      <c r="B3825" s="127"/>
      <c r="C3825" s="127"/>
      <c r="D3825" s="429"/>
      <c r="E3825" s="430"/>
      <c r="F3825" s="431"/>
      <c r="G3825" s="431"/>
      <c r="H3825" s="436"/>
      <c r="I3825" s="431"/>
      <c r="J3825" s="436"/>
      <c r="K3825" s="437"/>
      <c r="M3825" s="431"/>
    </row>
    <row r="3826" spans="2:13">
      <c r="B3826" s="127"/>
      <c r="C3826" s="127"/>
      <c r="D3826" s="429"/>
      <c r="E3826" s="430"/>
      <c r="F3826" s="431"/>
      <c r="G3826" s="431"/>
      <c r="H3826" s="436"/>
      <c r="I3826" s="431"/>
      <c r="J3826" s="436"/>
      <c r="K3826" s="437"/>
      <c r="M3826" s="431"/>
    </row>
    <row r="3827" spans="2:13">
      <c r="B3827" s="127"/>
      <c r="C3827" s="127"/>
      <c r="D3827" s="429"/>
      <c r="E3827" s="430"/>
      <c r="F3827" s="431"/>
      <c r="G3827" s="431"/>
      <c r="H3827" s="436"/>
      <c r="I3827" s="431"/>
      <c r="J3827" s="436"/>
      <c r="K3827" s="437"/>
      <c r="M3827" s="431"/>
    </row>
    <row r="3828" spans="2:13">
      <c r="B3828" s="127"/>
      <c r="C3828" s="127"/>
      <c r="D3828" s="429"/>
      <c r="E3828" s="430"/>
      <c r="F3828" s="431"/>
      <c r="G3828" s="431"/>
      <c r="H3828" s="436"/>
      <c r="I3828" s="431"/>
      <c r="J3828" s="436"/>
      <c r="K3828" s="437"/>
      <c r="M3828" s="431"/>
    </row>
    <row r="3829" spans="2:13">
      <c r="B3829" s="127"/>
      <c r="C3829" s="127"/>
      <c r="D3829" s="429"/>
      <c r="E3829" s="430"/>
      <c r="F3829" s="431"/>
      <c r="G3829" s="431"/>
      <c r="H3829" s="436"/>
      <c r="I3829" s="431"/>
      <c r="J3829" s="436"/>
      <c r="K3829" s="437"/>
      <c r="M3829" s="431"/>
    </row>
    <row r="3830" spans="2:13">
      <c r="B3830" s="127"/>
      <c r="C3830" s="127"/>
    </row>
    <row r="3831" spans="2:13">
      <c r="B3831" s="127"/>
      <c r="C3831" s="127"/>
      <c r="D3831" s="438"/>
      <c r="E3831" s="438"/>
      <c r="F3831" s="438"/>
      <c r="G3831" s="438"/>
      <c r="H3831" s="438"/>
      <c r="I3831" s="438"/>
      <c r="J3831" s="438"/>
      <c r="K3831" s="438"/>
      <c r="M3831" s="597"/>
    </row>
    <row r="3832" spans="2:13" ht="16.2" thickBot="1">
      <c r="B3832" s="127"/>
      <c r="C3832" s="127"/>
      <c r="D3832" s="439"/>
      <c r="E3832" s="439"/>
      <c r="F3832" s="440"/>
      <c r="G3832" s="440"/>
      <c r="H3832" s="440"/>
      <c r="I3832" s="440"/>
      <c r="J3832" s="439"/>
      <c r="K3832" s="439"/>
    </row>
    <row r="3833" spans="2:13">
      <c r="B3833" s="127"/>
      <c r="C3833" s="127"/>
      <c r="D3833" s="441"/>
      <c r="E3833" s="441"/>
      <c r="F3833" s="441"/>
      <c r="G3833" s="442"/>
      <c r="H3833" s="441"/>
      <c r="I3833" s="441"/>
      <c r="J3833" s="441"/>
      <c r="K3833" s="441"/>
      <c r="M3833" s="455"/>
    </row>
    <row r="3834" spans="2:13">
      <c r="B3834" s="127"/>
      <c r="C3834" s="127"/>
    </row>
    <row r="3835" spans="2:13">
      <c r="B3835" s="127"/>
      <c r="C3835" s="127"/>
      <c r="J3835" s="428"/>
    </row>
    <row r="3836" spans="2:13">
      <c r="B3836" s="127"/>
      <c r="C3836" s="127"/>
      <c r="F3836" s="428"/>
      <c r="G3836" s="428"/>
      <c r="H3836" s="435"/>
      <c r="I3836" s="428"/>
      <c r="J3836" s="428"/>
      <c r="K3836" s="435"/>
      <c r="M3836" s="428"/>
    </row>
    <row r="3837" spans="2:13">
      <c r="B3837" s="127"/>
      <c r="C3837" s="127"/>
    </row>
    <row r="3838" spans="2:13">
      <c r="B3838" s="127"/>
      <c r="C3838" s="127"/>
      <c r="D3838" s="429"/>
      <c r="E3838" s="430"/>
      <c r="F3838" s="432"/>
      <c r="G3838" s="432"/>
      <c r="H3838" s="443"/>
      <c r="I3838" s="432"/>
      <c r="J3838" s="443"/>
      <c r="K3838" s="444"/>
      <c r="M3838" s="431"/>
    </row>
    <row r="3839" spans="2:13">
      <c r="B3839" s="127"/>
      <c r="C3839" s="127"/>
      <c r="D3839" s="427"/>
      <c r="E3839" s="427"/>
      <c r="F3839" s="445"/>
      <c r="G3839" s="445"/>
      <c r="H3839" s="446"/>
      <c r="I3839" s="445"/>
      <c r="J3839" s="446"/>
      <c r="K3839" s="447"/>
      <c r="M3839" s="596"/>
    </row>
    <row r="3840" spans="2:13">
      <c r="B3840" s="127"/>
      <c r="C3840" s="127"/>
    </row>
    <row r="3841" spans="2:13">
      <c r="B3841" s="127"/>
      <c r="C3841" s="127"/>
      <c r="E3841" s="427"/>
      <c r="F3841" s="427"/>
      <c r="G3841" s="427"/>
      <c r="H3841" s="427"/>
      <c r="I3841" s="427"/>
      <c r="J3841" s="427"/>
      <c r="K3841" s="427"/>
      <c r="M3841" s="427"/>
    </row>
    <row r="3842" spans="2:13">
      <c r="B3842" s="127"/>
      <c r="C3842" s="127"/>
      <c r="D3842" s="429"/>
      <c r="E3842" s="430"/>
      <c r="F3842" s="431"/>
      <c r="G3842" s="431"/>
      <c r="H3842" s="436"/>
      <c r="I3842" s="431"/>
      <c r="J3842" s="436"/>
      <c r="K3842" s="437"/>
      <c r="M3842" s="431"/>
    </row>
    <row r="3843" spans="2:13">
      <c r="B3843" s="127"/>
      <c r="C3843" s="127"/>
      <c r="D3843" s="429"/>
      <c r="E3843" s="430"/>
      <c r="F3843" s="431"/>
      <c r="G3843" s="431"/>
      <c r="H3843" s="436"/>
      <c r="I3843" s="431"/>
      <c r="J3843" s="436"/>
      <c r="K3843" s="437"/>
      <c r="M3843" s="431"/>
    </row>
    <row r="3844" spans="2:13">
      <c r="B3844" s="127"/>
      <c r="C3844" s="127"/>
      <c r="D3844" s="429"/>
      <c r="E3844" s="430"/>
      <c r="F3844" s="431"/>
      <c r="G3844" s="431"/>
      <c r="H3844" s="436"/>
      <c r="I3844" s="431"/>
      <c r="J3844" s="436"/>
      <c r="K3844" s="437"/>
      <c r="M3844" s="431"/>
    </row>
    <row r="3845" spans="2:13">
      <c r="B3845" s="127"/>
      <c r="C3845" s="127"/>
      <c r="D3845" s="429"/>
      <c r="E3845" s="430"/>
      <c r="F3845" s="431"/>
      <c r="G3845" s="431"/>
      <c r="H3845" s="436"/>
      <c r="I3845" s="431"/>
      <c r="J3845" s="436"/>
      <c r="K3845" s="437"/>
      <c r="M3845" s="431"/>
    </row>
    <row r="3846" spans="2:13">
      <c r="B3846" s="127"/>
      <c r="C3846" s="127"/>
      <c r="D3846" s="429"/>
      <c r="E3846" s="430"/>
      <c r="F3846" s="431"/>
      <c r="G3846" s="431"/>
      <c r="H3846" s="436"/>
      <c r="I3846" s="431"/>
      <c r="J3846" s="436"/>
      <c r="K3846" s="437"/>
      <c r="M3846" s="431"/>
    </row>
    <row r="3847" spans="2:13">
      <c r="B3847" s="127"/>
      <c r="C3847" s="127"/>
      <c r="D3847" s="429"/>
      <c r="E3847" s="430"/>
      <c r="F3847" s="431"/>
      <c r="G3847" s="431"/>
      <c r="H3847" s="436"/>
      <c r="I3847" s="431"/>
      <c r="J3847" s="436"/>
      <c r="K3847" s="437"/>
      <c r="M3847" s="431"/>
    </row>
    <row r="3848" spans="2:13">
      <c r="B3848" s="127"/>
      <c r="C3848" s="127"/>
      <c r="D3848" s="429"/>
      <c r="E3848" s="430"/>
      <c r="F3848" s="431"/>
      <c r="G3848" s="431"/>
      <c r="H3848" s="436"/>
      <c r="I3848" s="431"/>
      <c r="J3848" s="436"/>
      <c r="K3848" s="437"/>
      <c r="M3848" s="431"/>
    </row>
    <row r="3849" spans="2:13">
      <c r="B3849" s="127"/>
      <c r="C3849" s="127"/>
      <c r="D3849" s="429"/>
      <c r="E3849" s="430"/>
      <c r="F3849" s="432"/>
      <c r="G3849" s="432"/>
      <c r="H3849" s="443"/>
      <c r="I3849" s="432"/>
      <c r="J3849" s="443"/>
      <c r="K3849" s="444"/>
      <c r="M3849" s="431"/>
    </row>
    <row r="3850" spans="2:13">
      <c r="B3850" s="127"/>
      <c r="C3850" s="127"/>
      <c r="D3850" s="427"/>
      <c r="E3850" s="427"/>
      <c r="F3850" s="445"/>
      <c r="G3850" s="445"/>
      <c r="H3850" s="446"/>
      <c r="I3850" s="445"/>
      <c r="J3850" s="446"/>
      <c r="K3850" s="447"/>
      <c r="M3850" s="596"/>
    </row>
    <row r="3851" spans="2:13">
      <c r="B3851" s="127"/>
      <c r="C3851" s="127"/>
    </row>
    <row r="3852" spans="2:13">
      <c r="B3852" s="127"/>
      <c r="C3852" s="127"/>
      <c r="E3852" s="427"/>
      <c r="F3852" s="427"/>
      <c r="G3852" s="427"/>
      <c r="H3852" s="427"/>
      <c r="I3852" s="427"/>
      <c r="J3852" s="427"/>
      <c r="K3852" s="427"/>
      <c r="M3852" s="427"/>
    </row>
    <row r="3853" spans="2:13">
      <c r="B3853" s="127"/>
      <c r="C3853" s="127"/>
      <c r="D3853" s="429"/>
      <c r="E3853" s="430"/>
      <c r="F3853" s="431"/>
      <c r="G3853" s="431"/>
      <c r="H3853" s="436"/>
      <c r="I3853" s="431"/>
      <c r="J3853" s="436"/>
      <c r="K3853" s="437"/>
      <c r="M3853" s="431"/>
    </row>
    <row r="3854" spans="2:13">
      <c r="B3854" s="127"/>
      <c r="C3854" s="127"/>
      <c r="D3854" s="429"/>
      <c r="E3854" s="430"/>
      <c r="F3854" s="431"/>
      <c r="G3854" s="431"/>
      <c r="H3854" s="436"/>
      <c r="I3854" s="431"/>
      <c r="J3854" s="436"/>
      <c r="K3854" s="437"/>
      <c r="M3854" s="431"/>
    </row>
    <row r="3855" spans="2:13">
      <c r="B3855" s="127"/>
      <c r="C3855" s="127"/>
      <c r="D3855" s="429"/>
      <c r="E3855" s="430"/>
      <c r="F3855" s="431"/>
      <c r="G3855" s="431"/>
      <c r="H3855" s="436"/>
      <c r="I3855" s="431"/>
      <c r="J3855" s="436"/>
      <c r="K3855" s="437"/>
      <c r="M3855" s="431"/>
    </row>
    <row r="3856" spans="2:13">
      <c r="B3856" s="127"/>
      <c r="C3856" s="127"/>
      <c r="D3856" s="429"/>
      <c r="E3856" s="430"/>
      <c r="F3856" s="431"/>
      <c r="G3856" s="431"/>
      <c r="H3856" s="436"/>
      <c r="I3856" s="431"/>
      <c r="J3856" s="436"/>
      <c r="K3856" s="437"/>
      <c r="M3856" s="431"/>
    </row>
    <row r="3857" spans="2:13">
      <c r="B3857" s="127"/>
      <c r="C3857" s="127"/>
      <c r="D3857" s="429"/>
      <c r="E3857" s="430"/>
      <c r="F3857" s="431"/>
      <c r="G3857" s="431"/>
      <c r="H3857" s="436"/>
      <c r="I3857" s="431"/>
      <c r="J3857" s="436"/>
      <c r="K3857" s="437"/>
      <c r="M3857" s="431"/>
    </row>
    <row r="3858" spans="2:13">
      <c r="B3858" s="127"/>
      <c r="C3858" s="127"/>
      <c r="D3858" s="429"/>
      <c r="E3858" s="430"/>
      <c r="F3858" s="432"/>
      <c r="G3858" s="432"/>
      <c r="H3858" s="443"/>
      <c r="I3858" s="432"/>
      <c r="J3858" s="443"/>
      <c r="K3858" s="444"/>
      <c r="M3858" s="431"/>
    </row>
    <row r="3859" spans="2:13">
      <c r="B3859" s="127"/>
      <c r="C3859" s="127"/>
      <c r="D3859" s="427"/>
      <c r="E3859" s="427"/>
      <c r="F3859" s="445"/>
      <c r="G3859" s="445"/>
      <c r="H3859" s="446"/>
      <c r="I3859" s="445"/>
      <c r="J3859" s="446"/>
      <c r="K3859" s="447"/>
      <c r="M3859" s="596"/>
    </row>
    <row r="3860" spans="2:13">
      <c r="B3860" s="127"/>
      <c r="C3860" s="127"/>
    </row>
    <row r="3861" spans="2:13">
      <c r="B3861" s="127"/>
      <c r="C3861" s="127"/>
      <c r="E3861" s="427"/>
      <c r="F3861" s="427"/>
      <c r="G3861" s="427"/>
      <c r="H3861" s="427"/>
      <c r="I3861" s="427"/>
      <c r="J3861" s="427"/>
      <c r="K3861" s="427"/>
      <c r="M3861" s="427"/>
    </row>
    <row r="3862" spans="2:13">
      <c r="B3862" s="127"/>
      <c r="C3862" s="127"/>
      <c r="D3862" s="429"/>
      <c r="E3862" s="430"/>
      <c r="F3862" s="431"/>
      <c r="G3862" s="431"/>
      <c r="H3862" s="436"/>
      <c r="I3862" s="431"/>
      <c r="J3862" s="436"/>
      <c r="K3862" s="437"/>
      <c r="M3862" s="431"/>
    </row>
    <row r="3863" spans="2:13">
      <c r="B3863" s="127"/>
      <c r="C3863" s="127"/>
      <c r="D3863" s="429"/>
      <c r="E3863" s="430"/>
      <c r="F3863" s="431"/>
      <c r="G3863" s="431"/>
      <c r="H3863" s="436"/>
      <c r="I3863" s="431"/>
      <c r="J3863" s="436"/>
      <c r="K3863" s="437"/>
      <c r="M3863" s="431"/>
    </row>
    <row r="3864" spans="2:13">
      <c r="B3864" s="127"/>
      <c r="C3864" s="127"/>
      <c r="D3864" s="429"/>
      <c r="E3864" s="430"/>
      <c r="F3864" s="431"/>
      <c r="G3864" s="431"/>
      <c r="H3864" s="436"/>
      <c r="I3864" s="431"/>
      <c r="J3864" s="436"/>
      <c r="K3864" s="437"/>
      <c r="M3864" s="431"/>
    </row>
    <row r="3865" spans="2:13">
      <c r="B3865" s="127"/>
      <c r="C3865" s="127"/>
      <c r="D3865" s="429"/>
      <c r="E3865" s="430"/>
      <c r="F3865" s="431"/>
      <c r="G3865" s="431"/>
      <c r="H3865" s="436"/>
      <c r="I3865" s="431"/>
      <c r="J3865" s="436"/>
      <c r="K3865" s="437"/>
      <c r="M3865" s="431"/>
    </row>
    <row r="3866" spans="2:13">
      <c r="B3866" s="127"/>
      <c r="C3866" s="127"/>
      <c r="D3866" s="429"/>
      <c r="E3866" s="430"/>
      <c r="F3866" s="431"/>
      <c r="G3866" s="431"/>
      <c r="H3866" s="436"/>
      <c r="I3866" s="431"/>
      <c r="J3866" s="436"/>
      <c r="K3866" s="437"/>
      <c r="M3866" s="431"/>
    </row>
    <row r="3867" spans="2:13">
      <c r="B3867" s="127"/>
      <c r="C3867" s="127"/>
      <c r="D3867" s="429"/>
      <c r="E3867" s="430"/>
      <c r="F3867" s="431"/>
      <c r="G3867" s="431"/>
      <c r="H3867" s="436"/>
      <c r="I3867" s="431"/>
      <c r="J3867" s="436"/>
      <c r="K3867" s="437"/>
      <c r="M3867" s="431"/>
    </row>
    <row r="3868" spans="2:13">
      <c r="B3868" s="127"/>
      <c r="C3868" s="127"/>
      <c r="D3868" s="429"/>
      <c r="E3868" s="430"/>
      <c r="F3868" s="432"/>
      <c r="G3868" s="432"/>
      <c r="H3868" s="443"/>
      <c r="I3868" s="432"/>
      <c r="J3868" s="443"/>
      <c r="K3868" s="444"/>
      <c r="M3868" s="431"/>
    </row>
    <row r="3869" spans="2:13">
      <c r="B3869" s="127"/>
      <c r="C3869" s="127"/>
      <c r="D3869" s="427"/>
      <c r="E3869" s="427"/>
      <c r="F3869" s="445"/>
      <c r="G3869" s="445"/>
      <c r="H3869" s="446"/>
      <c r="I3869" s="445"/>
      <c r="J3869" s="446"/>
      <c r="K3869" s="447"/>
      <c r="M3869" s="596"/>
    </row>
    <row r="3870" spans="2:13">
      <c r="B3870" s="127"/>
      <c r="C3870" s="127"/>
    </row>
    <row r="3871" spans="2:13">
      <c r="B3871" s="127"/>
      <c r="C3871" s="127"/>
      <c r="E3871" s="427"/>
      <c r="F3871" s="427"/>
      <c r="G3871" s="427"/>
      <c r="H3871" s="427"/>
      <c r="I3871" s="427"/>
      <c r="J3871" s="427"/>
      <c r="K3871" s="427"/>
      <c r="M3871" s="427"/>
    </row>
    <row r="3872" spans="2:13">
      <c r="B3872" s="127"/>
      <c r="C3872" s="127"/>
      <c r="D3872" s="429"/>
      <c r="E3872" s="430"/>
      <c r="F3872" s="431"/>
      <c r="G3872" s="431"/>
      <c r="H3872" s="436"/>
      <c r="I3872" s="431"/>
      <c r="J3872" s="436"/>
      <c r="K3872" s="437"/>
      <c r="M3872" s="431"/>
    </row>
    <row r="3873" spans="2:13">
      <c r="B3873" s="127"/>
      <c r="C3873" s="127"/>
      <c r="D3873" s="429"/>
      <c r="E3873" s="430"/>
      <c r="F3873" s="432"/>
      <c r="G3873" s="432"/>
      <c r="H3873" s="443"/>
      <c r="I3873" s="432"/>
      <c r="J3873" s="443"/>
      <c r="K3873" s="444"/>
      <c r="M3873" s="431"/>
    </row>
    <row r="3874" spans="2:13">
      <c r="B3874" s="127"/>
      <c r="C3874" s="127"/>
      <c r="D3874" s="427"/>
      <c r="E3874" s="427"/>
      <c r="F3874" s="445"/>
      <c r="G3874" s="445"/>
      <c r="H3874" s="446"/>
      <c r="I3874" s="445"/>
      <c r="J3874" s="446"/>
      <c r="K3874" s="447"/>
      <c r="M3874" s="596"/>
    </row>
    <row r="3875" spans="2:13">
      <c r="B3875" s="127"/>
      <c r="C3875" s="127"/>
    </row>
    <row r="3876" spans="2:13">
      <c r="B3876" s="127"/>
      <c r="C3876" s="127"/>
      <c r="E3876" s="427"/>
      <c r="F3876" s="427"/>
      <c r="G3876" s="427"/>
      <c r="H3876" s="427"/>
      <c r="I3876" s="427"/>
      <c r="J3876" s="427"/>
      <c r="K3876" s="427"/>
      <c r="M3876" s="427"/>
    </row>
    <row r="3877" spans="2:13">
      <c r="B3877" s="127"/>
      <c r="C3877" s="127"/>
      <c r="D3877" s="429"/>
      <c r="E3877" s="430"/>
      <c r="F3877" s="431"/>
      <c r="G3877" s="431"/>
      <c r="H3877" s="436"/>
      <c r="I3877" s="431"/>
      <c r="J3877" s="436"/>
      <c r="K3877" s="437"/>
      <c r="M3877" s="431"/>
    </row>
    <row r="3878" spans="2:13">
      <c r="B3878" s="127"/>
      <c r="C3878" s="127"/>
      <c r="D3878" s="429"/>
      <c r="E3878" s="430"/>
      <c r="F3878" s="432"/>
      <c r="G3878" s="432"/>
      <c r="H3878" s="443"/>
      <c r="I3878" s="432"/>
      <c r="J3878" s="443"/>
      <c r="K3878" s="444"/>
      <c r="M3878" s="431"/>
    </row>
    <row r="3879" spans="2:13">
      <c r="B3879" s="127"/>
      <c r="C3879" s="127"/>
      <c r="D3879" s="427"/>
      <c r="E3879" s="427"/>
      <c r="F3879" s="445"/>
      <c r="G3879" s="445"/>
      <c r="H3879" s="446"/>
      <c r="I3879" s="445"/>
      <c r="J3879" s="446"/>
      <c r="K3879" s="447"/>
      <c r="M3879" s="596"/>
    </row>
    <row r="3880" spans="2:13">
      <c r="B3880" s="127"/>
      <c r="C3880" s="127"/>
      <c r="F3880" s="398"/>
      <c r="G3880" s="398"/>
      <c r="H3880" s="398"/>
      <c r="I3880" s="398"/>
      <c r="J3880" s="398"/>
      <c r="K3880" s="398"/>
    </row>
    <row r="3881" spans="2:13">
      <c r="B3881" s="127"/>
      <c r="C3881" s="127"/>
      <c r="D3881" s="427"/>
      <c r="E3881" s="427"/>
      <c r="F3881" s="445"/>
      <c r="G3881" s="445"/>
      <c r="H3881" s="446"/>
      <c r="I3881" s="445"/>
      <c r="J3881" s="446"/>
      <c r="K3881" s="447"/>
      <c r="M3881" s="596"/>
    </row>
    <row r="3882" spans="2:13">
      <c r="B3882" s="127"/>
      <c r="C3882" s="127"/>
      <c r="F3882" s="398"/>
      <c r="G3882" s="398"/>
      <c r="H3882" s="398"/>
      <c r="I3882" s="398"/>
      <c r="J3882" s="398"/>
      <c r="K3882" s="398"/>
    </row>
    <row r="3883" spans="2:13">
      <c r="B3883" s="127"/>
      <c r="C3883" s="127"/>
      <c r="D3883" s="427"/>
      <c r="E3883" s="427"/>
      <c r="F3883" s="445"/>
      <c r="G3883" s="445"/>
      <c r="H3883" s="446"/>
      <c r="I3883" s="445"/>
      <c r="J3883" s="446"/>
      <c r="K3883" s="447"/>
      <c r="M3883" s="596"/>
    </row>
    <row r="3884" spans="2:13">
      <c r="B3884" s="127"/>
      <c r="C3884" s="127"/>
    </row>
    <row r="3885" spans="2:13">
      <c r="B3885" s="127"/>
      <c r="C3885" s="127"/>
      <c r="E3885" s="427"/>
      <c r="F3885" s="427"/>
      <c r="G3885" s="427"/>
      <c r="H3885" s="427"/>
      <c r="I3885" s="427"/>
      <c r="J3885" s="427"/>
      <c r="K3885" s="427"/>
      <c r="M3885" s="427"/>
    </row>
    <row r="3886" spans="2:13">
      <c r="B3886" s="127"/>
      <c r="C3886" s="127"/>
      <c r="E3886" s="427"/>
      <c r="F3886" s="427"/>
      <c r="G3886" s="427"/>
      <c r="H3886" s="427"/>
      <c r="I3886" s="427"/>
      <c r="J3886" s="427"/>
      <c r="K3886" s="427"/>
      <c r="M3886" s="427"/>
    </row>
    <row r="3887" spans="2:13">
      <c r="B3887" s="127"/>
      <c r="C3887" s="127"/>
      <c r="E3887" s="427"/>
      <c r="F3887" s="427"/>
      <c r="G3887" s="427"/>
      <c r="H3887" s="427"/>
      <c r="I3887" s="427"/>
      <c r="J3887" s="427"/>
      <c r="K3887" s="427"/>
      <c r="M3887" s="427"/>
    </row>
    <row r="3888" spans="2:13">
      <c r="B3888" s="127"/>
      <c r="C3888" s="127"/>
      <c r="D3888" s="429"/>
      <c r="E3888" s="430"/>
      <c r="F3888" s="432"/>
      <c r="G3888" s="432"/>
      <c r="H3888" s="443"/>
      <c r="I3888" s="432"/>
      <c r="J3888" s="443"/>
      <c r="K3888" s="444"/>
      <c r="M3888" s="431"/>
    </row>
    <row r="3889" spans="2:13">
      <c r="B3889" s="127"/>
      <c r="C3889" s="127"/>
      <c r="D3889" s="427"/>
      <c r="E3889" s="427"/>
      <c r="F3889" s="445"/>
      <c r="G3889" s="445"/>
      <c r="H3889" s="446"/>
      <c r="I3889" s="445"/>
      <c r="J3889" s="446"/>
      <c r="K3889" s="447"/>
      <c r="M3889" s="596"/>
    </row>
    <row r="3890" spans="2:13">
      <c r="B3890" s="127"/>
      <c r="C3890" s="127"/>
    </row>
    <row r="3891" spans="2:13">
      <c r="B3891" s="127"/>
      <c r="C3891" s="127"/>
      <c r="E3891" s="427"/>
      <c r="F3891" s="427"/>
      <c r="G3891" s="427"/>
      <c r="H3891" s="427"/>
      <c r="I3891" s="427"/>
      <c r="J3891" s="427"/>
      <c r="K3891" s="427"/>
      <c r="M3891" s="427"/>
    </row>
    <row r="3892" spans="2:13">
      <c r="B3892" s="127"/>
      <c r="C3892" s="127"/>
      <c r="D3892" s="429"/>
      <c r="E3892" s="430"/>
      <c r="F3892" s="431"/>
      <c r="G3892" s="431"/>
      <c r="H3892" s="436"/>
      <c r="I3892" s="431"/>
      <c r="J3892" s="436"/>
      <c r="K3892" s="437"/>
      <c r="M3892" s="431"/>
    </row>
    <row r="3893" spans="2:13">
      <c r="B3893" s="127"/>
      <c r="C3893" s="127"/>
      <c r="D3893" s="429"/>
      <c r="E3893" s="430"/>
      <c r="F3893" s="431"/>
      <c r="G3893" s="431"/>
      <c r="H3893" s="436"/>
      <c r="I3893" s="431"/>
      <c r="J3893" s="436"/>
      <c r="K3893" s="437"/>
      <c r="M3893" s="431"/>
    </row>
    <row r="3894" spans="2:13">
      <c r="B3894" s="127"/>
      <c r="C3894" s="127"/>
      <c r="D3894" s="429"/>
      <c r="E3894" s="430"/>
      <c r="F3894" s="432"/>
      <c r="G3894" s="432"/>
      <c r="H3894" s="443"/>
      <c r="I3894" s="432"/>
      <c r="J3894" s="443"/>
      <c r="K3894" s="444"/>
      <c r="M3894" s="431"/>
    </row>
    <row r="3895" spans="2:13">
      <c r="B3895" s="127"/>
      <c r="C3895" s="127"/>
      <c r="D3895" s="427"/>
      <c r="E3895" s="427"/>
      <c r="F3895" s="445"/>
      <c r="G3895" s="445"/>
      <c r="H3895" s="446"/>
      <c r="I3895" s="445"/>
      <c r="J3895" s="446"/>
      <c r="K3895" s="447"/>
      <c r="M3895" s="596"/>
    </row>
    <row r="3896" spans="2:13">
      <c r="B3896" s="127"/>
      <c r="C3896" s="127"/>
      <c r="F3896" s="398"/>
      <c r="G3896" s="398"/>
      <c r="H3896" s="398"/>
      <c r="I3896" s="398"/>
      <c r="J3896" s="398"/>
      <c r="K3896" s="398"/>
    </row>
    <row r="3897" spans="2:13">
      <c r="B3897" s="127"/>
      <c r="C3897" s="127"/>
      <c r="D3897" s="427"/>
      <c r="E3897" s="427"/>
      <c r="F3897" s="445"/>
      <c r="G3897" s="445"/>
      <c r="H3897" s="446"/>
      <c r="I3897" s="445"/>
      <c r="J3897" s="446"/>
      <c r="K3897" s="447"/>
      <c r="M3897" s="596"/>
    </row>
    <row r="3898" spans="2:13">
      <c r="B3898" s="127"/>
      <c r="C3898" s="127"/>
    </row>
    <row r="3899" spans="2:13">
      <c r="B3899" s="127"/>
      <c r="C3899" s="127"/>
      <c r="E3899" s="427"/>
      <c r="F3899" s="427"/>
      <c r="G3899" s="427"/>
      <c r="H3899" s="427"/>
      <c r="I3899" s="427"/>
      <c r="J3899" s="427"/>
      <c r="K3899" s="427"/>
      <c r="M3899" s="427"/>
    </row>
    <row r="3900" spans="2:13">
      <c r="B3900" s="127"/>
      <c r="C3900" s="127"/>
      <c r="E3900" s="427"/>
      <c r="F3900" s="427"/>
      <c r="G3900" s="427"/>
      <c r="H3900" s="427"/>
      <c r="I3900" s="427"/>
      <c r="J3900" s="427"/>
      <c r="K3900" s="427"/>
      <c r="M3900" s="427"/>
    </row>
    <row r="3901" spans="2:13">
      <c r="B3901" s="127"/>
      <c r="C3901" s="127"/>
      <c r="D3901" s="429"/>
      <c r="E3901" s="430"/>
      <c r="F3901" s="432"/>
      <c r="G3901" s="432"/>
      <c r="H3901" s="443"/>
      <c r="I3901" s="432"/>
      <c r="J3901" s="443"/>
      <c r="K3901" s="444"/>
      <c r="M3901" s="431"/>
    </row>
    <row r="3902" spans="2:13">
      <c r="B3902" s="127"/>
      <c r="C3902" s="127"/>
      <c r="D3902" s="427"/>
      <c r="E3902" s="427"/>
      <c r="F3902" s="445"/>
      <c r="G3902" s="445"/>
      <c r="H3902" s="446"/>
      <c r="I3902" s="445"/>
      <c r="J3902" s="446"/>
      <c r="K3902" s="447"/>
      <c r="M3902" s="596"/>
    </row>
    <row r="3903" spans="2:13">
      <c r="B3903" s="127"/>
      <c r="C3903" s="127"/>
    </row>
    <row r="3904" spans="2:13">
      <c r="B3904" s="127"/>
      <c r="C3904" s="127"/>
    </row>
    <row r="3905" spans="2:13">
      <c r="B3905" s="127"/>
      <c r="C3905" s="127"/>
      <c r="D3905" s="438"/>
      <c r="E3905" s="438"/>
      <c r="F3905" s="438"/>
      <c r="G3905" s="438"/>
      <c r="H3905" s="438"/>
      <c r="I3905" s="438"/>
      <c r="J3905" s="438"/>
      <c r="K3905" s="438"/>
      <c r="M3905" s="597"/>
    </row>
    <row r="3906" spans="2:13" ht="16.2" thickBot="1">
      <c r="B3906" s="127"/>
      <c r="C3906" s="127"/>
      <c r="D3906" s="439"/>
      <c r="E3906" s="439"/>
      <c r="F3906" s="440"/>
      <c r="G3906" s="440"/>
      <c r="H3906" s="440"/>
      <c r="I3906" s="440"/>
      <c r="J3906" s="439"/>
      <c r="K3906" s="439"/>
    </row>
    <row r="3907" spans="2:13">
      <c r="B3907" s="127"/>
      <c r="C3907" s="127"/>
      <c r="D3907" s="441"/>
      <c r="E3907" s="441"/>
      <c r="F3907" s="441"/>
      <c r="G3907" s="442"/>
      <c r="H3907" s="441"/>
      <c r="I3907" s="441"/>
      <c r="J3907" s="441"/>
      <c r="K3907" s="441"/>
      <c r="M3907" s="455"/>
    </row>
    <row r="3908" spans="2:13">
      <c r="B3908" s="127"/>
      <c r="C3908" s="127"/>
    </row>
    <row r="3909" spans="2:13">
      <c r="B3909" s="127"/>
      <c r="C3909" s="127"/>
      <c r="J3909" s="428"/>
    </row>
    <row r="3910" spans="2:13">
      <c r="B3910" s="127"/>
      <c r="C3910" s="127"/>
      <c r="F3910" s="428"/>
      <c r="G3910" s="428"/>
      <c r="H3910" s="435"/>
      <c r="I3910" s="428"/>
      <c r="J3910" s="428"/>
      <c r="K3910" s="435"/>
      <c r="M3910" s="428"/>
    </row>
    <row r="3911" spans="2:13">
      <c r="B3911" s="127"/>
      <c r="C3911" s="127"/>
    </row>
    <row r="3912" spans="2:13">
      <c r="B3912" s="127"/>
      <c r="C3912" s="127"/>
      <c r="E3912" s="427"/>
      <c r="F3912" s="427"/>
      <c r="G3912" s="427"/>
      <c r="H3912" s="427"/>
      <c r="I3912" s="427"/>
      <c r="J3912" s="427"/>
      <c r="K3912" s="427"/>
      <c r="M3912" s="427"/>
    </row>
    <row r="3913" spans="2:13">
      <c r="B3913" s="127"/>
      <c r="C3913" s="127"/>
      <c r="D3913" s="429"/>
      <c r="E3913" s="430"/>
      <c r="F3913" s="431"/>
      <c r="G3913" s="431"/>
      <c r="H3913" s="436"/>
      <c r="I3913" s="431"/>
      <c r="J3913" s="436"/>
      <c r="K3913" s="437"/>
      <c r="M3913" s="431"/>
    </row>
    <row r="3914" spans="2:13">
      <c r="B3914" s="127"/>
      <c r="C3914" s="127"/>
      <c r="D3914" s="429"/>
      <c r="E3914" s="430"/>
      <c r="F3914" s="431"/>
      <c r="G3914" s="431"/>
      <c r="H3914" s="436"/>
      <c r="I3914" s="431"/>
      <c r="J3914" s="436"/>
      <c r="K3914" s="437"/>
      <c r="M3914" s="431"/>
    </row>
    <row r="3915" spans="2:13">
      <c r="B3915" s="127"/>
      <c r="C3915" s="127"/>
      <c r="D3915" s="429"/>
      <c r="E3915" s="430"/>
      <c r="F3915" s="431"/>
      <c r="G3915" s="431"/>
      <c r="H3915" s="436"/>
      <c r="I3915" s="431"/>
      <c r="J3915" s="436"/>
      <c r="K3915" s="437"/>
      <c r="M3915" s="431"/>
    </row>
    <row r="3916" spans="2:13">
      <c r="B3916" s="127"/>
      <c r="C3916" s="127"/>
      <c r="D3916" s="429"/>
      <c r="E3916" s="430"/>
      <c r="F3916" s="431"/>
      <c r="G3916" s="431"/>
      <c r="H3916" s="436"/>
      <c r="I3916" s="431"/>
      <c r="J3916" s="436"/>
      <c r="K3916" s="437"/>
      <c r="M3916" s="431"/>
    </row>
    <row r="3917" spans="2:13">
      <c r="B3917" s="127"/>
      <c r="C3917" s="127"/>
      <c r="D3917" s="429"/>
      <c r="E3917" s="430"/>
      <c r="F3917" s="431"/>
      <c r="G3917" s="431"/>
      <c r="H3917" s="436"/>
      <c r="I3917" s="431"/>
      <c r="J3917" s="436"/>
      <c r="K3917" s="437"/>
      <c r="M3917" s="431"/>
    </row>
    <row r="3918" spans="2:13">
      <c r="B3918" s="127"/>
      <c r="C3918" s="127"/>
      <c r="D3918" s="429"/>
      <c r="E3918" s="430"/>
      <c r="F3918" s="431"/>
      <c r="G3918" s="431"/>
      <c r="H3918" s="436"/>
      <c r="I3918" s="431"/>
      <c r="J3918" s="436"/>
      <c r="K3918" s="437"/>
      <c r="M3918" s="431"/>
    </row>
    <row r="3919" spans="2:13">
      <c r="B3919" s="127"/>
      <c r="C3919" s="127"/>
      <c r="D3919" s="429"/>
      <c r="E3919" s="430"/>
      <c r="F3919" s="432"/>
      <c r="G3919" s="432"/>
      <c r="H3919" s="443"/>
      <c r="I3919" s="432"/>
      <c r="J3919" s="443"/>
      <c r="K3919" s="444"/>
      <c r="M3919" s="431"/>
    </row>
    <row r="3920" spans="2:13">
      <c r="B3920" s="127"/>
      <c r="C3920" s="127"/>
      <c r="D3920" s="427"/>
      <c r="E3920" s="427"/>
      <c r="F3920" s="445"/>
      <c r="G3920" s="445"/>
      <c r="H3920" s="446"/>
      <c r="I3920" s="445"/>
      <c r="J3920" s="446"/>
      <c r="K3920" s="447"/>
      <c r="M3920" s="596"/>
    </row>
    <row r="3921" spans="2:13">
      <c r="B3921" s="127"/>
      <c r="C3921" s="127"/>
    </row>
    <row r="3922" spans="2:13">
      <c r="B3922" s="127"/>
      <c r="C3922" s="127"/>
      <c r="E3922" s="427"/>
      <c r="F3922" s="427"/>
      <c r="G3922" s="427"/>
      <c r="H3922" s="427"/>
      <c r="I3922" s="427"/>
      <c r="J3922" s="427"/>
      <c r="K3922" s="427"/>
      <c r="M3922" s="427"/>
    </row>
    <row r="3923" spans="2:13">
      <c r="B3923" s="127"/>
      <c r="C3923" s="127"/>
      <c r="D3923" s="429"/>
      <c r="E3923" s="430"/>
      <c r="F3923" s="432"/>
      <c r="G3923" s="432"/>
      <c r="H3923" s="443"/>
      <c r="I3923" s="432"/>
      <c r="J3923" s="443"/>
      <c r="K3923" s="444"/>
      <c r="M3923" s="431"/>
    </row>
    <row r="3924" spans="2:13">
      <c r="B3924" s="127"/>
      <c r="C3924" s="127"/>
      <c r="D3924" s="427"/>
      <c r="E3924" s="427"/>
      <c r="F3924" s="445"/>
      <c r="G3924" s="445"/>
      <c r="H3924" s="446"/>
      <c r="I3924" s="445"/>
      <c r="J3924" s="446"/>
      <c r="K3924" s="447"/>
      <c r="M3924" s="596"/>
    </row>
    <row r="3925" spans="2:13">
      <c r="B3925" s="127"/>
      <c r="C3925" s="127"/>
      <c r="F3925" s="398"/>
      <c r="G3925" s="398"/>
      <c r="H3925" s="398"/>
      <c r="I3925" s="398"/>
      <c r="J3925" s="398"/>
      <c r="K3925" s="398"/>
    </row>
    <row r="3926" spans="2:13">
      <c r="B3926" s="127"/>
      <c r="C3926" s="127"/>
      <c r="D3926" s="427"/>
      <c r="E3926" s="427"/>
      <c r="F3926" s="445"/>
      <c r="G3926" s="445"/>
      <c r="H3926" s="446"/>
      <c r="I3926" s="445"/>
      <c r="J3926" s="446"/>
      <c r="K3926" s="447"/>
      <c r="M3926" s="596"/>
    </row>
    <row r="3927" spans="2:13">
      <c r="B3927" s="127"/>
      <c r="C3927" s="127"/>
      <c r="F3927" s="398"/>
      <c r="G3927" s="398"/>
      <c r="H3927" s="398"/>
      <c r="I3927" s="398"/>
      <c r="J3927" s="398"/>
      <c r="K3927" s="398"/>
    </row>
    <row r="3928" spans="2:13">
      <c r="B3928" s="127"/>
      <c r="C3928" s="127"/>
      <c r="D3928" s="427"/>
      <c r="E3928" s="427"/>
      <c r="F3928" s="445"/>
      <c r="G3928" s="445"/>
      <c r="H3928" s="446"/>
      <c r="I3928" s="445"/>
      <c r="J3928" s="446"/>
      <c r="K3928" s="447"/>
      <c r="M3928" s="596"/>
    </row>
    <row r="3929" spans="2:13">
      <c r="B3929" s="127"/>
      <c r="C3929" s="127"/>
      <c r="F3929" s="398"/>
      <c r="G3929" s="398"/>
      <c r="H3929" s="398"/>
      <c r="I3929" s="398"/>
      <c r="J3929" s="398"/>
      <c r="K3929" s="398"/>
    </row>
    <row r="3930" spans="2:13">
      <c r="B3930" s="127"/>
      <c r="C3930" s="127"/>
      <c r="D3930" s="427"/>
      <c r="E3930" s="427"/>
      <c r="F3930" s="445"/>
      <c r="G3930" s="445"/>
      <c r="H3930" s="446"/>
      <c r="I3930" s="445"/>
      <c r="J3930" s="446"/>
      <c r="K3930" s="447"/>
      <c r="M3930" s="596"/>
    </row>
    <row r="3931" spans="2:13">
      <c r="B3931" s="127"/>
      <c r="C3931" s="127"/>
      <c r="F3931" s="398"/>
      <c r="G3931" s="398"/>
      <c r="H3931" s="398"/>
      <c r="I3931" s="398"/>
      <c r="J3931" s="398"/>
      <c r="K3931" s="398"/>
    </row>
    <row r="3932" spans="2:13">
      <c r="B3932" s="127"/>
      <c r="C3932" s="127"/>
      <c r="D3932" s="427"/>
      <c r="E3932" s="427"/>
      <c r="F3932" s="445"/>
      <c r="G3932" s="445"/>
      <c r="H3932" s="446"/>
      <c r="I3932" s="445"/>
      <c r="J3932" s="446"/>
      <c r="K3932" s="447"/>
      <c r="M3932" s="596"/>
    </row>
    <row r="3933" spans="2:13">
      <c r="B3933" s="127"/>
      <c r="C3933" s="127"/>
    </row>
    <row r="3934" spans="2:13">
      <c r="B3934" s="127"/>
      <c r="C3934" s="127"/>
      <c r="D3934" s="427"/>
      <c r="E3934" s="427"/>
      <c r="F3934" s="427"/>
      <c r="G3934" s="427"/>
      <c r="H3934" s="427"/>
      <c r="I3934" s="427"/>
      <c r="J3934" s="427"/>
      <c r="K3934" s="427"/>
      <c r="M3934" s="427"/>
    </row>
    <row r="3935" spans="2:13">
      <c r="B3935" s="127"/>
      <c r="C3935" s="127"/>
      <c r="E3935" s="427"/>
      <c r="F3935" s="427"/>
      <c r="G3935" s="427"/>
      <c r="H3935" s="427"/>
      <c r="I3935" s="427"/>
      <c r="J3935" s="427"/>
      <c r="K3935" s="427"/>
      <c r="M3935" s="427"/>
    </row>
    <row r="3936" spans="2:13">
      <c r="B3936" s="127"/>
      <c r="C3936" s="127"/>
      <c r="E3936" s="427"/>
      <c r="F3936" s="427"/>
      <c r="G3936" s="427"/>
      <c r="H3936" s="427"/>
      <c r="I3936" s="427"/>
      <c r="J3936" s="427"/>
      <c r="K3936" s="427"/>
      <c r="M3936" s="427"/>
    </row>
    <row r="3937" spans="2:13">
      <c r="B3937" s="127"/>
      <c r="C3937" s="127"/>
      <c r="E3937" s="427"/>
      <c r="F3937" s="427"/>
      <c r="G3937" s="427"/>
      <c r="H3937" s="427"/>
      <c r="I3937" s="427"/>
      <c r="J3937" s="427"/>
      <c r="K3937" s="427"/>
      <c r="M3937" s="427"/>
    </row>
    <row r="3938" spans="2:13">
      <c r="B3938" s="127"/>
      <c r="C3938" s="127"/>
      <c r="E3938" s="427"/>
      <c r="F3938" s="427"/>
      <c r="G3938" s="427"/>
      <c r="H3938" s="427"/>
      <c r="I3938" s="427"/>
      <c r="J3938" s="427"/>
      <c r="K3938" s="427"/>
      <c r="M3938" s="427"/>
    </row>
    <row r="3939" spans="2:13">
      <c r="B3939" s="127"/>
      <c r="C3939" s="127"/>
      <c r="D3939" s="429"/>
      <c r="E3939" s="430"/>
      <c r="F3939" s="431"/>
      <c r="G3939" s="431"/>
      <c r="H3939" s="436"/>
      <c r="I3939" s="431"/>
      <c r="J3939" s="436"/>
      <c r="K3939" s="437"/>
      <c r="M3939" s="431"/>
    </row>
    <row r="3940" spans="2:13">
      <c r="B3940" s="127"/>
      <c r="C3940" s="127"/>
      <c r="D3940" s="429"/>
      <c r="E3940" s="430"/>
      <c r="F3940" s="432"/>
      <c r="G3940" s="432"/>
      <c r="H3940" s="443"/>
      <c r="I3940" s="432"/>
      <c r="J3940" s="443"/>
      <c r="K3940" s="444"/>
      <c r="M3940" s="431"/>
    </row>
    <row r="3941" spans="2:13">
      <c r="B3941" s="127"/>
      <c r="C3941" s="127"/>
      <c r="D3941" s="427"/>
      <c r="E3941" s="427"/>
      <c r="F3941" s="445"/>
      <c r="G3941" s="445"/>
      <c r="H3941" s="446"/>
      <c r="I3941" s="445"/>
      <c r="J3941" s="446"/>
      <c r="K3941" s="447"/>
      <c r="M3941" s="596"/>
    </row>
    <row r="3942" spans="2:13">
      <c r="B3942" s="127"/>
      <c r="C3942" s="127"/>
      <c r="F3942" s="398"/>
      <c r="G3942" s="398"/>
      <c r="H3942" s="398"/>
      <c r="I3942" s="398"/>
      <c r="J3942" s="398"/>
      <c r="K3942" s="398"/>
    </row>
    <row r="3943" spans="2:13">
      <c r="B3943" s="127"/>
      <c r="C3943" s="127"/>
      <c r="D3943" s="427"/>
      <c r="E3943" s="427"/>
      <c r="F3943" s="445"/>
      <c r="G3943" s="445"/>
      <c r="H3943" s="446"/>
      <c r="I3943" s="445"/>
      <c r="J3943" s="446"/>
      <c r="K3943" s="447"/>
      <c r="M3943" s="596"/>
    </row>
    <row r="3944" spans="2:13">
      <c r="B3944" s="127"/>
      <c r="C3944" s="127"/>
      <c r="F3944" s="398"/>
      <c r="G3944" s="398"/>
      <c r="H3944" s="398"/>
      <c r="I3944" s="398"/>
      <c r="J3944" s="398"/>
      <c r="K3944" s="398"/>
    </row>
    <row r="3945" spans="2:13">
      <c r="B3945" s="127"/>
      <c r="C3945" s="127"/>
      <c r="D3945" s="427"/>
      <c r="E3945" s="427"/>
      <c r="F3945" s="445"/>
      <c r="G3945" s="445"/>
      <c r="H3945" s="446"/>
      <c r="I3945" s="445"/>
      <c r="J3945" s="446"/>
      <c r="K3945" s="447"/>
      <c r="M3945" s="596"/>
    </row>
    <row r="3946" spans="2:13">
      <c r="B3946" s="127"/>
      <c r="C3946" s="127"/>
      <c r="F3946" s="398"/>
      <c r="G3946" s="398"/>
      <c r="H3946" s="398"/>
      <c r="I3946" s="398"/>
      <c r="J3946" s="398"/>
      <c r="K3946" s="398"/>
    </row>
    <row r="3947" spans="2:13">
      <c r="B3947" s="127"/>
      <c r="C3947" s="127"/>
      <c r="D3947" s="427"/>
      <c r="E3947" s="427"/>
      <c r="F3947" s="445"/>
      <c r="G3947" s="445"/>
      <c r="H3947" s="446"/>
      <c r="I3947" s="445"/>
      <c r="J3947" s="446"/>
      <c r="K3947" s="447"/>
      <c r="M3947" s="596"/>
    </row>
    <row r="3948" spans="2:13">
      <c r="B3948" s="127"/>
      <c r="C3948" s="127"/>
      <c r="F3948" s="398"/>
      <c r="G3948" s="398"/>
      <c r="H3948" s="398"/>
      <c r="I3948" s="398"/>
      <c r="J3948" s="398"/>
      <c r="K3948" s="398"/>
    </row>
    <row r="3949" spans="2:13">
      <c r="B3949" s="127"/>
      <c r="C3949" s="127"/>
      <c r="D3949" s="427"/>
      <c r="E3949" s="427"/>
      <c r="F3949" s="445"/>
      <c r="G3949" s="445"/>
      <c r="H3949" s="446"/>
      <c r="I3949" s="445"/>
      <c r="J3949" s="446"/>
      <c r="K3949" s="447"/>
      <c r="M3949" s="596"/>
    </row>
    <row r="3950" spans="2:13">
      <c r="B3950" s="127"/>
      <c r="C3950" s="127"/>
    </row>
    <row r="3951" spans="2:13">
      <c r="B3951" s="127"/>
      <c r="C3951" s="127"/>
      <c r="D3951" s="427"/>
      <c r="E3951" s="427"/>
      <c r="F3951" s="427"/>
      <c r="G3951" s="427"/>
      <c r="H3951" s="427"/>
      <c r="I3951" s="427"/>
      <c r="J3951" s="427"/>
      <c r="K3951" s="427"/>
      <c r="M3951" s="427"/>
    </row>
    <row r="3952" spans="2:13">
      <c r="B3952" s="127"/>
      <c r="C3952" s="127"/>
      <c r="E3952" s="427"/>
      <c r="F3952" s="427"/>
      <c r="G3952" s="427"/>
      <c r="H3952" s="427"/>
      <c r="I3952" s="427"/>
      <c r="J3952" s="427"/>
      <c r="K3952" s="427"/>
      <c r="M3952" s="427"/>
    </row>
    <row r="3953" spans="2:13">
      <c r="B3953" s="127"/>
      <c r="C3953" s="127"/>
      <c r="E3953" s="427"/>
      <c r="F3953" s="427"/>
      <c r="G3953" s="427"/>
      <c r="H3953" s="427"/>
      <c r="I3953" s="427"/>
      <c r="J3953" s="427"/>
      <c r="K3953" s="427"/>
      <c r="M3953" s="427"/>
    </row>
    <row r="3954" spans="2:13">
      <c r="B3954" s="127"/>
      <c r="C3954" s="127"/>
      <c r="E3954" s="427"/>
      <c r="F3954" s="427"/>
      <c r="G3954" s="427"/>
      <c r="H3954" s="427"/>
      <c r="I3954" s="427"/>
      <c r="J3954" s="427"/>
      <c r="K3954" s="427"/>
      <c r="M3954" s="427"/>
    </row>
    <row r="3955" spans="2:13">
      <c r="B3955" s="127"/>
      <c r="C3955" s="127"/>
      <c r="E3955" s="427"/>
      <c r="F3955" s="427"/>
      <c r="G3955" s="427"/>
      <c r="H3955" s="427"/>
      <c r="I3955" s="427"/>
      <c r="J3955" s="427"/>
      <c r="K3955" s="427"/>
      <c r="M3955" s="427"/>
    </row>
    <row r="3956" spans="2:13">
      <c r="B3956" s="127"/>
      <c r="C3956" s="127"/>
      <c r="D3956" s="429"/>
      <c r="E3956" s="430"/>
      <c r="F3956" s="431"/>
      <c r="G3956" s="431"/>
      <c r="H3956" s="436"/>
      <c r="I3956" s="431"/>
      <c r="J3956" s="436"/>
      <c r="K3956" s="437"/>
      <c r="M3956" s="431"/>
    </row>
    <row r="3957" spans="2:13">
      <c r="B3957" s="127"/>
      <c r="C3957" s="127"/>
      <c r="D3957" s="429"/>
      <c r="E3957" s="430"/>
      <c r="F3957" s="431"/>
      <c r="G3957" s="431"/>
      <c r="H3957" s="436"/>
      <c r="I3957" s="431"/>
      <c r="J3957" s="436"/>
      <c r="K3957" s="437"/>
      <c r="M3957" s="431"/>
    </row>
    <row r="3958" spans="2:13">
      <c r="B3958" s="127"/>
      <c r="C3958" s="127"/>
      <c r="D3958" s="429"/>
      <c r="E3958" s="430"/>
      <c r="F3958" s="431"/>
      <c r="G3958" s="431"/>
      <c r="H3958" s="436"/>
      <c r="I3958" s="431"/>
      <c r="J3958" s="436"/>
      <c r="K3958" s="437"/>
      <c r="M3958" s="431"/>
    </row>
    <row r="3959" spans="2:13">
      <c r="B3959" s="127"/>
      <c r="C3959" s="127"/>
      <c r="D3959" s="429"/>
      <c r="E3959" s="430"/>
      <c r="F3959" s="431"/>
      <c r="G3959" s="431"/>
      <c r="H3959" s="436"/>
      <c r="I3959" s="431"/>
      <c r="J3959" s="436"/>
      <c r="K3959" s="437"/>
      <c r="M3959" s="431"/>
    </row>
    <row r="3960" spans="2:13">
      <c r="B3960" s="127"/>
      <c r="C3960" s="127"/>
      <c r="D3960" s="429"/>
      <c r="E3960" s="430"/>
      <c r="F3960" s="431"/>
      <c r="G3960" s="431"/>
      <c r="H3960" s="436"/>
      <c r="I3960" s="431"/>
      <c r="J3960" s="436"/>
      <c r="K3960" s="437"/>
      <c r="M3960" s="431"/>
    </row>
    <row r="3961" spans="2:13">
      <c r="B3961" s="127"/>
      <c r="C3961" s="127"/>
      <c r="D3961" s="429"/>
      <c r="E3961" s="430"/>
      <c r="F3961" s="432"/>
      <c r="G3961" s="432"/>
      <c r="H3961" s="443"/>
      <c r="I3961" s="432"/>
      <c r="J3961" s="443"/>
      <c r="K3961" s="444"/>
      <c r="M3961" s="431"/>
    </row>
    <row r="3962" spans="2:13">
      <c r="B3962" s="127"/>
      <c r="C3962" s="127"/>
      <c r="D3962" s="427"/>
      <c r="E3962" s="427"/>
      <c r="F3962" s="445"/>
      <c r="G3962" s="445"/>
      <c r="H3962" s="446"/>
      <c r="I3962" s="445"/>
      <c r="J3962" s="446"/>
      <c r="K3962" s="447"/>
      <c r="M3962" s="596"/>
    </row>
    <row r="3963" spans="2:13">
      <c r="B3963" s="127"/>
      <c r="C3963" s="127"/>
    </row>
    <row r="3964" spans="2:13">
      <c r="B3964" s="127"/>
      <c r="C3964" s="127"/>
      <c r="E3964" s="427"/>
      <c r="F3964" s="427"/>
      <c r="G3964" s="427"/>
      <c r="H3964" s="427"/>
      <c r="I3964" s="427"/>
      <c r="J3964" s="427"/>
      <c r="K3964" s="427"/>
      <c r="M3964" s="427"/>
    </row>
    <row r="3965" spans="2:13">
      <c r="B3965" s="127"/>
      <c r="C3965" s="127"/>
      <c r="D3965" s="429"/>
      <c r="E3965" s="430"/>
      <c r="F3965" s="431"/>
      <c r="G3965" s="431"/>
      <c r="H3965" s="436"/>
      <c r="I3965" s="431"/>
      <c r="J3965" s="436"/>
      <c r="K3965" s="437"/>
      <c r="M3965" s="431"/>
    </row>
    <row r="3966" spans="2:13">
      <c r="B3966" s="127"/>
      <c r="C3966" s="127"/>
      <c r="D3966" s="429"/>
      <c r="E3966" s="430"/>
      <c r="F3966" s="431"/>
      <c r="G3966" s="431"/>
      <c r="H3966" s="436"/>
      <c r="I3966" s="431"/>
      <c r="J3966" s="436"/>
      <c r="K3966" s="437"/>
      <c r="M3966" s="431"/>
    </row>
    <row r="3967" spans="2:13">
      <c r="B3967" s="127"/>
      <c r="C3967" s="127"/>
      <c r="D3967" s="429"/>
      <c r="E3967" s="430"/>
      <c r="F3967" s="431"/>
      <c r="G3967" s="431"/>
      <c r="H3967" s="436"/>
      <c r="I3967" s="431"/>
      <c r="J3967" s="436"/>
      <c r="K3967" s="437"/>
      <c r="M3967" s="431"/>
    </row>
    <row r="3968" spans="2:13">
      <c r="B3968" s="127"/>
      <c r="C3968" s="127"/>
      <c r="D3968" s="429"/>
      <c r="E3968" s="430"/>
      <c r="F3968" s="431"/>
      <c r="G3968" s="431"/>
      <c r="H3968" s="436"/>
      <c r="I3968" s="431"/>
      <c r="J3968" s="436"/>
      <c r="K3968" s="437"/>
      <c r="M3968" s="431"/>
    </row>
    <row r="3969" spans="2:13">
      <c r="B3969" s="127"/>
      <c r="C3969" s="127"/>
      <c r="D3969" s="429"/>
      <c r="E3969" s="430"/>
      <c r="F3969" s="431"/>
      <c r="G3969" s="431"/>
      <c r="H3969" s="436"/>
      <c r="I3969" s="431"/>
      <c r="J3969" s="436"/>
      <c r="K3969" s="437"/>
      <c r="M3969" s="431"/>
    </row>
    <row r="3970" spans="2:13">
      <c r="B3970" s="127"/>
      <c r="C3970" s="127"/>
      <c r="D3970" s="429"/>
      <c r="E3970" s="430"/>
      <c r="F3970" s="431"/>
      <c r="G3970" s="431"/>
      <c r="H3970" s="436"/>
      <c r="I3970" s="431"/>
      <c r="J3970" s="436"/>
      <c r="K3970" s="437"/>
      <c r="M3970" s="431"/>
    </row>
    <row r="3971" spans="2:13">
      <c r="B3971" s="127"/>
      <c r="C3971" s="127"/>
      <c r="D3971" s="429"/>
      <c r="E3971" s="430"/>
      <c r="F3971" s="431"/>
      <c r="G3971" s="431"/>
      <c r="H3971" s="436"/>
      <c r="I3971" s="431"/>
      <c r="J3971" s="436"/>
      <c r="K3971" s="437"/>
      <c r="M3971" s="431"/>
    </row>
    <row r="3972" spans="2:13">
      <c r="B3972" s="127"/>
      <c r="C3972" s="127"/>
      <c r="D3972" s="429"/>
      <c r="E3972" s="430"/>
      <c r="F3972" s="431"/>
      <c r="G3972" s="431"/>
      <c r="H3972" s="436"/>
      <c r="I3972" s="431"/>
      <c r="J3972" s="436"/>
      <c r="K3972" s="437"/>
      <c r="M3972" s="431"/>
    </row>
    <row r="3973" spans="2:13">
      <c r="B3973" s="127"/>
      <c r="C3973" s="127"/>
    </row>
    <row r="3974" spans="2:13">
      <c r="B3974" s="127"/>
      <c r="C3974" s="127"/>
      <c r="D3974" s="438"/>
      <c r="E3974" s="438"/>
      <c r="F3974" s="438"/>
      <c r="G3974" s="438"/>
      <c r="H3974" s="438"/>
      <c r="I3974" s="438"/>
      <c r="J3974" s="438"/>
      <c r="K3974" s="438"/>
      <c r="M3974" s="597"/>
    </row>
    <row r="3975" spans="2:13" ht="16.2" thickBot="1">
      <c r="B3975" s="127"/>
      <c r="C3975" s="127"/>
      <c r="D3975" s="439"/>
      <c r="E3975" s="439"/>
      <c r="F3975" s="440"/>
      <c r="G3975" s="440"/>
      <c r="H3975" s="440"/>
      <c r="I3975" s="440"/>
      <c r="J3975" s="439"/>
      <c r="K3975" s="439"/>
    </row>
    <row r="3976" spans="2:13">
      <c r="B3976" s="127"/>
      <c r="C3976" s="127"/>
      <c r="D3976" s="441"/>
      <c r="E3976" s="441"/>
      <c r="F3976" s="441"/>
      <c r="G3976" s="442"/>
      <c r="H3976" s="441"/>
      <c r="I3976" s="441"/>
      <c r="J3976" s="441"/>
      <c r="K3976" s="441"/>
      <c r="M3976" s="455"/>
    </row>
    <row r="3977" spans="2:13">
      <c r="B3977" s="127"/>
      <c r="C3977" s="127"/>
    </row>
    <row r="3978" spans="2:13">
      <c r="B3978" s="127"/>
      <c r="C3978" s="127"/>
      <c r="J3978" s="428"/>
    </row>
    <row r="3979" spans="2:13">
      <c r="B3979" s="127"/>
      <c r="C3979" s="127"/>
      <c r="F3979" s="428"/>
      <c r="G3979" s="428"/>
      <c r="H3979" s="435"/>
      <c r="I3979" s="428"/>
      <c r="J3979" s="428"/>
      <c r="K3979" s="435"/>
      <c r="M3979" s="428"/>
    </row>
    <row r="3980" spans="2:13">
      <c r="B3980" s="127"/>
      <c r="C3980" s="127"/>
    </row>
    <row r="3981" spans="2:13">
      <c r="B3981" s="127"/>
      <c r="C3981" s="127"/>
      <c r="D3981" s="429"/>
      <c r="E3981" s="430"/>
      <c r="F3981" s="432"/>
      <c r="G3981" s="432"/>
      <c r="H3981" s="443"/>
      <c r="I3981" s="432"/>
      <c r="J3981" s="443"/>
      <c r="K3981" s="444"/>
      <c r="M3981" s="431"/>
    </row>
    <row r="3982" spans="2:13">
      <c r="B3982" s="127"/>
      <c r="C3982" s="127"/>
      <c r="D3982" s="427"/>
      <c r="E3982" s="427"/>
      <c r="F3982" s="445"/>
      <c r="G3982" s="445"/>
      <c r="H3982" s="446"/>
      <c r="I3982" s="445"/>
      <c r="J3982" s="446"/>
      <c r="K3982" s="447"/>
      <c r="M3982" s="596"/>
    </row>
    <row r="3983" spans="2:13">
      <c r="B3983" s="127"/>
      <c r="C3983" s="127"/>
      <c r="F3983" s="398"/>
      <c r="G3983" s="398"/>
      <c r="H3983" s="398"/>
      <c r="I3983" s="398"/>
      <c r="J3983" s="398"/>
      <c r="K3983" s="398"/>
    </row>
    <row r="3984" spans="2:13">
      <c r="B3984" s="127"/>
      <c r="C3984" s="127"/>
      <c r="D3984" s="427"/>
      <c r="E3984" s="427"/>
      <c r="F3984" s="445"/>
      <c r="G3984" s="445"/>
      <c r="H3984" s="446"/>
      <c r="I3984" s="445"/>
      <c r="J3984" s="446"/>
      <c r="K3984" s="447"/>
      <c r="M3984" s="596"/>
    </row>
    <row r="3985" spans="2:13">
      <c r="B3985" s="127"/>
      <c r="C3985" s="127"/>
      <c r="F3985" s="398"/>
      <c r="G3985" s="398"/>
      <c r="H3985" s="398"/>
      <c r="I3985" s="398"/>
      <c r="J3985" s="398"/>
      <c r="K3985" s="398"/>
    </row>
    <row r="3986" spans="2:13">
      <c r="B3986" s="127"/>
      <c r="C3986" s="127"/>
      <c r="D3986" s="427"/>
      <c r="E3986" s="427"/>
      <c r="F3986" s="445"/>
      <c r="G3986" s="445"/>
      <c r="H3986" s="446"/>
      <c r="I3986" s="445"/>
      <c r="J3986" s="446"/>
      <c r="K3986" s="447"/>
      <c r="M3986" s="596"/>
    </row>
    <row r="3987" spans="2:13">
      <c r="B3987" s="127"/>
      <c r="C3987" s="127"/>
      <c r="F3987" s="398"/>
      <c r="G3987" s="398"/>
      <c r="H3987" s="398"/>
      <c r="I3987" s="398"/>
      <c r="J3987" s="398"/>
      <c r="K3987" s="398"/>
    </row>
    <row r="3988" spans="2:13">
      <c r="B3988" s="127"/>
      <c r="C3988" s="127"/>
      <c r="D3988" s="427"/>
      <c r="E3988" s="427"/>
      <c r="F3988" s="445"/>
      <c r="G3988" s="445"/>
      <c r="H3988" s="446"/>
      <c r="I3988" s="445"/>
      <c r="J3988" s="446"/>
      <c r="K3988" s="447"/>
      <c r="M3988" s="596"/>
    </row>
    <row r="3989" spans="2:13">
      <c r="B3989" s="127"/>
      <c r="C3989" s="127"/>
    </row>
    <row r="3990" spans="2:13">
      <c r="B3990" s="127"/>
      <c r="C3990" s="127"/>
      <c r="E3990" s="427"/>
      <c r="F3990" s="427"/>
      <c r="G3990" s="427"/>
      <c r="H3990" s="427"/>
      <c r="I3990" s="427"/>
      <c r="J3990" s="427"/>
      <c r="K3990" s="427"/>
      <c r="M3990" s="427"/>
    </row>
    <row r="3991" spans="2:13">
      <c r="B3991" s="127"/>
      <c r="C3991" s="127"/>
      <c r="E3991" s="427"/>
      <c r="F3991" s="427"/>
      <c r="G3991" s="427"/>
      <c r="H3991" s="427"/>
      <c r="I3991" s="427"/>
      <c r="J3991" s="427"/>
      <c r="K3991" s="427"/>
      <c r="M3991" s="427"/>
    </row>
    <row r="3992" spans="2:13">
      <c r="B3992" s="127"/>
      <c r="C3992" s="127"/>
      <c r="E3992" s="427"/>
      <c r="F3992" s="427"/>
      <c r="G3992" s="427"/>
      <c r="H3992" s="427"/>
      <c r="I3992" s="427"/>
      <c r="J3992" s="427"/>
      <c r="K3992" s="427"/>
      <c r="M3992" s="427"/>
    </row>
    <row r="3993" spans="2:13">
      <c r="B3993" s="127"/>
      <c r="C3993" s="127"/>
      <c r="E3993" s="427"/>
      <c r="F3993" s="427"/>
      <c r="G3993" s="427"/>
      <c r="H3993" s="427"/>
      <c r="I3993" s="427"/>
      <c r="J3993" s="427"/>
      <c r="K3993" s="427"/>
      <c r="M3993" s="427"/>
    </row>
    <row r="3994" spans="2:13">
      <c r="B3994" s="127"/>
      <c r="C3994" s="127"/>
      <c r="D3994" s="429"/>
      <c r="E3994" s="430"/>
      <c r="F3994" s="431"/>
      <c r="G3994" s="431"/>
      <c r="H3994" s="436"/>
      <c r="I3994" s="431"/>
      <c r="J3994" s="436"/>
      <c r="K3994" s="437"/>
      <c r="M3994" s="431"/>
    </row>
    <row r="3995" spans="2:13">
      <c r="B3995" s="127"/>
      <c r="C3995" s="127"/>
      <c r="D3995" s="429"/>
      <c r="E3995" s="430"/>
      <c r="F3995" s="431"/>
      <c r="G3995" s="431"/>
      <c r="H3995" s="436"/>
      <c r="I3995" s="431"/>
      <c r="J3995" s="436"/>
      <c r="K3995" s="437"/>
      <c r="M3995" s="431"/>
    </row>
    <row r="3996" spans="2:13">
      <c r="B3996" s="127"/>
      <c r="C3996" s="127"/>
      <c r="D3996" s="429"/>
      <c r="E3996" s="430"/>
      <c r="F3996" s="431"/>
      <c r="G3996" s="431"/>
      <c r="H3996" s="436"/>
      <c r="I3996" s="431"/>
      <c r="J3996" s="436"/>
      <c r="K3996" s="437"/>
      <c r="M3996" s="431"/>
    </row>
    <row r="3997" spans="2:13">
      <c r="B3997" s="127"/>
      <c r="C3997" s="127"/>
      <c r="D3997" s="429"/>
      <c r="E3997" s="430"/>
      <c r="F3997" s="431"/>
      <c r="G3997" s="431"/>
      <c r="H3997" s="436"/>
      <c r="I3997" s="431"/>
      <c r="J3997" s="436"/>
      <c r="K3997" s="437"/>
      <c r="M3997" s="431"/>
    </row>
    <row r="3998" spans="2:13">
      <c r="B3998" s="127"/>
      <c r="C3998" s="127"/>
      <c r="D3998" s="429"/>
      <c r="E3998" s="430"/>
      <c r="F3998" s="431"/>
      <c r="G3998" s="431"/>
      <c r="H3998" s="436"/>
      <c r="I3998" s="431"/>
      <c r="J3998" s="436"/>
      <c r="K3998" s="437"/>
      <c r="M3998" s="431"/>
    </row>
    <row r="3999" spans="2:13">
      <c r="B3999" s="127"/>
      <c r="C3999" s="127"/>
      <c r="D3999" s="429"/>
      <c r="E3999" s="430"/>
      <c r="F3999" s="431"/>
      <c r="G3999" s="431"/>
      <c r="H3999" s="436"/>
      <c r="I3999" s="431"/>
      <c r="J3999" s="436"/>
      <c r="K3999" s="437"/>
      <c r="M3999" s="431"/>
    </row>
    <row r="4000" spans="2:13">
      <c r="B4000" s="127"/>
      <c r="C4000" s="127"/>
      <c r="D4000" s="429"/>
      <c r="E4000" s="430"/>
      <c r="F4000" s="431"/>
      <c r="G4000" s="431"/>
      <c r="H4000" s="436"/>
      <c r="I4000" s="431"/>
      <c r="J4000" s="436"/>
      <c r="K4000" s="437"/>
      <c r="M4000" s="431"/>
    </row>
    <row r="4001" spans="2:13">
      <c r="B4001" s="127"/>
      <c r="C4001" s="127"/>
      <c r="D4001" s="429"/>
      <c r="E4001" s="430"/>
      <c r="F4001" s="431"/>
      <c r="G4001" s="431"/>
      <c r="H4001" s="436"/>
      <c r="I4001" s="431"/>
      <c r="J4001" s="436"/>
      <c r="K4001" s="437"/>
      <c r="M4001" s="431"/>
    </row>
    <row r="4002" spans="2:13">
      <c r="B4002" s="127"/>
      <c r="C4002" s="127"/>
      <c r="D4002" s="429"/>
      <c r="E4002" s="430"/>
      <c r="F4002" s="431"/>
      <c r="G4002" s="431"/>
      <c r="H4002" s="436"/>
      <c r="I4002" s="431"/>
      <c r="J4002" s="436"/>
      <c r="K4002" s="437"/>
      <c r="M4002" s="431"/>
    </row>
    <row r="4003" spans="2:13">
      <c r="B4003" s="127"/>
      <c r="C4003" s="127"/>
      <c r="D4003" s="429"/>
      <c r="E4003" s="430"/>
      <c r="F4003" s="431"/>
      <c r="G4003" s="431"/>
      <c r="H4003" s="436"/>
      <c r="I4003" s="431"/>
      <c r="J4003" s="436"/>
      <c r="K4003" s="437"/>
      <c r="M4003" s="431"/>
    </row>
    <row r="4004" spans="2:13">
      <c r="B4004" s="127"/>
      <c r="C4004" s="127"/>
      <c r="D4004" s="429"/>
      <c r="E4004" s="430"/>
      <c r="F4004" s="431"/>
      <c r="G4004" s="431"/>
      <c r="H4004" s="436"/>
      <c r="I4004" s="431"/>
      <c r="J4004" s="436"/>
      <c r="K4004" s="437"/>
      <c r="M4004" s="431"/>
    </row>
    <row r="4005" spans="2:13">
      <c r="B4005" s="127"/>
      <c r="C4005" s="127"/>
      <c r="D4005" s="429"/>
      <c r="E4005" s="430"/>
      <c r="F4005" s="431"/>
      <c r="G4005" s="431"/>
      <c r="H4005" s="436"/>
      <c r="I4005" s="431"/>
      <c r="J4005" s="436"/>
      <c r="K4005" s="437"/>
      <c r="M4005" s="431"/>
    </row>
    <row r="4006" spans="2:13">
      <c r="B4006" s="127"/>
      <c r="C4006" s="127"/>
      <c r="D4006" s="429"/>
      <c r="E4006" s="430"/>
      <c r="F4006" s="431"/>
      <c r="G4006" s="431"/>
      <c r="H4006" s="436"/>
      <c r="I4006" s="431"/>
      <c r="J4006" s="436"/>
      <c r="K4006" s="437"/>
      <c r="M4006" s="431"/>
    </row>
    <row r="4007" spans="2:13">
      <c r="B4007" s="127"/>
      <c r="C4007" s="127"/>
      <c r="D4007" s="429"/>
      <c r="E4007" s="430"/>
      <c r="F4007" s="431"/>
      <c r="G4007" s="431"/>
      <c r="H4007" s="436"/>
      <c r="I4007" s="431"/>
      <c r="J4007" s="436"/>
      <c r="K4007" s="437"/>
      <c r="M4007" s="431"/>
    </row>
    <row r="4008" spans="2:13">
      <c r="B4008" s="127"/>
      <c r="C4008" s="127"/>
      <c r="D4008" s="429"/>
      <c r="E4008" s="430"/>
      <c r="F4008" s="431"/>
      <c r="G4008" s="431"/>
      <c r="H4008" s="436"/>
      <c r="I4008" s="431"/>
      <c r="J4008" s="436"/>
      <c r="K4008" s="437"/>
      <c r="M4008" s="431"/>
    </row>
    <row r="4009" spans="2:13">
      <c r="B4009" s="127"/>
      <c r="C4009" s="127"/>
      <c r="D4009" s="429"/>
      <c r="E4009" s="430"/>
      <c r="F4009" s="431"/>
      <c r="G4009" s="431"/>
      <c r="H4009" s="436"/>
      <c r="I4009" s="431"/>
      <c r="J4009" s="436"/>
      <c r="K4009" s="437"/>
      <c r="M4009" s="431"/>
    </row>
    <row r="4010" spans="2:13">
      <c r="B4010" s="127"/>
      <c r="C4010" s="127"/>
      <c r="D4010" s="429"/>
      <c r="E4010" s="430"/>
      <c r="F4010" s="431"/>
      <c r="G4010" s="431"/>
      <c r="H4010" s="436"/>
      <c r="I4010" s="431"/>
      <c r="J4010" s="436"/>
      <c r="K4010" s="437"/>
      <c r="M4010" s="431"/>
    </row>
    <row r="4011" spans="2:13">
      <c r="B4011" s="127"/>
      <c r="C4011" s="127"/>
      <c r="D4011" s="429"/>
      <c r="E4011" s="430"/>
      <c r="F4011" s="431"/>
      <c r="G4011" s="431"/>
      <c r="H4011" s="436"/>
      <c r="I4011" s="431"/>
      <c r="J4011" s="436"/>
      <c r="K4011" s="437"/>
      <c r="M4011" s="431"/>
    </row>
    <row r="4012" spans="2:13">
      <c r="B4012" s="127"/>
      <c r="C4012" s="127"/>
      <c r="D4012" s="429"/>
      <c r="E4012" s="430"/>
      <c r="F4012" s="431"/>
      <c r="G4012" s="431"/>
      <c r="H4012" s="436"/>
      <c r="I4012" s="431"/>
      <c r="J4012" s="436"/>
      <c r="K4012" s="437"/>
      <c r="M4012" s="431"/>
    </row>
    <row r="4013" spans="2:13">
      <c r="B4013" s="127"/>
      <c r="C4013" s="127"/>
      <c r="D4013" s="429"/>
      <c r="E4013" s="430"/>
      <c r="F4013" s="431"/>
      <c r="G4013" s="431"/>
      <c r="H4013" s="436"/>
      <c r="I4013" s="431"/>
      <c r="J4013" s="436"/>
      <c r="K4013" s="437"/>
      <c r="M4013" s="431"/>
    </row>
    <row r="4014" spans="2:13">
      <c r="B4014" s="127"/>
      <c r="C4014" s="127"/>
      <c r="D4014" s="429"/>
      <c r="E4014" s="430"/>
      <c r="F4014" s="431"/>
      <c r="G4014" s="431"/>
      <c r="H4014" s="436"/>
      <c r="I4014" s="431"/>
      <c r="J4014" s="436"/>
      <c r="K4014" s="437"/>
      <c r="M4014" s="431"/>
    </row>
    <row r="4015" spans="2:13">
      <c r="B4015" s="127"/>
      <c r="C4015" s="127"/>
      <c r="D4015" s="429"/>
      <c r="E4015" s="430"/>
      <c r="F4015" s="431"/>
      <c r="G4015" s="431"/>
      <c r="H4015" s="436"/>
      <c r="I4015" s="431"/>
      <c r="J4015" s="436"/>
      <c r="K4015" s="437"/>
      <c r="M4015" s="431"/>
    </row>
    <row r="4016" spans="2:13">
      <c r="B4016" s="127"/>
      <c r="C4016" s="127"/>
      <c r="D4016" s="429"/>
      <c r="E4016" s="430"/>
      <c r="F4016" s="432"/>
      <c r="G4016" s="432"/>
      <c r="H4016" s="443"/>
      <c r="I4016" s="432"/>
      <c r="J4016" s="443"/>
      <c r="K4016" s="444"/>
      <c r="M4016" s="431"/>
    </row>
    <row r="4017" spans="2:13">
      <c r="B4017" s="127"/>
      <c r="C4017" s="127"/>
      <c r="D4017" s="427"/>
      <c r="E4017" s="427"/>
      <c r="F4017" s="445"/>
      <c r="G4017" s="445"/>
      <c r="H4017" s="446"/>
      <c r="I4017" s="445"/>
      <c r="J4017" s="446"/>
      <c r="K4017" s="447"/>
      <c r="M4017" s="596"/>
    </row>
    <row r="4018" spans="2:13">
      <c r="B4018" s="127"/>
      <c r="C4018" s="127"/>
      <c r="F4018" s="398"/>
      <c r="G4018" s="398"/>
      <c r="H4018" s="398"/>
      <c r="I4018" s="398"/>
      <c r="J4018" s="398"/>
      <c r="K4018" s="398"/>
    </row>
    <row r="4019" spans="2:13">
      <c r="B4019" s="127"/>
      <c r="C4019" s="127"/>
      <c r="D4019" s="427"/>
      <c r="E4019" s="427"/>
      <c r="F4019" s="445"/>
      <c r="G4019" s="445"/>
      <c r="H4019" s="446"/>
      <c r="I4019" s="445"/>
      <c r="J4019" s="446"/>
      <c r="K4019" s="447"/>
      <c r="M4019" s="596"/>
    </row>
    <row r="4020" spans="2:13">
      <c r="B4020" s="127"/>
      <c r="C4020" s="127"/>
      <c r="F4020" s="398"/>
      <c r="G4020" s="398"/>
      <c r="H4020" s="398"/>
      <c r="I4020" s="398"/>
      <c r="J4020" s="398"/>
      <c r="K4020" s="398"/>
    </row>
    <row r="4021" spans="2:13">
      <c r="B4021" s="127"/>
      <c r="C4021" s="127"/>
      <c r="D4021" s="427"/>
      <c r="E4021" s="427"/>
      <c r="F4021" s="445"/>
      <c r="G4021" s="445"/>
      <c r="H4021" s="446"/>
      <c r="I4021" s="445"/>
      <c r="J4021" s="446"/>
      <c r="K4021" s="447"/>
      <c r="M4021" s="596"/>
    </row>
    <row r="4022" spans="2:13">
      <c r="B4022" s="127"/>
      <c r="C4022" s="127"/>
      <c r="F4022" s="398"/>
      <c r="G4022" s="398"/>
      <c r="H4022" s="398"/>
      <c r="I4022" s="398"/>
      <c r="J4022" s="398"/>
      <c r="K4022" s="398"/>
    </row>
    <row r="4023" spans="2:13">
      <c r="B4023" s="127"/>
      <c r="C4023" s="127"/>
      <c r="D4023" s="427"/>
      <c r="E4023" s="427"/>
      <c r="F4023" s="445"/>
      <c r="G4023" s="445"/>
      <c r="H4023" s="446"/>
      <c r="I4023" s="445"/>
      <c r="J4023" s="446"/>
      <c r="K4023" s="447"/>
      <c r="M4023" s="596"/>
    </row>
    <row r="4024" spans="2:13">
      <c r="B4024" s="127"/>
      <c r="C4024" s="127"/>
      <c r="F4024" s="398"/>
      <c r="G4024" s="398"/>
      <c r="H4024" s="398"/>
      <c r="I4024" s="398"/>
      <c r="J4024" s="398"/>
      <c r="K4024" s="398"/>
    </row>
    <row r="4025" spans="2:13">
      <c r="B4025" s="127"/>
      <c r="C4025" s="127"/>
      <c r="D4025" s="427"/>
      <c r="E4025" s="427"/>
      <c r="F4025" s="445"/>
      <c r="G4025" s="445"/>
      <c r="H4025" s="446"/>
      <c r="I4025" s="445"/>
      <c r="J4025" s="446"/>
      <c r="K4025" s="447"/>
      <c r="M4025" s="596"/>
    </row>
    <row r="4026" spans="2:13">
      <c r="B4026" s="127"/>
      <c r="C4026" s="127"/>
    </row>
    <row r="4027" spans="2:13">
      <c r="B4027" s="127"/>
      <c r="C4027" s="127"/>
      <c r="D4027" s="427"/>
      <c r="E4027" s="427"/>
      <c r="F4027" s="427"/>
      <c r="G4027" s="427"/>
      <c r="H4027" s="427"/>
      <c r="I4027" s="427"/>
      <c r="J4027" s="427"/>
      <c r="K4027" s="427"/>
      <c r="M4027" s="427"/>
    </row>
    <row r="4028" spans="2:13">
      <c r="B4028" s="127"/>
      <c r="C4028" s="127"/>
      <c r="E4028" s="427"/>
      <c r="F4028" s="427"/>
      <c r="G4028" s="427"/>
      <c r="H4028" s="427"/>
      <c r="I4028" s="427"/>
      <c r="J4028" s="427"/>
      <c r="K4028" s="427"/>
      <c r="M4028" s="427"/>
    </row>
    <row r="4029" spans="2:13">
      <c r="B4029" s="127"/>
      <c r="C4029" s="127"/>
      <c r="E4029" s="427"/>
      <c r="F4029" s="427"/>
      <c r="G4029" s="427"/>
      <c r="H4029" s="427"/>
      <c r="I4029" s="427"/>
      <c r="J4029" s="427"/>
      <c r="K4029" s="427"/>
      <c r="M4029" s="427"/>
    </row>
    <row r="4030" spans="2:13">
      <c r="B4030" s="127"/>
      <c r="C4030" s="127"/>
      <c r="E4030" s="427"/>
      <c r="F4030" s="427"/>
      <c r="G4030" s="427"/>
      <c r="H4030" s="427"/>
      <c r="I4030" s="427"/>
      <c r="J4030" s="427"/>
      <c r="K4030" s="427"/>
      <c r="M4030" s="427"/>
    </row>
    <row r="4031" spans="2:13">
      <c r="B4031" s="127"/>
      <c r="C4031" s="127"/>
      <c r="E4031" s="427"/>
      <c r="F4031" s="427"/>
      <c r="G4031" s="427"/>
      <c r="H4031" s="427"/>
      <c r="I4031" s="427"/>
      <c r="J4031" s="427"/>
      <c r="K4031" s="427"/>
      <c r="M4031" s="427"/>
    </row>
    <row r="4032" spans="2:13">
      <c r="B4032" s="127"/>
      <c r="C4032" s="127"/>
      <c r="D4032" s="429"/>
      <c r="E4032" s="430"/>
      <c r="F4032" s="431"/>
      <c r="G4032" s="431"/>
      <c r="H4032" s="436"/>
      <c r="I4032" s="431"/>
      <c r="J4032" s="436"/>
      <c r="K4032" s="437"/>
      <c r="M4032" s="431"/>
    </row>
    <row r="4033" spans="2:13">
      <c r="B4033" s="127"/>
      <c r="C4033" s="127"/>
      <c r="D4033" s="429"/>
      <c r="E4033" s="430"/>
      <c r="F4033" s="432"/>
      <c r="G4033" s="432"/>
      <c r="H4033" s="443"/>
      <c r="I4033" s="432"/>
      <c r="J4033" s="443"/>
      <c r="K4033" s="444"/>
      <c r="M4033" s="431"/>
    </row>
    <row r="4034" spans="2:13">
      <c r="B4034" s="127"/>
      <c r="C4034" s="127"/>
      <c r="D4034" s="427"/>
      <c r="E4034" s="427"/>
      <c r="F4034" s="445"/>
      <c r="G4034" s="445"/>
      <c r="H4034" s="446"/>
      <c r="I4034" s="445"/>
      <c r="J4034" s="446"/>
      <c r="K4034" s="447"/>
      <c r="M4034" s="596"/>
    </row>
    <row r="4035" spans="2:13">
      <c r="B4035" s="127"/>
      <c r="C4035" s="127"/>
      <c r="F4035" s="398"/>
      <c r="G4035" s="398"/>
      <c r="H4035" s="398"/>
      <c r="I4035" s="398"/>
      <c r="J4035" s="398"/>
      <c r="K4035" s="398"/>
    </row>
    <row r="4036" spans="2:13">
      <c r="B4036" s="127"/>
      <c r="C4036" s="127"/>
      <c r="D4036" s="427"/>
      <c r="E4036" s="427"/>
      <c r="F4036" s="445"/>
      <c r="G4036" s="445"/>
      <c r="H4036" s="446"/>
      <c r="I4036" s="445"/>
      <c r="J4036" s="446"/>
      <c r="K4036" s="447"/>
      <c r="M4036" s="596"/>
    </row>
    <row r="4037" spans="2:13">
      <c r="B4037" s="127"/>
      <c r="C4037" s="127"/>
      <c r="F4037" s="398"/>
      <c r="G4037" s="398"/>
      <c r="H4037" s="398"/>
      <c r="I4037" s="398"/>
      <c r="J4037" s="398"/>
      <c r="K4037" s="398"/>
    </row>
    <row r="4038" spans="2:13">
      <c r="B4038" s="127"/>
      <c r="C4038" s="127"/>
      <c r="D4038" s="427"/>
      <c r="E4038" s="427"/>
      <c r="F4038" s="445"/>
      <c r="G4038" s="445"/>
      <c r="H4038" s="446"/>
      <c r="I4038" s="445"/>
      <c r="J4038" s="446"/>
      <c r="K4038" s="447"/>
      <c r="M4038" s="596"/>
    </row>
    <row r="4039" spans="2:13">
      <c r="B4039" s="127"/>
      <c r="C4039" s="127"/>
      <c r="F4039" s="398"/>
      <c r="G4039" s="398"/>
      <c r="H4039" s="398"/>
      <c r="I4039" s="398"/>
      <c r="J4039" s="398"/>
      <c r="K4039" s="398"/>
    </row>
    <row r="4040" spans="2:13">
      <c r="B4040" s="127"/>
      <c r="C4040" s="127"/>
      <c r="D4040" s="427"/>
      <c r="E4040" s="427"/>
      <c r="F4040" s="445"/>
      <c r="G4040" s="445"/>
      <c r="H4040" s="446"/>
      <c r="I4040" s="445"/>
      <c r="J4040" s="446"/>
      <c r="K4040" s="447"/>
      <c r="M4040" s="596"/>
    </row>
    <row r="4041" spans="2:13">
      <c r="B4041" s="127"/>
      <c r="C4041" s="127"/>
      <c r="F4041" s="398"/>
      <c r="G4041" s="398"/>
      <c r="H4041" s="398"/>
      <c r="I4041" s="398"/>
      <c r="J4041" s="398"/>
      <c r="K4041" s="398"/>
    </row>
    <row r="4042" spans="2:13">
      <c r="B4042" s="127"/>
      <c r="C4042" s="127"/>
      <c r="D4042" s="427"/>
      <c r="E4042" s="427"/>
      <c r="F4042" s="445"/>
      <c r="G4042" s="445"/>
      <c r="H4042" s="446"/>
      <c r="I4042" s="445"/>
      <c r="J4042" s="446"/>
      <c r="K4042" s="447"/>
      <c r="M4042" s="596"/>
    </row>
    <row r="4043" spans="2:13">
      <c r="B4043" s="127"/>
      <c r="C4043" s="127"/>
    </row>
    <row r="4044" spans="2:13">
      <c r="B4044" s="127"/>
      <c r="C4044" s="127"/>
    </row>
    <row r="4045" spans="2:13">
      <c r="B4045" s="127"/>
      <c r="C4045" s="127"/>
      <c r="D4045" s="438"/>
      <c r="E4045" s="438"/>
      <c r="F4045" s="438"/>
      <c r="G4045" s="438"/>
      <c r="H4045" s="438"/>
      <c r="I4045" s="438"/>
      <c r="J4045" s="438"/>
      <c r="K4045" s="438"/>
      <c r="M4045" s="597"/>
    </row>
    <row r="4046" spans="2:13" ht="16.2" thickBot="1">
      <c r="B4046" s="127"/>
      <c r="C4046" s="127"/>
      <c r="D4046" s="439"/>
      <c r="E4046" s="439"/>
      <c r="F4046" s="440"/>
      <c r="G4046" s="440"/>
      <c r="H4046" s="440"/>
      <c r="I4046" s="440"/>
      <c r="J4046" s="439"/>
      <c r="K4046" s="439"/>
    </row>
    <row r="4047" spans="2:13">
      <c r="B4047" s="127"/>
      <c r="C4047" s="127"/>
      <c r="D4047" s="441"/>
      <c r="E4047" s="441"/>
      <c r="F4047" s="441"/>
      <c r="G4047" s="442"/>
      <c r="H4047" s="441"/>
      <c r="I4047" s="441"/>
      <c r="J4047" s="441"/>
      <c r="K4047" s="441"/>
      <c r="M4047" s="455"/>
    </row>
    <row r="4048" spans="2:13">
      <c r="B4048" s="127"/>
      <c r="C4048" s="127"/>
    </row>
    <row r="4049" spans="2:13">
      <c r="B4049" s="127"/>
      <c r="C4049" s="127"/>
      <c r="J4049" s="428"/>
    </row>
    <row r="4050" spans="2:13">
      <c r="B4050" s="127"/>
      <c r="C4050" s="127"/>
      <c r="F4050" s="428"/>
      <c r="G4050" s="428"/>
      <c r="H4050" s="435"/>
      <c r="I4050" s="428"/>
      <c r="J4050" s="428"/>
      <c r="K4050" s="435"/>
      <c r="M4050" s="428"/>
    </row>
    <row r="4051" spans="2:13">
      <c r="B4051" s="127"/>
      <c r="C4051" s="127"/>
    </row>
    <row r="4052" spans="2:13">
      <c r="B4052" s="127"/>
      <c r="C4052" s="127"/>
      <c r="D4052" s="427"/>
      <c r="E4052" s="427"/>
      <c r="F4052" s="427"/>
      <c r="G4052" s="427"/>
      <c r="H4052" s="427"/>
      <c r="I4052" s="427"/>
      <c r="J4052" s="427"/>
      <c r="K4052" s="427"/>
      <c r="M4052" s="427"/>
    </row>
    <row r="4053" spans="2:13">
      <c r="B4053" s="127"/>
      <c r="C4053" s="127"/>
      <c r="E4053" s="427"/>
      <c r="F4053" s="427"/>
      <c r="G4053" s="427"/>
      <c r="H4053" s="427"/>
      <c r="I4053" s="427"/>
      <c r="J4053" s="427"/>
      <c r="K4053" s="427"/>
      <c r="M4053" s="427"/>
    </row>
    <row r="4054" spans="2:13">
      <c r="B4054" s="127"/>
      <c r="C4054" s="127"/>
      <c r="E4054" s="427"/>
      <c r="F4054" s="427"/>
      <c r="G4054" s="427"/>
      <c r="H4054" s="427"/>
      <c r="I4054" s="427"/>
      <c r="J4054" s="427"/>
      <c r="K4054" s="427"/>
      <c r="M4054" s="427"/>
    </row>
    <row r="4055" spans="2:13">
      <c r="B4055" s="127"/>
      <c r="C4055" s="127"/>
      <c r="E4055" s="427"/>
      <c r="F4055" s="427"/>
      <c r="G4055" s="427"/>
      <c r="H4055" s="427"/>
      <c r="I4055" s="427"/>
      <c r="J4055" s="427"/>
      <c r="K4055" s="427"/>
      <c r="M4055" s="427"/>
    </row>
    <row r="4056" spans="2:13">
      <c r="B4056" s="127"/>
      <c r="C4056" s="127"/>
      <c r="E4056" s="427"/>
      <c r="F4056" s="427"/>
      <c r="G4056" s="427"/>
      <c r="H4056" s="427"/>
      <c r="I4056" s="427"/>
      <c r="J4056" s="427"/>
      <c r="K4056" s="427"/>
      <c r="M4056" s="427"/>
    </row>
    <row r="4057" spans="2:13">
      <c r="B4057" s="127"/>
      <c r="C4057" s="127"/>
      <c r="D4057" s="429"/>
      <c r="E4057" s="430"/>
      <c r="F4057" s="431"/>
      <c r="G4057" s="431"/>
      <c r="H4057" s="436"/>
      <c r="I4057" s="431"/>
      <c r="J4057" s="436"/>
      <c r="K4057" s="437"/>
      <c r="M4057" s="431"/>
    </row>
    <row r="4058" spans="2:13">
      <c r="B4058" s="127"/>
      <c r="C4058" s="127"/>
      <c r="D4058" s="429"/>
      <c r="E4058" s="430"/>
      <c r="F4058" s="432"/>
      <c r="G4058" s="432"/>
      <c r="H4058" s="443"/>
      <c r="I4058" s="432"/>
      <c r="J4058" s="443"/>
      <c r="K4058" s="444"/>
      <c r="M4058" s="431"/>
    </row>
    <row r="4059" spans="2:13">
      <c r="B4059" s="127"/>
      <c r="C4059" s="127"/>
      <c r="D4059" s="427"/>
      <c r="E4059" s="427"/>
      <c r="F4059" s="445"/>
      <c r="G4059" s="445"/>
      <c r="H4059" s="446"/>
      <c r="I4059" s="445"/>
      <c r="J4059" s="446"/>
      <c r="K4059" s="447"/>
      <c r="M4059" s="596"/>
    </row>
    <row r="4060" spans="2:13">
      <c r="B4060" s="127"/>
      <c r="C4060" s="127"/>
      <c r="F4060" s="398"/>
      <c r="G4060" s="398"/>
      <c r="H4060" s="398"/>
      <c r="I4060" s="398"/>
      <c r="J4060" s="398"/>
      <c r="K4060" s="398"/>
    </row>
    <row r="4061" spans="2:13">
      <c r="B4061" s="127"/>
      <c r="C4061" s="127"/>
      <c r="D4061" s="427"/>
      <c r="E4061" s="427"/>
      <c r="F4061" s="445"/>
      <c r="G4061" s="445"/>
      <c r="H4061" s="446"/>
      <c r="I4061" s="445"/>
      <c r="J4061" s="446"/>
      <c r="K4061" s="447"/>
      <c r="M4061" s="596"/>
    </row>
    <row r="4062" spans="2:13">
      <c r="B4062" s="127"/>
      <c r="C4062" s="127"/>
      <c r="F4062" s="398"/>
      <c r="G4062" s="398"/>
      <c r="H4062" s="398"/>
      <c r="I4062" s="398"/>
      <c r="J4062" s="398"/>
      <c r="K4062" s="398"/>
    </row>
    <row r="4063" spans="2:13">
      <c r="B4063" s="127"/>
      <c r="C4063" s="127"/>
      <c r="D4063" s="427"/>
      <c r="E4063" s="427"/>
      <c r="F4063" s="445"/>
      <c r="G4063" s="445"/>
      <c r="H4063" s="446"/>
      <c r="I4063" s="445"/>
      <c r="J4063" s="446"/>
      <c r="K4063" s="447"/>
      <c r="M4063" s="596"/>
    </row>
    <row r="4064" spans="2:13">
      <c r="B4064" s="127"/>
      <c r="C4064" s="127"/>
      <c r="F4064" s="398"/>
      <c r="G4064" s="398"/>
      <c r="H4064" s="398"/>
      <c r="I4064" s="398"/>
      <c r="J4064" s="398"/>
      <c r="K4064" s="398"/>
    </row>
    <row r="4065" spans="2:13">
      <c r="B4065" s="127"/>
      <c r="C4065" s="127"/>
      <c r="D4065" s="427"/>
      <c r="E4065" s="427"/>
      <c r="F4065" s="445"/>
      <c r="G4065" s="445"/>
      <c r="H4065" s="446"/>
      <c r="I4065" s="445"/>
      <c r="J4065" s="446"/>
      <c r="K4065" s="447"/>
      <c r="M4065" s="596"/>
    </row>
    <row r="4066" spans="2:13">
      <c r="B4066" s="127"/>
      <c r="C4066" s="127"/>
    </row>
    <row r="4067" spans="2:13">
      <c r="B4067" s="127"/>
      <c r="C4067" s="127"/>
      <c r="E4067" s="427"/>
      <c r="F4067" s="427"/>
      <c r="G4067" s="427"/>
      <c r="H4067" s="427"/>
      <c r="I4067" s="427"/>
      <c r="J4067" s="427"/>
      <c r="K4067" s="427"/>
      <c r="M4067" s="427"/>
    </row>
    <row r="4068" spans="2:13">
      <c r="B4068" s="127"/>
      <c r="C4068" s="127"/>
      <c r="E4068" s="427"/>
      <c r="F4068" s="427"/>
      <c r="G4068" s="427"/>
      <c r="H4068" s="427"/>
      <c r="I4068" s="427"/>
      <c r="J4068" s="427"/>
      <c r="K4068" s="427"/>
      <c r="M4068" s="427"/>
    </row>
    <row r="4069" spans="2:13">
      <c r="B4069" s="127"/>
      <c r="C4069" s="127"/>
      <c r="E4069" s="427"/>
      <c r="F4069" s="427"/>
      <c r="G4069" s="427"/>
      <c r="H4069" s="427"/>
      <c r="I4069" s="427"/>
      <c r="J4069" s="427"/>
      <c r="K4069" s="427"/>
      <c r="M4069" s="427"/>
    </row>
    <row r="4070" spans="2:13">
      <c r="B4070" s="127"/>
      <c r="C4070" s="127"/>
      <c r="E4070" s="427"/>
      <c r="F4070" s="427"/>
      <c r="G4070" s="427"/>
      <c r="H4070" s="427"/>
      <c r="I4070" s="427"/>
      <c r="J4070" s="427"/>
      <c r="K4070" s="427"/>
      <c r="M4070" s="427"/>
    </row>
    <row r="4071" spans="2:13">
      <c r="B4071" s="127"/>
      <c r="C4071" s="127"/>
      <c r="D4071" s="429"/>
      <c r="E4071" s="430"/>
      <c r="F4071" s="432"/>
      <c r="G4071" s="432"/>
      <c r="H4071" s="443"/>
      <c r="I4071" s="432"/>
      <c r="J4071" s="443"/>
      <c r="K4071" s="444"/>
      <c r="M4071" s="431"/>
    </row>
    <row r="4072" spans="2:13">
      <c r="B4072" s="127"/>
      <c r="C4072" s="127"/>
      <c r="D4072" s="427"/>
      <c r="E4072" s="427"/>
      <c r="F4072" s="445"/>
      <c r="G4072" s="445"/>
      <c r="H4072" s="446"/>
      <c r="I4072" s="445"/>
      <c r="J4072" s="446"/>
      <c r="K4072" s="447"/>
      <c r="M4072" s="596"/>
    </row>
    <row r="4073" spans="2:13">
      <c r="B4073" s="127"/>
      <c r="C4073" s="127"/>
    </row>
    <row r="4074" spans="2:13">
      <c r="B4074" s="127"/>
      <c r="C4074" s="127"/>
      <c r="E4074" s="427"/>
      <c r="F4074" s="427"/>
      <c r="G4074" s="427"/>
      <c r="H4074" s="427"/>
      <c r="I4074" s="427"/>
      <c r="J4074" s="427"/>
      <c r="K4074" s="427"/>
      <c r="M4074" s="427"/>
    </row>
    <row r="4075" spans="2:13">
      <c r="B4075" s="127"/>
      <c r="C4075" s="127"/>
      <c r="D4075" s="429"/>
      <c r="E4075" s="430"/>
      <c r="F4075" s="432"/>
      <c r="G4075" s="432"/>
      <c r="H4075" s="443"/>
      <c r="I4075" s="432"/>
      <c r="J4075" s="443"/>
      <c r="K4075" s="444"/>
      <c r="M4075" s="431"/>
    </row>
    <row r="4076" spans="2:13">
      <c r="B4076" s="127"/>
      <c r="C4076" s="127"/>
      <c r="D4076" s="427"/>
      <c r="E4076" s="427"/>
      <c r="F4076" s="445"/>
      <c r="G4076" s="445"/>
      <c r="H4076" s="446"/>
      <c r="I4076" s="445"/>
      <c r="J4076" s="446"/>
      <c r="K4076" s="447"/>
      <c r="M4076" s="596"/>
    </row>
    <row r="4077" spans="2:13">
      <c r="B4077" s="127"/>
      <c r="C4077" s="127"/>
      <c r="F4077" s="398"/>
      <c r="G4077" s="398"/>
      <c r="H4077" s="398"/>
      <c r="I4077" s="398"/>
      <c r="J4077" s="398"/>
      <c r="K4077" s="398"/>
    </row>
    <row r="4078" spans="2:13">
      <c r="B4078" s="127"/>
      <c r="C4078" s="127"/>
      <c r="D4078" s="427"/>
      <c r="E4078" s="427"/>
      <c r="F4078" s="445"/>
      <c r="G4078" s="445"/>
      <c r="H4078" s="446"/>
      <c r="I4078" s="445"/>
      <c r="J4078" s="446"/>
      <c r="K4078" s="447"/>
      <c r="M4078" s="596"/>
    </row>
    <row r="4079" spans="2:13">
      <c r="B4079" s="127"/>
      <c r="C4079" s="127"/>
      <c r="F4079" s="398"/>
      <c r="G4079" s="398"/>
      <c r="H4079" s="398"/>
      <c r="I4079" s="398"/>
      <c r="J4079" s="398"/>
      <c r="K4079" s="398"/>
    </row>
    <row r="4080" spans="2:13">
      <c r="B4080" s="127"/>
      <c r="C4080" s="127"/>
      <c r="D4080" s="427"/>
      <c r="E4080" s="427"/>
      <c r="F4080" s="445"/>
      <c r="G4080" s="445"/>
      <c r="H4080" s="446"/>
      <c r="I4080" s="445"/>
      <c r="J4080" s="446"/>
      <c r="K4080" s="447"/>
      <c r="M4080" s="596"/>
    </row>
    <row r="4081" spans="2:13">
      <c r="B4081" s="127"/>
      <c r="C4081" s="127"/>
      <c r="F4081" s="398"/>
      <c r="G4081" s="398"/>
      <c r="H4081" s="398"/>
      <c r="I4081" s="398"/>
      <c r="J4081" s="398"/>
      <c r="K4081" s="398"/>
    </row>
    <row r="4082" spans="2:13">
      <c r="B4082" s="127"/>
      <c r="C4082" s="127"/>
      <c r="D4082" s="427"/>
      <c r="E4082" s="427"/>
      <c r="F4082" s="445"/>
      <c r="G4082" s="445"/>
      <c r="H4082" s="446"/>
      <c r="I4082" s="445"/>
      <c r="J4082" s="446"/>
      <c r="K4082" s="447"/>
      <c r="M4082" s="596"/>
    </row>
    <row r="4083" spans="2:13">
      <c r="B4083" s="127"/>
      <c r="C4083" s="127"/>
      <c r="F4083" s="398"/>
      <c r="G4083" s="398"/>
      <c r="H4083" s="398"/>
      <c r="I4083" s="398"/>
      <c r="J4083" s="398"/>
      <c r="K4083" s="398"/>
    </row>
    <row r="4084" spans="2:13">
      <c r="B4084" s="127"/>
      <c r="C4084" s="127"/>
      <c r="D4084" s="427"/>
      <c r="E4084" s="427"/>
      <c r="F4084" s="445"/>
      <c r="G4084" s="445"/>
      <c r="H4084" s="446"/>
      <c r="I4084" s="445"/>
      <c r="J4084" s="446"/>
      <c r="K4084" s="447"/>
      <c r="M4084" s="596"/>
    </row>
    <row r="4085" spans="2:13">
      <c r="B4085" s="127"/>
      <c r="C4085" s="127"/>
    </row>
    <row r="4086" spans="2:13">
      <c r="B4086" s="127"/>
      <c r="C4086" s="127"/>
      <c r="D4086" s="427"/>
      <c r="E4086" s="427"/>
      <c r="F4086" s="427"/>
      <c r="G4086" s="427"/>
      <c r="H4086" s="427"/>
      <c r="I4086" s="427"/>
      <c r="J4086" s="427"/>
      <c r="K4086" s="427"/>
      <c r="M4086" s="427"/>
    </row>
    <row r="4087" spans="2:13">
      <c r="B4087" s="127"/>
      <c r="C4087" s="127"/>
      <c r="E4087" s="427"/>
      <c r="F4087" s="427"/>
      <c r="G4087" s="427"/>
      <c r="H4087" s="427"/>
      <c r="I4087" s="427"/>
      <c r="J4087" s="427"/>
      <c r="K4087" s="427"/>
      <c r="M4087" s="427"/>
    </row>
    <row r="4088" spans="2:13">
      <c r="B4088" s="127"/>
      <c r="C4088" s="127"/>
      <c r="E4088" s="427"/>
      <c r="F4088" s="427"/>
      <c r="G4088" s="427"/>
      <c r="H4088" s="427"/>
      <c r="I4088" s="427"/>
      <c r="J4088" s="427"/>
      <c r="K4088" s="427"/>
      <c r="M4088" s="427"/>
    </row>
    <row r="4089" spans="2:13">
      <c r="B4089" s="127"/>
      <c r="C4089" s="127"/>
      <c r="E4089" s="427"/>
      <c r="F4089" s="427"/>
      <c r="G4089" s="427"/>
      <c r="H4089" s="427"/>
      <c r="I4089" s="427"/>
      <c r="J4089" s="427"/>
      <c r="K4089" s="427"/>
      <c r="M4089" s="427"/>
    </row>
    <row r="4090" spans="2:13">
      <c r="B4090" s="127"/>
      <c r="C4090" s="127"/>
      <c r="E4090" s="427"/>
      <c r="F4090" s="427"/>
      <c r="G4090" s="427"/>
      <c r="H4090" s="427"/>
      <c r="I4090" s="427"/>
      <c r="J4090" s="427"/>
      <c r="K4090" s="427"/>
      <c r="M4090" s="427"/>
    </row>
    <row r="4091" spans="2:13">
      <c r="B4091" s="127"/>
      <c r="C4091" s="127"/>
      <c r="D4091" s="429"/>
      <c r="E4091" s="430"/>
      <c r="F4091" s="431"/>
      <c r="G4091" s="431"/>
      <c r="H4091" s="436"/>
      <c r="I4091" s="431"/>
      <c r="J4091" s="436"/>
      <c r="K4091" s="437"/>
      <c r="M4091" s="431"/>
    </row>
    <row r="4092" spans="2:13">
      <c r="B4092" s="127"/>
      <c r="C4092" s="127"/>
      <c r="D4092" s="429"/>
      <c r="E4092" s="430"/>
      <c r="F4092" s="431"/>
      <c r="G4092" s="431"/>
      <c r="H4092" s="436"/>
      <c r="I4092" s="431"/>
      <c r="J4092" s="436"/>
      <c r="K4092" s="437"/>
      <c r="M4092" s="431"/>
    </row>
    <row r="4093" spans="2:13">
      <c r="B4093" s="127"/>
      <c r="C4093" s="127"/>
      <c r="D4093" s="429"/>
      <c r="E4093" s="430"/>
      <c r="F4093" s="432"/>
      <c r="G4093" s="432"/>
      <c r="H4093" s="443"/>
      <c r="I4093" s="432"/>
      <c r="J4093" s="443"/>
      <c r="K4093" s="444"/>
      <c r="M4093" s="431"/>
    </row>
    <row r="4094" spans="2:13">
      <c r="B4094" s="127"/>
      <c r="C4094" s="127"/>
      <c r="D4094" s="427"/>
      <c r="E4094" s="427"/>
      <c r="F4094" s="445"/>
      <c r="G4094" s="445"/>
      <c r="H4094" s="446"/>
      <c r="I4094" s="445"/>
      <c r="J4094" s="446"/>
      <c r="K4094" s="447"/>
      <c r="M4094" s="596"/>
    </row>
    <row r="4095" spans="2:13">
      <c r="B4095" s="127"/>
      <c r="C4095" s="127"/>
      <c r="F4095" s="398"/>
      <c r="G4095" s="398"/>
      <c r="H4095" s="398"/>
      <c r="I4095" s="398"/>
      <c r="J4095" s="398"/>
      <c r="K4095" s="398"/>
    </row>
    <row r="4096" spans="2:13">
      <c r="B4096" s="127"/>
      <c r="C4096" s="127"/>
      <c r="D4096" s="427"/>
      <c r="E4096" s="427"/>
      <c r="F4096" s="445"/>
      <c r="G4096" s="445"/>
      <c r="H4096" s="446"/>
      <c r="I4096" s="445"/>
      <c r="J4096" s="446"/>
      <c r="K4096" s="447"/>
      <c r="M4096" s="596"/>
    </row>
    <row r="4097" spans="2:13">
      <c r="B4097" s="127"/>
      <c r="C4097" s="127"/>
      <c r="F4097" s="398"/>
      <c r="G4097" s="398"/>
      <c r="H4097" s="398"/>
      <c r="I4097" s="398"/>
      <c r="J4097" s="398"/>
      <c r="K4097" s="398"/>
    </row>
    <row r="4098" spans="2:13">
      <c r="B4098" s="127"/>
      <c r="C4098" s="127"/>
      <c r="D4098" s="427"/>
      <c r="E4098" s="427"/>
      <c r="F4098" s="445"/>
      <c r="G4098" s="445"/>
      <c r="H4098" s="446"/>
      <c r="I4098" s="445"/>
      <c r="J4098" s="446"/>
      <c r="K4098" s="447"/>
      <c r="M4098" s="596"/>
    </row>
    <row r="4099" spans="2:13">
      <c r="B4099" s="127"/>
      <c r="C4099" s="127"/>
      <c r="F4099" s="398"/>
      <c r="G4099" s="398"/>
      <c r="H4099" s="398"/>
      <c r="I4099" s="398"/>
      <c r="J4099" s="398"/>
      <c r="K4099" s="398"/>
    </row>
    <row r="4100" spans="2:13">
      <c r="B4100" s="127"/>
      <c r="C4100" s="127"/>
      <c r="D4100" s="427"/>
      <c r="E4100" s="427"/>
      <c r="F4100" s="445"/>
      <c r="G4100" s="445"/>
      <c r="H4100" s="446"/>
      <c r="I4100" s="445"/>
      <c r="J4100" s="446"/>
      <c r="K4100" s="447"/>
      <c r="M4100" s="596"/>
    </row>
    <row r="4101" spans="2:13">
      <c r="B4101" s="127"/>
      <c r="C4101" s="127"/>
    </row>
    <row r="4102" spans="2:13">
      <c r="B4102" s="127"/>
      <c r="C4102" s="127"/>
      <c r="E4102" s="427"/>
      <c r="F4102" s="427"/>
      <c r="G4102" s="427"/>
      <c r="H4102" s="427"/>
      <c r="I4102" s="427"/>
      <c r="J4102" s="427"/>
      <c r="K4102" s="427"/>
      <c r="M4102" s="427"/>
    </row>
    <row r="4103" spans="2:13">
      <c r="B4103" s="127"/>
      <c r="C4103" s="127"/>
      <c r="E4103" s="427"/>
      <c r="F4103" s="427"/>
      <c r="G4103" s="427"/>
      <c r="H4103" s="427"/>
      <c r="I4103" s="427"/>
      <c r="J4103" s="427"/>
      <c r="K4103" s="427"/>
      <c r="M4103" s="427"/>
    </row>
    <row r="4104" spans="2:13">
      <c r="B4104" s="127"/>
      <c r="C4104" s="127"/>
      <c r="E4104" s="427"/>
      <c r="F4104" s="427"/>
      <c r="G4104" s="427"/>
      <c r="H4104" s="427"/>
      <c r="I4104" s="427"/>
      <c r="J4104" s="427"/>
      <c r="K4104" s="427"/>
      <c r="M4104" s="427"/>
    </row>
    <row r="4105" spans="2:13">
      <c r="B4105" s="127"/>
      <c r="C4105" s="127"/>
      <c r="E4105" s="427"/>
      <c r="F4105" s="427"/>
      <c r="G4105" s="427"/>
      <c r="H4105" s="427"/>
      <c r="I4105" s="427"/>
      <c r="J4105" s="427"/>
      <c r="K4105" s="427"/>
      <c r="M4105" s="427"/>
    </row>
    <row r="4106" spans="2:13">
      <c r="B4106" s="127"/>
      <c r="C4106" s="127"/>
      <c r="D4106" s="429"/>
      <c r="E4106" s="430"/>
      <c r="F4106" s="431"/>
      <c r="G4106" s="431"/>
      <c r="H4106" s="436"/>
      <c r="I4106" s="431"/>
      <c r="J4106" s="436"/>
      <c r="K4106" s="437"/>
      <c r="M4106" s="431"/>
    </row>
    <row r="4107" spans="2:13">
      <c r="B4107" s="127"/>
      <c r="C4107" s="127"/>
      <c r="D4107" s="429"/>
      <c r="E4107" s="430"/>
      <c r="F4107" s="431"/>
      <c r="G4107" s="431"/>
      <c r="H4107" s="436"/>
      <c r="I4107" s="431"/>
      <c r="J4107" s="436"/>
      <c r="K4107" s="437"/>
      <c r="M4107" s="431"/>
    </row>
    <row r="4108" spans="2:13">
      <c r="B4108" s="127"/>
      <c r="C4108" s="127"/>
      <c r="D4108" s="429"/>
      <c r="E4108" s="430"/>
      <c r="F4108" s="431"/>
      <c r="G4108" s="431"/>
      <c r="H4108" s="436"/>
      <c r="I4108" s="431"/>
      <c r="J4108" s="436"/>
      <c r="K4108" s="437"/>
      <c r="M4108" s="431"/>
    </row>
    <row r="4109" spans="2:13">
      <c r="B4109" s="127"/>
      <c r="C4109" s="127"/>
      <c r="D4109" s="429"/>
      <c r="E4109" s="430"/>
      <c r="F4109" s="431"/>
      <c r="G4109" s="431"/>
      <c r="H4109" s="436"/>
      <c r="I4109" s="431"/>
      <c r="J4109" s="436"/>
      <c r="K4109" s="437"/>
      <c r="M4109" s="431"/>
    </row>
    <row r="4110" spans="2:13">
      <c r="B4110" s="127"/>
      <c r="C4110" s="127"/>
      <c r="D4110" s="429"/>
      <c r="E4110" s="430"/>
      <c r="F4110" s="431"/>
      <c r="G4110" s="431"/>
      <c r="H4110" s="436"/>
      <c r="I4110" s="431"/>
      <c r="J4110" s="436"/>
      <c r="K4110" s="437"/>
      <c r="M4110" s="431"/>
    </row>
    <row r="4111" spans="2:13">
      <c r="B4111" s="127"/>
      <c r="C4111" s="127"/>
      <c r="D4111" s="429"/>
      <c r="E4111" s="430"/>
      <c r="F4111" s="431"/>
      <c r="G4111" s="431"/>
      <c r="H4111" s="436"/>
      <c r="I4111" s="431"/>
      <c r="J4111" s="436"/>
      <c r="K4111" s="437"/>
      <c r="M4111" s="431"/>
    </row>
    <row r="4112" spans="2:13">
      <c r="B4112" s="127"/>
      <c r="C4112" s="127"/>
      <c r="D4112" s="429"/>
      <c r="E4112" s="430"/>
      <c r="F4112" s="431"/>
      <c r="G4112" s="431"/>
      <c r="H4112" s="436"/>
      <c r="I4112" s="431"/>
      <c r="J4112" s="436"/>
      <c r="K4112" s="437"/>
      <c r="M4112" s="431"/>
    </row>
    <row r="4113" spans="2:13">
      <c r="B4113" s="127"/>
      <c r="C4113" s="127"/>
      <c r="D4113" s="429"/>
      <c r="E4113" s="430"/>
      <c r="F4113" s="432"/>
      <c r="G4113" s="432"/>
      <c r="H4113" s="443"/>
      <c r="I4113" s="432"/>
      <c r="J4113" s="443"/>
      <c r="K4113" s="444"/>
      <c r="M4113" s="431"/>
    </row>
    <row r="4114" spans="2:13">
      <c r="B4114" s="127"/>
      <c r="C4114" s="127"/>
      <c r="D4114" s="427"/>
      <c r="E4114" s="427"/>
      <c r="F4114" s="445"/>
      <c r="G4114" s="445"/>
      <c r="H4114" s="446"/>
      <c r="I4114" s="445"/>
      <c r="J4114" s="446"/>
      <c r="K4114" s="447"/>
      <c r="M4114" s="596"/>
    </row>
    <row r="4115" spans="2:13">
      <c r="B4115" s="127"/>
      <c r="C4115" s="127"/>
    </row>
    <row r="4116" spans="2:13">
      <c r="B4116" s="127"/>
      <c r="C4116" s="127"/>
      <c r="E4116" s="427"/>
      <c r="F4116" s="427"/>
      <c r="G4116" s="427"/>
      <c r="H4116" s="427"/>
      <c r="I4116" s="427"/>
      <c r="J4116" s="427"/>
      <c r="K4116" s="427"/>
      <c r="M4116" s="427"/>
    </row>
    <row r="4117" spans="2:13">
      <c r="B4117" s="127"/>
      <c r="C4117" s="127"/>
      <c r="D4117" s="429"/>
      <c r="E4117" s="430"/>
      <c r="F4117" s="431"/>
      <c r="G4117" s="431"/>
      <c r="H4117" s="436"/>
      <c r="I4117" s="431"/>
      <c r="J4117" s="436"/>
      <c r="K4117" s="437"/>
      <c r="M4117" s="431"/>
    </row>
    <row r="4118" spans="2:13">
      <c r="B4118" s="127"/>
      <c r="C4118" s="127"/>
      <c r="D4118" s="429"/>
      <c r="E4118" s="430"/>
      <c r="F4118" s="431"/>
      <c r="G4118" s="431"/>
      <c r="H4118" s="436"/>
      <c r="I4118" s="431"/>
      <c r="J4118" s="436"/>
      <c r="K4118" s="437"/>
      <c r="M4118" s="431"/>
    </row>
    <row r="4119" spans="2:13">
      <c r="B4119" s="127"/>
      <c r="C4119" s="127"/>
      <c r="D4119" s="429"/>
      <c r="E4119" s="430"/>
      <c r="F4119" s="431"/>
      <c r="G4119" s="431"/>
      <c r="H4119" s="436"/>
      <c r="I4119" s="431"/>
      <c r="J4119" s="436"/>
      <c r="K4119" s="437"/>
      <c r="M4119" s="431"/>
    </row>
    <row r="4120" spans="2:13">
      <c r="B4120" s="127"/>
      <c r="C4120" s="127"/>
    </row>
    <row r="4121" spans="2:13">
      <c r="B4121" s="127"/>
      <c r="C4121" s="127"/>
      <c r="D4121" s="438"/>
      <c r="E4121" s="438"/>
      <c r="F4121" s="438"/>
      <c r="G4121" s="438"/>
      <c r="H4121" s="438"/>
      <c r="I4121" s="438"/>
      <c r="J4121" s="438"/>
      <c r="K4121" s="438"/>
      <c r="M4121" s="597"/>
    </row>
    <row r="4122" spans="2:13" ht="16.2" thickBot="1">
      <c r="B4122" s="127"/>
      <c r="C4122" s="127"/>
      <c r="D4122" s="439"/>
      <c r="E4122" s="439"/>
      <c r="F4122" s="440"/>
      <c r="G4122" s="440"/>
      <c r="H4122" s="440"/>
      <c r="I4122" s="440"/>
      <c r="J4122" s="439"/>
      <c r="K4122" s="439"/>
    </row>
    <row r="4123" spans="2:13">
      <c r="B4123" s="127"/>
      <c r="C4123" s="127"/>
      <c r="D4123" s="441"/>
      <c r="E4123" s="441"/>
      <c r="F4123" s="441"/>
      <c r="G4123" s="442"/>
      <c r="H4123" s="441"/>
      <c r="I4123" s="441"/>
      <c r="J4123" s="441"/>
      <c r="K4123" s="441"/>
      <c r="M4123" s="455"/>
    </row>
    <row r="4124" spans="2:13">
      <c r="B4124" s="127"/>
      <c r="C4124" s="127"/>
    </row>
    <row r="4125" spans="2:13">
      <c r="B4125" s="127"/>
      <c r="C4125" s="127"/>
      <c r="J4125" s="428"/>
    </row>
    <row r="4126" spans="2:13">
      <c r="B4126" s="127"/>
      <c r="C4126" s="127"/>
      <c r="F4126" s="428"/>
      <c r="G4126" s="428"/>
      <c r="H4126" s="435"/>
      <c r="I4126" s="428"/>
      <c r="J4126" s="428"/>
      <c r="K4126" s="435"/>
      <c r="M4126" s="428"/>
    </row>
    <row r="4127" spans="2:13">
      <c r="B4127" s="127"/>
      <c r="C4127" s="127"/>
    </row>
    <row r="4128" spans="2:13">
      <c r="B4128" s="127"/>
      <c r="C4128" s="127"/>
      <c r="D4128" s="429"/>
      <c r="E4128" s="430"/>
      <c r="F4128" s="431"/>
      <c r="G4128" s="431"/>
      <c r="H4128" s="436"/>
      <c r="I4128" s="431"/>
      <c r="J4128" s="436"/>
      <c r="K4128" s="437"/>
      <c r="M4128" s="431"/>
    </row>
    <row r="4129" spans="2:13">
      <c r="B4129" s="127"/>
      <c r="C4129" s="127"/>
      <c r="D4129" s="429"/>
      <c r="E4129" s="430"/>
      <c r="F4129" s="432"/>
      <c r="G4129" s="432"/>
      <c r="H4129" s="443"/>
      <c r="I4129" s="432"/>
      <c r="J4129" s="443"/>
      <c r="K4129" s="444"/>
      <c r="M4129" s="431"/>
    </row>
    <row r="4130" spans="2:13">
      <c r="B4130" s="127"/>
      <c r="C4130" s="127"/>
      <c r="D4130" s="427"/>
      <c r="E4130" s="427"/>
      <c r="F4130" s="445"/>
      <c r="G4130" s="445"/>
      <c r="H4130" s="446"/>
      <c r="I4130" s="445"/>
      <c r="J4130" s="446"/>
      <c r="K4130" s="447"/>
      <c r="M4130" s="596"/>
    </row>
    <row r="4131" spans="2:13">
      <c r="B4131" s="127"/>
      <c r="C4131" s="127"/>
    </row>
    <row r="4132" spans="2:13">
      <c r="B4132" s="127"/>
      <c r="C4132" s="127"/>
      <c r="E4132" s="427"/>
      <c r="F4132" s="427"/>
      <c r="G4132" s="427"/>
      <c r="H4132" s="427"/>
      <c r="I4132" s="427"/>
      <c r="J4132" s="427"/>
      <c r="K4132" s="427"/>
      <c r="M4132" s="427"/>
    </row>
    <row r="4133" spans="2:13">
      <c r="B4133" s="127"/>
      <c r="C4133" s="127"/>
      <c r="D4133" s="429"/>
      <c r="E4133" s="430"/>
      <c r="F4133" s="431"/>
      <c r="G4133" s="431"/>
      <c r="H4133" s="436"/>
      <c r="I4133" s="431"/>
      <c r="J4133" s="436"/>
      <c r="K4133" s="437"/>
      <c r="M4133" s="431"/>
    </row>
    <row r="4134" spans="2:13">
      <c r="B4134" s="127"/>
      <c r="C4134" s="127"/>
      <c r="D4134" s="429"/>
      <c r="E4134" s="430"/>
      <c r="F4134" s="431"/>
      <c r="G4134" s="431"/>
      <c r="H4134" s="436"/>
      <c r="I4134" s="431"/>
      <c r="J4134" s="436"/>
      <c r="K4134" s="437"/>
      <c r="M4134" s="431"/>
    </row>
    <row r="4135" spans="2:13">
      <c r="B4135" s="127"/>
      <c r="C4135" s="127"/>
      <c r="D4135" s="429"/>
      <c r="E4135" s="430"/>
      <c r="F4135" s="431"/>
      <c r="G4135" s="431"/>
      <c r="H4135" s="436"/>
      <c r="I4135" s="431"/>
      <c r="J4135" s="436"/>
      <c r="K4135" s="437"/>
      <c r="M4135" s="431"/>
    </row>
    <row r="4136" spans="2:13">
      <c r="B4136" s="127"/>
      <c r="C4136" s="127"/>
      <c r="D4136" s="429"/>
      <c r="E4136" s="430"/>
      <c r="F4136" s="432"/>
      <c r="G4136" s="432"/>
      <c r="H4136" s="443"/>
      <c r="I4136" s="432"/>
      <c r="J4136" s="443"/>
      <c r="K4136" s="444"/>
      <c r="M4136" s="431"/>
    </row>
    <row r="4137" spans="2:13">
      <c r="B4137" s="127"/>
      <c r="C4137" s="127"/>
      <c r="D4137" s="427"/>
      <c r="E4137" s="427"/>
      <c r="F4137" s="445"/>
      <c r="G4137" s="445"/>
      <c r="H4137" s="446"/>
      <c r="I4137" s="445"/>
      <c r="J4137" s="446"/>
      <c r="K4137" s="447"/>
      <c r="M4137" s="596"/>
    </row>
    <row r="4138" spans="2:13">
      <c r="B4138" s="127"/>
      <c r="C4138" s="127"/>
    </row>
    <row r="4139" spans="2:13">
      <c r="B4139" s="127"/>
      <c r="C4139" s="127"/>
      <c r="E4139" s="427"/>
      <c r="F4139" s="427"/>
      <c r="G4139" s="427"/>
      <c r="H4139" s="427"/>
      <c r="I4139" s="427"/>
      <c r="J4139" s="427"/>
      <c r="K4139" s="427"/>
      <c r="M4139" s="427"/>
    </row>
    <row r="4140" spans="2:13">
      <c r="B4140" s="127"/>
      <c r="C4140" s="127"/>
      <c r="D4140" s="429"/>
      <c r="E4140" s="430"/>
      <c r="F4140" s="431"/>
      <c r="G4140" s="431"/>
      <c r="H4140" s="436"/>
      <c r="I4140" s="431"/>
      <c r="J4140" s="436"/>
      <c r="K4140" s="437"/>
      <c r="M4140" s="431"/>
    </row>
    <row r="4141" spans="2:13">
      <c r="B4141" s="127"/>
      <c r="C4141" s="127"/>
      <c r="D4141" s="429"/>
      <c r="E4141" s="430"/>
      <c r="F4141" s="431"/>
      <c r="G4141" s="431"/>
      <c r="H4141" s="436"/>
      <c r="I4141" s="431"/>
      <c r="J4141" s="436"/>
      <c r="K4141" s="437"/>
      <c r="M4141" s="431"/>
    </row>
    <row r="4142" spans="2:13">
      <c r="B4142" s="127"/>
      <c r="C4142" s="127"/>
      <c r="D4142" s="429"/>
      <c r="E4142" s="430"/>
      <c r="F4142" s="431"/>
      <c r="G4142" s="431"/>
      <c r="H4142" s="436"/>
      <c r="I4142" s="431"/>
      <c r="J4142" s="436"/>
      <c r="K4142" s="437"/>
      <c r="M4142" s="431"/>
    </row>
    <row r="4143" spans="2:13">
      <c r="B4143" s="127"/>
      <c r="C4143" s="127"/>
      <c r="D4143" s="429"/>
      <c r="E4143" s="430"/>
      <c r="F4143" s="431"/>
      <c r="G4143" s="431"/>
      <c r="H4143" s="436"/>
      <c r="I4143" s="431"/>
      <c r="J4143" s="436"/>
      <c r="K4143" s="437"/>
      <c r="M4143" s="431"/>
    </row>
    <row r="4144" spans="2:13">
      <c r="B4144" s="127"/>
      <c r="C4144" s="127"/>
      <c r="D4144" s="429"/>
      <c r="E4144" s="430"/>
      <c r="F4144" s="431"/>
      <c r="G4144" s="431"/>
      <c r="H4144" s="436"/>
      <c r="I4144" s="431"/>
      <c r="J4144" s="436"/>
      <c r="K4144" s="437"/>
      <c r="M4144" s="431"/>
    </row>
    <row r="4145" spans="2:13">
      <c r="B4145" s="127"/>
      <c r="C4145" s="127"/>
      <c r="D4145" s="429"/>
      <c r="E4145" s="430"/>
      <c r="F4145" s="431"/>
      <c r="G4145" s="431"/>
      <c r="H4145" s="436"/>
      <c r="I4145" s="431"/>
      <c r="J4145" s="436"/>
      <c r="K4145" s="437"/>
      <c r="M4145" s="431"/>
    </row>
    <row r="4146" spans="2:13">
      <c r="B4146" s="127"/>
      <c r="C4146" s="127"/>
      <c r="D4146" s="429"/>
      <c r="E4146" s="430"/>
      <c r="F4146" s="431"/>
      <c r="G4146" s="431"/>
      <c r="H4146" s="436"/>
      <c r="I4146" s="431"/>
      <c r="J4146" s="436"/>
      <c r="K4146" s="437"/>
      <c r="M4146" s="431"/>
    </row>
    <row r="4147" spans="2:13">
      <c r="B4147" s="127"/>
      <c r="C4147" s="127"/>
      <c r="D4147" s="429"/>
      <c r="E4147" s="430"/>
      <c r="F4147" s="432"/>
      <c r="G4147" s="432"/>
      <c r="H4147" s="443"/>
      <c r="I4147" s="432"/>
      <c r="J4147" s="443"/>
      <c r="K4147" s="444"/>
      <c r="M4147" s="431"/>
    </row>
    <row r="4148" spans="2:13">
      <c r="B4148" s="127"/>
      <c r="C4148" s="127"/>
      <c r="D4148" s="427"/>
      <c r="E4148" s="427"/>
      <c r="F4148" s="445"/>
      <c r="G4148" s="445"/>
      <c r="H4148" s="446"/>
      <c r="I4148" s="445"/>
      <c r="J4148" s="446"/>
      <c r="K4148" s="447"/>
      <c r="M4148" s="596"/>
    </row>
    <row r="4149" spans="2:13">
      <c r="B4149" s="127"/>
      <c r="C4149" s="127"/>
    </row>
    <row r="4150" spans="2:13">
      <c r="B4150" s="127"/>
      <c r="C4150" s="127"/>
      <c r="E4150" s="427"/>
      <c r="F4150" s="427"/>
      <c r="G4150" s="427"/>
      <c r="H4150" s="427"/>
      <c r="I4150" s="427"/>
      <c r="J4150" s="427"/>
      <c r="K4150" s="427"/>
      <c r="M4150" s="427"/>
    </row>
    <row r="4151" spans="2:13">
      <c r="B4151" s="127"/>
      <c r="C4151" s="127"/>
      <c r="D4151" s="429"/>
      <c r="E4151" s="430"/>
      <c r="F4151" s="431"/>
      <c r="G4151" s="431"/>
      <c r="H4151" s="436"/>
      <c r="I4151" s="431"/>
      <c r="J4151" s="436"/>
      <c r="K4151" s="437"/>
      <c r="M4151" s="431"/>
    </row>
    <row r="4152" spans="2:13">
      <c r="B4152" s="127"/>
      <c r="C4152" s="127"/>
      <c r="D4152" s="429"/>
      <c r="E4152" s="430"/>
      <c r="F4152" s="432"/>
      <c r="G4152" s="432"/>
      <c r="H4152" s="443"/>
      <c r="I4152" s="432"/>
      <c r="J4152" s="443"/>
      <c r="K4152" s="444"/>
      <c r="M4152" s="431"/>
    </row>
    <row r="4153" spans="2:13">
      <c r="B4153" s="127"/>
      <c r="C4153" s="127"/>
      <c r="D4153" s="427"/>
      <c r="E4153" s="427"/>
      <c r="F4153" s="445"/>
      <c r="G4153" s="445"/>
      <c r="H4153" s="446"/>
      <c r="I4153" s="445"/>
      <c r="J4153" s="446"/>
      <c r="K4153" s="447"/>
      <c r="M4153" s="596"/>
    </row>
    <row r="4154" spans="2:13">
      <c r="B4154" s="127"/>
      <c r="C4154" s="127"/>
      <c r="F4154" s="398"/>
      <c r="G4154" s="398"/>
      <c r="H4154" s="398"/>
      <c r="I4154" s="398"/>
      <c r="J4154" s="398"/>
      <c r="K4154" s="398"/>
    </row>
    <row r="4155" spans="2:13">
      <c r="B4155" s="127"/>
      <c r="C4155" s="127"/>
      <c r="D4155" s="427"/>
      <c r="E4155" s="427"/>
      <c r="F4155" s="445"/>
      <c r="G4155" s="445"/>
      <c r="H4155" s="446"/>
      <c r="I4155" s="445"/>
      <c r="J4155" s="446"/>
      <c r="K4155" s="447"/>
      <c r="M4155" s="596"/>
    </row>
    <row r="4156" spans="2:13">
      <c r="B4156" s="127"/>
      <c r="C4156" s="127"/>
      <c r="F4156" s="398"/>
      <c r="G4156" s="398"/>
      <c r="H4156" s="398"/>
      <c r="I4156" s="398"/>
      <c r="J4156" s="398"/>
      <c r="K4156" s="398"/>
    </row>
    <row r="4157" spans="2:13">
      <c r="B4157" s="127"/>
      <c r="C4157" s="127"/>
      <c r="D4157" s="427"/>
      <c r="E4157" s="427"/>
      <c r="F4157" s="445"/>
      <c r="G4157" s="445"/>
      <c r="H4157" s="446"/>
      <c r="I4157" s="445"/>
      <c r="J4157" s="446"/>
      <c r="K4157" s="447"/>
      <c r="M4157" s="596"/>
    </row>
    <row r="4158" spans="2:13">
      <c r="B4158" s="127"/>
      <c r="C4158" s="127"/>
    </row>
    <row r="4159" spans="2:13">
      <c r="B4159" s="127"/>
      <c r="C4159" s="127"/>
      <c r="E4159" s="427"/>
      <c r="F4159" s="427"/>
      <c r="G4159" s="427"/>
      <c r="H4159" s="427"/>
      <c r="I4159" s="427"/>
      <c r="J4159" s="427"/>
      <c r="K4159" s="427"/>
      <c r="M4159" s="427"/>
    </row>
    <row r="4160" spans="2:13">
      <c r="B4160" s="127"/>
      <c r="C4160" s="127"/>
      <c r="E4160" s="427"/>
      <c r="F4160" s="427"/>
      <c r="G4160" s="427"/>
      <c r="H4160" s="427"/>
      <c r="I4160" s="427"/>
      <c r="J4160" s="427"/>
      <c r="K4160" s="427"/>
      <c r="M4160" s="427"/>
    </row>
    <row r="4161" spans="2:13">
      <c r="B4161" s="127"/>
      <c r="C4161" s="127"/>
      <c r="E4161" s="427"/>
      <c r="F4161" s="427"/>
      <c r="G4161" s="427"/>
      <c r="H4161" s="427"/>
      <c r="I4161" s="427"/>
      <c r="J4161" s="427"/>
      <c r="K4161" s="427"/>
      <c r="M4161" s="427"/>
    </row>
    <row r="4162" spans="2:13">
      <c r="B4162" s="127"/>
      <c r="C4162" s="127"/>
      <c r="D4162" s="429"/>
      <c r="E4162" s="430"/>
      <c r="F4162" s="432"/>
      <c r="G4162" s="432"/>
      <c r="H4162" s="443"/>
      <c r="I4162" s="432"/>
      <c r="J4162" s="443"/>
      <c r="K4162" s="444"/>
      <c r="M4162" s="431"/>
    </row>
    <row r="4163" spans="2:13">
      <c r="B4163" s="127"/>
      <c r="C4163" s="127"/>
      <c r="D4163" s="427"/>
      <c r="E4163" s="427"/>
      <c r="F4163" s="445"/>
      <c r="G4163" s="445"/>
      <c r="H4163" s="446"/>
      <c r="I4163" s="445"/>
      <c r="J4163" s="446"/>
      <c r="K4163" s="447"/>
      <c r="M4163" s="596"/>
    </row>
    <row r="4164" spans="2:13">
      <c r="B4164" s="127"/>
      <c r="C4164" s="127"/>
      <c r="F4164" s="398"/>
      <c r="G4164" s="398"/>
      <c r="H4164" s="398"/>
      <c r="I4164" s="398"/>
      <c r="J4164" s="398"/>
      <c r="K4164" s="398"/>
    </row>
    <row r="4165" spans="2:13">
      <c r="B4165" s="127"/>
      <c r="C4165" s="127"/>
      <c r="D4165" s="427"/>
      <c r="E4165" s="427"/>
      <c r="F4165" s="445"/>
      <c r="G4165" s="445"/>
      <c r="H4165" s="446"/>
      <c r="I4165" s="445"/>
      <c r="J4165" s="446"/>
      <c r="K4165" s="447"/>
      <c r="M4165" s="596"/>
    </row>
    <row r="4166" spans="2:13">
      <c r="B4166" s="127"/>
      <c r="C4166" s="127"/>
    </row>
    <row r="4167" spans="2:13">
      <c r="B4167" s="127"/>
      <c r="C4167" s="127"/>
      <c r="E4167" s="427"/>
      <c r="F4167" s="427"/>
      <c r="G4167" s="427"/>
      <c r="H4167" s="427"/>
      <c r="I4167" s="427"/>
      <c r="J4167" s="427"/>
      <c r="K4167" s="427"/>
      <c r="M4167" s="427"/>
    </row>
    <row r="4168" spans="2:13">
      <c r="B4168" s="127"/>
      <c r="C4168" s="127"/>
      <c r="E4168" s="427"/>
      <c r="F4168" s="427"/>
      <c r="G4168" s="427"/>
      <c r="H4168" s="427"/>
      <c r="I4168" s="427"/>
      <c r="J4168" s="427"/>
      <c r="K4168" s="427"/>
      <c r="M4168" s="427"/>
    </row>
    <row r="4169" spans="2:13">
      <c r="B4169" s="127"/>
      <c r="C4169" s="127"/>
      <c r="D4169" s="429"/>
      <c r="E4169" s="430"/>
      <c r="F4169" s="431"/>
      <c r="G4169" s="431"/>
      <c r="H4169" s="436"/>
      <c r="I4169" s="431"/>
      <c r="J4169" s="436"/>
      <c r="K4169" s="437"/>
      <c r="M4169" s="431"/>
    </row>
    <row r="4170" spans="2:13">
      <c r="B4170" s="127"/>
      <c r="C4170" s="127"/>
      <c r="D4170" s="429"/>
      <c r="E4170" s="430"/>
      <c r="F4170" s="431"/>
      <c r="G4170" s="431"/>
      <c r="H4170" s="436"/>
      <c r="I4170" s="431"/>
      <c r="J4170" s="436"/>
      <c r="K4170" s="437"/>
      <c r="M4170" s="431"/>
    </row>
    <row r="4171" spans="2:13">
      <c r="B4171" s="127"/>
      <c r="C4171" s="127"/>
      <c r="D4171" s="429"/>
      <c r="E4171" s="430"/>
      <c r="F4171" s="431"/>
      <c r="G4171" s="431"/>
      <c r="H4171" s="436"/>
      <c r="I4171" s="431"/>
      <c r="J4171" s="436"/>
      <c r="K4171" s="437"/>
      <c r="M4171" s="431"/>
    </row>
    <row r="4172" spans="2:13">
      <c r="B4172" s="127"/>
      <c r="C4172" s="127"/>
      <c r="D4172" s="429"/>
      <c r="E4172" s="430"/>
      <c r="F4172" s="432"/>
      <c r="G4172" s="432"/>
      <c r="H4172" s="443"/>
      <c r="I4172" s="432"/>
      <c r="J4172" s="443"/>
      <c r="K4172" s="444"/>
      <c r="M4172" s="431"/>
    </row>
    <row r="4173" spans="2:13">
      <c r="B4173" s="127"/>
      <c r="C4173" s="127"/>
      <c r="D4173" s="427"/>
      <c r="E4173" s="427"/>
      <c r="F4173" s="445"/>
      <c r="G4173" s="445"/>
      <c r="H4173" s="446"/>
      <c r="I4173" s="445"/>
      <c r="J4173" s="446"/>
      <c r="K4173" s="447"/>
      <c r="M4173" s="596"/>
    </row>
    <row r="4174" spans="2:13">
      <c r="B4174" s="127"/>
      <c r="C4174" s="127"/>
    </row>
    <row r="4175" spans="2:13">
      <c r="B4175" s="127"/>
      <c r="C4175" s="127"/>
      <c r="E4175" s="427"/>
      <c r="F4175" s="427"/>
      <c r="G4175" s="427"/>
      <c r="H4175" s="427"/>
      <c r="I4175" s="427"/>
      <c r="J4175" s="427"/>
      <c r="K4175" s="427"/>
      <c r="M4175" s="427"/>
    </row>
    <row r="4176" spans="2:13">
      <c r="B4176" s="127"/>
      <c r="C4176" s="127"/>
      <c r="D4176" s="429"/>
      <c r="E4176" s="430"/>
      <c r="F4176" s="432"/>
      <c r="G4176" s="432"/>
      <c r="H4176" s="443"/>
      <c r="I4176" s="432"/>
      <c r="J4176" s="443"/>
      <c r="K4176" s="444"/>
      <c r="M4176" s="431"/>
    </row>
    <row r="4177" spans="2:13">
      <c r="B4177" s="127"/>
      <c r="C4177" s="127"/>
      <c r="D4177" s="427"/>
      <c r="E4177" s="427"/>
      <c r="F4177" s="445"/>
      <c r="G4177" s="445"/>
      <c r="H4177" s="446"/>
      <c r="I4177" s="445"/>
      <c r="J4177" s="446"/>
      <c r="K4177" s="447"/>
      <c r="M4177" s="596"/>
    </row>
    <row r="4178" spans="2:13">
      <c r="B4178" s="127"/>
      <c r="C4178" s="127"/>
      <c r="F4178" s="398"/>
      <c r="G4178" s="398"/>
      <c r="H4178" s="398"/>
      <c r="I4178" s="398"/>
      <c r="J4178" s="398"/>
      <c r="K4178" s="398"/>
    </row>
    <row r="4179" spans="2:13">
      <c r="B4179" s="127"/>
      <c r="C4179" s="127"/>
      <c r="D4179" s="427"/>
      <c r="E4179" s="427"/>
      <c r="F4179" s="445"/>
      <c r="G4179" s="445"/>
      <c r="H4179" s="446"/>
      <c r="I4179" s="445"/>
      <c r="J4179" s="446"/>
      <c r="K4179" s="447"/>
      <c r="M4179" s="596"/>
    </row>
    <row r="4180" spans="2:13">
      <c r="B4180" s="127"/>
      <c r="C4180" s="127"/>
      <c r="F4180" s="398"/>
      <c r="G4180" s="398"/>
      <c r="H4180" s="398"/>
      <c r="I4180" s="398"/>
      <c r="J4180" s="398"/>
      <c r="K4180" s="398"/>
    </row>
    <row r="4181" spans="2:13">
      <c r="B4181" s="127"/>
      <c r="C4181" s="127"/>
      <c r="D4181" s="427"/>
      <c r="E4181" s="427"/>
      <c r="F4181" s="445"/>
      <c r="G4181" s="445"/>
      <c r="H4181" s="446"/>
      <c r="I4181" s="445"/>
      <c r="J4181" s="446"/>
      <c r="K4181" s="447"/>
      <c r="M4181" s="596"/>
    </row>
    <row r="4182" spans="2:13">
      <c r="B4182" s="127"/>
      <c r="C4182" s="127"/>
      <c r="F4182" s="398"/>
      <c r="G4182" s="398"/>
      <c r="H4182" s="398"/>
      <c r="I4182" s="398"/>
      <c r="J4182" s="398"/>
      <c r="K4182" s="398"/>
    </row>
    <row r="4183" spans="2:13">
      <c r="B4183" s="127"/>
      <c r="C4183" s="127"/>
      <c r="D4183" s="427"/>
      <c r="E4183" s="427"/>
      <c r="F4183" s="445"/>
      <c r="G4183" s="445"/>
      <c r="H4183" s="446"/>
      <c r="I4183" s="445"/>
      <c r="J4183" s="446"/>
      <c r="K4183" s="447"/>
      <c r="M4183" s="596"/>
    </row>
    <row r="4184" spans="2:13">
      <c r="B4184" s="127"/>
      <c r="C4184" s="127"/>
      <c r="F4184" s="398"/>
      <c r="G4184" s="398"/>
      <c r="H4184" s="398"/>
      <c r="I4184" s="398"/>
      <c r="J4184" s="398"/>
      <c r="K4184" s="398"/>
    </row>
    <row r="4185" spans="2:13">
      <c r="B4185" s="127"/>
      <c r="C4185" s="127"/>
      <c r="D4185" s="427"/>
      <c r="E4185" s="427"/>
      <c r="F4185" s="445"/>
      <c r="G4185" s="445"/>
      <c r="H4185" s="446"/>
      <c r="I4185" s="445"/>
      <c r="J4185" s="446"/>
      <c r="K4185" s="447"/>
      <c r="M4185" s="596"/>
    </row>
    <row r="4186" spans="2:13">
      <c r="B4186" s="127"/>
      <c r="C4186" s="127"/>
    </row>
    <row r="4187" spans="2:13">
      <c r="B4187" s="127"/>
      <c r="C4187" s="127"/>
      <c r="D4187" s="427"/>
      <c r="E4187" s="427"/>
      <c r="F4187" s="427"/>
      <c r="G4187" s="427"/>
      <c r="H4187" s="427"/>
      <c r="I4187" s="427"/>
      <c r="J4187" s="427"/>
      <c r="K4187" s="427"/>
      <c r="M4187" s="427"/>
    </row>
    <row r="4188" spans="2:13">
      <c r="B4188" s="127"/>
      <c r="C4188" s="127"/>
      <c r="E4188" s="427"/>
      <c r="F4188" s="427"/>
      <c r="G4188" s="427"/>
      <c r="H4188" s="427"/>
      <c r="I4188" s="427"/>
      <c r="J4188" s="427"/>
      <c r="K4188" s="427"/>
      <c r="M4188" s="427"/>
    </row>
    <row r="4189" spans="2:13">
      <c r="B4189" s="127"/>
      <c r="C4189" s="127"/>
      <c r="E4189" s="427"/>
      <c r="F4189" s="427"/>
      <c r="G4189" s="427"/>
      <c r="H4189" s="427"/>
      <c r="I4189" s="427"/>
      <c r="J4189" s="427"/>
      <c r="K4189" s="427"/>
      <c r="M4189" s="427"/>
    </row>
    <row r="4190" spans="2:13">
      <c r="B4190" s="127"/>
      <c r="C4190" s="127"/>
      <c r="E4190" s="427"/>
      <c r="F4190" s="427"/>
      <c r="G4190" s="427"/>
      <c r="H4190" s="427"/>
      <c r="I4190" s="427"/>
      <c r="J4190" s="427"/>
      <c r="K4190" s="427"/>
      <c r="M4190" s="427"/>
    </row>
    <row r="4191" spans="2:13">
      <c r="B4191" s="127"/>
      <c r="C4191" s="127"/>
      <c r="E4191" s="427"/>
      <c r="F4191" s="427"/>
      <c r="G4191" s="427"/>
      <c r="H4191" s="427"/>
      <c r="I4191" s="427"/>
      <c r="J4191" s="427"/>
      <c r="K4191" s="427"/>
      <c r="M4191" s="427"/>
    </row>
    <row r="4192" spans="2:13">
      <c r="B4192" s="127"/>
      <c r="C4192" s="127"/>
      <c r="D4192" s="429"/>
      <c r="E4192" s="430"/>
      <c r="F4192" s="432"/>
      <c r="G4192" s="432"/>
      <c r="H4192" s="443"/>
      <c r="I4192" s="432"/>
      <c r="J4192" s="443"/>
      <c r="K4192" s="444"/>
      <c r="M4192" s="431"/>
    </row>
    <row r="4193" spans="2:13">
      <c r="B4193" s="127"/>
      <c r="C4193" s="127"/>
      <c r="D4193" s="427"/>
      <c r="E4193" s="427"/>
      <c r="F4193" s="445"/>
      <c r="G4193" s="445"/>
      <c r="H4193" s="446"/>
      <c r="I4193" s="445"/>
      <c r="J4193" s="446"/>
      <c r="K4193" s="447"/>
      <c r="M4193" s="596"/>
    </row>
    <row r="4194" spans="2:13">
      <c r="B4194" s="127"/>
      <c r="C4194" s="127"/>
    </row>
    <row r="4195" spans="2:13">
      <c r="B4195" s="127"/>
      <c r="C4195" s="127"/>
    </row>
    <row r="4196" spans="2:13">
      <c r="B4196" s="127"/>
      <c r="C4196" s="127"/>
      <c r="D4196" s="438"/>
      <c r="E4196" s="438"/>
      <c r="F4196" s="438"/>
      <c r="G4196" s="438"/>
      <c r="H4196" s="438"/>
      <c r="I4196" s="438"/>
      <c r="J4196" s="438"/>
      <c r="K4196" s="438"/>
      <c r="M4196" s="597"/>
    </row>
    <row r="4197" spans="2:13" ht="16.2" thickBot="1">
      <c r="B4197" s="127"/>
      <c r="C4197" s="127"/>
      <c r="D4197" s="439"/>
      <c r="E4197" s="439"/>
      <c r="F4197" s="440"/>
      <c r="G4197" s="440"/>
      <c r="H4197" s="440"/>
      <c r="I4197" s="440"/>
      <c r="J4197" s="439"/>
      <c r="K4197" s="439"/>
    </row>
    <row r="4198" spans="2:13">
      <c r="B4198" s="127"/>
      <c r="C4198" s="127"/>
      <c r="D4198" s="441"/>
      <c r="E4198" s="441"/>
      <c r="F4198" s="441"/>
      <c r="G4198" s="442"/>
      <c r="H4198" s="441"/>
      <c r="I4198" s="441"/>
      <c r="J4198" s="441"/>
      <c r="K4198" s="441"/>
      <c r="M4198" s="455"/>
    </row>
    <row r="4199" spans="2:13">
      <c r="B4199" s="127"/>
      <c r="C4199" s="127"/>
    </row>
    <row r="4200" spans="2:13">
      <c r="B4200" s="127"/>
      <c r="C4200" s="127"/>
      <c r="J4200" s="428"/>
    </row>
    <row r="4201" spans="2:13">
      <c r="B4201" s="127"/>
      <c r="C4201" s="127"/>
      <c r="F4201" s="428"/>
      <c r="G4201" s="428"/>
      <c r="H4201" s="435"/>
      <c r="I4201" s="428"/>
      <c r="J4201" s="428"/>
      <c r="K4201" s="435"/>
      <c r="M4201" s="428"/>
    </row>
    <row r="4202" spans="2:13">
      <c r="B4202" s="127"/>
      <c r="C4202" s="127"/>
    </row>
    <row r="4203" spans="2:13">
      <c r="B4203" s="127"/>
      <c r="C4203" s="127"/>
      <c r="E4203" s="427"/>
      <c r="F4203" s="427"/>
      <c r="G4203" s="427"/>
      <c r="H4203" s="427"/>
      <c r="I4203" s="427"/>
      <c r="J4203" s="427"/>
      <c r="K4203" s="427"/>
      <c r="M4203" s="427"/>
    </row>
    <row r="4204" spans="2:13">
      <c r="B4204" s="127"/>
      <c r="C4204" s="127"/>
      <c r="D4204" s="429"/>
      <c r="E4204" s="430"/>
      <c r="F4204" s="431"/>
      <c r="G4204" s="431"/>
      <c r="H4204" s="436"/>
      <c r="I4204" s="431"/>
      <c r="J4204" s="436"/>
      <c r="K4204" s="437"/>
      <c r="M4204" s="431"/>
    </row>
    <row r="4205" spans="2:13">
      <c r="B4205" s="127"/>
      <c r="C4205" s="127"/>
      <c r="D4205" s="429"/>
      <c r="E4205" s="430"/>
      <c r="F4205" s="431"/>
      <c r="G4205" s="431"/>
      <c r="H4205" s="436"/>
      <c r="I4205" s="431"/>
      <c r="J4205" s="436"/>
      <c r="K4205" s="437"/>
      <c r="M4205" s="431"/>
    </row>
    <row r="4206" spans="2:13">
      <c r="B4206" s="127"/>
      <c r="C4206" s="127"/>
      <c r="D4206" s="429"/>
      <c r="E4206" s="430"/>
      <c r="F4206" s="431"/>
      <c r="G4206" s="431"/>
      <c r="H4206" s="436"/>
      <c r="I4206" s="431"/>
      <c r="J4206" s="436"/>
      <c r="K4206" s="437"/>
      <c r="M4206" s="431"/>
    </row>
    <row r="4207" spans="2:13">
      <c r="B4207" s="127"/>
      <c r="C4207" s="127"/>
      <c r="D4207" s="429"/>
      <c r="E4207" s="430"/>
      <c r="F4207" s="431"/>
      <c r="G4207" s="431"/>
      <c r="H4207" s="436"/>
      <c r="I4207" s="431"/>
      <c r="J4207" s="436"/>
      <c r="K4207" s="437"/>
      <c r="M4207" s="431"/>
    </row>
    <row r="4208" spans="2:13">
      <c r="B4208" s="127"/>
      <c r="C4208" s="127"/>
      <c r="D4208" s="429"/>
      <c r="E4208" s="430"/>
      <c r="F4208" s="432"/>
      <c r="G4208" s="432"/>
      <c r="H4208" s="443"/>
      <c r="I4208" s="432"/>
      <c r="J4208" s="443"/>
      <c r="K4208" s="444"/>
      <c r="M4208" s="431"/>
    </row>
    <row r="4209" spans="2:13">
      <c r="B4209" s="127"/>
      <c r="C4209" s="127"/>
      <c r="D4209" s="427"/>
      <c r="E4209" s="427"/>
      <c r="F4209" s="445"/>
      <c r="G4209" s="445"/>
      <c r="H4209" s="446"/>
      <c r="I4209" s="445"/>
      <c r="J4209" s="446"/>
      <c r="K4209" s="447"/>
      <c r="M4209" s="596"/>
    </row>
    <row r="4210" spans="2:13">
      <c r="B4210" s="127"/>
      <c r="C4210" s="127"/>
      <c r="F4210" s="398"/>
      <c r="G4210" s="398"/>
      <c r="H4210" s="398"/>
      <c r="I4210" s="398"/>
      <c r="J4210" s="398"/>
      <c r="K4210" s="398"/>
    </row>
    <row r="4211" spans="2:13">
      <c r="B4211" s="127"/>
      <c r="C4211" s="127"/>
      <c r="D4211" s="427"/>
      <c r="E4211" s="427"/>
      <c r="F4211" s="445"/>
      <c r="G4211" s="445"/>
      <c r="H4211" s="446"/>
      <c r="I4211" s="445"/>
      <c r="J4211" s="446"/>
      <c r="K4211" s="447"/>
      <c r="M4211" s="596"/>
    </row>
    <row r="4212" spans="2:13">
      <c r="B4212" s="127"/>
      <c r="C4212" s="127"/>
      <c r="F4212" s="398"/>
      <c r="G4212" s="398"/>
      <c r="H4212" s="398"/>
      <c r="I4212" s="398"/>
      <c r="J4212" s="398"/>
      <c r="K4212" s="398"/>
    </row>
    <row r="4213" spans="2:13">
      <c r="B4213" s="127"/>
      <c r="C4213" s="127"/>
      <c r="D4213" s="427"/>
      <c r="E4213" s="427"/>
      <c r="F4213" s="445"/>
      <c r="G4213" s="445"/>
      <c r="H4213" s="446"/>
      <c r="I4213" s="445"/>
      <c r="J4213" s="446"/>
      <c r="K4213" s="447"/>
      <c r="M4213" s="596"/>
    </row>
    <row r="4214" spans="2:13">
      <c r="B4214" s="127"/>
      <c r="C4214" s="127"/>
      <c r="F4214" s="398"/>
      <c r="G4214" s="398"/>
      <c r="H4214" s="398"/>
      <c r="I4214" s="398"/>
      <c r="J4214" s="398"/>
      <c r="K4214" s="398"/>
    </row>
    <row r="4215" spans="2:13">
      <c r="B4215" s="127"/>
      <c r="C4215" s="127"/>
      <c r="D4215" s="427"/>
      <c r="E4215" s="427"/>
      <c r="F4215" s="445"/>
      <c r="G4215" s="445"/>
      <c r="H4215" s="446"/>
      <c r="I4215" s="445"/>
      <c r="J4215" s="446"/>
      <c r="K4215" s="447"/>
      <c r="M4215" s="596"/>
    </row>
    <row r="4216" spans="2:13">
      <c r="B4216" s="127"/>
      <c r="C4216" s="127"/>
    </row>
    <row r="4217" spans="2:13">
      <c r="B4217" s="127"/>
      <c r="C4217" s="127"/>
      <c r="E4217" s="427"/>
      <c r="F4217" s="427"/>
      <c r="G4217" s="427"/>
      <c r="H4217" s="427"/>
      <c r="I4217" s="427"/>
      <c r="J4217" s="427"/>
      <c r="K4217" s="427"/>
      <c r="M4217" s="427"/>
    </row>
    <row r="4218" spans="2:13">
      <c r="B4218" s="127"/>
      <c r="C4218" s="127"/>
      <c r="E4218" s="427"/>
      <c r="F4218" s="427"/>
      <c r="G4218" s="427"/>
      <c r="H4218" s="427"/>
      <c r="I4218" s="427"/>
      <c r="J4218" s="427"/>
      <c r="K4218" s="427"/>
      <c r="M4218" s="427"/>
    </row>
    <row r="4219" spans="2:13">
      <c r="B4219" s="127"/>
      <c r="C4219" s="127"/>
      <c r="E4219" s="427"/>
      <c r="F4219" s="427"/>
      <c r="G4219" s="427"/>
      <c r="H4219" s="427"/>
      <c r="I4219" s="427"/>
      <c r="J4219" s="427"/>
      <c r="K4219" s="427"/>
      <c r="M4219" s="427"/>
    </row>
    <row r="4220" spans="2:13">
      <c r="B4220" s="127"/>
      <c r="C4220" s="127"/>
      <c r="E4220" s="427"/>
      <c r="F4220" s="427"/>
      <c r="G4220" s="427"/>
      <c r="H4220" s="427"/>
      <c r="I4220" s="427"/>
      <c r="J4220" s="427"/>
      <c r="K4220" s="427"/>
      <c r="M4220" s="427"/>
    </row>
    <row r="4221" spans="2:13">
      <c r="B4221" s="127"/>
      <c r="C4221" s="127"/>
      <c r="D4221" s="429"/>
      <c r="E4221" s="430"/>
      <c r="F4221" s="432"/>
      <c r="G4221" s="432"/>
      <c r="H4221" s="443"/>
      <c r="I4221" s="432"/>
      <c r="J4221" s="443"/>
      <c r="K4221" s="444"/>
      <c r="M4221" s="431"/>
    </row>
    <row r="4222" spans="2:13">
      <c r="B4222" s="127"/>
      <c r="C4222" s="127"/>
      <c r="D4222" s="427"/>
      <c r="E4222" s="427"/>
      <c r="F4222" s="445"/>
      <c r="G4222" s="445"/>
      <c r="H4222" s="446"/>
      <c r="I4222" s="445"/>
      <c r="J4222" s="446"/>
      <c r="K4222" s="447"/>
      <c r="M4222" s="596"/>
    </row>
    <row r="4223" spans="2:13">
      <c r="B4223" s="127"/>
      <c r="C4223" s="127"/>
    </row>
    <row r="4224" spans="2:13">
      <c r="B4224" s="127"/>
      <c r="C4224" s="127"/>
      <c r="E4224" s="427"/>
      <c r="F4224" s="427"/>
      <c r="G4224" s="427"/>
      <c r="H4224" s="427"/>
      <c r="I4224" s="427"/>
      <c r="J4224" s="427"/>
      <c r="K4224" s="427"/>
      <c r="M4224" s="427"/>
    </row>
    <row r="4225" spans="2:13">
      <c r="B4225" s="127"/>
      <c r="C4225" s="127"/>
      <c r="D4225" s="429"/>
      <c r="E4225" s="430"/>
      <c r="F4225" s="431"/>
      <c r="G4225" s="431"/>
      <c r="H4225" s="436"/>
      <c r="I4225" s="431"/>
      <c r="J4225" s="436"/>
      <c r="K4225" s="437"/>
      <c r="M4225" s="431"/>
    </row>
    <row r="4226" spans="2:13">
      <c r="B4226" s="127"/>
      <c r="C4226" s="127"/>
      <c r="D4226" s="429"/>
      <c r="E4226" s="430"/>
      <c r="F4226" s="431"/>
      <c r="G4226" s="431"/>
      <c r="H4226" s="436"/>
      <c r="I4226" s="431"/>
      <c r="J4226" s="436"/>
      <c r="K4226" s="437"/>
      <c r="M4226" s="431"/>
    </row>
    <row r="4227" spans="2:13">
      <c r="B4227" s="127"/>
      <c r="C4227" s="127"/>
      <c r="D4227" s="429"/>
      <c r="E4227" s="430"/>
      <c r="F4227" s="431"/>
      <c r="G4227" s="431"/>
      <c r="H4227" s="436"/>
      <c r="I4227" s="431"/>
      <c r="J4227" s="436"/>
      <c r="K4227" s="437"/>
      <c r="M4227" s="431"/>
    </row>
    <row r="4228" spans="2:13">
      <c r="B4228" s="127"/>
      <c r="C4228" s="127"/>
      <c r="D4228" s="429"/>
      <c r="E4228" s="430"/>
      <c r="F4228" s="431"/>
      <c r="G4228" s="431"/>
      <c r="H4228" s="436"/>
      <c r="I4228" s="431"/>
      <c r="J4228" s="436"/>
      <c r="K4228" s="437"/>
      <c r="M4228" s="431"/>
    </row>
    <row r="4229" spans="2:13">
      <c r="B4229" s="127"/>
      <c r="C4229" s="127"/>
      <c r="D4229" s="429"/>
      <c r="E4229" s="430"/>
      <c r="F4229" s="431"/>
      <c r="G4229" s="431"/>
      <c r="H4229" s="436"/>
      <c r="I4229" s="431"/>
      <c r="J4229" s="436"/>
      <c r="K4229" s="437"/>
      <c r="M4229" s="431"/>
    </row>
    <row r="4230" spans="2:13">
      <c r="B4230" s="127"/>
      <c r="C4230" s="127"/>
      <c r="D4230" s="429"/>
      <c r="E4230" s="430"/>
      <c r="F4230" s="431"/>
      <c r="G4230" s="431"/>
      <c r="H4230" s="436"/>
      <c r="I4230" s="431"/>
      <c r="J4230" s="436"/>
      <c r="K4230" s="437"/>
      <c r="M4230" s="431"/>
    </row>
    <row r="4231" spans="2:13">
      <c r="B4231" s="127"/>
      <c r="C4231" s="127"/>
      <c r="D4231" s="429"/>
      <c r="E4231" s="430"/>
      <c r="F4231" s="432"/>
      <c r="G4231" s="432"/>
      <c r="H4231" s="443"/>
      <c r="I4231" s="432"/>
      <c r="J4231" s="443"/>
      <c r="K4231" s="444"/>
      <c r="M4231" s="431"/>
    </row>
    <row r="4232" spans="2:13">
      <c r="B4232" s="127"/>
      <c r="C4232" s="127"/>
      <c r="D4232" s="427"/>
      <c r="E4232" s="427"/>
      <c r="F4232" s="445"/>
      <c r="G4232" s="445"/>
      <c r="H4232" s="446"/>
      <c r="I4232" s="445"/>
      <c r="J4232" s="446"/>
      <c r="K4232" s="447"/>
      <c r="M4232" s="596"/>
    </row>
    <row r="4233" spans="2:13">
      <c r="B4233" s="127"/>
      <c r="C4233" s="127"/>
      <c r="F4233" s="398"/>
      <c r="G4233" s="398"/>
      <c r="H4233" s="398"/>
      <c r="I4233" s="398"/>
      <c r="J4233" s="398"/>
      <c r="K4233" s="398"/>
    </row>
    <row r="4234" spans="2:13">
      <c r="B4234" s="127"/>
      <c r="C4234" s="127"/>
      <c r="D4234" s="427"/>
      <c r="E4234" s="427"/>
      <c r="F4234" s="445"/>
      <c r="G4234" s="445"/>
      <c r="H4234" s="446"/>
      <c r="I4234" s="445"/>
      <c r="J4234" s="446"/>
      <c r="K4234" s="447"/>
      <c r="M4234" s="596"/>
    </row>
    <row r="4235" spans="2:13">
      <c r="B4235" s="127"/>
      <c r="C4235" s="127"/>
      <c r="F4235" s="398"/>
      <c r="G4235" s="398"/>
      <c r="H4235" s="398"/>
      <c r="I4235" s="398"/>
      <c r="J4235" s="398"/>
      <c r="K4235" s="398"/>
    </row>
    <row r="4236" spans="2:13">
      <c r="B4236" s="127"/>
      <c r="C4236" s="127"/>
      <c r="D4236" s="427"/>
      <c r="E4236" s="427"/>
      <c r="F4236" s="445"/>
      <c r="G4236" s="445"/>
      <c r="H4236" s="446"/>
      <c r="I4236" s="445"/>
      <c r="J4236" s="446"/>
      <c r="K4236" s="447"/>
      <c r="M4236" s="596"/>
    </row>
    <row r="4237" spans="2:13">
      <c r="B4237" s="127"/>
      <c r="C4237" s="127"/>
      <c r="F4237" s="398"/>
      <c r="G4237" s="398"/>
      <c r="H4237" s="398"/>
      <c r="I4237" s="398"/>
      <c r="J4237" s="398"/>
      <c r="K4237" s="398"/>
    </row>
    <row r="4238" spans="2:13">
      <c r="B4238" s="127"/>
      <c r="C4238" s="127"/>
      <c r="D4238" s="427"/>
      <c r="E4238" s="427"/>
      <c r="F4238" s="445"/>
      <c r="G4238" s="445"/>
      <c r="H4238" s="446"/>
      <c r="I4238" s="445"/>
      <c r="J4238" s="446"/>
      <c r="K4238" s="447"/>
      <c r="M4238" s="596"/>
    </row>
    <row r="4239" spans="2:13">
      <c r="B4239" s="127"/>
      <c r="C4239" s="127"/>
      <c r="F4239" s="398"/>
      <c r="G4239" s="398"/>
      <c r="H4239" s="398"/>
      <c r="I4239" s="398"/>
      <c r="J4239" s="398"/>
      <c r="K4239" s="398"/>
    </row>
    <row r="4240" spans="2:13">
      <c r="B4240" s="127"/>
      <c r="C4240" s="127"/>
      <c r="D4240" s="427"/>
      <c r="E4240" s="427"/>
      <c r="F4240" s="445"/>
      <c r="G4240" s="445"/>
      <c r="H4240" s="446"/>
      <c r="I4240" s="445"/>
      <c r="J4240" s="446"/>
      <c r="K4240" s="447"/>
      <c r="M4240" s="596"/>
    </row>
    <row r="4241" spans="2:13" ht="16.2" thickBot="1">
      <c r="B4241" s="127"/>
      <c r="C4241" s="127"/>
      <c r="F4241" s="448"/>
      <c r="G4241" s="448"/>
      <c r="H4241" s="448"/>
      <c r="I4241" s="448"/>
      <c r="J4241" s="448"/>
      <c r="K4241" s="448"/>
    </row>
    <row r="4242" spans="2:13" ht="16.2" thickTop="1">
      <c r="B4242" s="127"/>
      <c r="C4242" s="127"/>
      <c r="D4242" s="427"/>
      <c r="E4242" s="427"/>
      <c r="F4242" s="449"/>
      <c r="G4242" s="449"/>
      <c r="H4242" s="450"/>
      <c r="I4242" s="449"/>
      <c r="J4242" s="450"/>
      <c r="K4242" s="451"/>
      <c r="M4242" s="596"/>
    </row>
    <row r="4243" spans="2:13">
      <c r="B4243" s="127"/>
      <c r="C4243" s="127"/>
    </row>
    <row r="4244" spans="2:13">
      <c r="B4244" s="127"/>
      <c r="C4244" s="127"/>
    </row>
    <row r="4245" spans="2:13">
      <c r="B4245" s="127"/>
      <c r="C4245" s="127"/>
    </row>
    <row r="4246" spans="2:13">
      <c r="B4246" s="127"/>
      <c r="C4246" s="127"/>
    </row>
    <row r="4247" spans="2:13">
      <c r="B4247" s="127"/>
      <c r="C4247" s="127"/>
    </row>
    <row r="4248" spans="2:13">
      <c r="B4248" s="127"/>
      <c r="C4248" s="127"/>
      <c r="D4248" s="438"/>
      <c r="E4248" s="438"/>
      <c r="F4248" s="438"/>
      <c r="G4248" s="438"/>
      <c r="H4248" s="438"/>
      <c r="I4248" s="438"/>
      <c r="J4248" s="438"/>
      <c r="K4248" s="438"/>
      <c r="M4248" s="597"/>
    </row>
    <row r="4249" spans="2:13" ht="16.2" thickBot="1">
      <c r="B4249" s="127"/>
      <c r="C4249" s="127"/>
      <c r="D4249" s="439"/>
      <c r="E4249" s="439"/>
      <c r="F4249" s="440"/>
      <c r="G4249" s="440"/>
      <c r="H4249" s="440"/>
      <c r="I4249" s="440"/>
      <c r="J4249" s="439"/>
      <c r="K4249" s="439"/>
    </row>
    <row r="4250" spans="2:13">
      <c r="B4250" s="127"/>
      <c r="C4250" s="127"/>
      <c r="D4250" s="441"/>
      <c r="E4250" s="441"/>
      <c r="F4250" s="441"/>
      <c r="G4250" s="442"/>
      <c r="H4250" s="441"/>
      <c r="I4250" s="441"/>
      <c r="J4250" s="441"/>
      <c r="K4250" s="441"/>
      <c r="M4250" s="455"/>
    </row>
    <row r="4251" spans="2:13">
      <c r="B4251" s="127"/>
      <c r="C4251" s="127"/>
    </row>
    <row r="4252" spans="2:13" ht="18">
      <c r="B4252" s="127"/>
      <c r="C4252" s="127"/>
      <c r="H4252" s="452"/>
      <c r="I4252" s="452"/>
      <c r="J4252" s="452"/>
      <c r="K4252" s="452"/>
      <c r="M4252" s="452"/>
    </row>
    <row r="4253" spans="2:13">
      <c r="B4253" s="127"/>
      <c r="C4253" s="127"/>
    </row>
    <row r="4254" spans="2:13">
      <c r="B4254" s="127"/>
      <c r="C4254" s="127"/>
      <c r="J4254" s="428"/>
    </row>
    <row r="4255" spans="2:13">
      <c r="B4255" s="127"/>
      <c r="C4255" s="127"/>
      <c r="F4255" s="428"/>
      <c r="G4255" s="428"/>
      <c r="H4255" s="428"/>
      <c r="I4255" s="428"/>
      <c r="J4255" s="428"/>
      <c r="K4255" s="428"/>
      <c r="M4255" s="428"/>
    </row>
    <row r="4256" spans="2:13">
      <c r="B4256" s="127"/>
      <c r="C4256" s="127"/>
      <c r="E4256" s="453"/>
      <c r="F4256" s="428"/>
      <c r="G4256" s="428"/>
      <c r="H4256" s="428"/>
      <c r="I4256" s="428"/>
      <c r="J4256" s="428"/>
      <c r="K4256" s="428"/>
      <c r="M4256" s="428"/>
    </row>
    <row r="4257" spans="2:13">
      <c r="B4257" s="127"/>
      <c r="C4257" s="127"/>
    </row>
    <row r="4258" spans="2:13">
      <c r="B4258" s="127"/>
      <c r="C4258" s="127"/>
      <c r="D4258" s="427"/>
      <c r="E4258" s="427"/>
    </row>
    <row r="4259" spans="2:13">
      <c r="B4259" s="127"/>
      <c r="C4259" s="127"/>
      <c r="E4259" s="427"/>
    </row>
    <row r="4260" spans="2:13">
      <c r="B4260" s="127"/>
      <c r="C4260" s="127"/>
      <c r="E4260" s="427"/>
    </row>
    <row r="4261" spans="2:13">
      <c r="B4261" s="127"/>
      <c r="C4261" s="127"/>
      <c r="E4261" s="427"/>
    </row>
    <row r="4262" spans="2:13">
      <c r="B4262" s="127"/>
      <c r="C4262" s="127"/>
      <c r="E4262" s="430"/>
      <c r="F4262" s="431"/>
      <c r="G4262" s="431"/>
      <c r="H4262" s="436"/>
      <c r="I4262" s="431"/>
      <c r="J4262" s="436"/>
      <c r="K4262" s="437"/>
      <c r="M4262" s="431"/>
    </row>
    <row r="4263" spans="2:13">
      <c r="B4263" s="127"/>
      <c r="C4263" s="127"/>
      <c r="E4263" s="430"/>
      <c r="F4263" s="431"/>
      <c r="G4263" s="431"/>
      <c r="H4263" s="436"/>
      <c r="I4263" s="431"/>
      <c r="J4263" s="436"/>
      <c r="K4263" s="437"/>
      <c r="M4263" s="431"/>
    </row>
    <row r="4264" spans="2:13">
      <c r="B4264" s="127"/>
      <c r="C4264" s="127"/>
      <c r="E4264" s="430"/>
      <c r="F4264" s="431"/>
      <c r="G4264" s="431"/>
      <c r="H4264" s="436"/>
      <c r="I4264" s="431"/>
      <c r="J4264" s="436"/>
      <c r="K4264" s="437"/>
      <c r="M4264" s="431"/>
    </row>
    <row r="4265" spans="2:13">
      <c r="B4265" s="127"/>
      <c r="C4265" s="127"/>
      <c r="E4265" s="430"/>
      <c r="F4265" s="432"/>
      <c r="G4265" s="432"/>
      <c r="H4265" s="443"/>
      <c r="I4265" s="432"/>
      <c r="J4265" s="443"/>
      <c r="K4265" s="444"/>
      <c r="M4265" s="431"/>
    </row>
    <row r="4266" spans="2:13">
      <c r="B4266" s="127"/>
      <c r="C4266" s="127"/>
      <c r="D4266" s="427"/>
      <c r="E4266" s="427"/>
      <c r="F4266" s="445"/>
      <c r="G4266" s="445"/>
      <c r="H4266" s="446"/>
      <c r="I4266" s="445"/>
      <c r="J4266" s="446"/>
      <c r="K4266" s="447"/>
      <c r="M4266" s="596"/>
    </row>
    <row r="4267" spans="2:13">
      <c r="B4267" s="127"/>
      <c r="C4267" s="127"/>
      <c r="F4267" s="398"/>
      <c r="G4267" s="398"/>
      <c r="H4267" s="398"/>
      <c r="I4267" s="398"/>
      <c r="J4267" s="398"/>
      <c r="K4267" s="398"/>
    </row>
    <row r="4268" spans="2:13">
      <c r="B4268" s="127"/>
      <c r="C4268" s="127"/>
      <c r="D4268" s="427"/>
      <c r="E4268" s="427"/>
      <c r="F4268" s="445"/>
      <c r="G4268" s="445"/>
      <c r="H4268" s="446"/>
      <c r="I4268" s="445"/>
      <c r="J4268" s="446"/>
      <c r="K4268" s="447"/>
      <c r="M4268" s="596"/>
    </row>
    <row r="4269" spans="2:13">
      <c r="B4269" s="127"/>
      <c r="C4269" s="127"/>
      <c r="F4269" s="398"/>
      <c r="G4269" s="398"/>
      <c r="H4269" s="398"/>
      <c r="I4269" s="398"/>
      <c r="J4269" s="398"/>
      <c r="K4269" s="398"/>
    </row>
    <row r="4270" spans="2:13">
      <c r="B4270" s="127"/>
      <c r="C4270" s="127"/>
      <c r="D4270" s="427"/>
      <c r="E4270" s="427"/>
      <c r="F4270" s="445"/>
      <c r="G4270" s="445"/>
      <c r="H4270" s="446"/>
      <c r="I4270" s="445"/>
      <c r="J4270" s="446"/>
      <c r="K4270" s="447"/>
      <c r="M4270" s="596"/>
    </row>
    <row r="4271" spans="2:13">
      <c r="B4271" s="127"/>
      <c r="C4271" s="127"/>
    </row>
    <row r="4272" spans="2:13">
      <c r="B4272" s="127"/>
      <c r="C4272" s="127"/>
      <c r="E4272" s="427"/>
    </row>
    <row r="4273" spans="2:13">
      <c r="B4273" s="127"/>
      <c r="C4273" s="127"/>
      <c r="E4273" s="427"/>
    </row>
    <row r="4274" spans="2:13">
      <c r="B4274" s="127"/>
      <c r="C4274" s="127"/>
      <c r="E4274" s="427"/>
    </row>
    <row r="4275" spans="2:13">
      <c r="B4275" s="127"/>
      <c r="C4275" s="127"/>
      <c r="E4275" s="430"/>
      <c r="F4275" s="431"/>
      <c r="G4275" s="431"/>
      <c r="H4275" s="436"/>
      <c r="I4275" s="431"/>
      <c r="J4275" s="436"/>
      <c r="K4275" s="437"/>
      <c r="M4275" s="431"/>
    </row>
    <row r="4276" spans="2:13">
      <c r="B4276" s="127"/>
      <c r="C4276" s="127"/>
      <c r="E4276" s="430"/>
      <c r="F4276" s="431"/>
      <c r="G4276" s="431"/>
      <c r="H4276" s="436"/>
      <c r="I4276" s="431"/>
      <c r="J4276" s="436"/>
      <c r="K4276" s="437"/>
      <c r="M4276" s="431"/>
    </row>
    <row r="4277" spans="2:13">
      <c r="B4277" s="127"/>
      <c r="C4277" s="127"/>
      <c r="E4277" s="430"/>
      <c r="F4277" s="431"/>
      <c r="G4277" s="431"/>
      <c r="H4277" s="436"/>
      <c r="I4277" s="431"/>
      <c r="J4277" s="436"/>
      <c r="K4277" s="437"/>
      <c r="M4277" s="431"/>
    </row>
    <row r="4278" spans="2:13">
      <c r="B4278" s="127"/>
      <c r="C4278" s="127"/>
      <c r="E4278" s="430"/>
      <c r="F4278" s="432"/>
      <c r="G4278" s="432"/>
      <c r="H4278" s="443"/>
      <c r="I4278" s="432"/>
      <c r="J4278" s="443"/>
      <c r="K4278" s="444"/>
      <c r="M4278" s="431"/>
    </row>
    <row r="4279" spans="2:13">
      <c r="B4279" s="127"/>
      <c r="C4279" s="127"/>
      <c r="D4279" s="427"/>
      <c r="E4279" s="427"/>
      <c r="F4279" s="445"/>
      <c r="G4279" s="445"/>
      <c r="H4279" s="446"/>
      <c r="I4279" s="445"/>
      <c r="J4279" s="446"/>
      <c r="K4279" s="447"/>
      <c r="M4279" s="596"/>
    </row>
    <row r="4280" spans="2:13">
      <c r="B4280" s="127"/>
      <c r="C4280" s="127"/>
    </row>
    <row r="4281" spans="2:13">
      <c r="B4281" s="127"/>
      <c r="C4281" s="127"/>
      <c r="E4281" s="427"/>
    </row>
    <row r="4282" spans="2:13">
      <c r="B4282" s="127"/>
      <c r="C4282" s="127"/>
      <c r="E4282" s="430"/>
      <c r="F4282" s="431"/>
      <c r="G4282" s="431"/>
      <c r="H4282" s="436"/>
      <c r="I4282" s="431"/>
      <c r="J4282" s="436"/>
      <c r="K4282" s="437"/>
      <c r="M4282" s="431"/>
    </row>
    <row r="4283" spans="2:13">
      <c r="B4283" s="127"/>
      <c r="C4283" s="127"/>
      <c r="E4283" s="430"/>
      <c r="F4283" s="431"/>
      <c r="G4283" s="431"/>
      <c r="H4283" s="436"/>
      <c r="I4283" s="431"/>
      <c r="J4283" s="436"/>
      <c r="K4283" s="437"/>
      <c r="M4283" s="431"/>
    </row>
    <row r="4284" spans="2:13">
      <c r="B4284" s="127"/>
      <c r="C4284" s="127"/>
      <c r="E4284" s="430"/>
      <c r="F4284" s="432"/>
      <c r="G4284" s="432"/>
      <c r="H4284" s="443"/>
      <c r="I4284" s="432"/>
      <c r="J4284" s="443"/>
      <c r="K4284" s="444"/>
      <c r="M4284" s="431"/>
    </row>
    <row r="4285" spans="2:13">
      <c r="B4285" s="127"/>
      <c r="C4285" s="127"/>
      <c r="D4285" s="427"/>
      <c r="E4285" s="427"/>
      <c r="F4285" s="445"/>
      <c r="G4285" s="445"/>
      <c r="H4285" s="446"/>
      <c r="I4285" s="445"/>
      <c r="J4285" s="446"/>
      <c r="K4285" s="447"/>
      <c r="M4285" s="596"/>
    </row>
    <row r="4286" spans="2:13">
      <c r="B4286" s="127"/>
      <c r="C4286" s="127"/>
    </row>
    <row r="4287" spans="2:13">
      <c r="B4287" s="127"/>
      <c r="C4287" s="127"/>
      <c r="E4287" s="427"/>
    </row>
    <row r="4288" spans="2:13">
      <c r="B4288" s="127"/>
      <c r="C4288" s="127"/>
      <c r="E4288" s="430"/>
      <c r="F4288" s="431"/>
      <c r="G4288" s="431"/>
      <c r="H4288" s="436"/>
      <c r="I4288" s="431"/>
      <c r="J4288" s="436"/>
      <c r="K4288" s="437"/>
      <c r="M4288" s="431"/>
    </row>
    <row r="4289" spans="2:13">
      <c r="B4289" s="127"/>
      <c r="C4289" s="127"/>
      <c r="E4289" s="430"/>
      <c r="F4289" s="431"/>
      <c r="G4289" s="431"/>
      <c r="H4289" s="436"/>
      <c r="I4289" s="431"/>
      <c r="J4289" s="436"/>
      <c r="K4289" s="437"/>
      <c r="M4289" s="431"/>
    </row>
    <row r="4290" spans="2:13">
      <c r="B4290" s="127"/>
      <c r="C4290" s="127"/>
      <c r="E4290" s="430"/>
      <c r="F4290" s="431"/>
      <c r="G4290" s="431"/>
      <c r="H4290" s="436"/>
      <c r="I4290" s="431"/>
      <c r="J4290" s="436"/>
      <c r="K4290" s="437"/>
      <c r="M4290" s="431"/>
    </row>
    <row r="4291" spans="2:13">
      <c r="B4291" s="127"/>
      <c r="C4291" s="127"/>
      <c r="E4291" s="430"/>
      <c r="F4291" s="432"/>
      <c r="G4291" s="432"/>
      <c r="H4291" s="443"/>
      <c r="I4291" s="432"/>
      <c r="J4291" s="443"/>
      <c r="K4291" s="444"/>
      <c r="M4291" s="431"/>
    </row>
    <row r="4292" spans="2:13">
      <c r="B4292" s="127"/>
      <c r="C4292" s="127"/>
      <c r="D4292" s="427"/>
      <c r="E4292" s="427"/>
      <c r="F4292" s="445"/>
      <c r="G4292" s="445"/>
      <c r="H4292" s="446"/>
      <c r="I4292" s="445"/>
      <c r="J4292" s="446"/>
      <c r="K4292" s="447"/>
      <c r="M4292" s="596"/>
    </row>
    <row r="4293" spans="2:13">
      <c r="B4293" s="127"/>
      <c r="C4293" s="127"/>
    </row>
    <row r="4294" spans="2:13">
      <c r="B4294" s="127"/>
      <c r="C4294" s="127"/>
      <c r="E4294" s="427"/>
    </row>
    <row r="4295" spans="2:13">
      <c r="B4295" s="127"/>
      <c r="C4295" s="127"/>
      <c r="E4295" s="430"/>
      <c r="F4295" s="431"/>
      <c r="G4295" s="431"/>
      <c r="H4295" s="436"/>
      <c r="I4295" s="431"/>
      <c r="J4295" s="436"/>
      <c r="K4295" s="437"/>
      <c r="M4295" s="431"/>
    </row>
    <row r="4296" spans="2:13">
      <c r="B4296" s="127"/>
      <c r="C4296" s="127"/>
      <c r="E4296" s="430"/>
      <c r="F4296" s="431"/>
      <c r="G4296" s="431"/>
      <c r="H4296" s="436"/>
      <c r="I4296" s="431"/>
      <c r="J4296" s="436"/>
      <c r="K4296" s="437"/>
      <c r="M4296" s="431"/>
    </row>
    <row r="4297" spans="2:13">
      <c r="B4297" s="127"/>
      <c r="C4297" s="127"/>
      <c r="E4297" s="430"/>
      <c r="F4297" s="431"/>
      <c r="G4297" s="431"/>
      <c r="H4297" s="436"/>
      <c r="I4297" s="431"/>
      <c r="J4297" s="436"/>
      <c r="K4297" s="437"/>
      <c r="M4297" s="431"/>
    </row>
    <row r="4298" spans="2:13">
      <c r="B4298" s="127"/>
      <c r="C4298" s="127"/>
      <c r="E4298" s="430"/>
      <c r="F4298" s="432"/>
      <c r="G4298" s="432"/>
      <c r="H4298" s="443"/>
      <c r="I4298" s="432"/>
      <c r="J4298" s="443"/>
      <c r="K4298" s="444"/>
      <c r="M4298" s="431"/>
    </row>
    <row r="4299" spans="2:13">
      <c r="B4299" s="127"/>
      <c r="C4299" s="127"/>
      <c r="D4299" s="427"/>
      <c r="E4299" s="427"/>
      <c r="F4299" s="445"/>
      <c r="G4299" s="445"/>
      <c r="H4299" s="446"/>
      <c r="I4299" s="445"/>
      <c r="J4299" s="446"/>
      <c r="K4299" s="447"/>
      <c r="M4299" s="596"/>
    </row>
    <row r="4300" spans="2:13">
      <c r="B4300" s="127"/>
      <c r="C4300" s="127"/>
    </row>
    <row r="4301" spans="2:13">
      <c r="B4301" s="127"/>
      <c r="C4301" s="127"/>
      <c r="E4301" s="427"/>
    </row>
    <row r="4302" spans="2:13">
      <c r="B4302" s="127"/>
      <c r="C4302" s="127"/>
      <c r="E4302" s="430"/>
      <c r="F4302" s="431"/>
      <c r="G4302" s="431"/>
      <c r="H4302" s="436"/>
      <c r="I4302" s="431"/>
      <c r="J4302" s="436"/>
      <c r="K4302" s="437"/>
      <c r="M4302" s="431"/>
    </row>
    <row r="4303" spans="2:13">
      <c r="B4303" s="127"/>
      <c r="C4303" s="127"/>
      <c r="E4303" s="430"/>
      <c r="F4303" s="432"/>
      <c r="G4303" s="432"/>
      <c r="H4303" s="443"/>
      <c r="I4303" s="432"/>
      <c r="J4303" s="443"/>
      <c r="K4303" s="444"/>
      <c r="M4303" s="431"/>
    </row>
    <row r="4304" spans="2:13">
      <c r="B4304" s="127"/>
      <c r="C4304" s="127"/>
      <c r="D4304" s="427"/>
      <c r="E4304" s="427"/>
      <c r="F4304" s="445"/>
      <c r="G4304" s="445"/>
      <c r="H4304" s="446"/>
      <c r="I4304" s="445"/>
      <c r="J4304" s="446"/>
      <c r="K4304" s="447"/>
      <c r="M4304" s="596"/>
    </row>
    <row r="4305" spans="2:13">
      <c r="B4305" s="127"/>
      <c r="C4305" s="127"/>
      <c r="F4305" s="398"/>
      <c r="G4305" s="398"/>
      <c r="H4305" s="398"/>
      <c r="I4305" s="398"/>
      <c r="J4305" s="398"/>
      <c r="K4305" s="398"/>
    </row>
    <row r="4306" spans="2:13">
      <c r="B4306" s="127"/>
      <c r="C4306" s="127"/>
      <c r="D4306" s="427"/>
      <c r="E4306" s="427"/>
      <c r="F4306" s="445"/>
      <c r="G4306" s="445"/>
      <c r="H4306" s="446"/>
      <c r="I4306" s="445"/>
      <c r="J4306" s="446"/>
      <c r="K4306" s="447"/>
      <c r="M4306" s="596"/>
    </row>
    <row r="4307" spans="2:13">
      <c r="B4307" s="127"/>
      <c r="C4307" s="127"/>
    </row>
    <row r="4308" spans="2:13">
      <c r="B4308" s="127"/>
      <c r="C4308" s="127"/>
      <c r="E4308" s="427"/>
    </row>
    <row r="4309" spans="2:13">
      <c r="B4309" s="127"/>
      <c r="C4309" s="127"/>
      <c r="E4309" s="427"/>
    </row>
    <row r="4310" spans="2:13">
      <c r="B4310" s="127"/>
      <c r="C4310" s="127"/>
      <c r="E4310" s="430"/>
      <c r="F4310" s="431"/>
      <c r="G4310" s="431"/>
      <c r="H4310" s="436"/>
      <c r="I4310" s="431"/>
      <c r="J4310" s="436"/>
      <c r="K4310" s="437"/>
      <c r="M4310" s="431"/>
    </row>
    <row r="4311" spans="2:13">
      <c r="B4311" s="127"/>
      <c r="C4311" s="127"/>
      <c r="E4311" s="430"/>
      <c r="F4311" s="431"/>
      <c r="G4311" s="431"/>
      <c r="H4311" s="436"/>
      <c r="I4311" s="431"/>
      <c r="J4311" s="436"/>
      <c r="K4311" s="437"/>
      <c r="M4311" s="431"/>
    </row>
    <row r="4312" spans="2:13">
      <c r="B4312" s="127"/>
      <c r="C4312" s="127"/>
      <c r="E4312" s="430"/>
      <c r="F4312" s="431"/>
      <c r="G4312" s="431"/>
      <c r="H4312" s="436"/>
      <c r="I4312" s="431"/>
      <c r="J4312" s="436"/>
      <c r="K4312" s="437"/>
      <c r="M4312" s="431"/>
    </row>
    <row r="4313" spans="2:13">
      <c r="B4313" s="127"/>
      <c r="C4313" s="127"/>
      <c r="E4313" s="430"/>
      <c r="F4313" s="431"/>
      <c r="G4313" s="431"/>
      <c r="H4313" s="436"/>
      <c r="I4313" s="431"/>
      <c r="J4313" s="436"/>
      <c r="K4313" s="437"/>
      <c r="M4313" s="431"/>
    </row>
    <row r="4314" spans="2:13">
      <c r="B4314" s="127"/>
      <c r="C4314" s="127"/>
      <c r="E4314" s="430"/>
      <c r="F4314" s="432"/>
      <c r="G4314" s="432"/>
      <c r="H4314" s="443"/>
      <c r="I4314" s="432"/>
      <c r="J4314" s="443"/>
      <c r="K4314" s="444"/>
      <c r="M4314" s="431"/>
    </row>
    <row r="4315" spans="2:13">
      <c r="B4315" s="127"/>
      <c r="C4315" s="127"/>
      <c r="D4315" s="427"/>
      <c r="E4315" s="427"/>
      <c r="F4315" s="445"/>
      <c r="G4315" s="445"/>
      <c r="H4315" s="446"/>
      <c r="I4315" s="445"/>
      <c r="J4315" s="446"/>
      <c r="K4315" s="447"/>
      <c r="M4315" s="596"/>
    </row>
    <row r="4316" spans="2:13">
      <c r="B4316" s="127"/>
      <c r="C4316" s="127"/>
      <c r="F4316" s="398"/>
      <c r="G4316" s="398"/>
      <c r="H4316" s="398"/>
      <c r="I4316" s="398"/>
      <c r="J4316" s="398"/>
      <c r="K4316" s="398"/>
    </row>
    <row r="4317" spans="2:13">
      <c r="B4317" s="127"/>
      <c r="C4317" s="127"/>
      <c r="D4317" s="427"/>
      <c r="E4317" s="427"/>
      <c r="F4317" s="445"/>
      <c r="G4317" s="445"/>
      <c r="H4317" s="446"/>
      <c r="I4317" s="445"/>
      <c r="J4317" s="446"/>
      <c r="K4317" s="447"/>
      <c r="M4317" s="596"/>
    </row>
    <row r="4318" spans="2:13">
      <c r="B4318" s="127"/>
      <c r="C4318" s="127"/>
    </row>
    <row r="4319" spans="2:13">
      <c r="B4319" s="127"/>
      <c r="C4319" s="127"/>
      <c r="E4319" s="427"/>
    </row>
    <row r="4320" spans="2:13">
      <c r="B4320" s="127"/>
      <c r="C4320" s="127"/>
      <c r="E4320" s="427"/>
    </row>
    <row r="4321" spans="2:13">
      <c r="B4321" s="127"/>
      <c r="C4321" s="127"/>
      <c r="E4321" s="430"/>
      <c r="F4321" s="431"/>
      <c r="G4321" s="431"/>
      <c r="H4321" s="436"/>
      <c r="I4321" s="431"/>
      <c r="J4321" s="436"/>
      <c r="K4321" s="437"/>
      <c r="M4321" s="431"/>
    </row>
    <row r="4322" spans="2:13">
      <c r="B4322" s="127"/>
      <c r="C4322" s="127"/>
      <c r="D4322" s="438"/>
      <c r="E4322" s="438"/>
      <c r="F4322" s="438"/>
      <c r="G4322" s="438"/>
      <c r="H4322" s="438"/>
      <c r="I4322" s="438"/>
      <c r="J4322" s="438"/>
      <c r="K4322" s="438"/>
      <c r="M4322" s="597"/>
    </row>
    <row r="4323" spans="2:13">
      <c r="B4323" s="127"/>
      <c r="C4323" s="127"/>
      <c r="D4323" s="454"/>
      <c r="E4323" s="454"/>
      <c r="F4323" s="399"/>
      <c r="G4323" s="399"/>
      <c r="H4323" s="399"/>
      <c r="I4323" s="399"/>
      <c r="J4323" s="454"/>
      <c r="K4323" s="454"/>
    </row>
    <row r="4324" spans="2:13">
      <c r="B4324" s="127"/>
      <c r="C4324" s="127"/>
      <c r="D4324" s="455"/>
      <c r="E4324" s="455"/>
      <c r="F4324" s="455"/>
      <c r="H4324" s="455"/>
      <c r="I4324" s="455"/>
      <c r="J4324" s="455"/>
      <c r="K4324" s="455"/>
      <c r="M4324" s="455"/>
    </row>
    <row r="4325" spans="2:13">
      <c r="B4325" s="127"/>
      <c r="C4325" s="127"/>
    </row>
    <row r="4326" spans="2:13">
      <c r="B4326" s="127"/>
      <c r="C4326" s="127"/>
      <c r="J4326" s="428"/>
    </row>
    <row r="4327" spans="2:13">
      <c r="B4327" s="127"/>
      <c r="C4327" s="127"/>
      <c r="F4327" s="428"/>
      <c r="G4327" s="428"/>
      <c r="H4327" s="428"/>
      <c r="I4327" s="428"/>
      <c r="J4327" s="428"/>
      <c r="K4327" s="428"/>
      <c r="M4327" s="428"/>
    </row>
    <row r="4328" spans="2:13">
      <c r="B4328" s="127"/>
      <c r="C4328" s="127"/>
      <c r="E4328" s="453"/>
      <c r="F4328" s="428"/>
      <c r="G4328" s="428"/>
      <c r="H4328" s="428"/>
      <c r="I4328" s="428"/>
      <c r="J4328" s="428"/>
      <c r="K4328" s="428"/>
      <c r="M4328" s="428"/>
    </row>
    <row r="4329" spans="2:13">
      <c r="B4329" s="127"/>
      <c r="C4329" s="127"/>
    </row>
    <row r="4330" spans="2:13">
      <c r="B4330" s="127"/>
      <c r="C4330" s="127"/>
      <c r="E4330" s="430"/>
      <c r="F4330" s="431"/>
      <c r="G4330" s="431"/>
      <c r="H4330" s="436"/>
      <c r="I4330" s="431"/>
      <c r="J4330" s="436"/>
      <c r="K4330" s="437"/>
      <c r="M4330" s="431"/>
    </row>
    <row r="4331" spans="2:13">
      <c r="B4331" s="127"/>
      <c r="C4331" s="127"/>
      <c r="E4331" s="430"/>
      <c r="F4331" s="432"/>
      <c r="G4331" s="432"/>
      <c r="H4331" s="443"/>
      <c r="I4331" s="432"/>
      <c r="J4331" s="443"/>
      <c r="K4331" s="444"/>
      <c r="M4331" s="431"/>
    </row>
    <row r="4332" spans="2:13">
      <c r="B4332" s="127"/>
      <c r="C4332" s="127"/>
      <c r="D4332" s="427"/>
      <c r="E4332" s="427"/>
      <c r="F4332" s="445"/>
      <c r="G4332" s="445"/>
      <c r="H4332" s="446"/>
      <c r="I4332" s="445"/>
      <c r="J4332" s="446"/>
      <c r="K4332" s="447"/>
      <c r="M4332" s="596"/>
    </row>
    <row r="4333" spans="2:13">
      <c r="B4333" s="127"/>
      <c r="C4333" s="127"/>
      <c r="F4333" s="398"/>
      <c r="G4333" s="398"/>
      <c r="H4333" s="398"/>
      <c r="I4333" s="398"/>
      <c r="J4333" s="398"/>
      <c r="K4333" s="398"/>
    </row>
    <row r="4334" spans="2:13">
      <c r="B4334" s="127"/>
      <c r="C4334" s="127"/>
      <c r="D4334" s="427"/>
      <c r="E4334" s="427"/>
      <c r="F4334" s="445"/>
      <c r="G4334" s="445"/>
      <c r="H4334" s="446"/>
      <c r="I4334" s="445"/>
      <c r="J4334" s="446"/>
      <c r="K4334" s="447"/>
      <c r="M4334" s="596"/>
    </row>
    <row r="4335" spans="2:13">
      <c r="B4335" s="127"/>
      <c r="C4335" s="127"/>
    </row>
    <row r="4336" spans="2:13">
      <c r="B4336" s="127"/>
      <c r="C4336" s="127"/>
      <c r="E4336" s="427"/>
    </row>
    <row r="4337" spans="2:13">
      <c r="B4337" s="127"/>
      <c r="C4337" s="127"/>
      <c r="E4337" s="427"/>
    </row>
    <row r="4338" spans="2:13">
      <c r="B4338" s="127"/>
      <c r="C4338" s="127"/>
      <c r="E4338" s="430"/>
      <c r="F4338" s="431"/>
      <c r="G4338" s="431"/>
      <c r="H4338" s="436"/>
      <c r="I4338" s="431"/>
      <c r="J4338" s="436"/>
      <c r="K4338" s="437"/>
      <c r="M4338" s="431"/>
    </row>
    <row r="4339" spans="2:13">
      <c r="B4339" s="127"/>
      <c r="C4339" s="127"/>
      <c r="E4339" s="430"/>
      <c r="F4339" s="431"/>
      <c r="G4339" s="431"/>
      <c r="H4339" s="436"/>
      <c r="I4339" s="431"/>
      <c r="J4339" s="436"/>
      <c r="K4339" s="437"/>
      <c r="M4339" s="431"/>
    </row>
    <row r="4340" spans="2:13">
      <c r="B4340" s="127"/>
      <c r="C4340" s="127"/>
      <c r="E4340" s="430"/>
      <c r="F4340" s="431"/>
      <c r="G4340" s="431"/>
      <c r="H4340" s="436"/>
      <c r="I4340" s="431"/>
      <c r="J4340" s="436"/>
      <c r="K4340" s="437"/>
      <c r="M4340" s="431"/>
    </row>
    <row r="4341" spans="2:13">
      <c r="B4341" s="127"/>
      <c r="C4341" s="127"/>
      <c r="E4341" s="430"/>
      <c r="F4341" s="432"/>
      <c r="G4341" s="432"/>
      <c r="H4341" s="443"/>
      <c r="I4341" s="432"/>
      <c r="J4341" s="443"/>
      <c r="K4341" s="444"/>
      <c r="M4341" s="431"/>
    </row>
    <row r="4342" spans="2:13">
      <c r="B4342" s="127"/>
      <c r="C4342" s="127"/>
      <c r="D4342" s="427"/>
      <c r="E4342" s="427"/>
      <c r="F4342" s="445"/>
      <c r="G4342" s="445"/>
      <c r="H4342" s="446"/>
      <c r="I4342" s="445"/>
      <c r="J4342" s="446"/>
      <c r="K4342" s="447"/>
      <c r="M4342" s="596"/>
    </row>
    <row r="4343" spans="2:13">
      <c r="B4343" s="127"/>
      <c r="C4343" s="127"/>
    </row>
    <row r="4344" spans="2:13">
      <c r="B4344" s="127"/>
      <c r="C4344" s="127"/>
      <c r="E4344" s="427"/>
    </row>
    <row r="4345" spans="2:13">
      <c r="B4345" s="127"/>
      <c r="C4345" s="127"/>
      <c r="E4345" s="430"/>
      <c r="F4345" s="432"/>
      <c r="G4345" s="432"/>
      <c r="H4345" s="443"/>
      <c r="I4345" s="432"/>
      <c r="J4345" s="443"/>
      <c r="K4345" s="444"/>
      <c r="M4345" s="431"/>
    </row>
    <row r="4346" spans="2:13">
      <c r="B4346" s="127"/>
      <c r="C4346" s="127"/>
      <c r="D4346" s="427"/>
      <c r="E4346" s="427"/>
      <c r="F4346" s="445"/>
      <c r="G4346" s="445"/>
      <c r="H4346" s="446"/>
      <c r="I4346" s="445"/>
      <c r="J4346" s="446"/>
      <c r="K4346" s="447"/>
      <c r="M4346" s="596"/>
    </row>
    <row r="4347" spans="2:13">
      <c r="B4347" s="127"/>
      <c r="C4347" s="127"/>
      <c r="F4347" s="398"/>
      <c r="G4347" s="398"/>
      <c r="H4347" s="398"/>
      <c r="I4347" s="398"/>
      <c r="J4347" s="398"/>
      <c r="K4347" s="398"/>
    </row>
    <row r="4348" spans="2:13">
      <c r="B4348" s="127"/>
      <c r="C4348" s="127"/>
      <c r="D4348" s="427"/>
      <c r="E4348" s="427"/>
      <c r="F4348" s="445"/>
      <c r="G4348" s="445"/>
      <c r="H4348" s="446"/>
      <c r="I4348" s="445"/>
      <c r="J4348" s="446"/>
      <c r="K4348" s="447"/>
      <c r="M4348" s="596"/>
    </row>
    <row r="4349" spans="2:13">
      <c r="B4349" s="127"/>
      <c r="C4349" s="127"/>
    </row>
    <row r="4350" spans="2:13">
      <c r="B4350" s="127"/>
      <c r="C4350" s="127"/>
      <c r="E4350" s="427"/>
    </row>
    <row r="4351" spans="2:13">
      <c r="B4351" s="127"/>
      <c r="C4351" s="127"/>
      <c r="E4351" s="427"/>
    </row>
    <row r="4352" spans="2:13">
      <c r="B4352" s="127"/>
      <c r="C4352" s="127"/>
      <c r="E4352" s="430"/>
      <c r="F4352" s="431"/>
      <c r="G4352" s="431"/>
      <c r="H4352" s="436"/>
      <c r="I4352" s="431"/>
      <c r="J4352" s="436"/>
      <c r="K4352" s="437"/>
      <c r="M4352" s="431"/>
    </row>
    <row r="4353" spans="2:13">
      <c r="B4353" s="127"/>
      <c r="C4353" s="127"/>
      <c r="E4353" s="430"/>
      <c r="F4353" s="431"/>
      <c r="G4353" s="431"/>
      <c r="H4353" s="436"/>
      <c r="I4353" s="431"/>
      <c r="J4353" s="436"/>
      <c r="K4353" s="437"/>
      <c r="M4353" s="431"/>
    </row>
    <row r="4354" spans="2:13">
      <c r="B4354" s="127"/>
      <c r="C4354" s="127"/>
      <c r="E4354" s="430"/>
      <c r="F4354" s="431"/>
      <c r="G4354" s="431"/>
      <c r="H4354" s="436"/>
      <c r="I4354" s="431"/>
      <c r="J4354" s="436"/>
      <c r="K4354" s="437"/>
      <c r="M4354" s="431"/>
    </row>
    <row r="4355" spans="2:13">
      <c r="B4355" s="127"/>
      <c r="C4355" s="127"/>
      <c r="E4355" s="430"/>
      <c r="F4355" s="432"/>
      <c r="G4355" s="432"/>
      <c r="H4355" s="443"/>
      <c r="I4355" s="432"/>
      <c r="J4355" s="443"/>
      <c r="K4355" s="444"/>
      <c r="M4355" s="431"/>
    </row>
    <row r="4356" spans="2:13">
      <c r="B4356" s="127"/>
      <c r="C4356" s="127"/>
      <c r="D4356" s="427"/>
      <c r="E4356" s="427"/>
      <c r="F4356" s="445"/>
      <c r="G4356" s="445"/>
      <c r="H4356" s="446"/>
      <c r="I4356" s="445"/>
      <c r="J4356" s="446"/>
      <c r="K4356" s="447"/>
      <c r="M4356" s="596"/>
    </row>
    <row r="4357" spans="2:13">
      <c r="B4357" s="127"/>
      <c r="C4357" s="127"/>
    </row>
    <row r="4358" spans="2:13">
      <c r="B4358" s="127"/>
      <c r="C4358" s="127"/>
      <c r="E4358" s="427"/>
    </row>
    <row r="4359" spans="2:13">
      <c r="B4359" s="127"/>
      <c r="C4359" s="127"/>
      <c r="E4359" s="430"/>
      <c r="F4359" s="432"/>
      <c r="G4359" s="432"/>
      <c r="H4359" s="443"/>
      <c r="I4359" s="432"/>
      <c r="J4359" s="443"/>
      <c r="K4359" s="444"/>
      <c r="M4359" s="431"/>
    </row>
    <row r="4360" spans="2:13">
      <c r="B4360" s="127"/>
      <c r="C4360" s="127"/>
      <c r="D4360" s="427"/>
      <c r="E4360" s="427"/>
      <c r="F4360" s="445"/>
      <c r="G4360" s="445"/>
      <c r="H4360" s="446"/>
      <c r="I4360" s="445"/>
      <c r="J4360" s="446"/>
      <c r="K4360" s="447"/>
      <c r="M4360" s="596"/>
    </row>
    <row r="4361" spans="2:13">
      <c r="B4361" s="127"/>
      <c r="C4361" s="127"/>
      <c r="F4361" s="398"/>
      <c r="G4361" s="398"/>
      <c r="H4361" s="398"/>
      <c r="I4361" s="398"/>
      <c r="J4361" s="398"/>
      <c r="K4361" s="398"/>
    </row>
    <row r="4362" spans="2:13">
      <c r="B4362" s="127"/>
      <c r="C4362" s="127"/>
      <c r="D4362" s="427"/>
      <c r="E4362" s="427"/>
      <c r="F4362" s="445"/>
      <c r="G4362" s="445"/>
      <c r="H4362" s="446"/>
      <c r="I4362" s="445"/>
      <c r="J4362" s="446"/>
      <c r="K4362" s="447"/>
      <c r="M4362" s="596"/>
    </row>
    <row r="4363" spans="2:13">
      <c r="B4363" s="127"/>
      <c r="C4363" s="127"/>
    </row>
    <row r="4364" spans="2:13">
      <c r="B4364" s="127"/>
      <c r="C4364" s="127"/>
      <c r="E4364" s="427"/>
    </row>
    <row r="4365" spans="2:13">
      <c r="B4365" s="127"/>
      <c r="C4365" s="127"/>
      <c r="E4365" s="427"/>
    </row>
    <row r="4366" spans="2:13">
      <c r="B4366" s="127"/>
      <c r="C4366" s="127"/>
      <c r="E4366" s="430"/>
      <c r="F4366" s="431"/>
      <c r="G4366" s="431"/>
      <c r="H4366" s="436"/>
      <c r="I4366" s="431"/>
      <c r="J4366" s="436"/>
      <c r="K4366" s="437"/>
      <c r="M4366" s="431"/>
    </row>
    <row r="4367" spans="2:13">
      <c r="B4367" s="127"/>
      <c r="C4367" s="127"/>
      <c r="E4367" s="430"/>
      <c r="F4367" s="432"/>
      <c r="G4367" s="432"/>
      <c r="H4367" s="443"/>
      <c r="I4367" s="432"/>
      <c r="J4367" s="443"/>
      <c r="K4367" s="444"/>
      <c r="M4367" s="431"/>
    </row>
    <row r="4368" spans="2:13">
      <c r="B4368" s="127"/>
      <c r="C4368" s="127"/>
      <c r="D4368" s="427"/>
      <c r="E4368" s="427"/>
      <c r="F4368" s="445"/>
      <c r="G4368" s="445"/>
      <c r="H4368" s="446"/>
      <c r="I4368" s="445"/>
      <c r="J4368" s="446"/>
      <c r="K4368" s="447"/>
      <c r="M4368" s="596"/>
    </row>
    <row r="4369" spans="2:13">
      <c r="B4369" s="127"/>
      <c r="C4369" s="127"/>
      <c r="F4369" s="398"/>
      <c r="G4369" s="398"/>
      <c r="H4369" s="398"/>
      <c r="I4369" s="398"/>
      <c r="J4369" s="398"/>
      <c r="K4369" s="398"/>
    </row>
    <row r="4370" spans="2:13">
      <c r="B4370" s="127"/>
      <c r="C4370" s="127"/>
      <c r="D4370" s="427"/>
      <c r="E4370" s="427"/>
      <c r="F4370" s="445"/>
      <c r="G4370" s="445"/>
      <c r="H4370" s="446"/>
      <c r="I4370" s="445"/>
      <c r="J4370" s="446"/>
      <c r="K4370" s="447"/>
      <c r="M4370" s="596"/>
    </row>
    <row r="4371" spans="2:13">
      <c r="B4371" s="127"/>
      <c r="C4371" s="127"/>
    </row>
    <row r="4372" spans="2:13">
      <c r="B4372" s="127"/>
      <c r="C4372" s="127"/>
      <c r="E4372" s="427"/>
    </row>
    <row r="4373" spans="2:13">
      <c r="B4373" s="127"/>
      <c r="C4373" s="127"/>
      <c r="E4373" s="427"/>
    </row>
    <row r="4374" spans="2:13">
      <c r="B4374" s="127"/>
      <c r="C4374" s="127"/>
      <c r="E4374" s="430"/>
      <c r="F4374" s="431"/>
      <c r="G4374" s="431"/>
      <c r="H4374" s="436"/>
      <c r="I4374" s="431"/>
      <c r="J4374" s="436"/>
      <c r="K4374" s="437"/>
      <c r="M4374" s="431"/>
    </row>
    <row r="4375" spans="2:13">
      <c r="B4375" s="127"/>
      <c r="C4375" s="127"/>
      <c r="E4375" s="430"/>
      <c r="F4375" s="431"/>
      <c r="G4375" s="431"/>
      <c r="H4375" s="436"/>
      <c r="I4375" s="431"/>
      <c r="J4375" s="436"/>
      <c r="K4375" s="437"/>
      <c r="M4375" s="431"/>
    </row>
    <row r="4376" spans="2:13">
      <c r="B4376" s="127"/>
      <c r="C4376" s="127"/>
      <c r="E4376" s="430"/>
      <c r="F4376" s="431"/>
      <c r="G4376" s="431"/>
      <c r="H4376" s="436"/>
      <c r="I4376" s="431"/>
      <c r="J4376" s="436"/>
      <c r="K4376" s="437"/>
      <c r="M4376" s="431"/>
    </row>
    <row r="4377" spans="2:13">
      <c r="B4377" s="127"/>
      <c r="C4377" s="127"/>
      <c r="E4377" s="430"/>
      <c r="F4377" s="432"/>
      <c r="G4377" s="432"/>
      <c r="H4377" s="443"/>
      <c r="I4377" s="432"/>
      <c r="J4377" s="443"/>
      <c r="K4377" s="444"/>
      <c r="M4377" s="431"/>
    </row>
    <row r="4378" spans="2:13">
      <c r="B4378" s="127"/>
      <c r="C4378" s="127"/>
      <c r="D4378" s="427"/>
      <c r="E4378" s="427"/>
      <c r="F4378" s="445"/>
      <c r="G4378" s="445"/>
      <c r="H4378" s="446"/>
      <c r="I4378" s="445"/>
      <c r="J4378" s="446"/>
      <c r="K4378" s="447"/>
      <c r="M4378" s="596"/>
    </row>
    <row r="4379" spans="2:13">
      <c r="B4379" s="127"/>
      <c r="C4379" s="127"/>
      <c r="F4379" s="398"/>
      <c r="G4379" s="398"/>
      <c r="H4379" s="398"/>
      <c r="I4379" s="398"/>
      <c r="J4379" s="398"/>
      <c r="K4379" s="398"/>
    </row>
    <row r="4380" spans="2:13">
      <c r="B4380" s="127"/>
      <c r="C4380" s="127"/>
      <c r="D4380" s="427"/>
      <c r="E4380" s="427"/>
      <c r="F4380" s="445"/>
      <c r="G4380" s="445"/>
      <c r="H4380" s="446"/>
      <c r="I4380" s="445"/>
      <c r="J4380" s="446"/>
      <c r="K4380" s="447"/>
      <c r="M4380" s="596"/>
    </row>
    <row r="4381" spans="2:13">
      <c r="B4381" s="127"/>
      <c r="C4381" s="127"/>
    </row>
    <row r="4382" spans="2:13">
      <c r="B4382" s="127"/>
      <c r="C4382" s="127"/>
      <c r="E4382" s="427"/>
    </row>
    <row r="4383" spans="2:13">
      <c r="B4383" s="127"/>
      <c r="C4383" s="127"/>
      <c r="E4383" s="427"/>
    </row>
    <row r="4384" spans="2:13">
      <c r="B4384" s="127"/>
      <c r="C4384" s="127"/>
      <c r="E4384" s="430"/>
      <c r="F4384" s="431"/>
      <c r="G4384" s="431"/>
      <c r="H4384" s="436"/>
      <c r="I4384" s="431"/>
      <c r="J4384" s="436"/>
      <c r="K4384" s="437"/>
      <c r="M4384" s="431"/>
    </row>
    <row r="4385" spans="2:13">
      <c r="B4385" s="127"/>
      <c r="C4385" s="127"/>
      <c r="E4385" s="430"/>
      <c r="F4385" s="431"/>
      <c r="G4385" s="431"/>
      <c r="H4385" s="436"/>
      <c r="I4385" s="431"/>
      <c r="J4385" s="436"/>
      <c r="K4385" s="437"/>
      <c r="M4385" s="431"/>
    </row>
    <row r="4386" spans="2:13">
      <c r="B4386" s="127"/>
      <c r="C4386" s="127"/>
      <c r="E4386" s="430"/>
      <c r="F4386" s="431"/>
      <c r="G4386" s="431"/>
      <c r="H4386" s="436"/>
      <c r="I4386" s="431"/>
      <c r="J4386" s="436"/>
      <c r="K4386" s="437"/>
      <c r="M4386" s="431"/>
    </row>
    <row r="4387" spans="2:13">
      <c r="B4387" s="127"/>
      <c r="C4387" s="127"/>
      <c r="E4387" s="430"/>
      <c r="F4387" s="432"/>
      <c r="G4387" s="432"/>
      <c r="H4387" s="443"/>
      <c r="I4387" s="432"/>
      <c r="J4387" s="443"/>
      <c r="K4387" s="444"/>
      <c r="M4387" s="431"/>
    </row>
    <row r="4388" spans="2:13">
      <c r="B4388" s="127"/>
      <c r="C4388" s="127"/>
      <c r="D4388" s="427"/>
      <c r="E4388" s="427"/>
      <c r="F4388" s="445"/>
      <c r="G4388" s="445"/>
      <c r="H4388" s="446"/>
      <c r="I4388" s="445"/>
      <c r="J4388" s="446"/>
      <c r="K4388" s="447"/>
      <c r="M4388" s="596"/>
    </row>
    <row r="4389" spans="2:13">
      <c r="B4389" s="127"/>
      <c r="C4389" s="127"/>
    </row>
    <row r="4390" spans="2:13">
      <c r="B4390" s="127"/>
      <c r="C4390" s="127"/>
      <c r="E4390" s="427"/>
    </row>
    <row r="4391" spans="2:13">
      <c r="B4391" s="127"/>
      <c r="C4391" s="127"/>
      <c r="E4391" s="430"/>
      <c r="F4391" s="431"/>
      <c r="G4391" s="431"/>
      <c r="H4391" s="436"/>
      <c r="I4391" s="431"/>
      <c r="J4391" s="436"/>
      <c r="K4391" s="437"/>
      <c r="M4391" s="431"/>
    </row>
    <row r="4392" spans="2:13">
      <c r="B4392" s="127"/>
      <c r="C4392" s="127"/>
      <c r="E4392" s="430"/>
      <c r="F4392" s="431"/>
      <c r="G4392" s="431"/>
      <c r="H4392" s="436"/>
      <c r="I4392" s="431"/>
      <c r="J4392" s="436"/>
      <c r="K4392" s="437"/>
      <c r="M4392" s="431"/>
    </row>
    <row r="4393" spans="2:13">
      <c r="B4393" s="127"/>
      <c r="C4393" s="127"/>
      <c r="E4393" s="430"/>
      <c r="F4393" s="431"/>
      <c r="G4393" s="431"/>
      <c r="H4393" s="436"/>
      <c r="I4393" s="431"/>
      <c r="J4393" s="436"/>
      <c r="K4393" s="437"/>
      <c r="M4393" s="431"/>
    </row>
    <row r="4394" spans="2:13">
      <c r="B4394" s="127"/>
      <c r="C4394" s="127"/>
      <c r="E4394" s="430"/>
      <c r="F4394" s="431"/>
      <c r="G4394" s="431"/>
      <c r="H4394" s="436"/>
      <c r="I4394" s="431"/>
      <c r="J4394" s="436"/>
      <c r="K4394" s="437"/>
      <c r="M4394" s="431"/>
    </row>
    <row r="4395" spans="2:13">
      <c r="B4395" s="127"/>
      <c r="C4395" s="127"/>
      <c r="E4395" s="430"/>
      <c r="F4395" s="432"/>
      <c r="G4395" s="432"/>
      <c r="H4395" s="443"/>
      <c r="I4395" s="432"/>
      <c r="J4395" s="443"/>
      <c r="K4395" s="444"/>
      <c r="M4395" s="431"/>
    </row>
    <row r="4396" spans="2:13">
      <c r="B4396" s="127"/>
      <c r="C4396" s="127"/>
      <c r="D4396" s="427"/>
      <c r="E4396" s="427"/>
      <c r="F4396" s="445"/>
      <c r="G4396" s="445"/>
      <c r="H4396" s="446"/>
      <c r="I4396" s="445"/>
      <c r="J4396" s="446"/>
      <c r="K4396" s="447"/>
      <c r="M4396" s="596"/>
    </row>
    <row r="4397" spans="2:13">
      <c r="B4397" s="127"/>
      <c r="C4397" s="127"/>
    </row>
    <row r="4398" spans="2:13">
      <c r="B4398" s="127"/>
      <c r="C4398" s="127"/>
      <c r="D4398" s="438"/>
      <c r="E4398" s="438"/>
      <c r="F4398" s="438"/>
      <c r="G4398" s="438"/>
      <c r="H4398" s="438"/>
      <c r="I4398" s="438"/>
      <c r="J4398" s="438"/>
      <c r="K4398" s="438"/>
      <c r="M4398" s="597"/>
    </row>
    <row r="4399" spans="2:13">
      <c r="B4399" s="127"/>
      <c r="C4399" s="127"/>
      <c r="D4399" s="454"/>
      <c r="E4399" s="454"/>
      <c r="F4399" s="399"/>
      <c r="G4399" s="399"/>
      <c r="H4399" s="399"/>
      <c r="I4399" s="399"/>
      <c r="J4399" s="454"/>
      <c r="K4399" s="454"/>
    </row>
    <row r="4400" spans="2:13">
      <c r="B4400" s="127"/>
      <c r="C4400" s="127"/>
      <c r="D4400" s="455"/>
      <c r="E4400" s="455"/>
      <c r="F4400" s="455"/>
      <c r="H4400" s="455"/>
      <c r="I4400" s="455"/>
      <c r="J4400" s="455"/>
      <c r="K4400" s="455"/>
      <c r="M4400" s="455"/>
    </row>
    <row r="4401" spans="2:13">
      <c r="B4401" s="127"/>
      <c r="C4401" s="127"/>
    </row>
    <row r="4402" spans="2:13">
      <c r="B4402" s="127"/>
      <c r="C4402" s="127"/>
      <c r="J4402" s="428"/>
    </row>
    <row r="4403" spans="2:13">
      <c r="B4403" s="127"/>
      <c r="C4403" s="127"/>
      <c r="F4403" s="428"/>
      <c r="G4403" s="428"/>
      <c r="H4403" s="428"/>
      <c r="I4403" s="428"/>
      <c r="J4403" s="428"/>
      <c r="K4403" s="428"/>
      <c r="M4403" s="428"/>
    </row>
    <row r="4404" spans="2:13">
      <c r="B4404" s="127"/>
      <c r="C4404" s="127"/>
      <c r="E4404" s="453"/>
      <c r="F4404" s="428"/>
      <c r="G4404" s="428"/>
      <c r="H4404" s="428"/>
      <c r="I4404" s="428"/>
      <c r="J4404" s="428"/>
      <c r="K4404" s="428"/>
      <c r="M4404" s="428"/>
    </row>
    <row r="4405" spans="2:13">
      <c r="B4405" s="127"/>
      <c r="C4405" s="127"/>
    </row>
    <row r="4406" spans="2:13">
      <c r="B4406" s="127"/>
      <c r="C4406" s="127"/>
      <c r="E4406" s="427"/>
    </row>
    <row r="4407" spans="2:13">
      <c r="B4407" s="127"/>
      <c r="C4407" s="127"/>
      <c r="E4407" s="430"/>
      <c r="F4407" s="431"/>
      <c r="G4407" s="431"/>
      <c r="H4407" s="436"/>
      <c r="I4407" s="431"/>
      <c r="J4407" s="436"/>
      <c r="K4407" s="437"/>
      <c r="M4407" s="431"/>
    </row>
    <row r="4408" spans="2:13">
      <c r="B4408" s="127"/>
      <c r="C4408" s="127"/>
      <c r="E4408" s="430"/>
      <c r="F4408" s="431"/>
      <c r="G4408" s="431"/>
      <c r="H4408" s="436"/>
      <c r="I4408" s="431"/>
      <c r="J4408" s="436"/>
      <c r="K4408" s="437"/>
      <c r="M4408" s="431"/>
    </row>
    <row r="4409" spans="2:13">
      <c r="B4409" s="127"/>
      <c r="C4409" s="127"/>
      <c r="E4409" s="430"/>
      <c r="F4409" s="431"/>
      <c r="G4409" s="431"/>
      <c r="H4409" s="436"/>
      <c r="I4409" s="431"/>
      <c r="J4409" s="436"/>
      <c r="K4409" s="437"/>
      <c r="M4409" s="431"/>
    </row>
    <row r="4410" spans="2:13">
      <c r="B4410" s="127"/>
      <c r="C4410" s="127"/>
      <c r="E4410" s="430"/>
      <c r="F4410" s="431"/>
      <c r="G4410" s="431"/>
      <c r="H4410" s="436"/>
      <c r="I4410" s="431"/>
      <c r="J4410" s="436"/>
      <c r="K4410" s="437"/>
      <c r="M4410" s="431"/>
    </row>
    <row r="4411" spans="2:13">
      <c r="B4411" s="127"/>
      <c r="C4411" s="127"/>
      <c r="E4411" s="430"/>
      <c r="F4411" s="432"/>
      <c r="G4411" s="432"/>
      <c r="H4411" s="443"/>
      <c r="I4411" s="432"/>
      <c r="J4411" s="443"/>
      <c r="K4411" s="444"/>
      <c r="M4411" s="431"/>
    </row>
    <row r="4412" spans="2:13">
      <c r="B4412" s="127"/>
      <c r="C4412" s="127"/>
      <c r="D4412" s="427"/>
      <c r="E4412" s="427"/>
      <c r="F4412" s="445"/>
      <c r="G4412" s="445"/>
      <c r="H4412" s="446"/>
      <c r="I4412" s="445"/>
      <c r="J4412" s="446"/>
      <c r="K4412" s="447"/>
      <c r="M4412" s="596"/>
    </row>
    <row r="4413" spans="2:13">
      <c r="B4413" s="127"/>
      <c r="C4413" s="127"/>
      <c r="F4413" s="398"/>
      <c r="G4413" s="398"/>
      <c r="H4413" s="398"/>
      <c r="I4413" s="398"/>
      <c r="J4413" s="398"/>
      <c r="K4413" s="398"/>
    </row>
    <row r="4414" spans="2:13">
      <c r="B4414" s="127"/>
      <c r="C4414" s="127"/>
      <c r="D4414" s="427"/>
      <c r="E4414" s="427"/>
      <c r="F4414" s="445"/>
      <c r="G4414" s="445"/>
      <c r="H4414" s="446"/>
      <c r="I4414" s="445"/>
      <c r="J4414" s="446"/>
      <c r="K4414" s="447"/>
      <c r="M4414" s="596"/>
    </row>
    <row r="4415" spans="2:13">
      <c r="B4415" s="127"/>
      <c r="C4415" s="127"/>
    </row>
    <row r="4416" spans="2:13">
      <c r="B4416" s="127"/>
      <c r="C4416" s="127"/>
      <c r="E4416" s="427"/>
    </row>
    <row r="4417" spans="2:13">
      <c r="B4417" s="127"/>
      <c r="C4417" s="127"/>
      <c r="E4417" s="427"/>
    </row>
    <row r="4418" spans="2:13">
      <c r="B4418" s="127"/>
      <c r="C4418" s="127"/>
      <c r="E4418" s="430"/>
      <c r="F4418" s="431"/>
      <c r="G4418" s="431"/>
      <c r="H4418" s="436"/>
      <c r="I4418" s="431"/>
      <c r="J4418" s="436"/>
      <c r="K4418" s="437"/>
      <c r="M4418" s="431"/>
    </row>
    <row r="4419" spans="2:13">
      <c r="B4419" s="127"/>
      <c r="C4419" s="127"/>
      <c r="E4419" s="430"/>
      <c r="F4419" s="431"/>
      <c r="G4419" s="431"/>
      <c r="H4419" s="436"/>
      <c r="I4419" s="431"/>
      <c r="J4419" s="436"/>
      <c r="K4419" s="437"/>
      <c r="M4419" s="431"/>
    </row>
    <row r="4420" spans="2:13">
      <c r="B4420" s="127"/>
      <c r="C4420" s="127"/>
      <c r="E4420" s="430"/>
      <c r="F4420" s="431"/>
      <c r="G4420" s="431"/>
      <c r="H4420" s="436"/>
      <c r="I4420" s="431"/>
      <c r="J4420" s="436"/>
      <c r="K4420" s="437"/>
      <c r="M4420" s="431"/>
    </row>
    <row r="4421" spans="2:13">
      <c r="B4421" s="127"/>
      <c r="C4421" s="127"/>
      <c r="E4421" s="430"/>
      <c r="F4421" s="431"/>
      <c r="G4421" s="431"/>
      <c r="H4421" s="436"/>
      <c r="I4421" s="431"/>
      <c r="J4421" s="436"/>
      <c r="K4421" s="437"/>
      <c r="M4421" s="431"/>
    </row>
    <row r="4422" spans="2:13">
      <c r="B4422" s="127"/>
      <c r="C4422" s="127"/>
      <c r="E4422" s="430"/>
      <c r="F4422" s="432"/>
      <c r="G4422" s="432"/>
      <c r="H4422" s="443"/>
      <c r="I4422" s="432"/>
      <c r="J4422" s="443"/>
      <c r="K4422" s="444"/>
      <c r="M4422" s="431"/>
    </row>
    <row r="4423" spans="2:13">
      <c r="B4423" s="127"/>
      <c r="C4423" s="127"/>
      <c r="D4423" s="427"/>
      <c r="E4423" s="427"/>
      <c r="F4423" s="445"/>
      <c r="G4423" s="445"/>
      <c r="H4423" s="446"/>
      <c r="I4423" s="445"/>
      <c r="J4423" s="446"/>
      <c r="K4423" s="447"/>
      <c r="M4423" s="596"/>
    </row>
    <row r="4424" spans="2:13">
      <c r="B4424" s="127"/>
      <c r="C4424" s="127"/>
    </row>
    <row r="4425" spans="2:13">
      <c r="B4425" s="127"/>
      <c r="C4425" s="127"/>
      <c r="E4425" s="427"/>
    </row>
    <row r="4426" spans="2:13">
      <c r="B4426" s="127"/>
      <c r="C4426" s="127"/>
      <c r="E4426" s="430"/>
      <c r="F4426" s="431"/>
      <c r="G4426" s="431"/>
      <c r="H4426" s="436"/>
      <c r="I4426" s="431"/>
      <c r="J4426" s="436"/>
      <c r="K4426" s="437"/>
      <c r="M4426" s="431"/>
    </row>
    <row r="4427" spans="2:13">
      <c r="B4427" s="127"/>
      <c r="C4427" s="127"/>
      <c r="E4427" s="430"/>
      <c r="F4427" s="431"/>
      <c r="G4427" s="431"/>
      <c r="H4427" s="436"/>
      <c r="I4427" s="431"/>
      <c r="J4427" s="436"/>
      <c r="K4427" s="437"/>
      <c r="M4427" s="431"/>
    </row>
    <row r="4428" spans="2:13">
      <c r="B4428" s="127"/>
      <c r="C4428" s="127"/>
      <c r="E4428" s="430"/>
      <c r="F4428" s="431"/>
      <c r="G4428" s="431"/>
      <c r="H4428" s="436"/>
      <c r="I4428" s="431"/>
      <c r="J4428" s="436"/>
      <c r="K4428" s="437"/>
      <c r="M4428" s="431"/>
    </row>
    <row r="4429" spans="2:13">
      <c r="B4429" s="127"/>
      <c r="C4429" s="127"/>
      <c r="E4429" s="430"/>
      <c r="F4429" s="431"/>
      <c r="G4429" s="431"/>
      <c r="H4429" s="436"/>
      <c r="I4429" s="431"/>
      <c r="J4429" s="436"/>
      <c r="K4429" s="437"/>
      <c r="M4429" s="431"/>
    </row>
    <row r="4430" spans="2:13">
      <c r="B4430" s="127"/>
      <c r="C4430" s="127"/>
      <c r="E4430" s="430"/>
      <c r="F4430" s="432"/>
      <c r="G4430" s="432"/>
      <c r="H4430" s="443"/>
      <c r="I4430" s="432"/>
      <c r="J4430" s="443"/>
      <c r="K4430" s="444"/>
      <c r="M4430" s="431"/>
    </row>
    <row r="4431" spans="2:13">
      <c r="B4431" s="127"/>
      <c r="C4431" s="127"/>
      <c r="D4431" s="427"/>
      <c r="E4431" s="427"/>
      <c r="F4431" s="445"/>
      <c r="G4431" s="445"/>
      <c r="H4431" s="446"/>
      <c r="I4431" s="445"/>
      <c r="J4431" s="446"/>
      <c r="K4431" s="447"/>
      <c r="M4431" s="596"/>
    </row>
    <row r="4432" spans="2:13">
      <c r="B4432" s="127"/>
      <c r="C4432" s="127"/>
    </row>
    <row r="4433" spans="2:13">
      <c r="B4433" s="127"/>
      <c r="C4433" s="127"/>
      <c r="E4433" s="427"/>
    </row>
    <row r="4434" spans="2:13">
      <c r="B4434" s="127"/>
      <c r="C4434" s="127"/>
      <c r="E4434" s="430"/>
      <c r="F4434" s="431"/>
      <c r="G4434" s="431"/>
      <c r="H4434" s="436"/>
      <c r="I4434" s="431"/>
      <c r="J4434" s="436"/>
      <c r="K4434" s="437"/>
      <c r="M4434" s="431"/>
    </row>
    <row r="4435" spans="2:13">
      <c r="B4435" s="127"/>
      <c r="C4435" s="127"/>
      <c r="E4435" s="430"/>
      <c r="F4435" s="431"/>
      <c r="G4435" s="431"/>
      <c r="H4435" s="436"/>
      <c r="I4435" s="431"/>
      <c r="J4435" s="436"/>
      <c r="K4435" s="437"/>
      <c r="M4435" s="431"/>
    </row>
    <row r="4436" spans="2:13">
      <c r="B4436" s="127"/>
      <c r="C4436" s="127"/>
      <c r="E4436" s="430"/>
      <c r="F4436" s="431"/>
      <c r="G4436" s="431"/>
      <c r="H4436" s="436"/>
      <c r="I4436" s="431"/>
      <c r="J4436" s="436"/>
      <c r="K4436" s="437"/>
      <c r="M4436" s="431"/>
    </row>
    <row r="4437" spans="2:13">
      <c r="B4437" s="127"/>
      <c r="C4437" s="127"/>
      <c r="E4437" s="430"/>
      <c r="F4437" s="431"/>
      <c r="G4437" s="431"/>
      <c r="H4437" s="436"/>
      <c r="I4437" s="431"/>
      <c r="J4437" s="436"/>
      <c r="K4437" s="437"/>
      <c r="M4437" s="431"/>
    </row>
    <row r="4438" spans="2:13">
      <c r="B4438" s="127"/>
      <c r="C4438" s="127"/>
      <c r="E4438" s="430"/>
      <c r="F4438" s="432"/>
      <c r="G4438" s="432"/>
      <c r="H4438" s="443"/>
      <c r="I4438" s="432"/>
      <c r="J4438" s="443"/>
      <c r="K4438" s="444"/>
      <c r="M4438" s="431"/>
    </row>
    <row r="4439" spans="2:13">
      <c r="B4439" s="127"/>
      <c r="C4439" s="127"/>
      <c r="D4439" s="427"/>
      <c r="E4439" s="427"/>
      <c r="F4439" s="445"/>
      <c r="G4439" s="445"/>
      <c r="H4439" s="446"/>
      <c r="I4439" s="445"/>
      <c r="J4439" s="446"/>
      <c r="K4439" s="447"/>
      <c r="M4439" s="596"/>
    </row>
    <row r="4440" spans="2:13">
      <c r="B4440" s="127"/>
      <c r="C4440" s="127"/>
    </row>
    <row r="4441" spans="2:13">
      <c r="B4441" s="127"/>
      <c r="C4441" s="127"/>
      <c r="E4441" s="427"/>
    </row>
    <row r="4442" spans="2:13">
      <c r="B4442" s="127"/>
      <c r="C4442" s="127"/>
      <c r="E4442" s="430"/>
      <c r="F4442" s="431"/>
      <c r="G4442" s="431"/>
      <c r="H4442" s="436"/>
      <c r="I4442" s="431"/>
      <c r="J4442" s="436"/>
      <c r="K4442" s="437"/>
      <c r="M4442" s="431"/>
    </row>
    <row r="4443" spans="2:13">
      <c r="B4443" s="127"/>
      <c r="C4443" s="127"/>
      <c r="E4443" s="430"/>
      <c r="F4443" s="431"/>
      <c r="G4443" s="431"/>
      <c r="H4443" s="436"/>
      <c r="I4443" s="431"/>
      <c r="J4443" s="436"/>
      <c r="K4443" s="437"/>
      <c r="M4443" s="431"/>
    </row>
    <row r="4444" spans="2:13">
      <c r="B4444" s="127"/>
      <c r="C4444" s="127"/>
      <c r="E4444" s="430"/>
      <c r="F4444" s="431"/>
      <c r="G4444" s="431"/>
      <c r="H4444" s="436"/>
      <c r="I4444" s="431"/>
      <c r="J4444" s="436"/>
      <c r="K4444" s="437"/>
      <c r="M4444" s="431"/>
    </row>
    <row r="4445" spans="2:13">
      <c r="B4445" s="127"/>
      <c r="C4445" s="127"/>
      <c r="E4445" s="430"/>
      <c r="F4445" s="431"/>
      <c r="G4445" s="431"/>
      <c r="H4445" s="436"/>
      <c r="I4445" s="431"/>
      <c r="J4445" s="436"/>
      <c r="K4445" s="437"/>
      <c r="M4445" s="431"/>
    </row>
    <row r="4446" spans="2:13">
      <c r="B4446" s="127"/>
      <c r="C4446" s="127"/>
      <c r="E4446" s="430"/>
      <c r="F4446" s="432"/>
      <c r="G4446" s="432"/>
      <c r="H4446" s="443"/>
      <c r="I4446" s="432"/>
      <c r="J4446" s="443"/>
      <c r="K4446" s="444"/>
      <c r="M4446" s="431"/>
    </row>
    <row r="4447" spans="2:13">
      <c r="B4447" s="127"/>
      <c r="C4447" s="127"/>
      <c r="D4447" s="427"/>
      <c r="E4447" s="427"/>
      <c r="F4447" s="445"/>
      <c r="G4447" s="445"/>
      <c r="H4447" s="446"/>
      <c r="I4447" s="445"/>
      <c r="J4447" s="446"/>
      <c r="K4447" s="447"/>
      <c r="M4447" s="596"/>
    </row>
    <row r="4448" spans="2:13">
      <c r="B4448" s="127"/>
      <c r="C4448" s="127"/>
    </row>
    <row r="4449" spans="2:13">
      <c r="B4449" s="127"/>
      <c r="C4449" s="127"/>
      <c r="E4449" s="427"/>
    </row>
    <row r="4450" spans="2:13">
      <c r="B4450" s="127"/>
      <c r="C4450" s="127"/>
      <c r="E4450" s="430"/>
      <c r="F4450" s="431"/>
      <c r="G4450" s="431"/>
      <c r="H4450" s="436"/>
      <c r="I4450" s="431"/>
      <c r="J4450" s="436"/>
      <c r="K4450" s="437"/>
      <c r="M4450" s="431"/>
    </row>
    <row r="4451" spans="2:13">
      <c r="B4451" s="127"/>
      <c r="C4451" s="127"/>
      <c r="E4451" s="430"/>
      <c r="F4451" s="431"/>
      <c r="G4451" s="431"/>
      <c r="H4451" s="436"/>
      <c r="I4451" s="431"/>
      <c r="J4451" s="436"/>
      <c r="K4451" s="437"/>
      <c r="M4451" s="431"/>
    </row>
    <row r="4452" spans="2:13">
      <c r="B4452" s="127"/>
      <c r="C4452" s="127"/>
      <c r="E4452" s="430"/>
      <c r="F4452" s="431"/>
      <c r="G4452" s="431"/>
      <c r="H4452" s="436"/>
      <c r="I4452" s="431"/>
      <c r="J4452" s="436"/>
      <c r="K4452" s="437"/>
      <c r="M4452" s="431"/>
    </row>
    <row r="4453" spans="2:13">
      <c r="B4453" s="127"/>
      <c r="C4453" s="127"/>
      <c r="E4453" s="430"/>
      <c r="F4453" s="431"/>
      <c r="G4453" s="431"/>
      <c r="H4453" s="436"/>
      <c r="I4453" s="431"/>
      <c r="J4453" s="436"/>
      <c r="K4453" s="437"/>
      <c r="M4453" s="431"/>
    </row>
    <row r="4454" spans="2:13">
      <c r="B4454" s="127"/>
      <c r="C4454" s="127"/>
      <c r="E4454" s="430"/>
      <c r="F4454" s="432"/>
      <c r="G4454" s="432"/>
      <c r="H4454" s="443"/>
      <c r="I4454" s="432"/>
      <c r="J4454" s="443"/>
      <c r="K4454" s="444"/>
      <c r="M4454" s="431"/>
    </row>
    <row r="4455" spans="2:13">
      <c r="B4455" s="127"/>
      <c r="C4455" s="127"/>
      <c r="D4455" s="427"/>
      <c r="E4455" s="427"/>
      <c r="F4455" s="445"/>
      <c r="G4455" s="445"/>
      <c r="H4455" s="446"/>
      <c r="I4455" s="445"/>
      <c r="J4455" s="446"/>
      <c r="K4455" s="447"/>
      <c r="M4455" s="596"/>
    </row>
    <row r="4456" spans="2:13">
      <c r="B4456" s="127"/>
      <c r="C4456" s="127"/>
      <c r="F4456" s="398"/>
      <c r="G4456" s="398"/>
      <c r="H4456" s="398"/>
      <c r="I4456" s="398"/>
      <c r="J4456" s="398"/>
      <c r="K4456" s="398"/>
    </row>
    <row r="4457" spans="2:13">
      <c r="B4457" s="127"/>
      <c r="C4457" s="127"/>
      <c r="D4457" s="427"/>
      <c r="E4457" s="427"/>
      <c r="F4457" s="445"/>
      <c r="G4457" s="445"/>
      <c r="H4457" s="446"/>
      <c r="I4457" s="445"/>
      <c r="J4457" s="446"/>
      <c r="K4457" s="447"/>
      <c r="M4457" s="596"/>
    </row>
    <row r="4458" spans="2:13">
      <c r="B4458" s="127"/>
      <c r="C4458" s="127"/>
    </row>
    <row r="4459" spans="2:13">
      <c r="B4459" s="127"/>
      <c r="C4459" s="127"/>
      <c r="E4459" s="427"/>
    </row>
    <row r="4460" spans="2:13">
      <c r="B4460" s="127"/>
      <c r="C4460" s="127"/>
      <c r="E4460" s="427"/>
    </row>
    <row r="4461" spans="2:13">
      <c r="B4461" s="127"/>
      <c r="C4461" s="127"/>
      <c r="E4461" s="430"/>
      <c r="F4461" s="431"/>
      <c r="G4461" s="431"/>
      <c r="H4461" s="436"/>
      <c r="I4461" s="431"/>
      <c r="J4461" s="436"/>
      <c r="K4461" s="437"/>
      <c r="M4461" s="431"/>
    </row>
    <row r="4462" spans="2:13">
      <c r="B4462" s="127"/>
      <c r="C4462" s="127"/>
      <c r="E4462" s="430"/>
      <c r="F4462" s="431"/>
      <c r="G4462" s="431"/>
      <c r="H4462" s="436"/>
      <c r="I4462" s="431"/>
      <c r="J4462" s="436"/>
      <c r="K4462" s="437"/>
      <c r="M4462" s="431"/>
    </row>
    <row r="4463" spans="2:13">
      <c r="B4463" s="127"/>
      <c r="C4463" s="127"/>
      <c r="E4463" s="430"/>
      <c r="F4463" s="431"/>
      <c r="G4463" s="431"/>
      <c r="H4463" s="436"/>
      <c r="I4463" s="431"/>
      <c r="J4463" s="436"/>
      <c r="K4463" s="437"/>
      <c r="M4463" s="431"/>
    </row>
    <row r="4464" spans="2:13">
      <c r="B4464" s="127"/>
      <c r="C4464" s="127"/>
      <c r="E4464" s="430"/>
      <c r="F4464" s="431"/>
      <c r="G4464" s="431"/>
      <c r="H4464" s="436"/>
      <c r="I4464" s="431"/>
      <c r="J4464" s="436"/>
      <c r="K4464" s="437"/>
      <c r="M4464" s="431"/>
    </row>
    <row r="4465" spans="2:13">
      <c r="B4465" s="127"/>
      <c r="C4465" s="127"/>
      <c r="E4465" s="430"/>
      <c r="F4465" s="432"/>
      <c r="G4465" s="432"/>
      <c r="H4465" s="443"/>
      <c r="I4465" s="432"/>
      <c r="J4465" s="443"/>
      <c r="K4465" s="444"/>
      <c r="M4465" s="431"/>
    </row>
    <row r="4466" spans="2:13">
      <c r="B4466" s="127"/>
      <c r="C4466" s="127"/>
      <c r="D4466" s="427"/>
      <c r="E4466" s="427"/>
      <c r="F4466" s="445"/>
      <c r="G4466" s="445"/>
      <c r="H4466" s="446"/>
      <c r="I4466" s="445"/>
      <c r="J4466" s="446"/>
      <c r="K4466" s="447"/>
      <c r="M4466" s="596"/>
    </row>
    <row r="4467" spans="2:13">
      <c r="B4467" s="127"/>
      <c r="C4467" s="127"/>
    </row>
    <row r="4468" spans="2:13">
      <c r="B4468" s="127"/>
      <c r="C4468" s="127"/>
      <c r="E4468" s="427"/>
    </row>
    <row r="4469" spans="2:13">
      <c r="B4469" s="127"/>
      <c r="C4469" s="127"/>
      <c r="E4469" s="430"/>
      <c r="F4469" s="431"/>
      <c r="G4469" s="431"/>
      <c r="H4469" s="436"/>
      <c r="I4469" s="431"/>
      <c r="J4469" s="436"/>
      <c r="K4469" s="437"/>
      <c r="M4469" s="431"/>
    </row>
    <row r="4470" spans="2:13">
      <c r="B4470" s="127"/>
      <c r="C4470" s="127"/>
    </row>
    <row r="4471" spans="2:13">
      <c r="B4471" s="127"/>
      <c r="C4471" s="127"/>
      <c r="D4471" s="438"/>
      <c r="E4471" s="438"/>
      <c r="F4471" s="438"/>
      <c r="G4471" s="438"/>
      <c r="H4471" s="438"/>
      <c r="I4471" s="438"/>
      <c r="J4471" s="438"/>
      <c r="K4471" s="438"/>
      <c r="M4471" s="597"/>
    </row>
    <row r="4472" spans="2:13">
      <c r="B4472" s="127"/>
      <c r="C4472" s="127"/>
      <c r="D4472" s="454"/>
      <c r="E4472" s="454"/>
      <c r="F4472" s="399"/>
      <c r="G4472" s="399"/>
      <c r="H4472" s="399"/>
      <c r="I4472" s="399"/>
      <c r="J4472" s="454"/>
      <c r="K4472" s="454"/>
    </row>
    <row r="4473" spans="2:13">
      <c r="B4473" s="127"/>
      <c r="C4473" s="127"/>
      <c r="D4473" s="455"/>
      <c r="E4473" s="455"/>
      <c r="F4473" s="455"/>
      <c r="H4473" s="455"/>
      <c r="I4473" s="455"/>
      <c r="J4473" s="455"/>
      <c r="K4473" s="455"/>
      <c r="M4473" s="455"/>
    </row>
    <row r="4474" spans="2:13">
      <c r="B4474" s="127"/>
      <c r="C4474" s="127"/>
    </row>
    <row r="4475" spans="2:13">
      <c r="B4475" s="127"/>
      <c r="C4475" s="127"/>
      <c r="J4475" s="428"/>
    </row>
    <row r="4476" spans="2:13">
      <c r="B4476" s="127"/>
      <c r="C4476" s="127"/>
      <c r="F4476" s="428"/>
      <c r="G4476" s="428"/>
      <c r="H4476" s="428"/>
      <c r="I4476" s="428"/>
      <c r="J4476" s="428"/>
      <c r="K4476" s="428"/>
      <c r="M4476" s="428"/>
    </row>
    <row r="4477" spans="2:13">
      <c r="B4477" s="127"/>
      <c r="C4477" s="127"/>
      <c r="E4477" s="453"/>
      <c r="F4477" s="428"/>
      <c r="G4477" s="428"/>
      <c r="H4477" s="428"/>
      <c r="I4477" s="428"/>
      <c r="J4477" s="428"/>
      <c r="K4477" s="428"/>
      <c r="M4477" s="428"/>
    </row>
    <row r="4478" spans="2:13">
      <c r="B4478" s="127"/>
      <c r="C4478" s="127"/>
    </row>
    <row r="4479" spans="2:13">
      <c r="B4479" s="127"/>
      <c r="C4479" s="127"/>
      <c r="E4479" s="430"/>
      <c r="F4479" s="431"/>
      <c r="G4479" s="431"/>
      <c r="H4479" s="436"/>
      <c r="I4479" s="431"/>
      <c r="J4479" s="436"/>
      <c r="K4479" s="437"/>
      <c r="M4479" s="431"/>
    </row>
    <row r="4480" spans="2:13">
      <c r="B4480" s="127"/>
      <c r="C4480" s="127"/>
      <c r="E4480" s="430"/>
      <c r="F4480" s="431"/>
      <c r="G4480" s="431"/>
      <c r="H4480" s="436"/>
      <c r="I4480" s="431"/>
      <c r="J4480" s="436"/>
      <c r="K4480" s="437"/>
      <c r="M4480" s="431"/>
    </row>
    <row r="4481" spans="2:13">
      <c r="B4481" s="127"/>
      <c r="C4481" s="127"/>
      <c r="E4481" s="430"/>
      <c r="F4481" s="431"/>
      <c r="G4481" s="431"/>
      <c r="H4481" s="436"/>
      <c r="I4481" s="431"/>
      <c r="J4481" s="436"/>
      <c r="K4481" s="437"/>
      <c r="M4481" s="431"/>
    </row>
    <row r="4482" spans="2:13">
      <c r="B4482" s="127"/>
      <c r="C4482" s="127"/>
      <c r="E4482" s="430"/>
      <c r="F4482" s="432"/>
      <c r="G4482" s="432"/>
      <c r="H4482" s="443"/>
      <c r="I4482" s="432"/>
      <c r="J4482" s="443"/>
      <c r="K4482" s="444"/>
      <c r="M4482" s="431"/>
    </row>
    <row r="4483" spans="2:13">
      <c r="B4483" s="127"/>
      <c r="C4483" s="127"/>
      <c r="D4483" s="427"/>
      <c r="E4483" s="427"/>
      <c r="F4483" s="445"/>
      <c r="G4483" s="445"/>
      <c r="H4483" s="446"/>
      <c r="I4483" s="445"/>
      <c r="J4483" s="446"/>
      <c r="K4483" s="447"/>
      <c r="M4483" s="596"/>
    </row>
    <row r="4484" spans="2:13">
      <c r="B4484" s="127"/>
      <c r="C4484" s="127"/>
    </row>
    <row r="4485" spans="2:13">
      <c r="B4485" s="127"/>
      <c r="C4485" s="127"/>
      <c r="E4485" s="427"/>
    </row>
    <row r="4486" spans="2:13">
      <c r="B4486" s="127"/>
      <c r="C4486" s="127"/>
      <c r="E4486" s="430"/>
      <c r="F4486" s="431"/>
      <c r="G4486" s="431"/>
      <c r="H4486" s="436"/>
      <c r="I4486" s="431"/>
      <c r="J4486" s="436"/>
      <c r="K4486" s="437"/>
      <c r="M4486" s="431"/>
    </row>
    <row r="4487" spans="2:13">
      <c r="B4487" s="127"/>
      <c r="C4487" s="127"/>
      <c r="E4487" s="430"/>
      <c r="F4487" s="431"/>
      <c r="G4487" s="431"/>
      <c r="H4487" s="436"/>
      <c r="I4487" s="431"/>
      <c r="J4487" s="436"/>
      <c r="K4487" s="437"/>
      <c r="M4487" s="431"/>
    </row>
    <row r="4488" spans="2:13">
      <c r="B4488" s="127"/>
      <c r="C4488" s="127"/>
      <c r="E4488" s="430"/>
      <c r="F4488" s="431"/>
      <c r="G4488" s="431"/>
      <c r="H4488" s="436"/>
      <c r="I4488" s="431"/>
      <c r="J4488" s="436"/>
      <c r="K4488" s="437"/>
      <c r="M4488" s="431"/>
    </row>
    <row r="4489" spans="2:13">
      <c r="B4489" s="127"/>
      <c r="C4489" s="127"/>
      <c r="E4489" s="430"/>
      <c r="F4489" s="432"/>
      <c r="G4489" s="432"/>
      <c r="H4489" s="443"/>
      <c r="I4489" s="432"/>
      <c r="J4489" s="443"/>
      <c r="K4489" s="444"/>
      <c r="M4489" s="431"/>
    </row>
    <row r="4490" spans="2:13">
      <c r="B4490" s="127"/>
      <c r="C4490" s="127"/>
      <c r="D4490" s="427"/>
      <c r="E4490" s="427"/>
      <c r="F4490" s="445"/>
      <c r="G4490" s="445"/>
      <c r="H4490" s="446"/>
      <c r="I4490" s="445"/>
      <c r="J4490" s="446"/>
      <c r="K4490" s="447"/>
      <c r="M4490" s="596"/>
    </row>
    <row r="4491" spans="2:13">
      <c r="B4491" s="127"/>
      <c r="C4491" s="127"/>
    </row>
    <row r="4492" spans="2:13">
      <c r="B4492" s="127"/>
      <c r="C4492" s="127"/>
      <c r="E4492" s="427"/>
    </row>
    <row r="4493" spans="2:13">
      <c r="B4493" s="127"/>
      <c r="C4493" s="127"/>
      <c r="E4493" s="430"/>
      <c r="F4493" s="431"/>
      <c r="G4493" s="431"/>
      <c r="H4493" s="436"/>
      <c r="I4493" s="431"/>
      <c r="J4493" s="436"/>
      <c r="K4493" s="437"/>
      <c r="M4493" s="431"/>
    </row>
    <row r="4494" spans="2:13">
      <c r="B4494" s="127"/>
      <c r="C4494" s="127"/>
      <c r="E4494" s="430"/>
      <c r="F4494" s="431"/>
      <c r="G4494" s="431"/>
      <c r="H4494" s="436"/>
      <c r="I4494" s="431"/>
      <c r="J4494" s="436"/>
      <c r="K4494" s="437"/>
      <c r="M4494" s="431"/>
    </row>
    <row r="4495" spans="2:13">
      <c r="B4495" s="127"/>
      <c r="C4495" s="127"/>
      <c r="E4495" s="430"/>
      <c r="F4495" s="431"/>
      <c r="G4495" s="431"/>
      <c r="H4495" s="436"/>
      <c r="I4495" s="431"/>
      <c r="J4495" s="436"/>
      <c r="K4495" s="437"/>
      <c r="M4495" s="431"/>
    </row>
    <row r="4496" spans="2:13">
      <c r="B4496" s="127"/>
      <c r="C4496" s="127"/>
      <c r="E4496" s="430"/>
      <c r="F4496" s="432"/>
      <c r="G4496" s="432"/>
      <c r="H4496" s="443"/>
      <c r="I4496" s="432"/>
      <c r="J4496" s="443"/>
      <c r="K4496" s="444"/>
      <c r="M4496" s="431"/>
    </row>
    <row r="4497" spans="2:13">
      <c r="B4497" s="127"/>
      <c r="C4497" s="127"/>
      <c r="D4497" s="427"/>
      <c r="E4497" s="427"/>
      <c r="F4497" s="445"/>
      <c r="G4497" s="445"/>
      <c r="H4497" s="446"/>
      <c r="I4497" s="445"/>
      <c r="J4497" s="446"/>
      <c r="K4497" s="447"/>
      <c r="M4497" s="596"/>
    </row>
    <row r="4498" spans="2:13">
      <c r="B4498" s="127"/>
      <c r="C4498" s="127"/>
      <c r="F4498" s="398"/>
      <c r="G4498" s="398"/>
      <c r="H4498" s="398"/>
      <c r="I4498" s="398"/>
      <c r="J4498" s="398"/>
      <c r="K4498" s="398"/>
    </row>
    <row r="4499" spans="2:13">
      <c r="B4499" s="127"/>
      <c r="C4499" s="127"/>
      <c r="D4499" s="427"/>
      <c r="E4499" s="427"/>
      <c r="F4499" s="445"/>
      <c r="G4499" s="445"/>
      <c r="H4499" s="446"/>
      <c r="I4499" s="445"/>
      <c r="J4499" s="446"/>
      <c r="K4499" s="447"/>
      <c r="M4499" s="596"/>
    </row>
    <row r="4500" spans="2:13">
      <c r="B4500" s="127"/>
      <c r="C4500" s="127"/>
    </row>
    <row r="4501" spans="2:13">
      <c r="B4501" s="127"/>
      <c r="C4501" s="127"/>
      <c r="E4501" s="427"/>
    </row>
    <row r="4502" spans="2:13">
      <c r="B4502" s="127"/>
      <c r="C4502" s="127"/>
      <c r="E4502" s="427"/>
    </row>
    <row r="4503" spans="2:13">
      <c r="B4503" s="127"/>
      <c r="C4503" s="127"/>
      <c r="E4503" s="430"/>
      <c r="F4503" s="431"/>
      <c r="G4503" s="431"/>
      <c r="H4503" s="436"/>
      <c r="I4503" s="431"/>
      <c r="J4503" s="436"/>
      <c r="K4503" s="437"/>
      <c r="M4503" s="431"/>
    </row>
    <row r="4504" spans="2:13">
      <c r="B4504" s="127"/>
      <c r="C4504" s="127"/>
      <c r="E4504" s="430"/>
      <c r="F4504" s="431"/>
      <c r="G4504" s="431"/>
      <c r="H4504" s="436"/>
      <c r="I4504" s="431"/>
      <c r="J4504" s="436"/>
      <c r="K4504" s="437"/>
      <c r="M4504" s="431"/>
    </row>
    <row r="4505" spans="2:13">
      <c r="B4505" s="127"/>
      <c r="C4505" s="127"/>
      <c r="E4505" s="430"/>
      <c r="F4505" s="431"/>
      <c r="G4505" s="431"/>
      <c r="H4505" s="436"/>
      <c r="I4505" s="431"/>
      <c r="J4505" s="436"/>
      <c r="K4505" s="437"/>
      <c r="M4505" s="431"/>
    </row>
    <row r="4506" spans="2:13">
      <c r="B4506" s="127"/>
      <c r="C4506" s="127"/>
      <c r="E4506" s="430"/>
      <c r="F4506" s="432"/>
      <c r="G4506" s="432"/>
      <c r="H4506" s="443"/>
      <c r="I4506" s="432"/>
      <c r="J4506" s="443"/>
      <c r="K4506" s="444"/>
      <c r="M4506" s="431"/>
    </row>
    <row r="4507" spans="2:13">
      <c r="B4507" s="127"/>
      <c r="C4507" s="127"/>
      <c r="D4507" s="427"/>
      <c r="E4507" s="427"/>
      <c r="F4507" s="445"/>
      <c r="G4507" s="445"/>
      <c r="H4507" s="446"/>
      <c r="I4507" s="445"/>
      <c r="J4507" s="446"/>
      <c r="K4507" s="447"/>
      <c r="M4507" s="596"/>
    </row>
    <row r="4508" spans="2:13">
      <c r="B4508" s="127"/>
      <c r="C4508" s="127"/>
    </row>
    <row r="4509" spans="2:13">
      <c r="B4509" s="127"/>
      <c r="C4509" s="127"/>
      <c r="E4509" s="427"/>
    </row>
    <row r="4510" spans="2:13">
      <c r="B4510" s="127"/>
      <c r="C4510" s="127"/>
      <c r="E4510" s="430"/>
      <c r="F4510" s="431"/>
      <c r="G4510" s="431"/>
      <c r="H4510" s="436"/>
      <c r="I4510" s="431"/>
      <c r="J4510" s="436"/>
      <c r="K4510" s="437"/>
      <c r="M4510" s="431"/>
    </row>
    <row r="4511" spans="2:13">
      <c r="B4511" s="127"/>
      <c r="C4511" s="127"/>
      <c r="E4511" s="430"/>
      <c r="F4511" s="431"/>
      <c r="G4511" s="431"/>
      <c r="H4511" s="436"/>
      <c r="I4511" s="431"/>
      <c r="J4511" s="436"/>
      <c r="K4511" s="437"/>
      <c r="M4511" s="431"/>
    </row>
    <row r="4512" spans="2:13">
      <c r="B4512" s="127"/>
      <c r="C4512" s="127"/>
      <c r="E4512" s="430"/>
      <c r="F4512" s="431"/>
      <c r="G4512" s="431"/>
      <c r="H4512" s="436"/>
      <c r="I4512" s="431"/>
      <c r="J4512" s="436"/>
      <c r="K4512" s="437"/>
      <c r="M4512" s="431"/>
    </row>
    <row r="4513" spans="2:13">
      <c r="B4513" s="127"/>
      <c r="C4513" s="127"/>
      <c r="E4513" s="430"/>
      <c r="F4513" s="432"/>
      <c r="G4513" s="432"/>
      <c r="H4513" s="443"/>
      <c r="I4513" s="432"/>
      <c r="J4513" s="443"/>
      <c r="K4513" s="444"/>
      <c r="M4513" s="431"/>
    </row>
    <row r="4514" spans="2:13">
      <c r="B4514" s="127"/>
      <c r="C4514" s="127"/>
      <c r="D4514" s="427"/>
      <c r="E4514" s="427"/>
      <c r="F4514" s="445"/>
      <c r="G4514" s="445"/>
      <c r="H4514" s="446"/>
      <c r="I4514" s="445"/>
      <c r="J4514" s="446"/>
      <c r="K4514" s="447"/>
      <c r="M4514" s="596"/>
    </row>
    <row r="4515" spans="2:13">
      <c r="B4515" s="127"/>
      <c r="C4515" s="127"/>
    </row>
    <row r="4516" spans="2:13">
      <c r="B4516" s="127"/>
      <c r="C4516" s="127"/>
      <c r="E4516" s="427"/>
    </row>
    <row r="4517" spans="2:13">
      <c r="B4517" s="127"/>
      <c r="C4517" s="127"/>
      <c r="E4517" s="430"/>
      <c r="F4517" s="431"/>
      <c r="G4517" s="431"/>
      <c r="H4517" s="436"/>
      <c r="I4517" s="431"/>
      <c r="J4517" s="436"/>
      <c r="K4517" s="437"/>
      <c r="M4517" s="431"/>
    </row>
    <row r="4518" spans="2:13">
      <c r="B4518" s="127"/>
      <c r="C4518" s="127"/>
      <c r="E4518" s="430"/>
      <c r="F4518" s="431"/>
      <c r="G4518" s="431"/>
      <c r="H4518" s="436"/>
      <c r="I4518" s="431"/>
      <c r="J4518" s="436"/>
      <c r="K4518" s="437"/>
      <c r="M4518" s="431"/>
    </row>
    <row r="4519" spans="2:13">
      <c r="B4519" s="127"/>
      <c r="C4519" s="127"/>
      <c r="E4519" s="430"/>
      <c r="F4519" s="431"/>
      <c r="G4519" s="431"/>
      <c r="H4519" s="436"/>
      <c r="I4519" s="431"/>
      <c r="J4519" s="436"/>
      <c r="K4519" s="437"/>
      <c r="M4519" s="431"/>
    </row>
    <row r="4520" spans="2:13">
      <c r="B4520" s="127"/>
      <c r="C4520" s="127"/>
      <c r="E4520" s="430"/>
      <c r="F4520" s="431"/>
      <c r="G4520" s="431"/>
      <c r="H4520" s="436"/>
      <c r="I4520" s="431"/>
      <c r="J4520" s="436"/>
      <c r="K4520" s="437"/>
      <c r="M4520" s="431"/>
    </row>
    <row r="4521" spans="2:13">
      <c r="B4521" s="127"/>
      <c r="C4521" s="127"/>
      <c r="E4521" s="430"/>
      <c r="F4521" s="431"/>
      <c r="G4521" s="431"/>
      <c r="H4521" s="436"/>
      <c r="I4521" s="431"/>
      <c r="J4521" s="436"/>
      <c r="K4521" s="437"/>
      <c r="M4521" s="431"/>
    </row>
    <row r="4522" spans="2:13">
      <c r="B4522" s="127"/>
      <c r="C4522" s="127"/>
      <c r="E4522" s="430"/>
      <c r="F4522" s="432"/>
      <c r="G4522" s="432"/>
      <c r="H4522" s="443"/>
      <c r="I4522" s="432"/>
      <c r="J4522" s="443"/>
      <c r="K4522" s="444"/>
      <c r="M4522" s="431"/>
    </row>
    <row r="4523" spans="2:13">
      <c r="B4523" s="127"/>
      <c r="C4523" s="127"/>
      <c r="D4523" s="427"/>
      <c r="E4523" s="427"/>
      <c r="F4523" s="445"/>
      <c r="G4523" s="445"/>
      <c r="H4523" s="446"/>
      <c r="I4523" s="445"/>
      <c r="J4523" s="446"/>
      <c r="K4523" s="447"/>
      <c r="M4523" s="596"/>
    </row>
    <row r="4524" spans="2:13">
      <c r="B4524" s="127"/>
      <c r="C4524" s="127"/>
    </row>
    <row r="4525" spans="2:13">
      <c r="B4525" s="127"/>
      <c r="C4525" s="127"/>
      <c r="E4525" s="427"/>
    </row>
    <row r="4526" spans="2:13">
      <c r="B4526" s="127"/>
      <c r="C4526" s="127"/>
      <c r="E4526" s="430"/>
      <c r="F4526" s="432"/>
      <c r="G4526" s="432"/>
      <c r="H4526" s="443"/>
      <c r="I4526" s="432"/>
      <c r="J4526" s="443"/>
      <c r="K4526" s="444"/>
      <c r="M4526" s="431"/>
    </row>
    <row r="4527" spans="2:13">
      <c r="B4527" s="127"/>
      <c r="C4527" s="127"/>
      <c r="D4527" s="427"/>
      <c r="E4527" s="427"/>
      <c r="F4527" s="445"/>
      <c r="G4527" s="445"/>
      <c r="H4527" s="446"/>
      <c r="I4527" s="445"/>
      <c r="J4527" s="446"/>
      <c r="K4527" s="447"/>
      <c r="M4527" s="596"/>
    </row>
    <row r="4528" spans="2:13">
      <c r="B4528" s="127"/>
      <c r="C4528" s="127"/>
      <c r="F4528" s="398"/>
      <c r="G4528" s="398"/>
      <c r="H4528" s="398"/>
      <c r="I4528" s="398"/>
      <c r="J4528" s="398"/>
      <c r="K4528" s="398"/>
    </row>
    <row r="4529" spans="2:13">
      <c r="B4529" s="127"/>
      <c r="C4529" s="127"/>
      <c r="D4529" s="427"/>
      <c r="E4529" s="427"/>
      <c r="F4529" s="445"/>
      <c r="G4529" s="445"/>
      <c r="H4529" s="446"/>
      <c r="I4529" s="445"/>
      <c r="J4529" s="446"/>
      <c r="K4529" s="447"/>
      <c r="M4529" s="596"/>
    </row>
    <row r="4530" spans="2:13">
      <c r="B4530" s="127"/>
      <c r="C4530" s="127"/>
    </row>
    <row r="4531" spans="2:13">
      <c r="B4531" s="127"/>
      <c r="C4531" s="127"/>
      <c r="E4531" s="427"/>
    </row>
    <row r="4532" spans="2:13">
      <c r="B4532" s="127"/>
      <c r="C4532" s="127"/>
      <c r="E4532" s="427"/>
    </row>
    <row r="4533" spans="2:13">
      <c r="B4533" s="127"/>
      <c r="C4533" s="127"/>
      <c r="E4533" s="430"/>
      <c r="F4533" s="431"/>
      <c r="G4533" s="431"/>
      <c r="H4533" s="436"/>
      <c r="I4533" s="431"/>
      <c r="J4533" s="436"/>
      <c r="K4533" s="437"/>
      <c r="M4533" s="431"/>
    </row>
    <row r="4534" spans="2:13">
      <c r="B4534" s="127"/>
      <c r="C4534" s="127"/>
      <c r="E4534" s="430"/>
      <c r="F4534" s="431"/>
      <c r="G4534" s="431"/>
      <c r="H4534" s="436"/>
      <c r="I4534" s="431"/>
      <c r="J4534" s="436"/>
      <c r="K4534" s="437"/>
      <c r="M4534" s="431"/>
    </row>
    <row r="4535" spans="2:13">
      <c r="B4535" s="127"/>
      <c r="C4535" s="127"/>
      <c r="E4535" s="430"/>
      <c r="F4535" s="431"/>
      <c r="G4535" s="431"/>
      <c r="H4535" s="436"/>
      <c r="I4535" s="431"/>
      <c r="J4535" s="436"/>
      <c r="K4535" s="437"/>
      <c r="M4535" s="431"/>
    </row>
    <row r="4536" spans="2:13">
      <c r="B4536" s="127"/>
      <c r="C4536" s="127"/>
      <c r="E4536" s="430"/>
      <c r="F4536" s="431"/>
      <c r="G4536" s="431"/>
      <c r="H4536" s="436"/>
      <c r="I4536" s="431"/>
      <c r="J4536" s="436"/>
      <c r="K4536" s="437"/>
      <c r="M4536" s="431"/>
    </row>
    <row r="4537" spans="2:13">
      <c r="B4537" s="127"/>
      <c r="C4537" s="127"/>
      <c r="E4537" s="430"/>
      <c r="F4537" s="432"/>
      <c r="G4537" s="432"/>
      <c r="H4537" s="443"/>
      <c r="I4537" s="432"/>
      <c r="J4537" s="443"/>
      <c r="K4537" s="444"/>
      <c r="M4537" s="431"/>
    </row>
    <row r="4538" spans="2:13">
      <c r="B4538" s="127"/>
      <c r="C4538" s="127"/>
      <c r="D4538" s="427"/>
      <c r="E4538" s="427"/>
      <c r="F4538" s="445"/>
      <c r="G4538" s="445"/>
      <c r="H4538" s="446"/>
      <c r="I4538" s="445"/>
      <c r="J4538" s="446"/>
      <c r="K4538" s="447"/>
      <c r="M4538" s="596"/>
    </row>
    <row r="4539" spans="2:13">
      <c r="B4539" s="127"/>
      <c r="C4539" s="127"/>
      <c r="F4539" s="398"/>
      <c r="G4539" s="398"/>
      <c r="H4539" s="398"/>
      <c r="I4539" s="398"/>
      <c r="J4539" s="398"/>
      <c r="K4539" s="398"/>
    </row>
    <row r="4540" spans="2:13">
      <c r="B4540" s="127"/>
      <c r="C4540" s="127"/>
      <c r="D4540" s="427"/>
      <c r="E4540" s="427"/>
      <c r="F4540" s="445"/>
      <c r="G4540" s="445"/>
      <c r="H4540" s="446"/>
      <c r="I4540" s="445"/>
      <c r="J4540" s="446"/>
      <c r="K4540" s="447"/>
      <c r="M4540" s="596"/>
    </row>
    <row r="4541" spans="2:13">
      <c r="B4541" s="127"/>
      <c r="C4541" s="127"/>
    </row>
    <row r="4542" spans="2:13">
      <c r="B4542" s="127"/>
      <c r="C4542" s="127"/>
      <c r="E4542" s="427"/>
    </row>
    <row r="4543" spans="2:13">
      <c r="B4543" s="127"/>
      <c r="C4543" s="127"/>
      <c r="E4543" s="427"/>
    </row>
    <row r="4544" spans="2:13">
      <c r="B4544" s="127"/>
      <c r="C4544" s="127"/>
      <c r="E4544" s="430"/>
      <c r="F4544" s="431"/>
      <c r="G4544" s="431"/>
      <c r="H4544" s="436"/>
      <c r="I4544" s="431"/>
      <c r="J4544" s="436"/>
      <c r="K4544" s="437"/>
      <c r="M4544" s="431"/>
    </row>
    <row r="4545" spans="2:13">
      <c r="B4545" s="127"/>
      <c r="C4545" s="127"/>
      <c r="D4545" s="438"/>
      <c r="E4545" s="438"/>
      <c r="F4545" s="438"/>
      <c r="G4545" s="438"/>
      <c r="H4545" s="438"/>
      <c r="I4545" s="438"/>
      <c r="J4545" s="438"/>
      <c r="K4545" s="438"/>
      <c r="M4545" s="597"/>
    </row>
    <row r="4546" spans="2:13">
      <c r="B4546" s="127"/>
      <c r="C4546" s="127"/>
      <c r="D4546" s="454"/>
      <c r="E4546" s="454"/>
      <c r="F4546" s="399"/>
      <c r="G4546" s="399"/>
      <c r="H4546" s="399"/>
      <c r="I4546" s="399"/>
      <c r="J4546" s="454"/>
      <c r="K4546" s="454"/>
    </row>
    <row r="4547" spans="2:13">
      <c r="B4547" s="127"/>
      <c r="C4547" s="127"/>
      <c r="D4547" s="455"/>
      <c r="E4547" s="455"/>
      <c r="F4547" s="455"/>
      <c r="H4547" s="455"/>
      <c r="I4547" s="455"/>
      <c r="J4547" s="455"/>
      <c r="K4547" s="455"/>
      <c r="M4547" s="455"/>
    </row>
    <row r="4548" spans="2:13">
      <c r="B4548" s="127"/>
      <c r="C4548" s="127"/>
    </row>
    <row r="4549" spans="2:13">
      <c r="B4549" s="127"/>
      <c r="C4549" s="127"/>
      <c r="J4549" s="428"/>
    </row>
    <row r="4550" spans="2:13">
      <c r="B4550" s="127"/>
      <c r="C4550" s="127"/>
      <c r="F4550" s="428"/>
      <c r="G4550" s="428"/>
      <c r="H4550" s="428"/>
      <c r="I4550" s="428"/>
      <c r="J4550" s="428"/>
      <c r="K4550" s="428"/>
      <c r="M4550" s="428"/>
    </row>
    <row r="4551" spans="2:13">
      <c r="B4551" s="127"/>
      <c r="C4551" s="127"/>
      <c r="E4551" s="453"/>
      <c r="F4551" s="428"/>
      <c r="G4551" s="428"/>
      <c r="H4551" s="428"/>
      <c r="I4551" s="428"/>
      <c r="J4551" s="428"/>
      <c r="K4551" s="428"/>
      <c r="M4551" s="428"/>
    </row>
    <row r="4552" spans="2:13">
      <c r="B4552" s="127"/>
      <c r="C4552" s="127"/>
    </row>
    <row r="4553" spans="2:13">
      <c r="B4553" s="127"/>
      <c r="C4553" s="127"/>
      <c r="E4553" s="430"/>
      <c r="F4553" s="431"/>
      <c r="G4553" s="431"/>
      <c r="H4553" s="436"/>
      <c r="I4553" s="431"/>
      <c r="J4553" s="436"/>
      <c r="K4553" s="437"/>
      <c r="M4553" s="431"/>
    </row>
    <row r="4554" spans="2:13">
      <c r="B4554" s="127"/>
      <c r="C4554" s="127"/>
      <c r="E4554" s="430"/>
      <c r="F4554" s="431"/>
      <c r="G4554" s="431"/>
      <c r="H4554" s="436"/>
      <c r="I4554" s="431"/>
      <c r="J4554" s="436"/>
      <c r="K4554" s="437"/>
      <c r="M4554" s="431"/>
    </row>
    <row r="4555" spans="2:13">
      <c r="B4555" s="127"/>
      <c r="C4555" s="127"/>
      <c r="E4555" s="430"/>
      <c r="F4555" s="432"/>
      <c r="G4555" s="432"/>
      <c r="H4555" s="443"/>
      <c r="I4555" s="432"/>
      <c r="J4555" s="443"/>
      <c r="K4555" s="444"/>
      <c r="M4555" s="431"/>
    </row>
    <row r="4556" spans="2:13">
      <c r="B4556" s="127"/>
      <c r="C4556" s="127"/>
      <c r="D4556" s="427"/>
      <c r="E4556" s="427"/>
      <c r="F4556" s="445"/>
      <c r="G4556" s="445"/>
      <c r="H4556" s="446"/>
      <c r="I4556" s="445"/>
      <c r="J4556" s="446"/>
      <c r="K4556" s="447"/>
      <c r="M4556" s="596"/>
    </row>
    <row r="4557" spans="2:13">
      <c r="B4557" s="127"/>
      <c r="C4557" s="127"/>
    </row>
    <row r="4558" spans="2:13">
      <c r="B4558" s="127"/>
      <c r="C4558" s="127"/>
      <c r="E4558" s="427"/>
    </row>
    <row r="4559" spans="2:13">
      <c r="B4559" s="127"/>
      <c r="C4559" s="127"/>
      <c r="E4559" s="430"/>
      <c r="F4559" s="431"/>
      <c r="G4559" s="431"/>
      <c r="H4559" s="436"/>
      <c r="I4559" s="431"/>
      <c r="J4559" s="436"/>
      <c r="K4559" s="437"/>
      <c r="M4559" s="431"/>
    </row>
    <row r="4560" spans="2:13">
      <c r="B4560" s="127"/>
      <c r="C4560" s="127"/>
      <c r="E4560" s="430"/>
      <c r="F4560" s="431"/>
      <c r="G4560" s="431"/>
      <c r="H4560" s="436"/>
      <c r="I4560" s="431"/>
      <c r="J4560" s="436"/>
      <c r="K4560" s="437"/>
      <c r="M4560" s="431"/>
    </row>
    <row r="4561" spans="2:13">
      <c r="B4561" s="127"/>
      <c r="C4561" s="127"/>
      <c r="E4561" s="430"/>
      <c r="F4561" s="431"/>
      <c r="G4561" s="431"/>
      <c r="H4561" s="436"/>
      <c r="I4561" s="431"/>
      <c r="J4561" s="436"/>
      <c r="K4561" s="437"/>
      <c r="M4561" s="431"/>
    </row>
    <row r="4562" spans="2:13">
      <c r="B4562" s="127"/>
      <c r="C4562" s="127"/>
      <c r="E4562" s="430"/>
      <c r="F4562" s="431"/>
      <c r="G4562" s="431"/>
      <c r="H4562" s="436"/>
      <c r="I4562" s="431"/>
      <c r="J4562" s="436"/>
      <c r="K4562" s="437"/>
      <c r="M4562" s="431"/>
    </row>
    <row r="4563" spans="2:13">
      <c r="B4563" s="127"/>
      <c r="C4563" s="127"/>
      <c r="E4563" s="430"/>
      <c r="F4563" s="432"/>
      <c r="G4563" s="432"/>
      <c r="H4563" s="443"/>
      <c r="I4563" s="432"/>
      <c r="J4563" s="443"/>
      <c r="K4563" s="444"/>
      <c r="M4563" s="431"/>
    </row>
    <row r="4564" spans="2:13">
      <c r="B4564" s="127"/>
      <c r="C4564" s="127"/>
      <c r="D4564" s="427"/>
      <c r="E4564" s="427"/>
      <c r="F4564" s="445"/>
      <c r="G4564" s="445"/>
      <c r="H4564" s="446"/>
      <c r="I4564" s="445"/>
      <c r="J4564" s="446"/>
      <c r="K4564" s="447"/>
      <c r="M4564" s="596"/>
    </row>
    <row r="4565" spans="2:13">
      <c r="B4565" s="127"/>
      <c r="C4565" s="127"/>
    </row>
    <row r="4566" spans="2:13">
      <c r="B4566" s="127"/>
      <c r="C4566" s="127"/>
      <c r="E4566" s="427"/>
    </row>
    <row r="4567" spans="2:13">
      <c r="B4567" s="127"/>
      <c r="C4567" s="127"/>
      <c r="E4567" s="430"/>
      <c r="F4567" s="431"/>
      <c r="G4567" s="431"/>
      <c r="H4567" s="436"/>
      <c r="I4567" s="431"/>
      <c r="J4567" s="436"/>
      <c r="K4567" s="437"/>
      <c r="M4567" s="431"/>
    </row>
    <row r="4568" spans="2:13">
      <c r="B4568" s="127"/>
      <c r="C4568" s="127"/>
      <c r="E4568" s="430"/>
      <c r="F4568" s="431"/>
      <c r="G4568" s="431"/>
      <c r="H4568" s="436"/>
      <c r="I4568" s="431"/>
      <c r="J4568" s="436"/>
      <c r="K4568" s="437"/>
      <c r="M4568" s="431"/>
    </row>
    <row r="4569" spans="2:13">
      <c r="B4569" s="127"/>
      <c r="C4569" s="127"/>
      <c r="E4569" s="430"/>
      <c r="F4569" s="431"/>
      <c r="G4569" s="431"/>
      <c r="H4569" s="436"/>
      <c r="I4569" s="431"/>
      <c r="J4569" s="436"/>
      <c r="K4569" s="437"/>
      <c r="M4569" s="431"/>
    </row>
    <row r="4570" spans="2:13">
      <c r="B4570" s="127"/>
      <c r="C4570" s="127"/>
      <c r="E4570" s="430"/>
      <c r="F4570" s="431"/>
      <c r="G4570" s="431"/>
      <c r="H4570" s="436"/>
      <c r="I4570" s="431"/>
      <c r="J4570" s="436"/>
      <c r="K4570" s="437"/>
      <c r="M4570" s="431"/>
    </row>
    <row r="4571" spans="2:13">
      <c r="B4571" s="127"/>
      <c r="C4571" s="127"/>
      <c r="E4571" s="430"/>
      <c r="F4571" s="431"/>
      <c r="G4571" s="431"/>
      <c r="H4571" s="436"/>
      <c r="I4571" s="431"/>
      <c r="J4571" s="436"/>
      <c r="K4571" s="437"/>
      <c r="M4571" s="431"/>
    </row>
    <row r="4572" spans="2:13">
      <c r="B4572" s="127"/>
      <c r="C4572" s="127"/>
      <c r="E4572" s="430"/>
      <c r="F4572" s="432"/>
      <c r="G4572" s="432"/>
      <c r="H4572" s="443"/>
      <c r="I4572" s="432"/>
      <c r="J4572" s="443"/>
      <c r="K4572" s="444"/>
      <c r="M4572" s="431"/>
    </row>
    <row r="4573" spans="2:13">
      <c r="B4573" s="127"/>
      <c r="C4573" s="127"/>
      <c r="D4573" s="427"/>
      <c r="E4573" s="427"/>
      <c r="F4573" s="445"/>
      <c r="G4573" s="445"/>
      <c r="H4573" s="446"/>
      <c r="I4573" s="445"/>
      <c r="J4573" s="446"/>
      <c r="K4573" s="447"/>
      <c r="M4573" s="596"/>
    </row>
    <row r="4574" spans="2:13">
      <c r="B4574" s="127"/>
      <c r="C4574" s="127"/>
    </row>
    <row r="4575" spans="2:13">
      <c r="B4575" s="127"/>
      <c r="C4575" s="127"/>
      <c r="E4575" s="427"/>
    </row>
    <row r="4576" spans="2:13">
      <c r="B4576" s="127"/>
      <c r="C4576" s="127"/>
      <c r="E4576" s="430"/>
      <c r="F4576" s="431"/>
      <c r="G4576" s="431"/>
      <c r="H4576" s="436"/>
      <c r="I4576" s="431"/>
      <c r="J4576" s="436"/>
      <c r="K4576" s="437"/>
      <c r="M4576" s="431"/>
    </row>
    <row r="4577" spans="2:13">
      <c r="B4577" s="127"/>
      <c r="C4577" s="127"/>
      <c r="E4577" s="430"/>
      <c r="F4577" s="431"/>
      <c r="G4577" s="431"/>
      <c r="H4577" s="436"/>
      <c r="I4577" s="431"/>
      <c r="J4577" s="436"/>
      <c r="K4577" s="437"/>
      <c r="M4577" s="431"/>
    </row>
    <row r="4578" spans="2:13">
      <c r="B4578" s="127"/>
      <c r="C4578" s="127"/>
      <c r="E4578" s="430"/>
      <c r="F4578" s="431"/>
      <c r="G4578" s="431"/>
      <c r="H4578" s="436"/>
      <c r="I4578" s="431"/>
      <c r="J4578" s="436"/>
      <c r="K4578" s="437"/>
      <c r="M4578" s="431"/>
    </row>
    <row r="4579" spans="2:13">
      <c r="B4579" s="127"/>
      <c r="C4579" s="127"/>
      <c r="E4579" s="430"/>
      <c r="F4579" s="431"/>
      <c r="G4579" s="431"/>
      <c r="H4579" s="436"/>
      <c r="I4579" s="431"/>
      <c r="J4579" s="436"/>
      <c r="K4579" s="437"/>
      <c r="M4579" s="431"/>
    </row>
    <row r="4580" spans="2:13">
      <c r="B4580" s="127"/>
      <c r="C4580" s="127"/>
      <c r="E4580" s="430"/>
      <c r="F4580" s="432"/>
      <c r="G4580" s="432"/>
      <c r="H4580" s="443"/>
      <c r="I4580" s="432"/>
      <c r="J4580" s="443"/>
      <c r="K4580" s="444"/>
      <c r="M4580" s="431"/>
    </row>
    <row r="4581" spans="2:13">
      <c r="B4581" s="127"/>
      <c r="C4581" s="127"/>
      <c r="D4581" s="427"/>
      <c r="E4581" s="427"/>
      <c r="F4581" s="445"/>
      <c r="G4581" s="445"/>
      <c r="H4581" s="446"/>
      <c r="I4581" s="445"/>
      <c r="J4581" s="446"/>
      <c r="K4581" s="447"/>
      <c r="M4581" s="596"/>
    </row>
    <row r="4582" spans="2:13">
      <c r="B4582" s="127"/>
      <c r="C4582" s="127"/>
    </row>
    <row r="4583" spans="2:13">
      <c r="B4583" s="127"/>
      <c r="C4583" s="127"/>
      <c r="E4583" s="427"/>
    </row>
    <row r="4584" spans="2:13">
      <c r="B4584" s="127"/>
      <c r="C4584" s="127"/>
      <c r="E4584" s="430"/>
      <c r="F4584" s="431"/>
      <c r="G4584" s="431"/>
      <c r="H4584" s="436"/>
      <c r="I4584" s="431"/>
      <c r="J4584" s="436"/>
      <c r="K4584" s="437"/>
      <c r="M4584" s="431"/>
    </row>
    <row r="4585" spans="2:13">
      <c r="B4585" s="127"/>
      <c r="C4585" s="127"/>
      <c r="E4585" s="430"/>
      <c r="F4585" s="431"/>
      <c r="G4585" s="431"/>
      <c r="H4585" s="436"/>
      <c r="I4585" s="431"/>
      <c r="J4585" s="436"/>
      <c r="K4585" s="437"/>
      <c r="M4585" s="431"/>
    </row>
    <row r="4586" spans="2:13">
      <c r="B4586" s="127"/>
      <c r="C4586" s="127"/>
      <c r="E4586" s="430"/>
      <c r="F4586" s="431"/>
      <c r="G4586" s="431"/>
      <c r="H4586" s="436"/>
      <c r="I4586" s="431"/>
      <c r="J4586" s="436"/>
      <c r="K4586" s="437"/>
      <c r="M4586" s="431"/>
    </row>
    <row r="4587" spans="2:13">
      <c r="B4587" s="127"/>
      <c r="C4587" s="127"/>
      <c r="E4587" s="430"/>
      <c r="F4587" s="431"/>
      <c r="G4587" s="431"/>
      <c r="H4587" s="436"/>
      <c r="I4587" s="431"/>
      <c r="J4587" s="436"/>
      <c r="K4587" s="437"/>
      <c r="M4587" s="431"/>
    </row>
    <row r="4588" spans="2:13">
      <c r="B4588" s="127"/>
      <c r="C4588" s="127"/>
      <c r="E4588" s="430"/>
      <c r="F4588" s="432"/>
      <c r="G4588" s="432"/>
      <c r="H4588" s="443"/>
      <c r="I4588" s="432"/>
      <c r="J4588" s="443"/>
      <c r="K4588" s="444"/>
      <c r="M4588" s="431"/>
    </row>
    <row r="4589" spans="2:13">
      <c r="B4589" s="127"/>
      <c r="C4589" s="127"/>
      <c r="D4589" s="427"/>
      <c r="E4589" s="427"/>
      <c r="F4589" s="445"/>
      <c r="G4589" s="445"/>
      <c r="H4589" s="446"/>
      <c r="I4589" s="445"/>
      <c r="J4589" s="446"/>
      <c r="K4589" s="447"/>
      <c r="M4589" s="596"/>
    </row>
    <row r="4590" spans="2:13">
      <c r="B4590" s="127"/>
      <c r="C4590" s="127"/>
    </row>
    <row r="4591" spans="2:13">
      <c r="B4591" s="127"/>
      <c r="C4591" s="127"/>
      <c r="E4591" s="427"/>
    </row>
    <row r="4592" spans="2:13">
      <c r="B4592" s="127"/>
      <c r="C4592" s="127"/>
      <c r="E4592" s="430"/>
      <c r="F4592" s="431"/>
      <c r="G4592" s="431"/>
      <c r="H4592" s="436"/>
      <c r="I4592" s="431"/>
      <c r="J4592" s="436"/>
      <c r="K4592" s="437"/>
      <c r="M4592" s="431"/>
    </row>
    <row r="4593" spans="2:13">
      <c r="B4593" s="127"/>
      <c r="C4593" s="127"/>
      <c r="E4593" s="430"/>
      <c r="F4593" s="431"/>
      <c r="G4593" s="431"/>
      <c r="H4593" s="436"/>
      <c r="I4593" s="431"/>
      <c r="J4593" s="436"/>
      <c r="K4593" s="437"/>
      <c r="M4593" s="431"/>
    </row>
    <row r="4594" spans="2:13">
      <c r="B4594" s="127"/>
      <c r="C4594" s="127"/>
      <c r="E4594" s="430"/>
      <c r="F4594" s="431"/>
      <c r="G4594" s="431"/>
      <c r="H4594" s="436"/>
      <c r="I4594" s="431"/>
      <c r="J4594" s="436"/>
      <c r="K4594" s="437"/>
      <c r="M4594" s="431"/>
    </row>
    <row r="4595" spans="2:13">
      <c r="B4595" s="127"/>
      <c r="C4595" s="127"/>
      <c r="E4595" s="430"/>
      <c r="F4595" s="431"/>
      <c r="G4595" s="431"/>
      <c r="H4595" s="436"/>
      <c r="I4595" s="431"/>
      <c r="J4595" s="436"/>
      <c r="K4595" s="437"/>
      <c r="M4595" s="431"/>
    </row>
    <row r="4596" spans="2:13">
      <c r="B4596" s="127"/>
      <c r="C4596" s="127"/>
      <c r="E4596" s="430"/>
      <c r="F4596" s="432"/>
      <c r="G4596" s="432"/>
      <c r="H4596" s="443"/>
      <c r="I4596" s="432"/>
      <c r="J4596" s="443"/>
      <c r="K4596" s="444"/>
      <c r="M4596" s="431"/>
    </row>
    <row r="4597" spans="2:13">
      <c r="B4597" s="127"/>
      <c r="C4597" s="127"/>
      <c r="D4597" s="427"/>
      <c r="E4597" s="427"/>
      <c r="F4597" s="445"/>
      <c r="G4597" s="445"/>
      <c r="H4597" s="446"/>
      <c r="I4597" s="445"/>
      <c r="J4597" s="446"/>
      <c r="K4597" s="447"/>
      <c r="M4597" s="596"/>
    </row>
    <row r="4598" spans="2:13">
      <c r="B4598" s="127"/>
      <c r="C4598" s="127"/>
      <c r="F4598" s="398"/>
      <c r="G4598" s="398"/>
      <c r="H4598" s="398"/>
      <c r="I4598" s="398"/>
      <c r="J4598" s="398"/>
      <c r="K4598" s="398"/>
    </row>
    <row r="4599" spans="2:13">
      <c r="B4599" s="127"/>
      <c r="C4599" s="127"/>
      <c r="D4599" s="427"/>
      <c r="E4599" s="427"/>
      <c r="F4599" s="445"/>
      <c r="G4599" s="445"/>
      <c r="H4599" s="446"/>
      <c r="I4599" s="445"/>
      <c r="J4599" s="446"/>
      <c r="K4599" s="447"/>
      <c r="M4599" s="596"/>
    </row>
    <row r="4600" spans="2:13">
      <c r="B4600" s="127"/>
      <c r="C4600" s="127"/>
    </row>
    <row r="4601" spans="2:13">
      <c r="B4601" s="127"/>
      <c r="C4601" s="127"/>
      <c r="E4601" s="427"/>
    </row>
    <row r="4602" spans="2:13">
      <c r="B4602" s="127"/>
      <c r="C4602" s="127"/>
      <c r="E4602" s="427"/>
    </row>
    <row r="4603" spans="2:13">
      <c r="B4603" s="127"/>
      <c r="C4603" s="127"/>
      <c r="E4603" s="430"/>
      <c r="F4603" s="431"/>
      <c r="G4603" s="431"/>
      <c r="H4603" s="436"/>
      <c r="I4603" s="431"/>
      <c r="J4603" s="436"/>
      <c r="K4603" s="437"/>
      <c r="M4603" s="431"/>
    </row>
    <row r="4604" spans="2:13">
      <c r="B4604" s="127"/>
      <c r="C4604" s="127"/>
      <c r="E4604" s="430"/>
      <c r="F4604" s="431"/>
      <c r="G4604" s="431"/>
      <c r="H4604" s="436"/>
      <c r="I4604" s="431"/>
      <c r="J4604" s="436"/>
      <c r="K4604" s="437"/>
      <c r="M4604" s="431"/>
    </row>
    <row r="4605" spans="2:13">
      <c r="B4605" s="127"/>
      <c r="C4605" s="127"/>
      <c r="E4605" s="430"/>
      <c r="F4605" s="431"/>
      <c r="G4605" s="431"/>
      <c r="H4605" s="436"/>
      <c r="I4605" s="431"/>
      <c r="J4605" s="436"/>
      <c r="K4605" s="437"/>
      <c r="M4605" s="431"/>
    </row>
    <row r="4606" spans="2:13">
      <c r="B4606" s="127"/>
      <c r="C4606" s="127"/>
      <c r="E4606" s="430"/>
      <c r="F4606" s="432"/>
      <c r="G4606" s="432"/>
      <c r="H4606" s="443"/>
      <c r="I4606" s="432"/>
      <c r="J4606" s="443"/>
      <c r="K4606" s="444"/>
      <c r="M4606" s="431"/>
    </row>
    <row r="4607" spans="2:13">
      <c r="B4607" s="127"/>
      <c r="C4607" s="127"/>
      <c r="D4607" s="427"/>
      <c r="E4607" s="427"/>
      <c r="F4607" s="445"/>
      <c r="G4607" s="445"/>
      <c r="H4607" s="446"/>
      <c r="I4607" s="445"/>
      <c r="J4607" s="446"/>
      <c r="K4607" s="447"/>
      <c r="M4607" s="596"/>
    </row>
    <row r="4608" spans="2:13">
      <c r="B4608" s="127"/>
      <c r="C4608" s="127"/>
    </row>
    <row r="4609" spans="2:13">
      <c r="B4609" s="127"/>
      <c r="C4609" s="127"/>
      <c r="E4609" s="427"/>
    </row>
    <row r="4610" spans="2:13">
      <c r="B4610" s="127"/>
      <c r="C4610" s="127"/>
      <c r="E4610" s="430"/>
      <c r="F4610" s="432"/>
      <c r="G4610" s="432"/>
      <c r="H4610" s="443"/>
      <c r="I4610" s="432"/>
      <c r="J4610" s="443"/>
      <c r="K4610" s="444"/>
      <c r="M4610" s="431"/>
    </row>
    <row r="4611" spans="2:13">
      <c r="B4611" s="127"/>
      <c r="C4611" s="127"/>
      <c r="D4611" s="427"/>
      <c r="E4611" s="427"/>
      <c r="F4611" s="445"/>
      <c r="G4611" s="445"/>
      <c r="H4611" s="446"/>
      <c r="I4611" s="445"/>
      <c r="J4611" s="446"/>
      <c r="K4611" s="447"/>
      <c r="M4611" s="596"/>
    </row>
    <row r="4612" spans="2:13">
      <c r="B4612" s="127"/>
      <c r="C4612" s="127"/>
      <c r="F4612" s="398"/>
      <c r="G4612" s="398"/>
      <c r="H4612" s="398"/>
      <c r="I4612" s="398"/>
      <c r="J4612" s="398"/>
      <c r="K4612" s="398"/>
    </row>
    <row r="4613" spans="2:13">
      <c r="B4613" s="127"/>
      <c r="C4613" s="127"/>
      <c r="D4613" s="427"/>
      <c r="E4613" s="427"/>
      <c r="F4613" s="445"/>
      <c r="G4613" s="445"/>
      <c r="H4613" s="446"/>
      <c r="I4613" s="445"/>
      <c r="J4613" s="446"/>
      <c r="K4613" s="447"/>
      <c r="M4613" s="596"/>
    </row>
    <row r="4614" spans="2:13">
      <c r="B4614" s="127"/>
      <c r="C4614" s="127"/>
      <c r="F4614" s="398"/>
      <c r="G4614" s="398"/>
      <c r="H4614" s="398"/>
      <c r="I4614" s="398"/>
      <c r="J4614" s="398"/>
      <c r="K4614" s="398"/>
    </row>
    <row r="4615" spans="2:13">
      <c r="B4615" s="127"/>
      <c r="C4615" s="127"/>
      <c r="D4615" s="427"/>
      <c r="E4615" s="427"/>
      <c r="F4615" s="445"/>
      <c r="G4615" s="445"/>
      <c r="H4615" s="446"/>
      <c r="I4615" s="445"/>
      <c r="J4615" s="446"/>
      <c r="K4615" s="447"/>
      <c r="M4615" s="596"/>
    </row>
    <row r="4616" spans="2:13">
      <c r="B4616" s="127"/>
      <c r="C4616" s="127"/>
      <c r="F4616" s="398"/>
      <c r="G4616" s="398"/>
      <c r="H4616" s="398"/>
      <c r="I4616" s="398"/>
      <c r="J4616" s="398"/>
      <c r="K4616" s="398"/>
    </row>
    <row r="4617" spans="2:13">
      <c r="B4617" s="127"/>
      <c r="C4617" s="127"/>
      <c r="D4617" s="427"/>
      <c r="E4617" s="427"/>
      <c r="F4617" s="445"/>
      <c r="G4617" s="445"/>
      <c r="H4617" s="446"/>
      <c r="I4617" s="445"/>
      <c r="J4617" s="446"/>
      <c r="K4617" s="447"/>
      <c r="M4617" s="596"/>
    </row>
    <row r="4618" spans="2:13">
      <c r="B4618" s="127"/>
      <c r="C4618" s="127"/>
    </row>
    <row r="4619" spans="2:13">
      <c r="B4619" s="127"/>
      <c r="C4619" s="127"/>
    </row>
    <row r="4620" spans="2:13">
      <c r="B4620" s="127"/>
      <c r="C4620" s="127"/>
      <c r="D4620" s="438"/>
      <c r="E4620" s="438"/>
      <c r="F4620" s="438"/>
      <c r="G4620" s="438"/>
      <c r="H4620" s="438"/>
      <c r="I4620" s="438"/>
      <c r="J4620" s="438"/>
      <c r="K4620" s="438"/>
      <c r="M4620" s="597"/>
    </row>
    <row r="4621" spans="2:13">
      <c r="B4621" s="127"/>
      <c r="C4621" s="127"/>
      <c r="D4621" s="454"/>
      <c r="E4621" s="454"/>
      <c r="F4621" s="399"/>
      <c r="G4621" s="399"/>
      <c r="H4621" s="399"/>
      <c r="I4621" s="399"/>
      <c r="J4621" s="454"/>
      <c r="K4621" s="454"/>
    </row>
    <row r="4622" spans="2:13">
      <c r="B4622" s="127"/>
      <c r="C4622" s="127"/>
      <c r="D4622" s="455"/>
      <c r="E4622" s="455"/>
      <c r="F4622" s="455"/>
      <c r="H4622" s="455"/>
      <c r="I4622" s="455"/>
      <c r="J4622" s="455"/>
      <c r="K4622" s="455"/>
      <c r="M4622" s="455"/>
    </row>
    <row r="4623" spans="2:13">
      <c r="B4623" s="127"/>
      <c r="C4623" s="127"/>
    </row>
    <row r="4624" spans="2:13">
      <c r="B4624" s="127"/>
      <c r="C4624" s="127"/>
      <c r="J4624" s="428"/>
    </row>
    <row r="4625" spans="2:13">
      <c r="B4625" s="127"/>
      <c r="C4625" s="127"/>
      <c r="F4625" s="428"/>
      <c r="G4625" s="428"/>
      <c r="H4625" s="428"/>
      <c r="I4625" s="428"/>
      <c r="J4625" s="428"/>
      <c r="K4625" s="428"/>
      <c r="M4625" s="428"/>
    </row>
    <row r="4626" spans="2:13">
      <c r="B4626" s="127"/>
      <c r="C4626" s="127"/>
      <c r="E4626" s="453"/>
      <c r="F4626" s="428"/>
      <c r="G4626" s="428"/>
      <c r="H4626" s="428"/>
      <c r="I4626" s="428"/>
      <c r="J4626" s="428"/>
      <c r="K4626" s="428"/>
      <c r="M4626" s="428"/>
    </row>
    <row r="4627" spans="2:13">
      <c r="B4627" s="127"/>
      <c r="C4627" s="127"/>
    </row>
    <row r="4628" spans="2:13">
      <c r="B4628" s="127"/>
      <c r="C4628" s="127"/>
      <c r="D4628" s="427"/>
      <c r="E4628" s="427"/>
    </row>
    <row r="4629" spans="2:13">
      <c r="B4629" s="127"/>
      <c r="C4629" s="127"/>
      <c r="E4629" s="427"/>
    </row>
    <row r="4630" spans="2:13">
      <c r="B4630" s="127"/>
      <c r="C4630" s="127"/>
      <c r="E4630" s="427"/>
    </row>
    <row r="4631" spans="2:13">
      <c r="B4631" s="127"/>
      <c r="C4631" s="127"/>
      <c r="E4631" s="427"/>
    </row>
    <row r="4632" spans="2:13">
      <c r="B4632" s="127"/>
      <c r="C4632" s="127"/>
      <c r="E4632" s="430"/>
      <c r="F4632" s="432"/>
      <c r="G4632" s="432"/>
      <c r="H4632" s="443"/>
      <c r="I4632" s="432"/>
      <c r="J4632" s="443"/>
      <c r="K4632" s="444"/>
      <c r="M4632" s="431"/>
    </row>
    <row r="4633" spans="2:13">
      <c r="B4633" s="127"/>
      <c r="C4633" s="127"/>
      <c r="D4633" s="427"/>
      <c r="E4633" s="427"/>
      <c r="F4633" s="445"/>
      <c r="G4633" s="445"/>
      <c r="H4633" s="446"/>
      <c r="I4633" s="445"/>
      <c r="J4633" s="446"/>
      <c r="K4633" s="447"/>
      <c r="M4633" s="596"/>
    </row>
    <row r="4634" spans="2:13">
      <c r="B4634" s="127"/>
      <c r="C4634" s="127"/>
      <c r="F4634" s="398"/>
      <c r="G4634" s="398"/>
      <c r="H4634" s="398"/>
      <c r="I4634" s="398"/>
      <c r="J4634" s="398"/>
      <c r="K4634" s="398"/>
    </row>
    <row r="4635" spans="2:13">
      <c r="B4635" s="127"/>
      <c r="C4635" s="127"/>
      <c r="D4635" s="427"/>
      <c r="E4635" s="427"/>
      <c r="F4635" s="445"/>
      <c r="G4635" s="445"/>
      <c r="H4635" s="446"/>
      <c r="I4635" s="445"/>
      <c r="J4635" s="446"/>
      <c r="K4635" s="447"/>
      <c r="M4635" s="596"/>
    </row>
    <row r="4636" spans="2:13">
      <c r="B4636" s="127"/>
      <c r="C4636" s="127"/>
      <c r="F4636" s="398"/>
      <c r="G4636" s="398"/>
      <c r="H4636" s="398"/>
      <c r="I4636" s="398"/>
      <c r="J4636" s="398"/>
      <c r="K4636" s="398"/>
    </row>
    <row r="4637" spans="2:13">
      <c r="B4637" s="127"/>
      <c r="C4637" s="127"/>
      <c r="D4637" s="427"/>
      <c r="E4637" s="427"/>
      <c r="F4637" s="445"/>
      <c r="G4637" s="445"/>
      <c r="H4637" s="446"/>
      <c r="I4637" s="445"/>
      <c r="J4637" s="446"/>
      <c r="K4637" s="447"/>
      <c r="M4637" s="596"/>
    </row>
    <row r="4638" spans="2:13">
      <c r="B4638" s="127"/>
      <c r="C4638" s="127"/>
    </row>
    <row r="4639" spans="2:13">
      <c r="B4639" s="127"/>
      <c r="C4639" s="127"/>
      <c r="E4639" s="427"/>
    </row>
    <row r="4640" spans="2:13">
      <c r="B4640" s="127"/>
      <c r="C4640" s="127"/>
      <c r="E4640" s="427"/>
    </row>
    <row r="4641" spans="2:13">
      <c r="B4641" s="127"/>
      <c r="C4641" s="127"/>
      <c r="E4641" s="427"/>
    </row>
    <row r="4642" spans="2:13">
      <c r="B4642" s="127"/>
      <c r="C4642" s="127"/>
      <c r="E4642" s="430"/>
      <c r="F4642" s="431"/>
      <c r="G4642" s="431"/>
      <c r="H4642" s="436"/>
      <c r="I4642" s="431"/>
      <c r="J4642" s="436"/>
      <c r="K4642" s="437"/>
      <c r="M4642" s="431"/>
    </row>
    <row r="4643" spans="2:13">
      <c r="B4643" s="127"/>
      <c r="C4643" s="127"/>
      <c r="E4643" s="430"/>
      <c r="F4643" s="432"/>
      <c r="G4643" s="432"/>
      <c r="H4643" s="443"/>
      <c r="I4643" s="432"/>
      <c r="J4643" s="443"/>
      <c r="K4643" s="444"/>
      <c r="M4643" s="431"/>
    </row>
    <row r="4644" spans="2:13">
      <c r="B4644" s="127"/>
      <c r="C4644" s="127"/>
      <c r="D4644" s="427"/>
      <c r="E4644" s="427"/>
      <c r="F4644" s="445"/>
      <c r="G4644" s="445"/>
      <c r="H4644" s="446"/>
      <c r="I4644" s="445"/>
      <c r="J4644" s="446"/>
      <c r="K4644" s="447"/>
      <c r="M4644" s="596"/>
    </row>
    <row r="4645" spans="2:13">
      <c r="B4645" s="127"/>
      <c r="C4645" s="127"/>
      <c r="F4645" s="398"/>
      <c r="G4645" s="398"/>
      <c r="H4645" s="398"/>
      <c r="I4645" s="398"/>
      <c r="J4645" s="398"/>
      <c r="K4645" s="398"/>
    </row>
    <row r="4646" spans="2:13">
      <c r="B4646" s="127"/>
      <c r="C4646" s="127"/>
      <c r="D4646" s="427"/>
      <c r="E4646" s="427"/>
      <c r="F4646" s="445"/>
      <c r="G4646" s="445"/>
      <c r="H4646" s="446"/>
      <c r="I4646" s="445"/>
      <c r="J4646" s="446"/>
      <c r="K4646" s="447"/>
      <c r="M4646" s="596"/>
    </row>
    <row r="4647" spans="2:13">
      <c r="B4647" s="127"/>
      <c r="C4647" s="127"/>
      <c r="F4647" s="398"/>
      <c r="G4647" s="398"/>
      <c r="H4647" s="398"/>
      <c r="I4647" s="398"/>
      <c r="J4647" s="398"/>
      <c r="K4647" s="398"/>
    </row>
    <row r="4648" spans="2:13">
      <c r="B4648" s="127"/>
      <c r="C4648" s="127"/>
      <c r="D4648" s="427"/>
      <c r="E4648" s="427"/>
      <c r="F4648" s="445"/>
      <c r="G4648" s="445"/>
      <c r="H4648" s="446"/>
      <c r="I4648" s="445"/>
      <c r="J4648" s="446"/>
      <c r="K4648" s="447"/>
      <c r="M4648" s="596"/>
    </row>
    <row r="4649" spans="2:13">
      <c r="B4649" s="127"/>
      <c r="C4649" s="127"/>
      <c r="F4649" s="398"/>
      <c r="G4649" s="398"/>
      <c r="H4649" s="398"/>
      <c r="I4649" s="398"/>
      <c r="J4649" s="398"/>
      <c r="K4649" s="398"/>
    </row>
    <row r="4650" spans="2:13">
      <c r="B4650" s="127"/>
      <c r="C4650" s="127"/>
      <c r="D4650" s="427"/>
      <c r="E4650" s="427"/>
      <c r="F4650" s="445"/>
      <c r="G4650" s="445"/>
      <c r="H4650" s="446"/>
      <c r="I4650" s="445"/>
      <c r="J4650" s="446"/>
      <c r="K4650" s="447"/>
      <c r="M4650" s="596"/>
    </row>
    <row r="4651" spans="2:13">
      <c r="B4651" s="127"/>
      <c r="C4651" s="127"/>
    </row>
    <row r="4652" spans="2:13">
      <c r="B4652" s="127"/>
      <c r="C4652" s="127"/>
      <c r="D4652" s="427"/>
      <c r="E4652" s="427"/>
    </row>
    <row r="4653" spans="2:13">
      <c r="B4653" s="127"/>
      <c r="C4653" s="127"/>
      <c r="E4653" s="427"/>
    </row>
    <row r="4654" spans="2:13">
      <c r="B4654" s="127"/>
      <c r="C4654" s="127"/>
      <c r="E4654" s="427"/>
    </row>
    <row r="4655" spans="2:13">
      <c r="B4655" s="127"/>
      <c r="C4655" s="127"/>
      <c r="E4655" s="427"/>
    </row>
    <row r="4656" spans="2:13">
      <c r="B4656" s="127"/>
      <c r="C4656" s="127"/>
      <c r="E4656" s="430"/>
      <c r="F4656" s="432"/>
      <c r="G4656" s="432"/>
      <c r="H4656" s="443"/>
      <c r="I4656" s="432"/>
      <c r="J4656" s="443"/>
      <c r="K4656" s="444"/>
      <c r="M4656" s="431"/>
    </row>
    <row r="4657" spans="2:13">
      <c r="B4657" s="127"/>
      <c r="C4657" s="127"/>
      <c r="D4657" s="427"/>
      <c r="E4657" s="427"/>
      <c r="F4657" s="445"/>
      <c r="G4657" s="445"/>
      <c r="H4657" s="446"/>
      <c r="I4657" s="445"/>
      <c r="J4657" s="446"/>
      <c r="K4657" s="447"/>
      <c r="M4657" s="596"/>
    </row>
    <row r="4658" spans="2:13">
      <c r="B4658" s="127"/>
      <c r="C4658" s="127"/>
      <c r="F4658" s="398"/>
      <c r="G4658" s="398"/>
      <c r="H4658" s="398"/>
      <c r="I4658" s="398"/>
      <c r="J4658" s="398"/>
      <c r="K4658" s="398"/>
    </row>
    <row r="4659" spans="2:13">
      <c r="B4659" s="127"/>
      <c r="C4659" s="127"/>
      <c r="D4659" s="427"/>
      <c r="E4659" s="427"/>
      <c r="F4659" s="445"/>
      <c r="G4659" s="445"/>
      <c r="H4659" s="446"/>
      <c r="I4659" s="445"/>
      <c r="J4659" s="446"/>
      <c r="K4659" s="447"/>
      <c r="M4659" s="596"/>
    </row>
    <row r="4660" spans="2:13">
      <c r="B4660" s="127"/>
      <c r="C4660" s="127"/>
      <c r="F4660" s="398"/>
      <c r="G4660" s="398"/>
      <c r="H4660" s="398"/>
      <c r="I4660" s="398"/>
      <c r="J4660" s="398"/>
      <c r="K4660" s="398"/>
    </row>
    <row r="4661" spans="2:13">
      <c r="B4661" s="127"/>
      <c r="C4661" s="127"/>
      <c r="D4661" s="427"/>
      <c r="E4661" s="427"/>
      <c r="F4661" s="445"/>
      <c r="G4661" s="445"/>
      <c r="H4661" s="446"/>
      <c r="I4661" s="445"/>
      <c r="J4661" s="446"/>
      <c r="K4661" s="447"/>
      <c r="M4661" s="596"/>
    </row>
    <row r="4662" spans="2:13">
      <c r="B4662" s="127"/>
      <c r="C4662" s="127"/>
      <c r="F4662" s="398"/>
      <c r="G4662" s="398"/>
      <c r="H4662" s="398"/>
      <c r="I4662" s="398"/>
      <c r="J4662" s="398"/>
      <c r="K4662" s="398"/>
    </row>
    <row r="4663" spans="2:13">
      <c r="B4663" s="127"/>
      <c r="C4663" s="127"/>
      <c r="D4663" s="427"/>
      <c r="E4663" s="427"/>
      <c r="F4663" s="445"/>
      <c r="G4663" s="445"/>
      <c r="H4663" s="446"/>
      <c r="I4663" s="445"/>
      <c r="J4663" s="446"/>
      <c r="K4663" s="447"/>
      <c r="M4663" s="596"/>
    </row>
    <row r="4664" spans="2:13">
      <c r="B4664" s="127"/>
      <c r="C4664" s="127"/>
    </row>
    <row r="4665" spans="2:13">
      <c r="B4665" s="127"/>
      <c r="C4665" s="127"/>
      <c r="D4665" s="427"/>
      <c r="E4665" s="427"/>
    </row>
    <row r="4666" spans="2:13">
      <c r="B4666" s="127"/>
      <c r="C4666" s="127"/>
      <c r="E4666" s="427"/>
    </row>
    <row r="4667" spans="2:13">
      <c r="B4667" s="127"/>
      <c r="C4667" s="127"/>
      <c r="E4667" s="427"/>
    </row>
    <row r="4668" spans="2:13">
      <c r="B4668" s="127"/>
      <c r="C4668" s="127"/>
      <c r="E4668" s="427"/>
    </row>
    <row r="4669" spans="2:13">
      <c r="B4669" s="127"/>
      <c r="C4669" s="127"/>
      <c r="E4669" s="430"/>
      <c r="F4669" s="431"/>
      <c r="G4669" s="431"/>
      <c r="H4669" s="436"/>
      <c r="I4669" s="431"/>
      <c r="J4669" s="436"/>
      <c r="K4669" s="437"/>
      <c r="M4669" s="431"/>
    </row>
    <row r="4670" spans="2:13">
      <c r="B4670" s="127"/>
      <c r="C4670" s="127"/>
      <c r="E4670" s="430"/>
      <c r="F4670" s="432"/>
      <c r="G4670" s="432"/>
      <c r="H4670" s="443"/>
      <c r="I4670" s="432"/>
      <c r="J4670" s="443"/>
      <c r="K4670" s="444"/>
      <c r="M4670" s="431"/>
    </row>
    <row r="4671" spans="2:13">
      <c r="B4671" s="127"/>
      <c r="C4671" s="127"/>
      <c r="D4671" s="427"/>
      <c r="E4671" s="427"/>
      <c r="F4671" s="445"/>
      <c r="G4671" s="445"/>
      <c r="H4671" s="446"/>
      <c r="I4671" s="445"/>
      <c r="J4671" s="446"/>
      <c r="K4671" s="447"/>
      <c r="M4671" s="596"/>
    </row>
    <row r="4672" spans="2:13">
      <c r="B4672" s="127"/>
      <c r="C4672" s="127"/>
      <c r="F4672" s="398"/>
      <c r="G4672" s="398"/>
      <c r="H4672" s="398"/>
      <c r="I4672" s="398"/>
      <c r="J4672" s="398"/>
      <c r="K4672" s="398"/>
    </row>
    <row r="4673" spans="2:13">
      <c r="B4673" s="127"/>
      <c r="C4673" s="127"/>
      <c r="D4673" s="427"/>
      <c r="E4673" s="427"/>
      <c r="F4673" s="445"/>
      <c r="G4673" s="445"/>
      <c r="H4673" s="446"/>
      <c r="I4673" s="445"/>
      <c r="J4673" s="446"/>
      <c r="K4673" s="447"/>
      <c r="M4673" s="596"/>
    </row>
    <row r="4674" spans="2:13">
      <c r="B4674" s="127"/>
      <c r="C4674" s="127"/>
      <c r="F4674" s="398"/>
      <c r="G4674" s="398"/>
      <c r="H4674" s="398"/>
      <c r="I4674" s="398"/>
      <c r="J4674" s="398"/>
      <c r="K4674" s="398"/>
    </row>
    <row r="4675" spans="2:13">
      <c r="B4675" s="127"/>
      <c r="C4675" s="127"/>
      <c r="D4675" s="427"/>
      <c r="E4675" s="427"/>
      <c r="F4675" s="445"/>
      <c r="G4675" s="445"/>
      <c r="H4675" s="446"/>
      <c r="I4675" s="445"/>
      <c r="J4675" s="446"/>
      <c r="K4675" s="447"/>
      <c r="M4675" s="596"/>
    </row>
    <row r="4676" spans="2:13">
      <c r="B4676" s="127"/>
      <c r="C4676" s="127"/>
    </row>
    <row r="4677" spans="2:13">
      <c r="B4677" s="127"/>
      <c r="C4677" s="127"/>
      <c r="E4677" s="427"/>
    </row>
    <row r="4678" spans="2:13">
      <c r="B4678" s="127"/>
      <c r="C4678" s="127"/>
      <c r="E4678" s="427"/>
    </row>
    <row r="4679" spans="2:13">
      <c r="B4679" s="127"/>
      <c r="C4679" s="127"/>
      <c r="E4679" s="427"/>
    </row>
    <row r="4680" spans="2:13">
      <c r="B4680" s="127"/>
      <c r="C4680" s="127"/>
      <c r="E4680" s="430"/>
      <c r="F4680" s="431"/>
      <c r="G4680" s="431"/>
      <c r="H4680" s="436"/>
      <c r="I4680" s="431"/>
      <c r="J4680" s="436"/>
      <c r="K4680" s="437"/>
      <c r="M4680" s="431"/>
    </row>
    <row r="4681" spans="2:13">
      <c r="B4681" s="127"/>
      <c r="C4681" s="127"/>
      <c r="E4681" s="430"/>
      <c r="F4681" s="432"/>
      <c r="G4681" s="432"/>
      <c r="H4681" s="443"/>
      <c r="I4681" s="432"/>
      <c r="J4681" s="443"/>
      <c r="K4681" s="444"/>
      <c r="M4681" s="431"/>
    </row>
    <row r="4682" spans="2:13">
      <c r="B4682" s="127"/>
      <c r="C4682" s="127"/>
      <c r="D4682" s="427"/>
      <c r="E4682" s="427"/>
      <c r="F4682" s="445"/>
      <c r="G4682" s="445"/>
      <c r="H4682" s="446"/>
      <c r="I4682" s="445"/>
      <c r="J4682" s="446"/>
      <c r="K4682" s="447"/>
      <c r="M4682" s="596"/>
    </row>
    <row r="4683" spans="2:13">
      <c r="B4683" s="127"/>
      <c r="C4683" s="127"/>
      <c r="F4683" s="398"/>
      <c r="G4683" s="398"/>
      <c r="H4683" s="398"/>
      <c r="I4683" s="398"/>
      <c r="J4683" s="398"/>
      <c r="K4683" s="398"/>
    </row>
    <row r="4684" spans="2:13">
      <c r="B4684" s="127"/>
      <c r="C4684" s="127"/>
      <c r="D4684" s="427"/>
      <c r="E4684" s="427"/>
      <c r="F4684" s="445"/>
      <c r="G4684" s="445"/>
      <c r="H4684" s="446"/>
      <c r="I4684" s="445"/>
      <c r="J4684" s="446"/>
      <c r="K4684" s="447"/>
      <c r="M4684" s="596"/>
    </row>
    <row r="4685" spans="2:13">
      <c r="B4685" s="127"/>
      <c r="C4685" s="127"/>
    </row>
    <row r="4686" spans="2:13">
      <c r="B4686" s="127"/>
      <c r="C4686" s="127"/>
      <c r="E4686" s="427"/>
    </row>
    <row r="4687" spans="2:13">
      <c r="B4687" s="127"/>
      <c r="C4687" s="127"/>
      <c r="E4687" s="427"/>
    </row>
    <row r="4688" spans="2:13">
      <c r="B4688" s="127"/>
      <c r="C4688" s="127"/>
      <c r="E4688" s="430"/>
      <c r="F4688" s="432"/>
      <c r="G4688" s="432"/>
      <c r="H4688" s="443"/>
      <c r="I4688" s="432"/>
      <c r="J4688" s="443"/>
      <c r="K4688" s="444"/>
      <c r="M4688" s="431"/>
    </row>
    <row r="4689" spans="2:13">
      <c r="B4689" s="127"/>
      <c r="C4689" s="127"/>
      <c r="D4689" s="427"/>
      <c r="E4689" s="427"/>
      <c r="F4689" s="445"/>
      <c r="G4689" s="445"/>
      <c r="H4689" s="446"/>
      <c r="I4689" s="445"/>
      <c r="J4689" s="446"/>
      <c r="K4689" s="447"/>
      <c r="M4689" s="596"/>
    </row>
    <row r="4690" spans="2:13">
      <c r="B4690" s="127"/>
      <c r="C4690" s="127"/>
    </row>
    <row r="4691" spans="2:13">
      <c r="B4691" s="127"/>
      <c r="C4691" s="127"/>
      <c r="E4691" s="427"/>
    </row>
    <row r="4692" spans="2:13">
      <c r="B4692" s="127"/>
      <c r="C4692" s="127"/>
      <c r="E4692" s="430"/>
      <c r="F4692" s="431"/>
      <c r="G4692" s="431"/>
      <c r="H4692" s="436"/>
      <c r="I4692" s="431"/>
      <c r="J4692" s="436"/>
      <c r="K4692" s="437"/>
      <c r="M4692" s="431"/>
    </row>
    <row r="4693" spans="2:13">
      <c r="B4693" s="127"/>
      <c r="C4693" s="127"/>
    </row>
    <row r="4694" spans="2:13">
      <c r="B4694" s="127"/>
      <c r="C4694" s="127"/>
      <c r="D4694" s="438"/>
      <c r="E4694" s="438"/>
      <c r="F4694" s="438"/>
      <c r="G4694" s="438"/>
      <c r="H4694" s="438"/>
      <c r="I4694" s="438"/>
      <c r="J4694" s="438"/>
      <c r="K4694" s="438"/>
      <c r="M4694" s="597"/>
    </row>
    <row r="4695" spans="2:13">
      <c r="B4695" s="127"/>
      <c r="C4695" s="127"/>
      <c r="D4695" s="454"/>
      <c r="E4695" s="454"/>
      <c r="F4695" s="399"/>
      <c r="G4695" s="399"/>
      <c r="H4695" s="399"/>
      <c r="I4695" s="399"/>
      <c r="J4695" s="454"/>
      <c r="K4695" s="454"/>
    </row>
    <row r="4696" spans="2:13">
      <c r="B4696" s="127"/>
      <c r="C4696" s="127"/>
      <c r="D4696" s="455"/>
      <c r="E4696" s="455"/>
      <c r="F4696" s="455"/>
      <c r="H4696" s="455"/>
      <c r="I4696" s="455"/>
      <c r="J4696" s="455"/>
      <c r="K4696" s="455"/>
      <c r="M4696" s="455"/>
    </row>
    <row r="4697" spans="2:13">
      <c r="B4697" s="127"/>
      <c r="C4697" s="127"/>
    </row>
    <row r="4698" spans="2:13">
      <c r="B4698" s="127"/>
      <c r="C4698" s="127"/>
      <c r="J4698" s="428"/>
    </row>
    <row r="4699" spans="2:13">
      <c r="B4699" s="127"/>
      <c r="C4699" s="127"/>
      <c r="F4699" s="428"/>
      <c r="G4699" s="428"/>
      <c r="H4699" s="428"/>
      <c r="I4699" s="428"/>
      <c r="J4699" s="428"/>
      <c r="K4699" s="428"/>
      <c r="M4699" s="428"/>
    </row>
    <row r="4700" spans="2:13">
      <c r="B4700" s="127"/>
      <c r="C4700" s="127"/>
      <c r="E4700" s="453"/>
      <c r="F4700" s="428"/>
      <c r="G4700" s="428"/>
      <c r="H4700" s="428"/>
      <c r="I4700" s="428"/>
      <c r="J4700" s="428"/>
      <c r="K4700" s="428"/>
      <c r="M4700" s="428"/>
    </row>
    <row r="4701" spans="2:13">
      <c r="B4701" s="127"/>
      <c r="C4701" s="127"/>
      <c r="F4701" s="398"/>
      <c r="G4701" s="398"/>
      <c r="H4701" s="398"/>
      <c r="I4701" s="398"/>
      <c r="J4701" s="398"/>
      <c r="K4701" s="398"/>
    </row>
    <row r="4702" spans="2:13">
      <c r="B4702" s="127"/>
      <c r="C4702" s="127"/>
      <c r="D4702" s="427"/>
      <c r="E4702" s="427"/>
      <c r="F4702" s="445"/>
      <c r="G4702" s="445"/>
      <c r="H4702" s="446"/>
      <c r="I4702" s="445"/>
      <c r="J4702" s="446"/>
      <c r="K4702" s="447"/>
      <c r="M4702" s="596"/>
    </row>
    <row r="4703" spans="2:13">
      <c r="B4703" s="127"/>
      <c r="C4703" s="127"/>
      <c r="F4703" s="398"/>
      <c r="G4703" s="398"/>
      <c r="H4703" s="398"/>
      <c r="I4703" s="398"/>
      <c r="J4703" s="398"/>
      <c r="K4703" s="398"/>
    </row>
    <row r="4704" spans="2:13">
      <c r="B4704" s="127"/>
      <c r="C4704" s="127"/>
      <c r="D4704" s="427"/>
      <c r="E4704" s="427"/>
      <c r="F4704" s="445"/>
      <c r="G4704" s="445"/>
      <c r="H4704" s="446"/>
      <c r="I4704" s="445"/>
      <c r="J4704" s="446"/>
      <c r="K4704" s="447"/>
      <c r="M4704" s="596"/>
    </row>
    <row r="4705" spans="2:13">
      <c r="B4705" s="127"/>
      <c r="C4705" s="127"/>
      <c r="F4705" s="398"/>
      <c r="G4705" s="398"/>
      <c r="H4705" s="398"/>
      <c r="I4705" s="398"/>
      <c r="J4705" s="398"/>
      <c r="K4705" s="398"/>
    </row>
    <row r="4706" spans="2:13">
      <c r="B4706" s="127"/>
      <c r="C4706" s="127"/>
      <c r="D4706" s="427"/>
      <c r="E4706" s="427"/>
      <c r="F4706" s="445"/>
      <c r="G4706" s="445"/>
      <c r="H4706" s="446"/>
      <c r="I4706" s="445"/>
      <c r="J4706" s="446"/>
      <c r="K4706" s="447"/>
      <c r="M4706" s="596"/>
    </row>
    <row r="4707" spans="2:13">
      <c r="B4707" s="127"/>
      <c r="C4707" s="127"/>
      <c r="F4707" s="398"/>
      <c r="G4707" s="398"/>
      <c r="H4707" s="398"/>
      <c r="I4707" s="398"/>
      <c r="J4707" s="398"/>
      <c r="K4707" s="398"/>
    </row>
    <row r="4708" spans="2:13">
      <c r="B4708" s="127"/>
      <c r="C4708" s="127"/>
      <c r="D4708" s="427"/>
      <c r="E4708" s="427"/>
      <c r="F4708" s="445"/>
      <c r="G4708" s="445"/>
      <c r="H4708" s="446"/>
      <c r="I4708" s="445"/>
      <c r="J4708" s="446"/>
      <c r="K4708" s="447"/>
      <c r="M4708" s="596"/>
    </row>
    <row r="4709" spans="2:13">
      <c r="B4709" s="127"/>
      <c r="C4709" s="127"/>
    </row>
    <row r="4710" spans="2:13">
      <c r="B4710" s="127"/>
      <c r="C4710" s="127"/>
      <c r="D4710" s="427"/>
      <c r="E4710" s="427"/>
    </row>
    <row r="4711" spans="2:13">
      <c r="B4711" s="127"/>
      <c r="C4711" s="127"/>
      <c r="E4711" s="427"/>
    </row>
    <row r="4712" spans="2:13">
      <c r="B4712" s="127"/>
      <c r="C4712" s="127"/>
      <c r="E4712" s="427"/>
    </row>
    <row r="4713" spans="2:13">
      <c r="B4713" s="127"/>
      <c r="C4713" s="127"/>
      <c r="E4713" s="427"/>
    </row>
    <row r="4714" spans="2:13">
      <c r="B4714" s="127"/>
      <c r="C4714" s="127"/>
      <c r="E4714" s="430"/>
      <c r="F4714" s="432"/>
      <c r="G4714" s="432"/>
      <c r="H4714" s="443"/>
      <c r="I4714" s="432"/>
      <c r="J4714" s="443"/>
      <c r="K4714" s="444"/>
      <c r="M4714" s="431"/>
    </row>
    <row r="4715" spans="2:13">
      <c r="B4715" s="127"/>
      <c r="C4715" s="127"/>
      <c r="D4715" s="427"/>
      <c r="E4715" s="427"/>
      <c r="F4715" s="445"/>
      <c r="G4715" s="445"/>
      <c r="H4715" s="446"/>
      <c r="I4715" s="445"/>
      <c r="J4715" s="446"/>
      <c r="K4715" s="447"/>
      <c r="M4715" s="596"/>
    </row>
    <row r="4716" spans="2:13">
      <c r="B4716" s="127"/>
      <c r="C4716" s="127"/>
      <c r="F4716" s="398"/>
      <c r="G4716" s="398"/>
      <c r="H4716" s="398"/>
      <c r="I4716" s="398"/>
      <c r="J4716" s="398"/>
      <c r="K4716" s="398"/>
    </row>
    <row r="4717" spans="2:13">
      <c r="B4717" s="127"/>
      <c r="C4717" s="127"/>
      <c r="D4717" s="427"/>
      <c r="E4717" s="427"/>
      <c r="F4717" s="445"/>
      <c r="G4717" s="445"/>
      <c r="H4717" s="446"/>
      <c r="I4717" s="445"/>
      <c r="J4717" s="446"/>
      <c r="K4717" s="447"/>
      <c r="M4717" s="596"/>
    </row>
    <row r="4718" spans="2:13">
      <c r="B4718" s="127"/>
      <c r="C4718" s="127"/>
      <c r="F4718" s="398"/>
      <c r="G4718" s="398"/>
      <c r="H4718" s="398"/>
      <c r="I4718" s="398"/>
      <c r="J4718" s="398"/>
      <c r="K4718" s="398"/>
    </row>
    <row r="4719" spans="2:13">
      <c r="B4719" s="127"/>
      <c r="C4719" s="127"/>
      <c r="D4719" s="427"/>
      <c r="E4719" s="427"/>
      <c r="F4719" s="445"/>
      <c r="G4719" s="445"/>
      <c r="H4719" s="446"/>
      <c r="I4719" s="445"/>
      <c r="J4719" s="446"/>
      <c r="K4719" s="447"/>
      <c r="M4719" s="596"/>
    </row>
    <row r="4720" spans="2:13">
      <c r="B4720" s="127"/>
      <c r="C4720" s="127"/>
    </row>
    <row r="4721" spans="2:13">
      <c r="B4721" s="127"/>
      <c r="C4721" s="127"/>
      <c r="E4721" s="427"/>
    </row>
    <row r="4722" spans="2:13">
      <c r="B4722" s="127"/>
      <c r="C4722" s="127"/>
      <c r="E4722" s="427"/>
    </row>
    <row r="4723" spans="2:13">
      <c r="B4723" s="127"/>
      <c r="C4723" s="127"/>
      <c r="E4723" s="427"/>
    </row>
    <row r="4724" spans="2:13">
      <c r="B4724" s="127"/>
      <c r="C4724" s="127"/>
      <c r="E4724" s="430"/>
      <c r="F4724" s="432"/>
      <c r="G4724" s="432"/>
      <c r="H4724" s="443"/>
      <c r="I4724" s="432"/>
      <c r="J4724" s="443"/>
      <c r="K4724" s="444"/>
      <c r="M4724" s="431"/>
    </row>
    <row r="4725" spans="2:13">
      <c r="B4725" s="127"/>
      <c r="C4725" s="127"/>
      <c r="D4725" s="427"/>
      <c r="E4725" s="427"/>
      <c r="F4725" s="445"/>
      <c r="G4725" s="445"/>
      <c r="H4725" s="446"/>
      <c r="I4725" s="445"/>
      <c r="J4725" s="446"/>
      <c r="K4725" s="447"/>
      <c r="M4725" s="596"/>
    </row>
    <row r="4726" spans="2:13">
      <c r="B4726" s="127"/>
      <c r="C4726" s="127"/>
      <c r="F4726" s="398"/>
      <c r="G4726" s="398"/>
      <c r="H4726" s="398"/>
      <c r="I4726" s="398"/>
      <c r="J4726" s="398"/>
      <c r="K4726" s="398"/>
    </row>
    <row r="4727" spans="2:13">
      <c r="B4727" s="127"/>
      <c r="C4727" s="127"/>
      <c r="D4727" s="427"/>
      <c r="E4727" s="427"/>
      <c r="F4727" s="445"/>
      <c r="G4727" s="445"/>
      <c r="H4727" s="446"/>
      <c r="I4727" s="445"/>
      <c r="J4727" s="446"/>
      <c r="K4727" s="447"/>
      <c r="M4727" s="596"/>
    </row>
    <row r="4728" spans="2:13">
      <c r="B4728" s="127"/>
      <c r="C4728" s="127"/>
      <c r="F4728" s="398"/>
      <c r="G4728" s="398"/>
      <c r="H4728" s="398"/>
      <c r="I4728" s="398"/>
      <c r="J4728" s="398"/>
      <c r="K4728" s="398"/>
    </row>
    <row r="4729" spans="2:13">
      <c r="B4729" s="127"/>
      <c r="C4729" s="127"/>
      <c r="D4729" s="427"/>
      <c r="E4729" s="427"/>
      <c r="F4729" s="445"/>
      <c r="G4729" s="445"/>
      <c r="H4729" s="446"/>
      <c r="I4729" s="445"/>
      <c r="J4729" s="446"/>
      <c r="K4729" s="447"/>
      <c r="M4729" s="596"/>
    </row>
    <row r="4730" spans="2:13">
      <c r="B4730" s="127"/>
      <c r="C4730" s="127"/>
      <c r="F4730" s="398"/>
      <c r="G4730" s="398"/>
      <c r="H4730" s="398"/>
      <c r="I4730" s="398"/>
      <c r="J4730" s="398"/>
      <c r="K4730" s="398"/>
    </row>
    <row r="4731" spans="2:13">
      <c r="B4731" s="127"/>
      <c r="C4731" s="127"/>
      <c r="D4731" s="427"/>
      <c r="E4731" s="427"/>
      <c r="F4731" s="445"/>
      <c r="G4731" s="445"/>
      <c r="H4731" s="446"/>
      <c r="I4731" s="445"/>
      <c r="J4731" s="446"/>
      <c r="K4731" s="447"/>
      <c r="M4731" s="596"/>
    </row>
    <row r="4732" spans="2:13">
      <c r="B4732" s="127"/>
      <c r="C4732" s="127"/>
    </row>
    <row r="4733" spans="2:13">
      <c r="B4733" s="127"/>
      <c r="C4733" s="127"/>
      <c r="D4733" s="427"/>
      <c r="E4733" s="427"/>
    </row>
    <row r="4734" spans="2:13">
      <c r="B4734" s="127"/>
      <c r="C4734" s="127"/>
      <c r="E4734" s="427"/>
    </row>
    <row r="4735" spans="2:13">
      <c r="B4735" s="127"/>
      <c r="C4735" s="127"/>
      <c r="E4735" s="427"/>
    </row>
    <row r="4736" spans="2:13">
      <c r="B4736" s="127"/>
      <c r="C4736" s="127"/>
      <c r="E4736" s="427"/>
    </row>
    <row r="4737" spans="2:13">
      <c r="B4737" s="127"/>
      <c r="C4737" s="127"/>
      <c r="E4737" s="430"/>
      <c r="F4737" s="431"/>
      <c r="G4737" s="431"/>
      <c r="H4737" s="436"/>
      <c r="I4737" s="431"/>
      <c r="J4737" s="436"/>
      <c r="K4737" s="437"/>
      <c r="M4737" s="431"/>
    </row>
    <row r="4738" spans="2:13">
      <c r="B4738" s="127"/>
      <c r="C4738" s="127"/>
      <c r="E4738" s="430"/>
      <c r="F4738" s="431"/>
      <c r="G4738" s="431"/>
      <c r="H4738" s="436"/>
      <c r="I4738" s="431"/>
      <c r="J4738" s="436"/>
      <c r="K4738" s="437"/>
      <c r="M4738" s="431"/>
    </row>
    <row r="4739" spans="2:13">
      <c r="B4739" s="127"/>
      <c r="C4739" s="127"/>
      <c r="E4739" s="430"/>
      <c r="F4739" s="432"/>
      <c r="G4739" s="432"/>
      <c r="H4739" s="443"/>
      <c r="I4739" s="432"/>
      <c r="J4739" s="443"/>
      <c r="K4739" s="444"/>
      <c r="M4739" s="431"/>
    </row>
    <row r="4740" spans="2:13">
      <c r="B4740" s="127"/>
      <c r="C4740" s="127"/>
      <c r="D4740" s="427"/>
      <c r="E4740" s="427"/>
      <c r="F4740" s="445"/>
      <c r="G4740" s="445"/>
      <c r="H4740" s="446"/>
      <c r="I4740" s="445"/>
      <c r="J4740" s="446"/>
      <c r="K4740" s="447"/>
      <c r="M4740" s="596"/>
    </row>
    <row r="4741" spans="2:13">
      <c r="B4741" s="127"/>
      <c r="C4741" s="127"/>
      <c r="F4741" s="398"/>
      <c r="G4741" s="398"/>
      <c r="H4741" s="398"/>
      <c r="I4741" s="398"/>
      <c r="J4741" s="398"/>
      <c r="K4741" s="398"/>
    </row>
    <row r="4742" spans="2:13">
      <c r="B4742" s="127"/>
      <c r="C4742" s="127"/>
      <c r="D4742" s="427"/>
      <c r="E4742" s="427"/>
      <c r="F4742" s="445"/>
      <c r="G4742" s="445"/>
      <c r="H4742" s="446"/>
      <c r="I4742" s="445"/>
      <c r="J4742" s="446"/>
      <c r="K4742" s="447"/>
      <c r="M4742" s="596"/>
    </row>
    <row r="4743" spans="2:13">
      <c r="B4743" s="127"/>
      <c r="C4743" s="127"/>
      <c r="F4743" s="398"/>
      <c r="G4743" s="398"/>
      <c r="H4743" s="398"/>
      <c r="I4743" s="398"/>
      <c r="J4743" s="398"/>
      <c r="K4743" s="398"/>
    </row>
    <row r="4744" spans="2:13">
      <c r="B4744" s="127"/>
      <c r="C4744" s="127"/>
      <c r="D4744" s="427"/>
      <c r="E4744" s="427"/>
      <c r="F4744" s="445"/>
      <c r="G4744" s="445"/>
      <c r="H4744" s="446"/>
      <c r="I4744" s="445"/>
      <c r="J4744" s="446"/>
      <c r="K4744" s="447"/>
      <c r="M4744" s="596"/>
    </row>
    <row r="4745" spans="2:13">
      <c r="B4745" s="127"/>
      <c r="C4745" s="127"/>
    </row>
    <row r="4746" spans="2:13">
      <c r="B4746" s="127"/>
      <c r="C4746" s="127"/>
      <c r="E4746" s="427"/>
    </row>
    <row r="4747" spans="2:13">
      <c r="B4747" s="127"/>
      <c r="C4747" s="127"/>
      <c r="E4747" s="427"/>
    </row>
    <row r="4748" spans="2:13">
      <c r="B4748" s="127"/>
      <c r="C4748" s="127"/>
      <c r="E4748" s="427"/>
    </row>
    <row r="4749" spans="2:13">
      <c r="B4749" s="127"/>
      <c r="C4749" s="127"/>
      <c r="E4749" s="430"/>
      <c r="F4749" s="432"/>
      <c r="G4749" s="432"/>
      <c r="H4749" s="443"/>
      <c r="I4749" s="432"/>
      <c r="J4749" s="443"/>
      <c r="K4749" s="444"/>
      <c r="M4749" s="431"/>
    </row>
    <row r="4750" spans="2:13">
      <c r="B4750" s="127"/>
      <c r="C4750" s="127"/>
      <c r="D4750" s="427"/>
      <c r="E4750" s="427"/>
      <c r="F4750" s="445"/>
      <c r="G4750" s="445"/>
      <c r="H4750" s="446"/>
      <c r="I4750" s="445"/>
      <c r="J4750" s="446"/>
      <c r="K4750" s="447"/>
      <c r="M4750" s="596"/>
    </row>
    <row r="4751" spans="2:13">
      <c r="B4751" s="127"/>
      <c r="C4751" s="127"/>
    </row>
    <row r="4752" spans="2:13">
      <c r="B4752" s="127"/>
      <c r="C4752" s="127"/>
      <c r="E4752" s="427"/>
    </row>
    <row r="4753" spans="2:13">
      <c r="B4753" s="127"/>
      <c r="C4753" s="127"/>
      <c r="E4753" s="430"/>
      <c r="F4753" s="431"/>
      <c r="G4753" s="431"/>
      <c r="H4753" s="436"/>
      <c r="I4753" s="431"/>
      <c r="J4753" s="436"/>
      <c r="K4753" s="437"/>
      <c r="M4753" s="431"/>
    </row>
    <row r="4754" spans="2:13">
      <c r="B4754" s="127"/>
      <c r="C4754" s="127"/>
      <c r="E4754" s="430"/>
      <c r="F4754" s="432"/>
      <c r="G4754" s="432"/>
      <c r="H4754" s="443"/>
      <c r="I4754" s="432"/>
      <c r="J4754" s="443"/>
      <c r="K4754" s="444"/>
      <c r="M4754" s="431"/>
    </row>
    <row r="4755" spans="2:13">
      <c r="B4755" s="127"/>
      <c r="C4755" s="127"/>
      <c r="D4755" s="427"/>
      <c r="E4755" s="427"/>
      <c r="F4755" s="445"/>
      <c r="G4755" s="445"/>
      <c r="H4755" s="446"/>
      <c r="I4755" s="445"/>
      <c r="J4755" s="446"/>
      <c r="K4755" s="447"/>
      <c r="M4755" s="596"/>
    </row>
    <row r="4756" spans="2:13">
      <c r="B4756" s="127"/>
      <c r="C4756" s="127"/>
      <c r="F4756" s="398"/>
      <c r="G4756" s="398"/>
      <c r="H4756" s="398"/>
      <c r="I4756" s="398"/>
      <c r="J4756" s="398"/>
      <c r="K4756" s="398"/>
    </row>
    <row r="4757" spans="2:13">
      <c r="B4757" s="127"/>
      <c r="C4757" s="127"/>
      <c r="D4757" s="427"/>
      <c r="E4757" s="427"/>
      <c r="F4757" s="445"/>
      <c r="G4757" s="445"/>
      <c r="H4757" s="446"/>
      <c r="I4757" s="445"/>
      <c r="J4757" s="446"/>
      <c r="K4757" s="447"/>
      <c r="M4757" s="596"/>
    </row>
    <row r="4758" spans="2:13">
      <c r="B4758" s="127"/>
      <c r="C4758" s="127"/>
    </row>
    <row r="4759" spans="2:13">
      <c r="B4759" s="127"/>
      <c r="C4759" s="127"/>
      <c r="E4759" s="427"/>
    </row>
    <row r="4760" spans="2:13">
      <c r="B4760" s="127"/>
      <c r="C4760" s="127"/>
      <c r="E4760" s="427"/>
    </row>
    <row r="4761" spans="2:13">
      <c r="B4761" s="127"/>
      <c r="C4761" s="127"/>
      <c r="E4761" s="430"/>
      <c r="F4761" s="432"/>
      <c r="G4761" s="432"/>
      <c r="H4761" s="443"/>
      <c r="I4761" s="432"/>
      <c r="J4761" s="443"/>
      <c r="K4761" s="444"/>
      <c r="M4761" s="431"/>
    </row>
    <row r="4762" spans="2:13">
      <c r="B4762" s="127"/>
      <c r="C4762" s="127"/>
      <c r="D4762" s="427"/>
      <c r="E4762" s="427"/>
      <c r="F4762" s="445"/>
      <c r="G4762" s="445"/>
      <c r="H4762" s="446"/>
      <c r="I4762" s="445"/>
      <c r="J4762" s="446"/>
      <c r="K4762" s="447"/>
      <c r="M4762" s="596"/>
    </row>
    <row r="4763" spans="2:13">
      <c r="B4763" s="127"/>
      <c r="C4763" s="127"/>
    </row>
    <row r="4764" spans="2:13">
      <c r="B4764" s="127"/>
      <c r="C4764" s="127"/>
      <c r="E4764" s="427"/>
    </row>
    <row r="4765" spans="2:13">
      <c r="B4765" s="127"/>
      <c r="C4765" s="127"/>
      <c r="E4765" s="430"/>
      <c r="F4765" s="432"/>
      <c r="G4765" s="432"/>
      <c r="H4765" s="443"/>
      <c r="I4765" s="432"/>
      <c r="J4765" s="443"/>
      <c r="K4765" s="444"/>
      <c r="M4765" s="431"/>
    </row>
    <row r="4766" spans="2:13">
      <c r="B4766" s="127"/>
      <c r="C4766" s="127"/>
      <c r="D4766" s="427"/>
      <c r="E4766" s="427"/>
      <c r="F4766" s="445"/>
      <c r="G4766" s="445"/>
      <c r="H4766" s="446"/>
      <c r="I4766" s="445"/>
      <c r="J4766" s="446"/>
      <c r="K4766" s="447"/>
      <c r="M4766" s="596"/>
    </row>
    <row r="4767" spans="2:13">
      <c r="B4767" s="127"/>
      <c r="C4767" s="127"/>
      <c r="F4767" s="398"/>
      <c r="G4767" s="398"/>
      <c r="H4767" s="398"/>
      <c r="I4767" s="398"/>
      <c r="J4767" s="398"/>
      <c r="K4767" s="398"/>
    </row>
    <row r="4768" spans="2:13">
      <c r="B4768" s="127"/>
      <c r="C4768" s="127"/>
      <c r="D4768" s="427"/>
      <c r="E4768" s="427"/>
      <c r="F4768" s="445"/>
      <c r="G4768" s="445"/>
      <c r="H4768" s="446"/>
      <c r="I4768" s="445"/>
      <c r="J4768" s="446"/>
      <c r="K4768" s="447"/>
      <c r="M4768" s="596"/>
    </row>
    <row r="4769" spans="2:13">
      <c r="B4769" s="127"/>
      <c r="C4769" s="127"/>
      <c r="F4769" s="398"/>
      <c r="G4769" s="398"/>
      <c r="H4769" s="398"/>
      <c r="I4769" s="398"/>
      <c r="J4769" s="398"/>
      <c r="K4769" s="398"/>
    </row>
    <row r="4770" spans="2:13">
      <c r="B4770" s="127"/>
      <c r="C4770" s="127"/>
      <c r="D4770" s="427"/>
      <c r="E4770" s="427"/>
      <c r="F4770" s="445"/>
      <c r="G4770" s="445"/>
      <c r="H4770" s="446"/>
      <c r="I4770" s="445"/>
      <c r="J4770" s="446"/>
      <c r="K4770" s="447"/>
      <c r="M4770" s="596"/>
    </row>
    <row r="4771" spans="2:13">
      <c r="B4771" s="127"/>
      <c r="C4771" s="127"/>
      <c r="F4771" s="398"/>
      <c r="G4771" s="398"/>
      <c r="H4771" s="398"/>
      <c r="I4771" s="398"/>
      <c r="J4771" s="398"/>
      <c r="K4771" s="398"/>
    </row>
    <row r="4772" spans="2:13">
      <c r="B4772" s="127"/>
      <c r="C4772" s="127"/>
      <c r="D4772" s="427"/>
      <c r="E4772" s="427"/>
      <c r="F4772" s="445"/>
      <c r="G4772" s="445"/>
      <c r="H4772" s="446"/>
      <c r="I4772" s="445"/>
      <c r="J4772" s="446"/>
      <c r="K4772" s="447"/>
      <c r="M4772" s="596"/>
    </row>
    <row r="4773" spans="2:13">
      <c r="B4773" s="127"/>
      <c r="C4773" s="127"/>
    </row>
    <row r="4774" spans="2:13">
      <c r="B4774" s="127"/>
      <c r="C4774" s="127"/>
    </row>
    <row r="4775" spans="2:13">
      <c r="B4775" s="127"/>
      <c r="C4775" s="127"/>
      <c r="D4775" s="438"/>
      <c r="E4775" s="438"/>
      <c r="F4775" s="438"/>
      <c r="G4775" s="438"/>
      <c r="H4775" s="438"/>
      <c r="I4775" s="438"/>
      <c r="J4775" s="438"/>
      <c r="K4775" s="438"/>
      <c r="M4775" s="597"/>
    </row>
    <row r="4776" spans="2:13">
      <c r="B4776" s="127"/>
      <c r="C4776" s="127"/>
      <c r="D4776" s="454"/>
      <c r="E4776" s="454"/>
      <c r="F4776" s="399"/>
      <c r="G4776" s="399"/>
      <c r="H4776" s="399"/>
      <c r="I4776" s="399"/>
      <c r="J4776" s="454"/>
      <c r="K4776" s="454"/>
    </row>
    <row r="4777" spans="2:13">
      <c r="B4777" s="127"/>
      <c r="C4777" s="127"/>
      <c r="D4777" s="455"/>
      <c r="E4777" s="455"/>
      <c r="F4777" s="455"/>
      <c r="H4777" s="455"/>
      <c r="I4777" s="455"/>
      <c r="J4777" s="455"/>
      <c r="K4777" s="455"/>
      <c r="M4777" s="455"/>
    </row>
    <row r="4778" spans="2:13">
      <c r="B4778" s="127"/>
      <c r="C4778" s="127"/>
    </row>
    <row r="4779" spans="2:13">
      <c r="B4779" s="127"/>
      <c r="C4779" s="127"/>
      <c r="J4779" s="428"/>
    </row>
    <row r="4780" spans="2:13">
      <c r="B4780" s="127"/>
      <c r="C4780" s="127"/>
      <c r="F4780" s="428"/>
      <c r="G4780" s="428"/>
      <c r="H4780" s="428"/>
      <c r="I4780" s="428"/>
      <c r="J4780" s="428"/>
      <c r="K4780" s="428"/>
      <c r="M4780" s="428"/>
    </row>
    <row r="4781" spans="2:13">
      <c r="B4781" s="127"/>
      <c r="C4781" s="127"/>
      <c r="E4781" s="453"/>
      <c r="F4781" s="428"/>
      <c r="G4781" s="428"/>
      <c r="H4781" s="428"/>
      <c r="I4781" s="428"/>
      <c r="J4781" s="428"/>
      <c r="K4781" s="428"/>
      <c r="M4781" s="428"/>
    </row>
    <row r="4782" spans="2:13">
      <c r="B4782" s="127"/>
      <c r="C4782" s="127"/>
    </row>
    <row r="4783" spans="2:13">
      <c r="B4783" s="127"/>
      <c r="C4783" s="127"/>
      <c r="D4783" s="427"/>
      <c r="E4783" s="427"/>
    </row>
    <row r="4784" spans="2:13">
      <c r="B4784" s="127"/>
      <c r="C4784" s="127"/>
      <c r="E4784" s="427"/>
    </row>
    <row r="4785" spans="2:13">
      <c r="B4785" s="127"/>
      <c r="C4785" s="127"/>
      <c r="E4785" s="427"/>
    </row>
    <row r="4786" spans="2:13">
      <c r="B4786" s="127"/>
      <c r="C4786" s="127"/>
      <c r="E4786" s="427"/>
    </row>
    <row r="4787" spans="2:13">
      <c r="B4787" s="127"/>
      <c r="C4787" s="127"/>
      <c r="E4787" s="430"/>
      <c r="F4787" s="432"/>
      <c r="G4787" s="432"/>
      <c r="H4787" s="443"/>
      <c r="I4787" s="432"/>
      <c r="J4787" s="443"/>
      <c r="K4787" s="444"/>
      <c r="M4787" s="431"/>
    </row>
    <row r="4788" spans="2:13">
      <c r="B4788" s="127"/>
      <c r="C4788" s="127"/>
      <c r="D4788" s="427"/>
      <c r="E4788" s="427"/>
      <c r="F4788" s="445"/>
      <c r="G4788" s="445"/>
      <c r="H4788" s="446"/>
      <c r="I4788" s="445"/>
      <c r="J4788" s="446"/>
      <c r="K4788" s="447"/>
      <c r="M4788" s="596"/>
    </row>
    <row r="4789" spans="2:13">
      <c r="B4789" s="127"/>
      <c r="C4789" s="127"/>
      <c r="F4789" s="398"/>
      <c r="G4789" s="398"/>
      <c r="H4789" s="398"/>
      <c r="I4789" s="398"/>
      <c r="J4789" s="398"/>
      <c r="K4789" s="398"/>
    </row>
    <row r="4790" spans="2:13">
      <c r="B4790" s="127"/>
      <c r="C4790" s="127"/>
      <c r="D4790" s="427"/>
      <c r="E4790" s="427"/>
      <c r="F4790" s="445"/>
      <c r="G4790" s="445"/>
      <c r="H4790" s="446"/>
      <c r="I4790" s="445"/>
      <c r="J4790" s="446"/>
      <c r="K4790" s="447"/>
      <c r="M4790" s="596"/>
    </row>
    <row r="4791" spans="2:13">
      <c r="B4791" s="127"/>
      <c r="C4791" s="127"/>
      <c r="F4791" s="398"/>
      <c r="G4791" s="398"/>
      <c r="H4791" s="398"/>
      <c r="I4791" s="398"/>
      <c r="J4791" s="398"/>
      <c r="K4791" s="398"/>
    </row>
    <row r="4792" spans="2:13">
      <c r="B4792" s="127"/>
      <c r="C4792" s="127"/>
      <c r="D4792" s="427"/>
      <c r="E4792" s="427"/>
      <c r="F4792" s="445"/>
      <c r="G4792" s="445"/>
      <c r="H4792" s="446"/>
      <c r="I4792" s="445"/>
      <c r="J4792" s="446"/>
      <c r="K4792" s="447"/>
      <c r="M4792" s="596"/>
    </row>
    <row r="4793" spans="2:13">
      <c r="B4793" s="127"/>
      <c r="C4793" s="127"/>
    </row>
    <row r="4794" spans="2:13">
      <c r="B4794" s="127"/>
      <c r="C4794" s="127"/>
      <c r="E4794" s="427"/>
    </row>
    <row r="4795" spans="2:13">
      <c r="B4795" s="127"/>
      <c r="C4795" s="127"/>
      <c r="E4795" s="427"/>
    </row>
    <row r="4796" spans="2:13">
      <c r="B4796" s="127"/>
      <c r="C4796" s="127"/>
      <c r="E4796" s="427"/>
    </row>
    <row r="4797" spans="2:13">
      <c r="B4797" s="127"/>
      <c r="C4797" s="127"/>
      <c r="E4797" s="430"/>
      <c r="F4797" s="432"/>
      <c r="G4797" s="432"/>
      <c r="H4797" s="443"/>
      <c r="I4797" s="432"/>
      <c r="J4797" s="443"/>
      <c r="K4797" s="444"/>
      <c r="M4797" s="431"/>
    </row>
    <row r="4798" spans="2:13">
      <c r="B4798" s="127"/>
      <c r="C4798" s="127"/>
      <c r="D4798" s="427"/>
      <c r="E4798" s="427"/>
      <c r="F4798" s="445"/>
      <c r="G4798" s="445"/>
      <c r="H4798" s="446"/>
      <c r="I4798" s="445"/>
      <c r="J4798" s="446"/>
      <c r="K4798" s="447"/>
      <c r="M4798" s="596"/>
    </row>
    <row r="4799" spans="2:13">
      <c r="B4799" s="127"/>
      <c r="C4799" s="127"/>
    </row>
    <row r="4800" spans="2:13">
      <c r="B4800" s="127"/>
      <c r="C4800" s="127"/>
      <c r="E4800" s="427"/>
    </row>
    <row r="4801" spans="2:13">
      <c r="B4801" s="127"/>
      <c r="C4801" s="127"/>
      <c r="E4801" s="430"/>
      <c r="F4801" s="431"/>
      <c r="G4801" s="431"/>
      <c r="H4801" s="436"/>
      <c r="I4801" s="431"/>
      <c r="J4801" s="436"/>
      <c r="K4801" s="437"/>
      <c r="M4801" s="431"/>
    </row>
    <row r="4802" spans="2:13">
      <c r="B4802" s="127"/>
      <c r="C4802" s="127"/>
      <c r="E4802" s="430"/>
      <c r="F4802" s="432"/>
      <c r="G4802" s="432"/>
      <c r="H4802" s="443"/>
      <c r="I4802" s="432"/>
      <c r="J4802" s="443"/>
      <c r="K4802" s="444"/>
      <c r="M4802" s="431"/>
    </row>
    <row r="4803" spans="2:13">
      <c r="B4803" s="127"/>
      <c r="C4803" s="127"/>
      <c r="D4803" s="427"/>
      <c r="E4803" s="427"/>
      <c r="F4803" s="445"/>
      <c r="G4803" s="445"/>
      <c r="H4803" s="446"/>
      <c r="I4803" s="445"/>
      <c r="J4803" s="446"/>
      <c r="K4803" s="447"/>
      <c r="M4803" s="596"/>
    </row>
    <row r="4804" spans="2:13">
      <c r="B4804" s="127"/>
      <c r="C4804" s="127"/>
      <c r="F4804" s="398"/>
      <c r="G4804" s="398"/>
      <c r="H4804" s="398"/>
      <c r="I4804" s="398"/>
      <c r="J4804" s="398"/>
      <c r="K4804" s="398"/>
    </row>
    <row r="4805" spans="2:13">
      <c r="B4805" s="127"/>
      <c r="C4805" s="127"/>
      <c r="D4805" s="427"/>
      <c r="E4805" s="427"/>
      <c r="F4805" s="445"/>
      <c r="G4805" s="445"/>
      <c r="H4805" s="446"/>
      <c r="I4805" s="445"/>
      <c r="J4805" s="446"/>
      <c r="K4805" s="447"/>
      <c r="M4805" s="596"/>
    </row>
    <row r="4806" spans="2:13">
      <c r="B4806" s="127"/>
      <c r="C4806" s="127"/>
      <c r="F4806" s="398"/>
      <c r="G4806" s="398"/>
      <c r="H4806" s="398"/>
      <c r="I4806" s="398"/>
      <c r="J4806" s="398"/>
      <c r="K4806" s="398"/>
    </row>
    <row r="4807" spans="2:13">
      <c r="B4807" s="127"/>
      <c r="C4807" s="127"/>
      <c r="D4807" s="427"/>
      <c r="E4807" s="427"/>
      <c r="F4807" s="445"/>
      <c r="G4807" s="445"/>
      <c r="H4807" s="446"/>
      <c r="I4807" s="445"/>
      <c r="J4807" s="446"/>
      <c r="K4807" s="447"/>
      <c r="M4807" s="596"/>
    </row>
    <row r="4808" spans="2:13">
      <c r="B4808" s="127"/>
      <c r="C4808" s="127"/>
      <c r="F4808" s="398"/>
      <c r="G4808" s="398"/>
      <c r="H4808" s="398"/>
      <c r="I4808" s="398"/>
      <c r="J4808" s="398"/>
      <c r="K4808" s="398"/>
    </row>
    <row r="4809" spans="2:13">
      <c r="B4809" s="127"/>
      <c r="C4809" s="127"/>
      <c r="D4809" s="427"/>
      <c r="E4809" s="427"/>
      <c r="F4809" s="445"/>
      <c r="G4809" s="445"/>
      <c r="H4809" s="446"/>
      <c r="I4809" s="445"/>
      <c r="J4809" s="446"/>
      <c r="K4809" s="447"/>
      <c r="M4809" s="596"/>
    </row>
    <row r="4810" spans="2:13">
      <c r="B4810" s="127"/>
      <c r="C4810" s="127"/>
    </row>
    <row r="4811" spans="2:13">
      <c r="B4811" s="127"/>
      <c r="C4811" s="127"/>
      <c r="D4811" s="427"/>
      <c r="E4811" s="427"/>
    </row>
    <row r="4812" spans="2:13">
      <c r="B4812" s="127"/>
      <c r="C4812" s="127"/>
      <c r="E4812" s="427"/>
    </row>
    <row r="4813" spans="2:13">
      <c r="B4813" s="127"/>
      <c r="C4813" s="127"/>
      <c r="E4813" s="427"/>
    </row>
    <row r="4814" spans="2:13">
      <c r="B4814" s="127"/>
      <c r="C4814" s="127"/>
      <c r="E4814" s="427"/>
    </row>
    <row r="4815" spans="2:13">
      <c r="B4815" s="127"/>
      <c r="C4815" s="127"/>
      <c r="E4815" s="430"/>
      <c r="F4815" s="431"/>
      <c r="G4815" s="431"/>
      <c r="H4815" s="436"/>
      <c r="I4815" s="431"/>
      <c r="J4815" s="436"/>
      <c r="K4815" s="437"/>
      <c r="M4815" s="431"/>
    </row>
    <row r="4816" spans="2:13">
      <c r="B4816" s="127"/>
      <c r="C4816" s="127"/>
      <c r="E4816" s="430"/>
      <c r="F4816" s="432"/>
      <c r="G4816" s="432"/>
      <c r="H4816" s="443"/>
      <c r="I4816" s="432"/>
      <c r="J4816" s="443"/>
      <c r="K4816" s="444"/>
      <c r="M4816" s="431"/>
    </row>
    <row r="4817" spans="2:13">
      <c r="B4817" s="127"/>
      <c r="C4817" s="127"/>
      <c r="D4817" s="427"/>
      <c r="E4817" s="427"/>
      <c r="F4817" s="445"/>
      <c r="G4817" s="445"/>
      <c r="H4817" s="446"/>
      <c r="I4817" s="445"/>
      <c r="J4817" s="446"/>
      <c r="K4817" s="447"/>
      <c r="M4817" s="596"/>
    </row>
    <row r="4818" spans="2:13">
      <c r="B4818" s="127"/>
      <c r="C4818" s="127"/>
      <c r="F4818" s="398"/>
      <c r="G4818" s="398"/>
      <c r="H4818" s="398"/>
      <c r="I4818" s="398"/>
      <c r="J4818" s="398"/>
      <c r="K4818" s="398"/>
    </row>
    <row r="4819" spans="2:13">
      <c r="B4819" s="127"/>
      <c r="C4819" s="127"/>
      <c r="D4819" s="427"/>
      <c r="E4819" s="427"/>
      <c r="F4819" s="445"/>
      <c r="G4819" s="445"/>
      <c r="H4819" s="446"/>
      <c r="I4819" s="445"/>
      <c r="J4819" s="446"/>
      <c r="K4819" s="447"/>
      <c r="M4819" s="596"/>
    </row>
    <row r="4820" spans="2:13">
      <c r="B4820" s="127"/>
      <c r="C4820" s="127"/>
      <c r="F4820" s="398"/>
      <c r="G4820" s="398"/>
      <c r="H4820" s="398"/>
      <c r="I4820" s="398"/>
      <c r="J4820" s="398"/>
      <c r="K4820" s="398"/>
    </row>
    <row r="4821" spans="2:13">
      <c r="B4821" s="127"/>
      <c r="C4821" s="127"/>
      <c r="D4821" s="427"/>
      <c r="E4821" s="427"/>
      <c r="F4821" s="445"/>
      <c r="G4821" s="445"/>
      <c r="H4821" s="446"/>
      <c r="I4821" s="445"/>
      <c r="J4821" s="446"/>
      <c r="K4821" s="447"/>
      <c r="M4821" s="596"/>
    </row>
    <row r="4822" spans="2:13">
      <c r="B4822" s="127"/>
      <c r="C4822" s="127"/>
    </row>
    <row r="4823" spans="2:13">
      <c r="B4823" s="127"/>
      <c r="C4823" s="127"/>
      <c r="E4823" s="427"/>
    </row>
    <row r="4824" spans="2:13">
      <c r="B4824" s="127"/>
      <c r="C4824" s="127"/>
      <c r="E4824" s="427"/>
    </row>
    <row r="4825" spans="2:13">
      <c r="B4825" s="127"/>
      <c r="C4825" s="127"/>
      <c r="E4825" s="427"/>
    </row>
    <row r="4826" spans="2:13">
      <c r="B4826" s="127"/>
      <c r="C4826" s="127"/>
      <c r="E4826" s="430"/>
      <c r="F4826" s="432"/>
      <c r="G4826" s="432"/>
      <c r="H4826" s="443"/>
      <c r="I4826" s="432"/>
      <c r="J4826" s="443"/>
      <c r="K4826" s="444"/>
      <c r="M4826" s="431"/>
    </row>
    <row r="4827" spans="2:13">
      <c r="B4827" s="127"/>
      <c r="C4827" s="127"/>
      <c r="D4827" s="427"/>
      <c r="E4827" s="427"/>
      <c r="F4827" s="445"/>
      <c r="G4827" s="445"/>
      <c r="H4827" s="446"/>
      <c r="I4827" s="445"/>
      <c r="J4827" s="446"/>
      <c r="K4827" s="447"/>
      <c r="M4827" s="596"/>
    </row>
    <row r="4828" spans="2:13">
      <c r="B4828" s="127"/>
      <c r="C4828" s="127"/>
      <c r="F4828" s="398"/>
      <c r="G4828" s="398"/>
      <c r="H4828" s="398"/>
      <c r="I4828" s="398"/>
      <c r="J4828" s="398"/>
      <c r="K4828" s="398"/>
    </row>
    <row r="4829" spans="2:13">
      <c r="B4829" s="127"/>
      <c r="C4829" s="127"/>
      <c r="D4829" s="427"/>
      <c r="E4829" s="427"/>
      <c r="F4829" s="445"/>
      <c r="G4829" s="445"/>
      <c r="H4829" s="446"/>
      <c r="I4829" s="445"/>
      <c r="J4829" s="446"/>
      <c r="K4829" s="447"/>
      <c r="M4829" s="596"/>
    </row>
    <row r="4830" spans="2:13">
      <c r="B4830" s="127"/>
      <c r="C4830" s="127"/>
    </row>
    <row r="4831" spans="2:13">
      <c r="B4831" s="127"/>
      <c r="C4831" s="127"/>
      <c r="E4831" s="427"/>
    </row>
    <row r="4832" spans="2:13">
      <c r="B4832" s="127"/>
      <c r="C4832" s="127"/>
      <c r="E4832" s="427"/>
    </row>
    <row r="4833" spans="2:13">
      <c r="B4833" s="127"/>
      <c r="C4833" s="127"/>
      <c r="E4833" s="430"/>
      <c r="F4833" s="431"/>
      <c r="G4833" s="431"/>
      <c r="H4833" s="436"/>
      <c r="I4833" s="431"/>
      <c r="J4833" s="436"/>
      <c r="K4833" s="437"/>
      <c r="M4833" s="431"/>
    </row>
    <row r="4834" spans="2:13">
      <c r="B4834" s="127"/>
      <c r="C4834" s="127"/>
      <c r="E4834" s="430"/>
      <c r="F4834" s="432"/>
      <c r="G4834" s="432"/>
      <c r="H4834" s="443"/>
      <c r="I4834" s="432"/>
      <c r="J4834" s="443"/>
      <c r="K4834" s="444"/>
      <c r="M4834" s="431"/>
    </row>
    <row r="4835" spans="2:13">
      <c r="B4835" s="127"/>
      <c r="C4835" s="127"/>
      <c r="D4835" s="427"/>
      <c r="E4835" s="427"/>
      <c r="F4835" s="445"/>
      <c r="G4835" s="445"/>
      <c r="H4835" s="446"/>
      <c r="I4835" s="445"/>
      <c r="J4835" s="446"/>
      <c r="K4835" s="447"/>
      <c r="M4835" s="596"/>
    </row>
    <row r="4836" spans="2:13">
      <c r="B4836" s="127"/>
      <c r="C4836" s="127"/>
    </row>
    <row r="4837" spans="2:13">
      <c r="B4837" s="127"/>
      <c r="C4837" s="127"/>
      <c r="E4837" s="427"/>
    </row>
    <row r="4838" spans="2:13">
      <c r="B4838" s="127"/>
      <c r="C4838" s="127"/>
      <c r="E4838" s="430"/>
      <c r="F4838" s="431"/>
      <c r="G4838" s="431"/>
      <c r="H4838" s="436"/>
      <c r="I4838" s="431"/>
      <c r="J4838" s="436"/>
      <c r="K4838" s="437"/>
      <c r="M4838" s="431"/>
    </row>
    <row r="4839" spans="2:13">
      <c r="B4839" s="127"/>
      <c r="C4839" s="127"/>
      <c r="E4839" s="430"/>
      <c r="F4839" s="431"/>
      <c r="G4839" s="431"/>
      <c r="H4839" s="436"/>
      <c r="I4839" s="431"/>
      <c r="J4839" s="436"/>
      <c r="K4839" s="437"/>
      <c r="M4839" s="431"/>
    </row>
    <row r="4840" spans="2:13">
      <c r="B4840" s="127"/>
      <c r="C4840" s="127"/>
      <c r="E4840" s="430"/>
      <c r="F4840" s="432"/>
      <c r="G4840" s="432"/>
      <c r="H4840" s="443"/>
      <c r="I4840" s="432"/>
      <c r="J4840" s="443"/>
      <c r="K4840" s="444"/>
      <c r="M4840" s="431"/>
    </row>
    <row r="4841" spans="2:13">
      <c r="B4841" s="127"/>
      <c r="C4841" s="127"/>
      <c r="D4841" s="427"/>
      <c r="E4841" s="427"/>
      <c r="F4841" s="445"/>
      <c r="G4841" s="445"/>
      <c r="H4841" s="446"/>
      <c r="I4841" s="445"/>
      <c r="J4841" s="446"/>
      <c r="K4841" s="447"/>
      <c r="M4841" s="596"/>
    </row>
    <row r="4842" spans="2:13">
      <c r="B4842" s="127"/>
      <c r="C4842" s="127"/>
      <c r="F4842" s="398"/>
      <c r="G4842" s="398"/>
      <c r="H4842" s="398"/>
      <c r="I4842" s="398"/>
      <c r="J4842" s="398"/>
      <c r="K4842" s="398"/>
    </row>
    <row r="4843" spans="2:13">
      <c r="B4843" s="127"/>
      <c r="C4843" s="127"/>
      <c r="D4843" s="427"/>
      <c r="E4843" s="427"/>
      <c r="F4843" s="445"/>
      <c r="G4843" s="445"/>
      <c r="H4843" s="446"/>
      <c r="I4843" s="445"/>
      <c r="J4843" s="446"/>
      <c r="K4843" s="447"/>
      <c r="M4843" s="596"/>
    </row>
    <row r="4844" spans="2:13">
      <c r="B4844" s="127"/>
      <c r="C4844" s="127"/>
    </row>
    <row r="4845" spans="2:13">
      <c r="B4845" s="127"/>
      <c r="C4845" s="127"/>
    </row>
    <row r="4846" spans="2:13">
      <c r="B4846" s="127"/>
      <c r="C4846" s="127"/>
    </row>
    <row r="4847" spans="2:13">
      <c r="B4847" s="127"/>
      <c r="C4847" s="127"/>
      <c r="D4847" s="438"/>
      <c r="E4847" s="438"/>
      <c r="F4847" s="438"/>
      <c r="G4847" s="438"/>
      <c r="H4847" s="438"/>
      <c r="I4847" s="438"/>
      <c r="J4847" s="438"/>
      <c r="K4847" s="438"/>
      <c r="M4847" s="597"/>
    </row>
    <row r="4848" spans="2:13">
      <c r="B4848" s="127"/>
      <c r="C4848" s="127"/>
      <c r="D4848" s="454"/>
      <c r="E4848" s="454"/>
      <c r="F4848" s="399"/>
      <c r="G4848" s="399"/>
      <c r="H4848" s="399"/>
      <c r="I4848" s="399"/>
      <c r="J4848" s="454"/>
      <c r="K4848" s="454"/>
    </row>
    <row r="4849" spans="2:13">
      <c r="B4849" s="127"/>
      <c r="C4849" s="127"/>
      <c r="D4849" s="455"/>
      <c r="E4849" s="455"/>
      <c r="F4849" s="455"/>
      <c r="H4849" s="455"/>
      <c r="I4849" s="455"/>
      <c r="J4849" s="455"/>
      <c r="K4849" s="455"/>
      <c r="M4849" s="455"/>
    </row>
    <row r="4850" spans="2:13">
      <c r="B4850" s="127"/>
      <c r="C4850" s="127"/>
    </row>
    <row r="4851" spans="2:13">
      <c r="B4851" s="127"/>
      <c r="C4851" s="127"/>
      <c r="J4851" s="428"/>
    </row>
    <row r="4852" spans="2:13">
      <c r="B4852" s="127"/>
      <c r="C4852" s="127"/>
      <c r="F4852" s="428"/>
      <c r="G4852" s="428"/>
      <c r="H4852" s="428"/>
      <c r="I4852" s="428"/>
      <c r="J4852" s="428"/>
      <c r="K4852" s="428"/>
      <c r="M4852" s="428"/>
    </row>
    <row r="4853" spans="2:13">
      <c r="B4853" s="127"/>
      <c r="C4853" s="127"/>
      <c r="E4853" s="453"/>
      <c r="F4853" s="428"/>
      <c r="G4853" s="428"/>
      <c r="H4853" s="428"/>
      <c r="I4853" s="428"/>
      <c r="J4853" s="428"/>
      <c r="K4853" s="428"/>
      <c r="M4853" s="428"/>
    </row>
    <row r="4854" spans="2:13">
      <c r="B4854" s="127"/>
      <c r="C4854" s="127"/>
    </row>
    <row r="4855" spans="2:13">
      <c r="B4855" s="127"/>
      <c r="C4855" s="127"/>
      <c r="E4855" s="427"/>
    </row>
    <row r="4856" spans="2:13">
      <c r="B4856" s="127"/>
      <c r="C4856" s="127"/>
      <c r="E4856" s="427"/>
    </row>
    <row r="4857" spans="2:13">
      <c r="B4857" s="127"/>
      <c r="C4857" s="127"/>
      <c r="E4857" s="430"/>
      <c r="F4857" s="432"/>
      <c r="G4857" s="432"/>
      <c r="H4857" s="443"/>
      <c r="I4857" s="432"/>
      <c r="J4857" s="443"/>
      <c r="K4857" s="444"/>
      <c r="M4857" s="431"/>
    </row>
    <row r="4858" spans="2:13">
      <c r="B4858" s="127"/>
      <c r="C4858" s="127"/>
      <c r="D4858" s="427"/>
      <c r="E4858" s="427"/>
      <c r="F4858" s="445"/>
      <c r="G4858" s="445"/>
      <c r="H4858" s="446"/>
      <c r="I4858" s="445"/>
      <c r="J4858" s="446"/>
      <c r="K4858" s="447"/>
      <c r="M4858" s="596"/>
    </row>
    <row r="4859" spans="2:13">
      <c r="B4859" s="127"/>
      <c r="C4859" s="127"/>
      <c r="F4859" s="398"/>
      <c r="G4859" s="398"/>
      <c r="H4859" s="398"/>
      <c r="I4859" s="398"/>
      <c r="J4859" s="398"/>
      <c r="K4859" s="398"/>
    </row>
    <row r="4860" spans="2:13">
      <c r="B4860" s="127"/>
      <c r="C4860" s="127"/>
      <c r="D4860" s="427"/>
      <c r="E4860" s="427"/>
      <c r="F4860" s="445"/>
      <c r="G4860" s="445"/>
      <c r="H4860" s="446"/>
      <c r="I4860" s="445"/>
      <c r="J4860" s="446"/>
      <c r="K4860" s="447"/>
      <c r="M4860" s="596"/>
    </row>
    <row r="4861" spans="2:13">
      <c r="B4861" s="127"/>
      <c r="C4861" s="127"/>
      <c r="F4861" s="398"/>
      <c r="G4861" s="398"/>
      <c r="H4861" s="398"/>
      <c r="I4861" s="398"/>
      <c r="J4861" s="398"/>
      <c r="K4861" s="398"/>
    </row>
    <row r="4862" spans="2:13">
      <c r="B4862" s="127"/>
      <c r="C4862" s="127"/>
      <c r="D4862" s="427"/>
      <c r="E4862" s="427"/>
      <c r="F4862" s="445"/>
      <c r="G4862" s="445"/>
      <c r="H4862" s="446"/>
      <c r="I4862" s="445"/>
      <c r="J4862" s="446"/>
      <c r="K4862" s="447"/>
      <c r="M4862" s="596"/>
    </row>
    <row r="4863" spans="2:13">
      <c r="B4863" s="127"/>
      <c r="C4863" s="127"/>
      <c r="F4863" s="398"/>
      <c r="G4863" s="398"/>
      <c r="H4863" s="398"/>
      <c r="I4863" s="398"/>
      <c r="J4863" s="398"/>
      <c r="K4863" s="398"/>
    </row>
    <row r="4864" spans="2:13">
      <c r="B4864" s="127"/>
      <c r="C4864" s="127"/>
      <c r="D4864" s="427"/>
      <c r="E4864" s="427"/>
      <c r="F4864" s="445"/>
      <c r="G4864" s="445"/>
      <c r="H4864" s="446"/>
      <c r="I4864" s="445"/>
      <c r="J4864" s="446"/>
      <c r="K4864" s="447"/>
      <c r="M4864" s="596"/>
    </row>
    <row r="4865" spans="2:13">
      <c r="B4865" s="127"/>
      <c r="C4865" s="127"/>
    </row>
    <row r="4866" spans="2:13">
      <c r="B4866" s="127"/>
      <c r="C4866" s="127"/>
      <c r="D4866" s="427"/>
      <c r="E4866" s="427"/>
    </row>
    <row r="4867" spans="2:13">
      <c r="B4867" s="127"/>
      <c r="C4867" s="127"/>
      <c r="E4867" s="427"/>
    </row>
    <row r="4868" spans="2:13">
      <c r="B4868" s="127"/>
      <c r="C4868" s="127"/>
      <c r="E4868" s="427"/>
    </row>
    <row r="4869" spans="2:13">
      <c r="B4869" s="127"/>
      <c r="C4869" s="127"/>
      <c r="E4869" s="427"/>
    </row>
    <row r="4870" spans="2:13">
      <c r="B4870" s="127"/>
      <c r="C4870" s="127"/>
      <c r="E4870" s="430"/>
      <c r="F4870" s="431"/>
      <c r="G4870" s="431"/>
      <c r="H4870" s="436"/>
      <c r="I4870" s="431"/>
      <c r="J4870" s="436"/>
      <c r="K4870" s="437"/>
      <c r="M4870" s="431"/>
    </row>
    <row r="4871" spans="2:13">
      <c r="B4871" s="127"/>
      <c r="C4871" s="127"/>
      <c r="E4871" s="430"/>
      <c r="F4871" s="432"/>
      <c r="G4871" s="432"/>
      <c r="H4871" s="443"/>
      <c r="I4871" s="432"/>
      <c r="J4871" s="443"/>
      <c r="K4871" s="444"/>
      <c r="M4871" s="431"/>
    </row>
    <row r="4872" spans="2:13">
      <c r="B4872" s="127"/>
      <c r="C4872" s="127"/>
      <c r="D4872" s="427"/>
      <c r="E4872" s="427"/>
      <c r="F4872" s="445"/>
      <c r="G4872" s="445"/>
      <c r="H4872" s="446"/>
      <c r="I4872" s="445"/>
      <c r="J4872" s="446"/>
      <c r="K4872" s="447"/>
      <c r="M4872" s="596"/>
    </row>
    <row r="4873" spans="2:13">
      <c r="B4873" s="127"/>
      <c r="C4873" s="127"/>
      <c r="F4873" s="398"/>
      <c r="G4873" s="398"/>
      <c r="H4873" s="398"/>
      <c r="I4873" s="398"/>
      <c r="J4873" s="398"/>
      <c r="K4873" s="398"/>
    </row>
    <row r="4874" spans="2:13">
      <c r="B4874" s="127"/>
      <c r="C4874" s="127"/>
      <c r="D4874" s="427"/>
      <c r="E4874" s="427"/>
      <c r="F4874" s="445"/>
      <c r="G4874" s="445"/>
      <c r="H4874" s="446"/>
      <c r="I4874" s="445"/>
      <c r="J4874" s="446"/>
      <c r="K4874" s="447"/>
      <c r="M4874" s="596"/>
    </row>
    <row r="4875" spans="2:13">
      <c r="B4875" s="127"/>
      <c r="C4875" s="127"/>
      <c r="F4875" s="398"/>
      <c r="G4875" s="398"/>
      <c r="H4875" s="398"/>
      <c r="I4875" s="398"/>
      <c r="J4875" s="398"/>
      <c r="K4875" s="398"/>
    </row>
    <row r="4876" spans="2:13">
      <c r="B4876" s="127"/>
      <c r="C4876" s="127"/>
      <c r="D4876" s="427"/>
      <c r="E4876" s="427"/>
      <c r="F4876" s="445"/>
      <c r="G4876" s="445"/>
      <c r="H4876" s="446"/>
      <c r="I4876" s="445"/>
      <c r="J4876" s="446"/>
      <c r="K4876" s="447"/>
      <c r="M4876" s="596"/>
    </row>
    <row r="4877" spans="2:13">
      <c r="B4877" s="127"/>
      <c r="C4877" s="127"/>
    </row>
    <row r="4878" spans="2:13">
      <c r="B4878" s="127"/>
      <c r="C4878" s="127"/>
      <c r="E4878" s="427"/>
    </row>
    <row r="4879" spans="2:13">
      <c r="B4879" s="127"/>
      <c r="C4879" s="127"/>
      <c r="E4879" s="427"/>
    </row>
    <row r="4880" spans="2:13">
      <c r="B4880" s="127"/>
      <c r="C4880" s="127"/>
      <c r="E4880" s="427"/>
    </row>
    <row r="4881" spans="2:13">
      <c r="B4881" s="127"/>
      <c r="C4881" s="127"/>
      <c r="E4881" s="430"/>
      <c r="F4881" s="431"/>
      <c r="G4881" s="431"/>
      <c r="H4881" s="436"/>
      <c r="I4881" s="431"/>
      <c r="J4881" s="436"/>
      <c r="K4881" s="437"/>
      <c r="M4881" s="431"/>
    </row>
    <row r="4882" spans="2:13">
      <c r="B4882" s="127"/>
      <c r="C4882" s="127"/>
      <c r="E4882" s="430"/>
      <c r="F4882" s="431"/>
      <c r="G4882" s="431"/>
      <c r="H4882" s="436"/>
      <c r="I4882" s="431"/>
      <c r="J4882" s="436"/>
      <c r="K4882" s="437"/>
      <c r="M4882" s="431"/>
    </row>
    <row r="4883" spans="2:13">
      <c r="B4883" s="127"/>
      <c r="C4883" s="127"/>
      <c r="E4883" s="430"/>
      <c r="F4883" s="431"/>
      <c r="G4883" s="431"/>
      <c r="H4883" s="436"/>
      <c r="I4883" s="431"/>
      <c r="J4883" s="436"/>
      <c r="K4883" s="437"/>
      <c r="M4883" s="431"/>
    </row>
    <row r="4884" spans="2:13">
      <c r="B4884" s="127"/>
      <c r="C4884" s="127"/>
      <c r="E4884" s="430"/>
      <c r="F4884" s="432"/>
      <c r="G4884" s="432"/>
      <c r="H4884" s="443"/>
      <c r="I4884" s="432"/>
      <c r="J4884" s="443"/>
      <c r="K4884" s="444"/>
      <c r="M4884" s="431"/>
    </row>
    <row r="4885" spans="2:13">
      <c r="B4885" s="127"/>
      <c r="C4885" s="127"/>
      <c r="D4885" s="427"/>
      <c r="E4885" s="427"/>
      <c r="F4885" s="445"/>
      <c r="G4885" s="445"/>
      <c r="H4885" s="446"/>
      <c r="I4885" s="445"/>
      <c r="J4885" s="446"/>
      <c r="K4885" s="447"/>
      <c r="M4885" s="596"/>
    </row>
    <row r="4886" spans="2:13">
      <c r="B4886" s="127"/>
      <c r="C4886" s="127"/>
      <c r="F4886" s="398"/>
      <c r="G4886" s="398"/>
      <c r="H4886" s="398"/>
      <c r="I4886" s="398"/>
      <c r="J4886" s="398"/>
      <c r="K4886" s="398"/>
    </row>
    <row r="4887" spans="2:13">
      <c r="B4887" s="127"/>
      <c r="C4887" s="127"/>
      <c r="D4887" s="427"/>
      <c r="E4887" s="427"/>
      <c r="F4887" s="445"/>
      <c r="G4887" s="445"/>
      <c r="H4887" s="446"/>
      <c r="I4887" s="445"/>
      <c r="J4887" s="446"/>
      <c r="K4887" s="447"/>
      <c r="M4887" s="596"/>
    </row>
    <row r="4888" spans="2:13">
      <c r="B4888" s="127"/>
      <c r="C4888" s="127"/>
      <c r="F4888" s="398"/>
      <c r="G4888" s="398"/>
      <c r="H4888" s="398"/>
      <c r="I4888" s="398"/>
      <c r="J4888" s="398"/>
      <c r="K4888" s="398"/>
    </row>
    <row r="4889" spans="2:13">
      <c r="B4889" s="127"/>
      <c r="C4889" s="127"/>
      <c r="D4889" s="427"/>
      <c r="E4889" s="427"/>
      <c r="F4889" s="445"/>
      <c r="G4889" s="445"/>
      <c r="H4889" s="446"/>
      <c r="I4889" s="445"/>
      <c r="J4889" s="446"/>
      <c r="K4889" s="447"/>
      <c r="M4889" s="596"/>
    </row>
    <row r="4890" spans="2:13">
      <c r="B4890" s="127"/>
      <c r="C4890" s="127"/>
      <c r="F4890" s="398"/>
      <c r="G4890" s="398"/>
      <c r="H4890" s="398"/>
      <c r="I4890" s="398"/>
      <c r="J4890" s="398"/>
      <c r="K4890" s="398"/>
    </row>
    <row r="4891" spans="2:13">
      <c r="B4891" s="127"/>
      <c r="C4891" s="127"/>
      <c r="D4891" s="427"/>
      <c r="E4891" s="427"/>
      <c r="F4891" s="445"/>
      <c r="G4891" s="445"/>
      <c r="H4891" s="446"/>
      <c r="I4891" s="445"/>
      <c r="J4891" s="446"/>
      <c r="K4891" s="447"/>
      <c r="M4891" s="596"/>
    </row>
    <row r="4892" spans="2:13">
      <c r="B4892" s="127"/>
      <c r="C4892" s="127"/>
    </row>
    <row r="4893" spans="2:13">
      <c r="B4893" s="127"/>
      <c r="C4893" s="127"/>
      <c r="D4893" s="427"/>
      <c r="E4893" s="427"/>
    </row>
    <row r="4894" spans="2:13">
      <c r="B4894" s="127"/>
      <c r="C4894" s="127"/>
      <c r="E4894" s="427"/>
    </row>
    <row r="4895" spans="2:13">
      <c r="B4895" s="127"/>
      <c r="C4895" s="127"/>
      <c r="E4895" s="427"/>
    </row>
    <row r="4896" spans="2:13">
      <c r="B4896" s="127"/>
      <c r="C4896" s="127"/>
      <c r="E4896" s="427"/>
    </row>
    <row r="4897" spans="2:13">
      <c r="B4897" s="127"/>
      <c r="C4897" s="127"/>
      <c r="E4897" s="430"/>
      <c r="F4897" s="432"/>
      <c r="G4897" s="432"/>
      <c r="H4897" s="443"/>
      <c r="I4897" s="432"/>
      <c r="J4897" s="443"/>
      <c r="K4897" s="444"/>
      <c r="M4897" s="431"/>
    </row>
    <row r="4898" spans="2:13">
      <c r="B4898" s="127"/>
      <c r="C4898" s="127"/>
      <c r="D4898" s="427"/>
      <c r="E4898" s="427"/>
      <c r="F4898" s="445"/>
      <c r="G4898" s="445"/>
      <c r="H4898" s="446"/>
      <c r="I4898" s="445"/>
      <c r="J4898" s="446"/>
      <c r="K4898" s="447"/>
      <c r="M4898" s="596"/>
    </row>
    <row r="4899" spans="2:13">
      <c r="B4899" s="127"/>
      <c r="C4899" s="127"/>
      <c r="F4899" s="398"/>
      <c r="G4899" s="398"/>
      <c r="H4899" s="398"/>
      <c r="I4899" s="398"/>
      <c r="J4899" s="398"/>
      <c r="K4899" s="398"/>
    </row>
    <row r="4900" spans="2:13">
      <c r="B4900" s="127"/>
      <c r="C4900" s="127"/>
      <c r="D4900" s="427"/>
      <c r="E4900" s="427"/>
      <c r="F4900" s="445"/>
      <c r="G4900" s="445"/>
      <c r="H4900" s="446"/>
      <c r="I4900" s="445"/>
      <c r="J4900" s="446"/>
      <c r="K4900" s="447"/>
      <c r="M4900" s="596"/>
    </row>
    <row r="4901" spans="2:13">
      <c r="B4901" s="127"/>
      <c r="C4901" s="127"/>
      <c r="F4901" s="398"/>
      <c r="G4901" s="398"/>
      <c r="H4901" s="398"/>
      <c r="I4901" s="398"/>
      <c r="J4901" s="398"/>
      <c r="K4901" s="398"/>
    </row>
    <row r="4902" spans="2:13">
      <c r="B4902" s="127"/>
      <c r="C4902" s="127"/>
      <c r="D4902" s="427"/>
      <c r="E4902" s="427"/>
      <c r="F4902" s="445"/>
      <c r="G4902" s="445"/>
      <c r="H4902" s="446"/>
      <c r="I4902" s="445"/>
      <c r="J4902" s="446"/>
      <c r="K4902" s="447"/>
      <c r="M4902" s="596"/>
    </row>
    <row r="4903" spans="2:13">
      <c r="B4903" s="127"/>
      <c r="C4903" s="127"/>
    </row>
    <row r="4904" spans="2:13">
      <c r="B4904" s="127"/>
      <c r="C4904" s="127"/>
      <c r="E4904" s="427"/>
    </row>
    <row r="4905" spans="2:13">
      <c r="B4905" s="127"/>
      <c r="C4905" s="127"/>
      <c r="E4905" s="427"/>
    </row>
    <row r="4906" spans="2:13">
      <c r="B4906" s="127"/>
      <c r="C4906" s="127"/>
      <c r="E4906" s="427"/>
    </row>
    <row r="4907" spans="2:13">
      <c r="B4907" s="127"/>
      <c r="C4907" s="127"/>
      <c r="E4907" s="430"/>
      <c r="F4907" s="431"/>
      <c r="G4907" s="431"/>
      <c r="H4907" s="436"/>
      <c r="I4907" s="431"/>
      <c r="J4907" s="436"/>
      <c r="K4907" s="437"/>
      <c r="M4907" s="431"/>
    </row>
    <row r="4908" spans="2:13">
      <c r="B4908" s="127"/>
      <c r="C4908" s="127"/>
      <c r="E4908" s="430"/>
      <c r="F4908" s="431"/>
      <c r="G4908" s="431"/>
      <c r="H4908" s="436"/>
      <c r="I4908" s="431"/>
      <c r="J4908" s="436"/>
      <c r="K4908" s="437"/>
      <c r="M4908" s="431"/>
    </row>
    <row r="4909" spans="2:13">
      <c r="B4909" s="127"/>
      <c r="C4909" s="127"/>
      <c r="E4909" s="430"/>
      <c r="F4909" s="432"/>
      <c r="G4909" s="432"/>
      <c r="H4909" s="443"/>
      <c r="I4909" s="432"/>
      <c r="J4909" s="443"/>
      <c r="K4909" s="444"/>
      <c r="M4909" s="431"/>
    </row>
    <row r="4910" spans="2:13">
      <c r="B4910" s="127"/>
      <c r="C4910" s="127"/>
      <c r="D4910" s="427"/>
      <c r="E4910" s="427"/>
      <c r="F4910" s="445"/>
      <c r="G4910" s="445"/>
      <c r="H4910" s="446"/>
      <c r="I4910" s="445"/>
      <c r="J4910" s="446"/>
      <c r="K4910" s="447"/>
      <c r="M4910" s="596"/>
    </row>
    <row r="4911" spans="2:13">
      <c r="B4911" s="127"/>
      <c r="C4911" s="127"/>
    </row>
    <row r="4912" spans="2:13">
      <c r="B4912" s="127"/>
      <c r="C4912" s="127"/>
      <c r="E4912" s="427"/>
    </row>
    <row r="4913" spans="2:13">
      <c r="B4913" s="127"/>
      <c r="C4913" s="127"/>
      <c r="E4913" s="430"/>
      <c r="F4913" s="432"/>
      <c r="G4913" s="432"/>
      <c r="H4913" s="443"/>
      <c r="I4913" s="432"/>
      <c r="J4913" s="443"/>
      <c r="K4913" s="444"/>
      <c r="M4913" s="431"/>
    </row>
    <row r="4914" spans="2:13">
      <c r="B4914" s="127"/>
      <c r="C4914" s="127"/>
      <c r="D4914" s="427"/>
      <c r="E4914" s="427"/>
      <c r="F4914" s="445"/>
      <c r="G4914" s="445"/>
      <c r="H4914" s="446"/>
      <c r="I4914" s="445"/>
      <c r="J4914" s="446"/>
      <c r="K4914" s="447"/>
      <c r="M4914" s="596"/>
    </row>
    <row r="4915" spans="2:13">
      <c r="B4915" s="127"/>
      <c r="C4915" s="127"/>
      <c r="F4915" s="398"/>
      <c r="G4915" s="398"/>
      <c r="H4915" s="398"/>
      <c r="I4915" s="398"/>
      <c r="J4915" s="398"/>
      <c r="K4915" s="398"/>
    </row>
    <row r="4916" spans="2:13">
      <c r="B4916" s="127"/>
      <c r="C4916" s="127"/>
      <c r="D4916" s="427"/>
      <c r="E4916" s="427"/>
      <c r="F4916" s="445"/>
      <c r="G4916" s="445"/>
      <c r="H4916" s="446"/>
      <c r="I4916" s="445"/>
      <c r="J4916" s="446"/>
      <c r="K4916" s="447"/>
      <c r="M4916" s="596"/>
    </row>
    <row r="4917" spans="2:13">
      <c r="B4917" s="127"/>
      <c r="C4917" s="127"/>
      <c r="F4917" s="398"/>
      <c r="G4917" s="398"/>
      <c r="H4917" s="398"/>
      <c r="I4917" s="398"/>
      <c r="J4917" s="398"/>
      <c r="K4917" s="398"/>
    </row>
    <row r="4918" spans="2:13">
      <c r="B4918" s="127"/>
      <c r="C4918" s="127"/>
      <c r="D4918" s="427"/>
      <c r="E4918" s="427"/>
      <c r="F4918" s="445"/>
      <c r="G4918" s="445"/>
      <c r="H4918" s="446"/>
      <c r="I4918" s="445"/>
      <c r="J4918" s="446"/>
      <c r="K4918" s="447"/>
      <c r="M4918" s="596"/>
    </row>
    <row r="4919" spans="2:13">
      <c r="B4919" s="127"/>
      <c r="C4919" s="127"/>
      <c r="F4919" s="398"/>
      <c r="G4919" s="398"/>
      <c r="H4919" s="398"/>
      <c r="I4919" s="398"/>
      <c r="J4919" s="398"/>
      <c r="K4919" s="398"/>
    </row>
    <row r="4920" spans="2:13">
      <c r="B4920" s="127"/>
      <c r="C4920" s="127"/>
      <c r="D4920" s="427"/>
      <c r="E4920" s="427"/>
      <c r="F4920" s="445"/>
      <c r="G4920" s="445"/>
      <c r="H4920" s="446"/>
      <c r="I4920" s="445"/>
      <c r="J4920" s="446"/>
      <c r="K4920" s="447"/>
      <c r="M4920" s="596"/>
    </row>
    <row r="4921" spans="2:13">
      <c r="B4921" s="127"/>
      <c r="C4921" s="127"/>
    </row>
    <row r="4922" spans="2:13">
      <c r="B4922" s="127"/>
      <c r="C4922" s="127"/>
    </row>
    <row r="4923" spans="2:13">
      <c r="B4923" s="127"/>
      <c r="C4923" s="127"/>
      <c r="D4923" s="438"/>
      <c r="E4923" s="438"/>
      <c r="F4923" s="438"/>
      <c r="G4923" s="438"/>
      <c r="H4923" s="438"/>
      <c r="I4923" s="438"/>
      <c r="J4923" s="438"/>
      <c r="K4923" s="438"/>
      <c r="M4923" s="597"/>
    </row>
    <row r="4924" spans="2:13">
      <c r="B4924" s="127"/>
      <c r="C4924" s="127"/>
      <c r="D4924" s="454"/>
      <c r="E4924" s="454"/>
      <c r="F4924" s="399"/>
      <c r="G4924" s="399"/>
      <c r="H4924" s="399"/>
      <c r="I4924" s="399"/>
      <c r="J4924" s="454"/>
      <c r="K4924" s="454"/>
    </row>
    <row r="4925" spans="2:13">
      <c r="B4925" s="127"/>
      <c r="C4925" s="127"/>
      <c r="D4925" s="455"/>
      <c r="E4925" s="455"/>
      <c r="F4925" s="455"/>
      <c r="H4925" s="455"/>
      <c r="I4925" s="455"/>
      <c r="J4925" s="455"/>
      <c r="K4925" s="455"/>
      <c r="M4925" s="455"/>
    </row>
    <row r="4926" spans="2:13">
      <c r="B4926" s="127"/>
      <c r="C4926" s="127"/>
    </row>
    <row r="4927" spans="2:13">
      <c r="B4927" s="127"/>
      <c r="C4927" s="127"/>
      <c r="J4927" s="428"/>
    </row>
    <row r="4928" spans="2:13">
      <c r="B4928" s="127"/>
      <c r="C4928" s="127"/>
      <c r="F4928" s="428"/>
      <c r="G4928" s="428"/>
      <c r="H4928" s="428"/>
      <c r="I4928" s="428"/>
      <c r="J4928" s="428"/>
      <c r="K4928" s="428"/>
      <c r="M4928" s="428"/>
    </row>
    <row r="4929" spans="2:13">
      <c r="B4929" s="127"/>
      <c r="C4929" s="127"/>
      <c r="E4929" s="453"/>
      <c r="F4929" s="428"/>
      <c r="G4929" s="428"/>
      <c r="H4929" s="428"/>
      <c r="I4929" s="428"/>
      <c r="J4929" s="428"/>
      <c r="K4929" s="428"/>
      <c r="M4929" s="428"/>
    </row>
    <row r="4930" spans="2:13">
      <c r="B4930" s="127"/>
      <c r="C4930" s="127"/>
    </row>
    <row r="4931" spans="2:13">
      <c r="B4931" s="127"/>
      <c r="C4931" s="127"/>
      <c r="D4931" s="427"/>
      <c r="E4931" s="427"/>
    </row>
    <row r="4932" spans="2:13">
      <c r="B4932" s="127"/>
      <c r="C4932" s="127"/>
      <c r="E4932" s="427"/>
    </row>
    <row r="4933" spans="2:13">
      <c r="B4933" s="127"/>
      <c r="C4933" s="127"/>
      <c r="E4933" s="427"/>
    </row>
    <row r="4934" spans="2:13">
      <c r="B4934" s="127"/>
      <c r="C4934" s="127"/>
      <c r="E4934" s="427"/>
    </row>
    <row r="4935" spans="2:13">
      <c r="B4935" s="127"/>
      <c r="C4935" s="127"/>
      <c r="E4935" s="430"/>
      <c r="F4935" s="431"/>
      <c r="G4935" s="431"/>
      <c r="H4935" s="436"/>
      <c r="I4935" s="431"/>
      <c r="J4935" s="436"/>
      <c r="K4935" s="437"/>
      <c r="M4935" s="431"/>
    </row>
    <row r="4936" spans="2:13">
      <c r="B4936" s="127"/>
      <c r="C4936" s="127"/>
      <c r="E4936" s="430"/>
      <c r="F4936" s="432"/>
      <c r="G4936" s="432"/>
      <c r="H4936" s="443"/>
      <c r="I4936" s="432"/>
      <c r="J4936" s="443"/>
      <c r="K4936" s="444"/>
      <c r="M4936" s="431"/>
    </row>
    <row r="4937" spans="2:13">
      <c r="B4937" s="127"/>
      <c r="C4937" s="127"/>
      <c r="D4937" s="427"/>
      <c r="E4937" s="427"/>
      <c r="F4937" s="445"/>
      <c r="G4937" s="445"/>
      <c r="H4937" s="446"/>
      <c r="I4937" s="445"/>
      <c r="J4937" s="446"/>
      <c r="K4937" s="447"/>
      <c r="M4937" s="596"/>
    </row>
    <row r="4938" spans="2:13">
      <c r="B4938" s="127"/>
      <c r="C4938" s="127"/>
      <c r="F4938" s="398"/>
      <c r="G4938" s="398"/>
      <c r="H4938" s="398"/>
      <c r="I4938" s="398"/>
      <c r="J4938" s="398"/>
      <c r="K4938" s="398"/>
    </row>
    <row r="4939" spans="2:13">
      <c r="B4939" s="127"/>
      <c r="C4939" s="127"/>
      <c r="D4939" s="427"/>
      <c r="E4939" s="427"/>
      <c r="F4939" s="445"/>
      <c r="G4939" s="445"/>
      <c r="H4939" s="446"/>
      <c r="I4939" s="445"/>
      <c r="J4939" s="446"/>
      <c r="K4939" s="447"/>
      <c r="M4939" s="596"/>
    </row>
    <row r="4940" spans="2:13">
      <c r="B4940" s="127"/>
      <c r="C4940" s="127"/>
      <c r="F4940" s="398"/>
      <c r="G4940" s="398"/>
      <c r="H4940" s="398"/>
      <c r="I4940" s="398"/>
      <c r="J4940" s="398"/>
      <c r="K4940" s="398"/>
    </row>
    <row r="4941" spans="2:13">
      <c r="B4941" s="127"/>
      <c r="C4941" s="127"/>
      <c r="D4941" s="427"/>
      <c r="E4941" s="427"/>
      <c r="F4941" s="445"/>
      <c r="G4941" s="445"/>
      <c r="H4941" s="446"/>
      <c r="I4941" s="445"/>
      <c r="J4941" s="446"/>
      <c r="K4941" s="447"/>
      <c r="M4941" s="596"/>
    </row>
    <row r="4942" spans="2:13">
      <c r="B4942" s="127"/>
      <c r="C4942" s="127"/>
    </row>
    <row r="4943" spans="2:13">
      <c r="B4943" s="127"/>
      <c r="C4943" s="127"/>
      <c r="E4943" s="427"/>
    </row>
    <row r="4944" spans="2:13">
      <c r="B4944" s="127"/>
      <c r="C4944" s="127"/>
      <c r="E4944" s="427"/>
    </row>
    <row r="4945" spans="2:13">
      <c r="B4945" s="127"/>
      <c r="C4945" s="127"/>
      <c r="E4945" s="427"/>
    </row>
    <row r="4946" spans="2:13">
      <c r="B4946" s="127"/>
      <c r="C4946" s="127"/>
      <c r="E4946" s="430"/>
      <c r="F4946" s="431"/>
      <c r="G4946" s="431"/>
      <c r="H4946" s="436"/>
      <c r="I4946" s="431"/>
      <c r="J4946" s="436"/>
      <c r="K4946" s="437"/>
      <c r="M4946" s="431"/>
    </row>
    <row r="4947" spans="2:13">
      <c r="B4947" s="127"/>
      <c r="C4947" s="127"/>
      <c r="E4947" s="430"/>
      <c r="F4947" s="431"/>
      <c r="G4947" s="431"/>
      <c r="H4947" s="436"/>
      <c r="I4947" s="431"/>
      <c r="J4947" s="436"/>
      <c r="K4947" s="437"/>
      <c r="M4947" s="431"/>
    </row>
    <row r="4948" spans="2:13">
      <c r="B4948" s="127"/>
      <c r="C4948" s="127"/>
      <c r="E4948" s="430"/>
      <c r="F4948" s="432"/>
      <c r="G4948" s="432"/>
      <c r="H4948" s="443"/>
      <c r="I4948" s="432"/>
      <c r="J4948" s="443"/>
      <c r="K4948" s="444"/>
      <c r="M4948" s="431"/>
    </row>
    <row r="4949" spans="2:13">
      <c r="B4949" s="127"/>
      <c r="C4949" s="127"/>
      <c r="D4949" s="427"/>
      <c r="E4949" s="427"/>
      <c r="F4949" s="445"/>
      <c r="G4949" s="445"/>
      <c r="H4949" s="446"/>
      <c r="I4949" s="445"/>
      <c r="J4949" s="446"/>
      <c r="K4949" s="447"/>
      <c r="M4949" s="596"/>
    </row>
    <row r="4950" spans="2:13">
      <c r="B4950" s="127"/>
      <c r="C4950" s="127"/>
    </row>
    <row r="4951" spans="2:13">
      <c r="B4951" s="127"/>
      <c r="C4951" s="127"/>
      <c r="E4951" s="427"/>
    </row>
    <row r="4952" spans="2:13">
      <c r="B4952" s="127"/>
      <c r="C4952" s="127"/>
      <c r="E4952" s="430"/>
      <c r="F4952" s="431"/>
      <c r="G4952" s="431"/>
      <c r="H4952" s="436"/>
      <c r="I4952" s="431"/>
      <c r="J4952" s="436"/>
      <c r="K4952" s="437"/>
      <c r="M4952" s="431"/>
    </row>
    <row r="4953" spans="2:13">
      <c r="B4953" s="127"/>
      <c r="C4953" s="127"/>
      <c r="E4953" s="430"/>
      <c r="F4953" s="431"/>
      <c r="G4953" s="431"/>
      <c r="H4953" s="436"/>
      <c r="I4953" s="431"/>
      <c r="J4953" s="436"/>
      <c r="K4953" s="437"/>
      <c r="M4953" s="431"/>
    </row>
    <row r="4954" spans="2:13">
      <c r="B4954" s="127"/>
      <c r="C4954" s="127"/>
      <c r="E4954" s="430"/>
      <c r="F4954" s="431"/>
      <c r="G4954" s="431"/>
      <c r="H4954" s="436"/>
      <c r="I4954" s="431"/>
      <c r="J4954" s="436"/>
      <c r="K4954" s="437"/>
      <c r="M4954" s="431"/>
    </row>
    <row r="4955" spans="2:13">
      <c r="B4955" s="127"/>
      <c r="C4955" s="127"/>
      <c r="E4955" s="430"/>
      <c r="F4955" s="432"/>
      <c r="G4955" s="432"/>
      <c r="H4955" s="443"/>
      <c r="I4955" s="432"/>
      <c r="J4955" s="443"/>
      <c r="K4955" s="444"/>
      <c r="M4955" s="431"/>
    </row>
    <row r="4956" spans="2:13">
      <c r="B4956" s="127"/>
      <c r="C4956" s="127"/>
      <c r="D4956" s="427"/>
      <c r="E4956" s="427"/>
      <c r="F4956" s="445"/>
      <c r="G4956" s="445"/>
      <c r="H4956" s="446"/>
      <c r="I4956" s="445"/>
      <c r="J4956" s="446"/>
      <c r="K4956" s="447"/>
      <c r="M4956" s="596"/>
    </row>
    <row r="4957" spans="2:13">
      <c r="B4957" s="127"/>
      <c r="C4957" s="127"/>
    </row>
    <row r="4958" spans="2:13">
      <c r="B4958" s="127"/>
      <c r="C4958" s="127"/>
      <c r="E4958" s="427"/>
    </row>
    <row r="4959" spans="2:13">
      <c r="B4959" s="127"/>
      <c r="C4959" s="127"/>
      <c r="E4959" s="430"/>
      <c r="F4959" s="431"/>
      <c r="G4959" s="431"/>
      <c r="H4959" s="436"/>
      <c r="I4959" s="431"/>
      <c r="J4959" s="436"/>
      <c r="K4959" s="437"/>
      <c r="M4959" s="431"/>
    </row>
    <row r="4960" spans="2:13">
      <c r="B4960" s="127"/>
      <c r="C4960" s="127"/>
      <c r="E4960" s="430"/>
      <c r="F4960" s="432"/>
      <c r="G4960" s="432"/>
      <c r="H4960" s="443"/>
      <c r="I4960" s="432"/>
      <c r="J4960" s="443"/>
      <c r="K4960" s="444"/>
      <c r="M4960" s="431"/>
    </row>
    <row r="4961" spans="2:13">
      <c r="B4961" s="127"/>
      <c r="C4961" s="127"/>
      <c r="D4961" s="427"/>
      <c r="E4961" s="427"/>
      <c r="F4961" s="445"/>
      <c r="G4961" s="445"/>
      <c r="H4961" s="446"/>
      <c r="I4961" s="445"/>
      <c r="J4961" s="446"/>
      <c r="K4961" s="447"/>
      <c r="M4961" s="596"/>
    </row>
    <row r="4962" spans="2:13">
      <c r="B4962" s="127"/>
      <c r="C4962" s="127"/>
    </row>
    <row r="4963" spans="2:13">
      <c r="B4963" s="127"/>
      <c r="C4963" s="127"/>
      <c r="E4963" s="427"/>
    </row>
    <row r="4964" spans="2:13">
      <c r="B4964" s="127"/>
      <c r="C4964" s="127"/>
      <c r="E4964" s="430"/>
      <c r="F4964" s="431"/>
      <c r="G4964" s="431"/>
      <c r="H4964" s="436"/>
      <c r="I4964" s="431"/>
      <c r="J4964" s="436"/>
      <c r="K4964" s="437"/>
      <c r="M4964" s="431"/>
    </row>
    <row r="4965" spans="2:13">
      <c r="B4965" s="127"/>
      <c r="C4965" s="127"/>
      <c r="E4965" s="430"/>
      <c r="F4965" s="432"/>
      <c r="G4965" s="432"/>
      <c r="H4965" s="443"/>
      <c r="I4965" s="432"/>
      <c r="J4965" s="443"/>
      <c r="K4965" s="444"/>
      <c r="M4965" s="431"/>
    </row>
    <row r="4966" spans="2:13">
      <c r="B4966" s="127"/>
      <c r="C4966" s="127"/>
      <c r="D4966" s="427"/>
      <c r="E4966" s="427"/>
      <c r="F4966" s="445"/>
      <c r="G4966" s="445"/>
      <c r="H4966" s="446"/>
      <c r="I4966" s="445"/>
      <c r="J4966" s="446"/>
      <c r="K4966" s="447"/>
      <c r="M4966" s="596"/>
    </row>
    <row r="4967" spans="2:13">
      <c r="B4967" s="127"/>
      <c r="C4967" s="127"/>
    </row>
    <row r="4968" spans="2:13">
      <c r="B4968" s="127"/>
      <c r="C4968" s="127"/>
      <c r="E4968" s="427"/>
    </row>
    <row r="4969" spans="2:13">
      <c r="B4969" s="127"/>
      <c r="C4969" s="127"/>
      <c r="E4969" s="430"/>
      <c r="F4969" s="431"/>
      <c r="G4969" s="431"/>
      <c r="H4969" s="436"/>
      <c r="I4969" s="431"/>
      <c r="J4969" s="436"/>
      <c r="K4969" s="437"/>
      <c r="M4969" s="431"/>
    </row>
    <row r="4970" spans="2:13">
      <c r="B4970" s="127"/>
      <c r="C4970" s="127"/>
      <c r="E4970" s="430"/>
      <c r="F4970" s="431"/>
      <c r="G4970" s="431"/>
      <c r="H4970" s="436"/>
      <c r="I4970" s="431"/>
      <c r="J4970" s="436"/>
      <c r="K4970" s="437"/>
      <c r="M4970" s="431"/>
    </row>
    <row r="4971" spans="2:13">
      <c r="B4971" s="127"/>
      <c r="C4971" s="127"/>
      <c r="E4971" s="430"/>
      <c r="F4971" s="432"/>
      <c r="G4971" s="432"/>
      <c r="H4971" s="443"/>
      <c r="I4971" s="432"/>
      <c r="J4971" s="443"/>
      <c r="K4971" s="444"/>
      <c r="M4971" s="431"/>
    </row>
    <row r="4972" spans="2:13">
      <c r="B4972" s="127"/>
      <c r="C4972" s="127"/>
      <c r="D4972" s="427"/>
      <c r="E4972" s="427"/>
      <c r="F4972" s="445"/>
      <c r="G4972" s="445"/>
      <c r="H4972" s="446"/>
      <c r="I4972" s="445"/>
      <c r="J4972" s="446"/>
      <c r="K4972" s="447"/>
      <c r="M4972" s="596"/>
    </row>
    <row r="4973" spans="2:13">
      <c r="B4973" s="127"/>
      <c r="C4973" s="127"/>
      <c r="F4973" s="398"/>
      <c r="G4973" s="398"/>
      <c r="H4973" s="398"/>
      <c r="I4973" s="398"/>
      <c r="J4973" s="398"/>
      <c r="K4973" s="398"/>
    </row>
    <row r="4974" spans="2:13">
      <c r="B4974" s="127"/>
      <c r="C4974" s="127"/>
      <c r="D4974" s="427"/>
      <c r="E4974" s="427"/>
      <c r="F4974" s="445"/>
      <c r="G4974" s="445"/>
      <c r="H4974" s="446"/>
      <c r="I4974" s="445"/>
      <c r="J4974" s="446"/>
      <c r="K4974" s="447"/>
      <c r="M4974" s="596"/>
    </row>
    <row r="4975" spans="2:13">
      <c r="B4975" s="127"/>
      <c r="C4975" s="127"/>
    </row>
    <row r="4976" spans="2:13">
      <c r="B4976" s="127"/>
      <c r="C4976" s="127"/>
      <c r="E4976" s="427"/>
    </row>
    <row r="4977" spans="2:13">
      <c r="B4977" s="127"/>
      <c r="C4977" s="127"/>
      <c r="E4977" s="427"/>
    </row>
    <row r="4978" spans="2:13">
      <c r="B4978" s="127"/>
      <c r="C4978" s="127"/>
      <c r="E4978" s="430"/>
      <c r="F4978" s="432"/>
      <c r="G4978" s="432"/>
      <c r="H4978" s="443"/>
      <c r="I4978" s="432"/>
      <c r="J4978" s="443"/>
      <c r="K4978" s="444"/>
      <c r="M4978" s="431"/>
    </row>
    <row r="4979" spans="2:13">
      <c r="B4979" s="127"/>
      <c r="C4979" s="127"/>
      <c r="D4979" s="427"/>
      <c r="E4979" s="427"/>
      <c r="F4979" s="445"/>
      <c r="G4979" s="445"/>
      <c r="H4979" s="446"/>
      <c r="I4979" s="445"/>
      <c r="J4979" s="446"/>
      <c r="K4979" s="447"/>
      <c r="M4979" s="596"/>
    </row>
    <row r="4980" spans="2:13">
      <c r="B4980" s="127"/>
      <c r="C4980" s="127"/>
      <c r="F4980" s="398"/>
      <c r="G4980" s="398"/>
      <c r="H4980" s="398"/>
      <c r="I4980" s="398"/>
      <c r="J4980" s="398"/>
      <c r="K4980" s="398"/>
    </row>
    <row r="4981" spans="2:13">
      <c r="B4981" s="127"/>
      <c r="C4981" s="127"/>
      <c r="D4981" s="427"/>
      <c r="E4981" s="427"/>
      <c r="F4981" s="445"/>
      <c r="G4981" s="445"/>
      <c r="H4981" s="446"/>
      <c r="I4981" s="445"/>
      <c r="J4981" s="446"/>
      <c r="K4981" s="447"/>
      <c r="M4981" s="596"/>
    </row>
    <row r="4982" spans="2:13">
      <c r="B4982" s="127"/>
      <c r="C4982" s="127"/>
      <c r="F4982" s="398"/>
      <c r="G4982" s="398"/>
      <c r="H4982" s="398"/>
      <c r="I4982" s="398"/>
      <c r="J4982" s="398"/>
      <c r="K4982" s="398"/>
    </row>
    <row r="4983" spans="2:13">
      <c r="B4983" s="127"/>
      <c r="C4983" s="127"/>
      <c r="D4983" s="427"/>
      <c r="E4983" s="427"/>
      <c r="F4983" s="445"/>
      <c r="G4983" s="445"/>
      <c r="H4983" s="446"/>
      <c r="I4983" s="445"/>
      <c r="J4983" s="446"/>
      <c r="K4983" s="447"/>
      <c r="M4983" s="596"/>
    </row>
    <row r="4984" spans="2:13">
      <c r="B4984" s="127"/>
      <c r="C4984" s="127"/>
      <c r="F4984" s="398"/>
      <c r="G4984" s="398"/>
      <c r="H4984" s="398"/>
      <c r="I4984" s="398"/>
      <c r="J4984" s="398"/>
      <c r="K4984" s="398"/>
    </row>
    <row r="4985" spans="2:13">
      <c r="B4985" s="127"/>
      <c r="C4985" s="127"/>
      <c r="D4985" s="427"/>
      <c r="E4985" s="427"/>
      <c r="F4985" s="445"/>
      <c r="G4985" s="445"/>
      <c r="H4985" s="446"/>
      <c r="I4985" s="445"/>
      <c r="J4985" s="446"/>
      <c r="K4985" s="447"/>
      <c r="M4985" s="596"/>
    </row>
    <row r="4986" spans="2:13">
      <c r="B4986" s="127"/>
      <c r="C4986" s="127"/>
    </row>
    <row r="4987" spans="2:13">
      <c r="B4987" s="127"/>
      <c r="C4987" s="127"/>
      <c r="D4987" s="427"/>
      <c r="E4987" s="427"/>
    </row>
    <row r="4988" spans="2:13">
      <c r="B4988" s="127"/>
      <c r="C4988" s="127"/>
      <c r="E4988" s="427"/>
    </row>
    <row r="4989" spans="2:13">
      <c r="B4989" s="127"/>
      <c r="C4989" s="127"/>
      <c r="E4989" s="427"/>
    </row>
    <row r="4990" spans="2:13">
      <c r="B4990" s="127"/>
      <c r="C4990" s="127"/>
      <c r="E4990" s="427"/>
    </row>
    <row r="4991" spans="2:13">
      <c r="B4991" s="127"/>
      <c r="C4991" s="127"/>
      <c r="E4991" s="430"/>
      <c r="F4991" s="432"/>
      <c r="G4991" s="432"/>
      <c r="H4991" s="443"/>
      <c r="I4991" s="432"/>
      <c r="J4991" s="443"/>
      <c r="K4991" s="444"/>
      <c r="M4991" s="431"/>
    </row>
    <row r="4992" spans="2:13">
      <c r="B4992" s="127"/>
      <c r="C4992" s="127"/>
      <c r="D4992" s="427"/>
      <c r="E4992" s="427"/>
      <c r="F4992" s="445"/>
      <c r="G4992" s="445"/>
      <c r="H4992" s="446"/>
      <c r="I4992" s="445"/>
      <c r="J4992" s="446"/>
      <c r="K4992" s="447"/>
      <c r="M4992" s="596"/>
    </row>
    <row r="4993" spans="2:13">
      <c r="B4993" s="127"/>
      <c r="C4993" s="127"/>
      <c r="F4993" s="398"/>
      <c r="G4993" s="398"/>
      <c r="H4993" s="398"/>
      <c r="I4993" s="398"/>
      <c r="J4993" s="398"/>
      <c r="K4993" s="398"/>
    </row>
    <row r="4994" spans="2:13">
      <c r="B4994" s="127"/>
      <c r="C4994" s="127"/>
      <c r="D4994" s="427"/>
      <c r="E4994" s="427"/>
      <c r="F4994" s="445"/>
      <c r="G4994" s="445"/>
      <c r="H4994" s="446"/>
      <c r="I4994" s="445"/>
      <c r="J4994" s="446"/>
      <c r="K4994" s="447"/>
      <c r="M4994" s="596"/>
    </row>
    <row r="4995" spans="2:13">
      <c r="B4995" s="127"/>
      <c r="C4995" s="127"/>
      <c r="F4995" s="398"/>
      <c r="G4995" s="398"/>
      <c r="H4995" s="398"/>
      <c r="I4995" s="398"/>
      <c r="J4995" s="398"/>
      <c r="K4995" s="398"/>
    </row>
    <row r="4996" spans="2:13">
      <c r="B4996" s="127"/>
      <c r="C4996" s="127"/>
      <c r="D4996" s="427"/>
      <c r="E4996" s="427"/>
      <c r="F4996" s="445"/>
      <c r="G4996" s="445"/>
      <c r="H4996" s="446"/>
      <c r="I4996" s="445"/>
      <c r="J4996" s="446"/>
      <c r="K4996" s="447"/>
      <c r="M4996" s="596"/>
    </row>
    <row r="4997" spans="2:13">
      <c r="B4997" s="127"/>
      <c r="C4997" s="127"/>
    </row>
    <row r="4998" spans="2:13">
      <c r="B4998" s="127"/>
      <c r="C4998" s="127"/>
    </row>
    <row r="4999" spans="2:13">
      <c r="B4999" s="127"/>
      <c r="C4999" s="127"/>
      <c r="D4999" s="438"/>
      <c r="E4999" s="438"/>
      <c r="F4999" s="438"/>
      <c r="G4999" s="438"/>
      <c r="H4999" s="438"/>
      <c r="I4999" s="438"/>
      <c r="J4999" s="438"/>
      <c r="K4999" s="438"/>
      <c r="M4999" s="597"/>
    </row>
    <row r="5000" spans="2:13">
      <c r="B5000" s="127"/>
      <c r="C5000" s="127"/>
      <c r="D5000" s="454"/>
      <c r="E5000" s="454"/>
      <c r="F5000" s="399"/>
      <c r="G5000" s="399"/>
      <c r="H5000" s="399"/>
      <c r="I5000" s="399"/>
      <c r="J5000" s="454"/>
      <c r="K5000" s="454"/>
    </row>
    <row r="5001" spans="2:13">
      <c r="B5001" s="127"/>
      <c r="C5001" s="127"/>
      <c r="D5001" s="455"/>
      <c r="E5001" s="455"/>
      <c r="F5001" s="455"/>
      <c r="H5001" s="455"/>
      <c r="I5001" s="455"/>
      <c r="J5001" s="455"/>
      <c r="K5001" s="455"/>
      <c r="M5001" s="455"/>
    </row>
    <row r="5002" spans="2:13">
      <c r="B5002" s="127"/>
      <c r="C5002" s="127"/>
    </row>
    <row r="5003" spans="2:13">
      <c r="B5003" s="127"/>
      <c r="C5003" s="127"/>
      <c r="J5003" s="428"/>
    </row>
    <row r="5004" spans="2:13">
      <c r="B5004" s="127"/>
      <c r="C5004" s="127"/>
      <c r="F5004" s="428"/>
      <c r="G5004" s="428"/>
      <c r="H5004" s="428"/>
      <c r="I5004" s="428"/>
      <c r="J5004" s="428"/>
      <c r="K5004" s="428"/>
      <c r="M5004" s="428"/>
    </row>
    <row r="5005" spans="2:13">
      <c r="B5005" s="127"/>
      <c r="C5005" s="127"/>
      <c r="E5005" s="453"/>
      <c r="F5005" s="428"/>
      <c r="G5005" s="428"/>
      <c r="H5005" s="428"/>
      <c r="I5005" s="428"/>
      <c r="J5005" s="428"/>
      <c r="K5005" s="428"/>
      <c r="M5005" s="428"/>
    </row>
    <row r="5006" spans="2:13">
      <c r="B5006" s="127"/>
      <c r="C5006" s="127"/>
    </row>
    <row r="5007" spans="2:13">
      <c r="B5007" s="127"/>
      <c r="C5007" s="127"/>
      <c r="E5007" s="427"/>
    </row>
    <row r="5008" spans="2:13">
      <c r="B5008" s="127"/>
      <c r="C5008" s="127"/>
      <c r="E5008" s="427"/>
    </row>
    <row r="5009" spans="2:13">
      <c r="B5009" s="127"/>
      <c r="C5009" s="127"/>
      <c r="E5009" s="427"/>
    </row>
    <row r="5010" spans="2:13">
      <c r="B5010" s="127"/>
      <c r="C5010" s="127"/>
      <c r="E5010" s="430"/>
      <c r="F5010" s="431"/>
      <c r="G5010" s="431"/>
      <c r="H5010" s="436"/>
      <c r="I5010" s="431"/>
      <c r="J5010" s="436"/>
      <c r="K5010" s="437"/>
      <c r="M5010" s="431"/>
    </row>
    <row r="5011" spans="2:13">
      <c r="B5011" s="127"/>
      <c r="C5011" s="127"/>
      <c r="E5011" s="430"/>
      <c r="F5011" s="431"/>
      <c r="G5011" s="431"/>
      <c r="H5011" s="436"/>
      <c r="I5011" s="431"/>
      <c r="J5011" s="436"/>
      <c r="K5011" s="437"/>
      <c r="M5011" s="431"/>
    </row>
    <row r="5012" spans="2:13">
      <c r="B5012" s="127"/>
      <c r="C5012" s="127"/>
      <c r="E5012" s="430"/>
      <c r="F5012" s="431"/>
      <c r="G5012" s="431"/>
      <c r="H5012" s="436"/>
      <c r="I5012" s="431"/>
      <c r="J5012" s="436"/>
      <c r="K5012" s="437"/>
      <c r="M5012" s="431"/>
    </row>
    <row r="5013" spans="2:13">
      <c r="B5013" s="127"/>
      <c r="C5013" s="127"/>
      <c r="E5013" s="430"/>
      <c r="F5013" s="431"/>
      <c r="G5013" s="431"/>
      <c r="H5013" s="436"/>
      <c r="I5013" s="431"/>
      <c r="J5013" s="436"/>
      <c r="K5013" s="437"/>
      <c r="M5013" s="431"/>
    </row>
    <row r="5014" spans="2:13">
      <c r="B5014" s="127"/>
      <c r="C5014" s="127"/>
      <c r="E5014" s="430"/>
      <c r="F5014" s="432"/>
      <c r="G5014" s="432"/>
      <c r="H5014" s="443"/>
      <c r="I5014" s="432"/>
      <c r="J5014" s="443"/>
      <c r="K5014" s="444"/>
      <c r="M5014" s="431"/>
    </row>
    <row r="5015" spans="2:13">
      <c r="B5015" s="127"/>
      <c r="C5015" s="127"/>
      <c r="D5015" s="427"/>
      <c r="E5015" s="427"/>
      <c r="F5015" s="445"/>
      <c r="G5015" s="445"/>
      <c r="H5015" s="446"/>
      <c r="I5015" s="445"/>
      <c r="J5015" s="446"/>
      <c r="K5015" s="447"/>
      <c r="M5015" s="596"/>
    </row>
    <row r="5016" spans="2:13">
      <c r="B5016" s="127"/>
      <c r="C5016" s="127"/>
    </row>
    <row r="5017" spans="2:13">
      <c r="B5017" s="127"/>
      <c r="C5017" s="127"/>
      <c r="E5017" s="427"/>
    </row>
    <row r="5018" spans="2:13">
      <c r="B5018" s="127"/>
      <c r="C5018" s="127"/>
      <c r="E5018" s="430"/>
      <c r="F5018" s="431"/>
      <c r="G5018" s="431"/>
      <c r="H5018" s="436"/>
      <c r="I5018" s="431"/>
      <c r="J5018" s="436"/>
      <c r="K5018" s="437"/>
      <c r="M5018" s="431"/>
    </row>
    <row r="5019" spans="2:13">
      <c r="B5019" s="127"/>
      <c r="C5019" s="127"/>
      <c r="E5019" s="430"/>
      <c r="F5019" s="431"/>
      <c r="G5019" s="431"/>
      <c r="H5019" s="436"/>
      <c r="I5019" s="431"/>
      <c r="J5019" s="436"/>
      <c r="K5019" s="437"/>
      <c r="M5019" s="431"/>
    </row>
    <row r="5020" spans="2:13">
      <c r="B5020" s="127"/>
      <c r="C5020" s="127"/>
      <c r="E5020" s="430"/>
      <c r="F5020" s="431"/>
      <c r="G5020" s="431"/>
      <c r="H5020" s="436"/>
      <c r="I5020" s="431"/>
      <c r="J5020" s="436"/>
      <c r="K5020" s="437"/>
      <c r="M5020" s="431"/>
    </row>
    <row r="5021" spans="2:13">
      <c r="B5021" s="127"/>
      <c r="C5021" s="127"/>
      <c r="E5021" s="430"/>
      <c r="F5021" s="432"/>
      <c r="G5021" s="432"/>
      <c r="H5021" s="443"/>
      <c r="I5021" s="432"/>
      <c r="J5021" s="443"/>
      <c r="K5021" s="444"/>
      <c r="M5021" s="431"/>
    </row>
    <row r="5022" spans="2:13">
      <c r="B5022" s="127"/>
      <c r="C5022" s="127"/>
      <c r="D5022" s="427"/>
      <c r="E5022" s="427"/>
      <c r="F5022" s="445"/>
      <c r="G5022" s="445"/>
      <c r="H5022" s="446"/>
      <c r="I5022" s="445"/>
      <c r="J5022" s="446"/>
      <c r="K5022" s="447"/>
      <c r="M5022" s="596"/>
    </row>
    <row r="5023" spans="2:13">
      <c r="B5023" s="127"/>
      <c r="C5023" s="127"/>
    </row>
    <row r="5024" spans="2:13">
      <c r="B5024" s="127"/>
      <c r="C5024" s="127"/>
      <c r="E5024" s="427"/>
    </row>
    <row r="5025" spans="2:13">
      <c r="B5025" s="127"/>
      <c r="C5025" s="127"/>
      <c r="E5025" s="430"/>
      <c r="F5025" s="432"/>
      <c r="G5025" s="432"/>
      <c r="H5025" s="443"/>
      <c r="I5025" s="432"/>
      <c r="J5025" s="443"/>
      <c r="K5025" s="444"/>
      <c r="M5025" s="431"/>
    </row>
    <row r="5026" spans="2:13">
      <c r="B5026" s="127"/>
      <c r="C5026" s="127"/>
      <c r="D5026" s="427"/>
      <c r="E5026" s="427"/>
      <c r="F5026" s="445"/>
      <c r="G5026" s="445"/>
      <c r="H5026" s="446"/>
      <c r="I5026" s="445"/>
      <c r="J5026" s="446"/>
      <c r="K5026" s="447"/>
      <c r="M5026" s="596"/>
    </row>
    <row r="5027" spans="2:13">
      <c r="B5027" s="127"/>
      <c r="C5027" s="127"/>
      <c r="F5027" s="398"/>
      <c r="G5027" s="398"/>
      <c r="H5027" s="398"/>
      <c r="I5027" s="398"/>
      <c r="J5027" s="398"/>
      <c r="K5027" s="398"/>
    </row>
    <row r="5028" spans="2:13">
      <c r="B5028" s="127"/>
      <c r="C5028" s="127"/>
      <c r="D5028" s="427"/>
      <c r="E5028" s="427"/>
      <c r="F5028" s="445"/>
      <c r="G5028" s="445"/>
      <c r="H5028" s="446"/>
      <c r="I5028" s="445"/>
      <c r="J5028" s="446"/>
      <c r="K5028" s="447"/>
      <c r="M5028" s="596"/>
    </row>
    <row r="5029" spans="2:13">
      <c r="B5029" s="127"/>
      <c r="C5029" s="127"/>
      <c r="F5029" s="398"/>
      <c r="G5029" s="398"/>
      <c r="H5029" s="398"/>
      <c r="I5029" s="398"/>
      <c r="J5029" s="398"/>
      <c r="K5029" s="398"/>
    </row>
    <row r="5030" spans="2:13">
      <c r="B5030" s="127"/>
      <c r="C5030" s="127"/>
      <c r="D5030" s="427"/>
      <c r="E5030" s="427"/>
      <c r="F5030" s="445"/>
      <c r="G5030" s="445"/>
      <c r="H5030" s="446"/>
      <c r="I5030" s="445"/>
      <c r="J5030" s="446"/>
      <c r="K5030" s="447"/>
      <c r="M5030" s="596"/>
    </row>
    <row r="5031" spans="2:13">
      <c r="B5031" s="127"/>
      <c r="C5031" s="127"/>
      <c r="F5031" s="398"/>
      <c r="G5031" s="398"/>
      <c r="H5031" s="398"/>
      <c r="I5031" s="398"/>
      <c r="J5031" s="398"/>
      <c r="K5031" s="398"/>
    </row>
    <row r="5032" spans="2:13">
      <c r="B5032" s="127"/>
      <c r="C5032" s="127"/>
      <c r="D5032" s="427"/>
      <c r="E5032" s="427"/>
      <c r="F5032" s="445"/>
      <c r="G5032" s="445"/>
      <c r="H5032" s="446"/>
      <c r="I5032" s="445"/>
      <c r="J5032" s="446"/>
      <c r="K5032" s="447"/>
      <c r="M5032" s="596"/>
    </row>
    <row r="5033" spans="2:13">
      <c r="B5033" s="127"/>
      <c r="C5033" s="127"/>
    </row>
    <row r="5034" spans="2:13">
      <c r="B5034" s="127"/>
      <c r="C5034" s="127"/>
      <c r="D5034" s="427"/>
      <c r="E5034" s="427"/>
    </row>
    <row r="5035" spans="2:13">
      <c r="B5035" s="127"/>
      <c r="C5035" s="127"/>
      <c r="E5035" s="427"/>
    </row>
    <row r="5036" spans="2:13">
      <c r="B5036" s="127"/>
      <c r="C5036" s="127"/>
      <c r="E5036" s="427"/>
    </row>
    <row r="5037" spans="2:13">
      <c r="B5037" s="127"/>
      <c r="C5037" s="127"/>
      <c r="E5037" s="427"/>
    </row>
    <row r="5038" spans="2:13">
      <c r="B5038" s="127"/>
      <c r="C5038" s="127"/>
      <c r="E5038" s="430"/>
      <c r="F5038" s="432"/>
      <c r="G5038" s="432"/>
      <c r="H5038" s="443"/>
      <c r="I5038" s="432"/>
      <c r="J5038" s="443"/>
      <c r="K5038" s="444"/>
      <c r="M5038" s="431"/>
    </row>
    <row r="5039" spans="2:13">
      <c r="B5039" s="127"/>
      <c r="C5039" s="127"/>
      <c r="D5039" s="427"/>
      <c r="E5039" s="427"/>
      <c r="F5039" s="445"/>
      <c r="G5039" s="445"/>
      <c r="H5039" s="446"/>
      <c r="I5039" s="445"/>
      <c r="J5039" s="446"/>
      <c r="K5039" s="447"/>
      <c r="M5039" s="596"/>
    </row>
    <row r="5040" spans="2:13">
      <c r="B5040" s="127"/>
      <c r="C5040" s="127"/>
      <c r="F5040" s="398"/>
      <c r="G5040" s="398"/>
      <c r="H5040" s="398"/>
      <c r="I5040" s="398"/>
      <c r="J5040" s="398"/>
      <c r="K5040" s="398"/>
    </row>
    <row r="5041" spans="2:13">
      <c r="B5041" s="127"/>
      <c r="C5041" s="127"/>
      <c r="D5041" s="427"/>
      <c r="E5041" s="427"/>
      <c r="F5041" s="445"/>
      <c r="G5041" s="445"/>
      <c r="H5041" s="446"/>
      <c r="I5041" s="445"/>
      <c r="J5041" s="446"/>
      <c r="K5041" s="447"/>
      <c r="M5041" s="596"/>
    </row>
    <row r="5042" spans="2:13">
      <c r="B5042" s="127"/>
      <c r="C5042" s="127"/>
      <c r="F5042" s="398"/>
      <c r="G5042" s="398"/>
      <c r="H5042" s="398"/>
      <c r="I5042" s="398"/>
      <c r="J5042" s="398"/>
      <c r="K5042" s="398"/>
    </row>
    <row r="5043" spans="2:13">
      <c r="B5043" s="127"/>
      <c r="C5043" s="127"/>
      <c r="D5043" s="427"/>
      <c r="E5043" s="427"/>
      <c r="F5043" s="445"/>
      <c r="G5043" s="445"/>
      <c r="H5043" s="446"/>
      <c r="I5043" s="445"/>
      <c r="J5043" s="446"/>
      <c r="K5043" s="447"/>
      <c r="M5043" s="596"/>
    </row>
    <row r="5044" spans="2:13">
      <c r="B5044" s="127"/>
      <c r="C5044" s="127"/>
    </row>
    <row r="5045" spans="2:13">
      <c r="B5045" s="127"/>
      <c r="C5045" s="127"/>
      <c r="E5045" s="427"/>
    </row>
    <row r="5046" spans="2:13">
      <c r="B5046" s="127"/>
      <c r="C5046" s="127"/>
      <c r="E5046" s="427"/>
    </row>
    <row r="5047" spans="2:13">
      <c r="B5047" s="127"/>
      <c r="C5047" s="127"/>
      <c r="E5047" s="427"/>
    </row>
    <row r="5048" spans="2:13">
      <c r="B5048" s="127"/>
      <c r="C5048" s="127"/>
      <c r="E5048" s="430"/>
      <c r="F5048" s="431"/>
      <c r="G5048" s="431"/>
      <c r="H5048" s="436"/>
      <c r="I5048" s="431"/>
      <c r="J5048" s="436"/>
      <c r="K5048" s="437"/>
      <c r="M5048" s="431"/>
    </row>
    <row r="5049" spans="2:13">
      <c r="B5049" s="127"/>
      <c r="C5049" s="127"/>
      <c r="E5049" s="430"/>
      <c r="F5049" s="432"/>
      <c r="G5049" s="432"/>
      <c r="H5049" s="443"/>
      <c r="I5049" s="432"/>
      <c r="J5049" s="443"/>
      <c r="K5049" s="444"/>
      <c r="M5049" s="431"/>
    </row>
    <row r="5050" spans="2:13">
      <c r="B5050" s="127"/>
      <c r="C5050" s="127"/>
      <c r="D5050" s="427"/>
      <c r="E5050" s="427"/>
      <c r="F5050" s="445"/>
      <c r="G5050" s="445"/>
      <c r="H5050" s="446"/>
      <c r="I5050" s="445"/>
      <c r="J5050" s="446"/>
      <c r="K5050" s="447"/>
      <c r="M5050" s="596"/>
    </row>
    <row r="5051" spans="2:13">
      <c r="B5051" s="127"/>
      <c r="C5051" s="127"/>
      <c r="F5051" s="398"/>
      <c r="G5051" s="398"/>
      <c r="H5051" s="398"/>
      <c r="I5051" s="398"/>
      <c r="J5051" s="398"/>
      <c r="K5051" s="398"/>
    </row>
    <row r="5052" spans="2:13">
      <c r="B5052" s="127"/>
      <c r="C5052" s="127"/>
      <c r="D5052" s="427"/>
      <c r="E5052" s="427"/>
      <c r="F5052" s="445"/>
      <c r="G5052" s="445"/>
      <c r="H5052" s="446"/>
      <c r="I5052" s="445"/>
      <c r="J5052" s="446"/>
      <c r="K5052" s="447"/>
      <c r="M5052" s="596"/>
    </row>
    <row r="5053" spans="2:13">
      <c r="B5053" s="127"/>
      <c r="C5053" s="127"/>
      <c r="F5053" s="398"/>
      <c r="G5053" s="398"/>
      <c r="H5053" s="398"/>
      <c r="I5053" s="398"/>
      <c r="J5053" s="398"/>
      <c r="K5053" s="398"/>
    </row>
    <row r="5054" spans="2:13">
      <c r="B5054" s="127"/>
      <c r="C5054" s="127"/>
      <c r="D5054" s="427"/>
      <c r="E5054" s="427"/>
      <c r="F5054" s="445"/>
      <c r="G5054" s="445"/>
      <c r="H5054" s="446"/>
      <c r="I5054" s="445"/>
      <c r="J5054" s="446"/>
      <c r="K5054" s="447"/>
      <c r="M5054" s="596"/>
    </row>
    <row r="5055" spans="2:13">
      <c r="B5055" s="127"/>
      <c r="C5055" s="127"/>
      <c r="F5055" s="398"/>
      <c r="G5055" s="398"/>
      <c r="H5055" s="398"/>
      <c r="I5055" s="398"/>
      <c r="J5055" s="398"/>
      <c r="K5055" s="398"/>
    </row>
    <row r="5056" spans="2:13">
      <c r="B5056" s="127"/>
      <c r="C5056" s="127"/>
      <c r="D5056" s="427"/>
      <c r="E5056" s="427"/>
      <c r="F5056" s="445"/>
      <c r="G5056" s="445"/>
      <c r="H5056" s="446"/>
      <c r="I5056" s="445"/>
      <c r="J5056" s="446"/>
      <c r="K5056" s="447"/>
      <c r="M5056" s="596"/>
    </row>
    <row r="5057" spans="2:13">
      <c r="B5057" s="127"/>
      <c r="C5057" s="127"/>
    </row>
    <row r="5058" spans="2:13">
      <c r="B5058" s="127"/>
      <c r="C5058" s="127"/>
      <c r="D5058" s="427"/>
      <c r="E5058" s="427"/>
    </row>
    <row r="5059" spans="2:13">
      <c r="B5059" s="127"/>
      <c r="C5059" s="127"/>
      <c r="E5059" s="427"/>
    </row>
    <row r="5060" spans="2:13">
      <c r="B5060" s="127"/>
      <c r="C5060" s="127"/>
      <c r="E5060" s="427"/>
    </row>
    <row r="5061" spans="2:13">
      <c r="B5061" s="127"/>
      <c r="C5061" s="127"/>
      <c r="E5061" s="427"/>
    </row>
    <row r="5062" spans="2:13">
      <c r="B5062" s="127"/>
      <c r="C5062" s="127"/>
      <c r="E5062" s="430"/>
      <c r="F5062" s="431"/>
      <c r="G5062" s="431"/>
      <c r="H5062" s="436"/>
      <c r="I5062" s="431"/>
      <c r="J5062" s="436"/>
      <c r="K5062" s="437"/>
      <c r="M5062" s="431"/>
    </row>
    <row r="5063" spans="2:13">
      <c r="B5063" s="127"/>
      <c r="C5063" s="127"/>
      <c r="E5063" s="430"/>
      <c r="F5063" s="432"/>
      <c r="G5063" s="432"/>
      <c r="H5063" s="443"/>
      <c r="I5063" s="432"/>
      <c r="J5063" s="443"/>
      <c r="K5063" s="444"/>
      <c r="M5063" s="431"/>
    </row>
    <row r="5064" spans="2:13">
      <c r="B5064" s="127"/>
      <c r="C5064" s="127"/>
      <c r="D5064" s="427"/>
      <c r="E5064" s="427"/>
      <c r="F5064" s="445"/>
      <c r="G5064" s="445"/>
      <c r="H5064" s="446"/>
      <c r="I5064" s="445"/>
      <c r="J5064" s="446"/>
      <c r="K5064" s="447"/>
      <c r="M5064" s="596"/>
    </row>
    <row r="5065" spans="2:13">
      <c r="B5065" s="127"/>
      <c r="C5065" s="127"/>
      <c r="F5065" s="398"/>
      <c r="G5065" s="398"/>
      <c r="H5065" s="398"/>
      <c r="I5065" s="398"/>
      <c r="J5065" s="398"/>
      <c r="K5065" s="398"/>
    </row>
    <row r="5066" spans="2:13">
      <c r="B5066" s="127"/>
      <c r="C5066" s="127"/>
      <c r="D5066" s="427"/>
      <c r="E5066" s="427"/>
      <c r="F5066" s="445"/>
      <c r="G5066" s="445"/>
      <c r="H5066" s="446"/>
      <c r="I5066" s="445"/>
      <c r="J5066" s="446"/>
      <c r="K5066" s="447"/>
      <c r="M5066" s="596"/>
    </row>
    <row r="5067" spans="2:13">
      <c r="B5067" s="127"/>
      <c r="C5067" s="127"/>
      <c r="F5067" s="398"/>
      <c r="G5067" s="398"/>
      <c r="H5067" s="398"/>
      <c r="I5067" s="398"/>
      <c r="J5067" s="398"/>
      <c r="K5067" s="398"/>
    </row>
    <row r="5068" spans="2:13">
      <c r="B5068" s="127"/>
      <c r="C5068" s="127"/>
      <c r="D5068" s="427"/>
      <c r="E5068" s="427"/>
      <c r="F5068" s="445"/>
      <c r="G5068" s="445"/>
      <c r="H5068" s="446"/>
      <c r="I5068" s="445"/>
      <c r="J5068" s="446"/>
      <c r="K5068" s="447"/>
      <c r="M5068" s="596"/>
    </row>
    <row r="5069" spans="2:13">
      <c r="B5069" s="127"/>
      <c r="C5069" s="127"/>
    </row>
    <row r="5070" spans="2:13">
      <c r="B5070" s="127"/>
      <c r="C5070" s="127"/>
    </row>
    <row r="5071" spans="2:13">
      <c r="B5071" s="127"/>
      <c r="C5071" s="127"/>
      <c r="D5071" s="438"/>
      <c r="E5071" s="438"/>
      <c r="F5071" s="438"/>
      <c r="G5071" s="438"/>
      <c r="H5071" s="438"/>
      <c r="I5071" s="438"/>
      <c r="J5071" s="438"/>
      <c r="K5071" s="438"/>
      <c r="M5071" s="597"/>
    </row>
    <row r="5072" spans="2:13">
      <c r="B5072" s="127"/>
      <c r="C5072" s="127"/>
      <c r="D5072" s="454"/>
      <c r="E5072" s="454"/>
      <c r="F5072" s="399"/>
      <c r="G5072" s="399"/>
      <c r="H5072" s="399"/>
      <c r="I5072" s="399"/>
      <c r="J5072" s="454"/>
      <c r="K5072" s="454"/>
    </row>
    <row r="5073" spans="2:13">
      <c r="B5073" s="127"/>
      <c r="C5073" s="127"/>
      <c r="D5073" s="455"/>
      <c r="E5073" s="455"/>
      <c r="F5073" s="455"/>
      <c r="H5073" s="455"/>
      <c r="I5073" s="455"/>
      <c r="J5073" s="455"/>
      <c r="K5073" s="455"/>
      <c r="M5073" s="455"/>
    </row>
    <row r="5074" spans="2:13">
      <c r="B5074" s="127"/>
      <c r="C5074" s="127"/>
    </row>
    <row r="5075" spans="2:13">
      <c r="B5075" s="127"/>
      <c r="C5075" s="127"/>
      <c r="J5075" s="428"/>
    </row>
    <row r="5076" spans="2:13">
      <c r="B5076" s="127"/>
      <c r="C5076" s="127"/>
      <c r="F5076" s="428"/>
      <c r="G5076" s="428"/>
      <c r="H5076" s="428"/>
      <c r="I5076" s="428"/>
      <c r="J5076" s="428"/>
      <c r="K5076" s="428"/>
      <c r="M5076" s="428"/>
    </row>
    <row r="5077" spans="2:13">
      <c r="B5077" s="127"/>
      <c r="C5077" s="127"/>
      <c r="E5077" s="453"/>
      <c r="F5077" s="428"/>
      <c r="G5077" s="428"/>
      <c r="H5077" s="428"/>
      <c r="I5077" s="428"/>
      <c r="J5077" s="428"/>
      <c r="K5077" s="428"/>
      <c r="M5077" s="428"/>
    </row>
    <row r="5078" spans="2:13">
      <c r="B5078" s="127"/>
      <c r="C5078" s="127"/>
    </row>
    <row r="5079" spans="2:13">
      <c r="B5079" s="127"/>
      <c r="C5079" s="127"/>
      <c r="E5079" s="427"/>
    </row>
    <row r="5080" spans="2:13">
      <c r="B5080" s="127"/>
      <c r="C5080" s="127"/>
      <c r="E5080" s="427"/>
    </row>
    <row r="5081" spans="2:13">
      <c r="B5081" s="127"/>
      <c r="C5081" s="127"/>
      <c r="E5081" s="427"/>
    </row>
    <row r="5082" spans="2:13">
      <c r="B5082" s="127"/>
      <c r="C5082" s="127"/>
      <c r="E5082" s="430"/>
      <c r="F5082" s="432"/>
      <c r="G5082" s="432"/>
      <c r="H5082" s="443"/>
      <c r="I5082" s="432"/>
      <c r="J5082" s="443"/>
      <c r="K5082" s="444"/>
      <c r="M5082" s="431"/>
    </row>
    <row r="5083" spans="2:13">
      <c r="B5083" s="127"/>
      <c r="C5083" s="127"/>
      <c r="D5083" s="427"/>
      <c r="E5083" s="427"/>
      <c r="F5083" s="445"/>
      <c r="G5083" s="445"/>
      <c r="H5083" s="446"/>
      <c r="I5083" s="445"/>
      <c r="J5083" s="446"/>
      <c r="K5083" s="447"/>
      <c r="M5083" s="596"/>
    </row>
    <row r="5084" spans="2:13">
      <c r="B5084" s="127"/>
      <c r="C5084" s="127"/>
      <c r="F5084" s="398"/>
      <c r="G5084" s="398"/>
      <c r="H5084" s="398"/>
      <c r="I5084" s="398"/>
      <c r="J5084" s="398"/>
      <c r="K5084" s="398"/>
    </row>
    <row r="5085" spans="2:13">
      <c r="B5085" s="127"/>
      <c r="C5085" s="127"/>
      <c r="D5085" s="427"/>
      <c r="E5085" s="427"/>
      <c r="F5085" s="445"/>
      <c r="G5085" s="445"/>
      <c r="H5085" s="446"/>
      <c r="I5085" s="445"/>
      <c r="J5085" s="446"/>
      <c r="K5085" s="447"/>
      <c r="M5085" s="596"/>
    </row>
    <row r="5086" spans="2:13">
      <c r="B5086" s="127"/>
      <c r="C5086" s="127"/>
      <c r="F5086" s="398"/>
      <c r="G5086" s="398"/>
      <c r="H5086" s="398"/>
      <c r="I5086" s="398"/>
      <c r="J5086" s="398"/>
      <c r="K5086" s="398"/>
    </row>
    <row r="5087" spans="2:13">
      <c r="B5087" s="127"/>
      <c r="C5087" s="127"/>
      <c r="D5087" s="427"/>
      <c r="E5087" s="427"/>
      <c r="F5087" s="445"/>
      <c r="G5087" s="445"/>
      <c r="H5087" s="446"/>
      <c r="I5087" s="445"/>
      <c r="J5087" s="446"/>
      <c r="K5087" s="447"/>
      <c r="M5087" s="596"/>
    </row>
    <row r="5088" spans="2:13">
      <c r="B5088" s="127"/>
      <c r="C5088" s="127"/>
      <c r="F5088" s="398"/>
      <c r="G5088" s="398"/>
      <c r="H5088" s="398"/>
      <c r="I5088" s="398"/>
      <c r="J5088" s="398"/>
      <c r="K5088" s="398"/>
    </row>
    <row r="5089" spans="2:13">
      <c r="B5089" s="127"/>
      <c r="C5089" s="127"/>
      <c r="D5089" s="427"/>
      <c r="E5089" s="427"/>
      <c r="F5089" s="445"/>
      <c r="G5089" s="445"/>
      <c r="H5089" s="446"/>
      <c r="I5089" s="445"/>
      <c r="J5089" s="446"/>
      <c r="K5089" s="447"/>
      <c r="M5089" s="596"/>
    </row>
    <row r="5090" spans="2:13">
      <c r="B5090" s="127"/>
      <c r="C5090" s="127"/>
    </row>
    <row r="5091" spans="2:13">
      <c r="B5091" s="127"/>
      <c r="C5091" s="127"/>
      <c r="D5091" s="427"/>
      <c r="E5091" s="427"/>
    </row>
    <row r="5092" spans="2:13">
      <c r="B5092" s="127"/>
      <c r="C5092" s="127"/>
      <c r="E5092" s="427"/>
    </row>
    <row r="5093" spans="2:13">
      <c r="B5093" s="127"/>
      <c r="C5093" s="127"/>
      <c r="E5093" s="427"/>
    </row>
    <row r="5094" spans="2:13">
      <c r="B5094" s="127"/>
      <c r="C5094" s="127"/>
      <c r="E5094" s="427"/>
    </row>
    <row r="5095" spans="2:13">
      <c r="B5095" s="127"/>
      <c r="C5095" s="127"/>
      <c r="E5095" s="430"/>
      <c r="F5095" s="431"/>
      <c r="G5095" s="431"/>
      <c r="H5095" s="436"/>
      <c r="I5095" s="431"/>
      <c r="J5095" s="436"/>
      <c r="K5095" s="437"/>
      <c r="M5095" s="431"/>
    </row>
    <row r="5096" spans="2:13">
      <c r="B5096" s="127"/>
      <c r="C5096" s="127"/>
      <c r="E5096" s="430"/>
      <c r="F5096" s="432"/>
      <c r="G5096" s="432"/>
      <c r="H5096" s="443"/>
      <c r="I5096" s="432"/>
      <c r="J5096" s="443"/>
      <c r="K5096" s="444"/>
      <c r="M5096" s="431"/>
    </row>
    <row r="5097" spans="2:13">
      <c r="B5097" s="127"/>
      <c r="C5097" s="127"/>
      <c r="D5097" s="427"/>
      <c r="E5097" s="427"/>
      <c r="F5097" s="445"/>
      <c r="G5097" s="445"/>
      <c r="H5097" s="446"/>
      <c r="I5097" s="445"/>
      <c r="J5097" s="446"/>
      <c r="K5097" s="447"/>
      <c r="M5097" s="596"/>
    </row>
    <row r="5098" spans="2:13">
      <c r="B5098" s="127"/>
      <c r="C5098" s="127"/>
      <c r="F5098" s="398"/>
      <c r="G5098" s="398"/>
      <c r="H5098" s="398"/>
      <c r="I5098" s="398"/>
      <c r="J5098" s="398"/>
      <c r="K5098" s="398"/>
    </row>
    <row r="5099" spans="2:13">
      <c r="B5099" s="127"/>
      <c r="C5099" s="127"/>
      <c r="D5099" s="427"/>
      <c r="E5099" s="427"/>
      <c r="F5099" s="445"/>
      <c r="G5099" s="445"/>
      <c r="H5099" s="446"/>
      <c r="I5099" s="445"/>
      <c r="J5099" s="446"/>
      <c r="K5099" s="447"/>
      <c r="M5099" s="596"/>
    </row>
    <row r="5100" spans="2:13">
      <c r="B5100" s="127"/>
      <c r="C5100" s="127"/>
      <c r="F5100" s="398"/>
      <c r="G5100" s="398"/>
      <c r="H5100" s="398"/>
      <c r="I5100" s="398"/>
      <c r="J5100" s="398"/>
      <c r="K5100" s="398"/>
    </row>
    <row r="5101" spans="2:13">
      <c r="B5101" s="127"/>
      <c r="C5101" s="127"/>
      <c r="D5101" s="427"/>
      <c r="E5101" s="427"/>
      <c r="F5101" s="445"/>
      <c r="G5101" s="445"/>
      <c r="H5101" s="446"/>
      <c r="I5101" s="445"/>
      <c r="J5101" s="446"/>
      <c r="K5101" s="447"/>
      <c r="M5101" s="596"/>
    </row>
    <row r="5102" spans="2:13">
      <c r="B5102" s="127"/>
      <c r="C5102" s="127"/>
    </row>
    <row r="5103" spans="2:13">
      <c r="B5103" s="127"/>
      <c r="C5103" s="127"/>
      <c r="E5103" s="427"/>
    </row>
    <row r="5104" spans="2:13">
      <c r="B5104" s="127"/>
      <c r="C5104" s="127"/>
      <c r="E5104" s="427"/>
    </row>
    <row r="5105" spans="2:13">
      <c r="B5105" s="127"/>
      <c r="C5105" s="127"/>
      <c r="E5105" s="427"/>
    </row>
    <row r="5106" spans="2:13">
      <c r="B5106" s="127"/>
      <c r="C5106" s="127"/>
      <c r="E5106" s="430"/>
      <c r="F5106" s="431"/>
      <c r="G5106" s="431"/>
      <c r="H5106" s="436"/>
      <c r="I5106" s="431"/>
      <c r="J5106" s="436"/>
      <c r="K5106" s="437"/>
      <c r="M5106" s="431"/>
    </row>
    <row r="5107" spans="2:13">
      <c r="B5107" s="127"/>
      <c r="C5107" s="127"/>
      <c r="E5107" s="430"/>
      <c r="F5107" s="431"/>
      <c r="G5107" s="431"/>
      <c r="H5107" s="436"/>
      <c r="I5107" s="431"/>
      <c r="J5107" s="436"/>
      <c r="K5107" s="437"/>
      <c r="M5107" s="431"/>
    </row>
    <row r="5108" spans="2:13">
      <c r="B5108" s="127"/>
      <c r="C5108" s="127"/>
      <c r="E5108" s="430"/>
      <c r="F5108" s="431"/>
      <c r="G5108" s="431"/>
      <c r="H5108" s="436"/>
      <c r="I5108" s="431"/>
      <c r="J5108" s="436"/>
      <c r="K5108" s="437"/>
      <c r="M5108" s="431"/>
    </row>
    <row r="5109" spans="2:13">
      <c r="B5109" s="127"/>
      <c r="C5109" s="127"/>
      <c r="E5109" s="430"/>
      <c r="F5109" s="431"/>
      <c r="G5109" s="431"/>
      <c r="H5109" s="436"/>
      <c r="I5109" s="431"/>
      <c r="J5109" s="436"/>
      <c r="K5109" s="437"/>
      <c r="M5109" s="431"/>
    </row>
    <row r="5110" spans="2:13">
      <c r="B5110" s="127"/>
      <c r="C5110" s="127"/>
      <c r="E5110" s="430"/>
      <c r="F5110" s="432"/>
      <c r="G5110" s="432"/>
      <c r="H5110" s="443"/>
      <c r="I5110" s="432"/>
      <c r="J5110" s="443"/>
      <c r="K5110" s="444"/>
      <c r="M5110" s="431"/>
    </row>
    <row r="5111" spans="2:13">
      <c r="B5111" s="127"/>
      <c r="C5111" s="127"/>
      <c r="D5111" s="427"/>
      <c r="E5111" s="427"/>
      <c r="F5111" s="445"/>
      <c r="G5111" s="445"/>
      <c r="H5111" s="446"/>
      <c r="I5111" s="445"/>
      <c r="J5111" s="446"/>
      <c r="K5111" s="447"/>
      <c r="M5111" s="596"/>
    </row>
    <row r="5112" spans="2:13">
      <c r="B5112" s="127"/>
      <c r="C5112" s="127"/>
    </row>
    <row r="5113" spans="2:13">
      <c r="B5113" s="127"/>
      <c r="C5113" s="127"/>
      <c r="E5113" s="427"/>
    </row>
    <row r="5114" spans="2:13">
      <c r="B5114" s="127"/>
      <c r="C5114" s="127"/>
      <c r="E5114" s="430"/>
      <c r="F5114" s="431"/>
      <c r="G5114" s="431"/>
      <c r="H5114" s="436"/>
      <c r="I5114" s="431"/>
      <c r="J5114" s="436"/>
      <c r="K5114" s="437"/>
      <c r="M5114" s="431"/>
    </row>
    <row r="5115" spans="2:13">
      <c r="B5115" s="127"/>
      <c r="C5115" s="127"/>
      <c r="E5115" s="430"/>
      <c r="F5115" s="431"/>
      <c r="G5115" s="431"/>
      <c r="H5115" s="436"/>
      <c r="I5115" s="431"/>
      <c r="J5115" s="436"/>
      <c r="K5115" s="437"/>
      <c r="M5115" s="431"/>
    </row>
    <row r="5116" spans="2:13">
      <c r="B5116" s="127"/>
      <c r="C5116" s="127"/>
      <c r="E5116" s="430"/>
      <c r="F5116" s="431"/>
      <c r="G5116" s="431"/>
      <c r="H5116" s="436"/>
      <c r="I5116" s="431"/>
      <c r="J5116" s="436"/>
      <c r="K5116" s="437"/>
      <c r="M5116" s="431"/>
    </row>
    <row r="5117" spans="2:13">
      <c r="B5117" s="127"/>
      <c r="C5117" s="127"/>
      <c r="E5117" s="430"/>
      <c r="F5117" s="431"/>
      <c r="G5117" s="431"/>
      <c r="H5117" s="436"/>
      <c r="I5117" s="431"/>
      <c r="J5117" s="436"/>
      <c r="K5117" s="437"/>
      <c r="M5117" s="431"/>
    </row>
    <row r="5118" spans="2:13">
      <c r="B5118" s="127"/>
      <c r="C5118" s="127"/>
      <c r="E5118" s="430"/>
      <c r="F5118" s="432"/>
      <c r="G5118" s="432"/>
      <c r="H5118" s="443"/>
      <c r="I5118" s="432"/>
      <c r="J5118" s="443"/>
      <c r="K5118" s="444"/>
      <c r="M5118" s="431"/>
    </row>
    <row r="5119" spans="2:13">
      <c r="B5119" s="127"/>
      <c r="C5119" s="127"/>
      <c r="D5119" s="427"/>
      <c r="E5119" s="427"/>
      <c r="F5119" s="445"/>
      <c r="G5119" s="445"/>
      <c r="H5119" s="446"/>
      <c r="I5119" s="445"/>
      <c r="J5119" s="446"/>
      <c r="K5119" s="447"/>
      <c r="M5119" s="596"/>
    </row>
    <row r="5120" spans="2:13">
      <c r="B5120" s="127"/>
      <c r="C5120" s="127"/>
    </row>
    <row r="5121" spans="2:13">
      <c r="B5121" s="127"/>
      <c r="C5121" s="127"/>
      <c r="E5121" s="427"/>
    </row>
    <row r="5122" spans="2:13">
      <c r="B5122" s="127"/>
      <c r="C5122" s="127"/>
      <c r="E5122" s="430"/>
      <c r="F5122" s="431"/>
      <c r="G5122" s="431"/>
      <c r="H5122" s="436"/>
      <c r="I5122" s="431"/>
      <c r="J5122" s="436"/>
      <c r="K5122" s="437"/>
      <c r="M5122" s="431"/>
    </row>
    <row r="5123" spans="2:13">
      <c r="B5123" s="127"/>
      <c r="C5123" s="127"/>
      <c r="E5123" s="430"/>
      <c r="F5123" s="431"/>
      <c r="G5123" s="431"/>
      <c r="H5123" s="436"/>
      <c r="I5123" s="431"/>
      <c r="J5123" s="436"/>
      <c r="K5123" s="437"/>
      <c r="M5123" s="431"/>
    </row>
    <row r="5124" spans="2:13">
      <c r="B5124" s="127"/>
      <c r="C5124" s="127"/>
      <c r="E5124" s="430"/>
      <c r="F5124" s="431"/>
      <c r="G5124" s="431"/>
      <c r="H5124" s="436"/>
      <c r="I5124" s="431"/>
      <c r="J5124" s="436"/>
      <c r="K5124" s="437"/>
      <c r="M5124" s="431"/>
    </row>
    <row r="5125" spans="2:13">
      <c r="B5125" s="127"/>
      <c r="C5125" s="127"/>
      <c r="E5125" s="430"/>
      <c r="F5125" s="432"/>
      <c r="G5125" s="432"/>
      <c r="H5125" s="443"/>
      <c r="I5125" s="432"/>
      <c r="J5125" s="443"/>
      <c r="K5125" s="444"/>
      <c r="M5125" s="431"/>
    </row>
    <row r="5126" spans="2:13">
      <c r="B5126" s="127"/>
      <c r="C5126" s="127"/>
      <c r="D5126" s="427"/>
      <c r="E5126" s="427"/>
      <c r="F5126" s="445"/>
      <c r="G5126" s="445"/>
      <c r="H5126" s="446"/>
      <c r="I5126" s="445"/>
      <c r="J5126" s="446"/>
      <c r="K5126" s="447"/>
      <c r="M5126" s="596"/>
    </row>
    <row r="5127" spans="2:13">
      <c r="B5127" s="127"/>
      <c r="C5127" s="127"/>
    </row>
    <row r="5128" spans="2:13">
      <c r="B5128" s="127"/>
      <c r="C5128" s="127"/>
      <c r="E5128" s="427"/>
    </row>
    <row r="5129" spans="2:13">
      <c r="B5129" s="127"/>
      <c r="C5129" s="127"/>
      <c r="E5129" s="430"/>
      <c r="F5129" s="431"/>
      <c r="G5129" s="431"/>
      <c r="H5129" s="436"/>
      <c r="I5129" s="431"/>
      <c r="J5129" s="436"/>
      <c r="K5129" s="437"/>
      <c r="M5129" s="431"/>
    </row>
    <row r="5130" spans="2:13">
      <c r="B5130" s="127"/>
      <c r="C5130" s="127"/>
      <c r="E5130" s="430"/>
      <c r="F5130" s="431"/>
      <c r="G5130" s="431"/>
      <c r="H5130" s="436"/>
      <c r="I5130" s="431"/>
      <c r="J5130" s="436"/>
      <c r="K5130" s="437"/>
      <c r="M5130" s="431"/>
    </row>
    <row r="5131" spans="2:13">
      <c r="B5131" s="127"/>
      <c r="C5131" s="127"/>
      <c r="E5131" s="430"/>
      <c r="F5131" s="431"/>
      <c r="G5131" s="431"/>
      <c r="H5131" s="436"/>
      <c r="I5131" s="431"/>
      <c r="J5131" s="436"/>
      <c r="K5131" s="437"/>
      <c r="M5131" s="431"/>
    </row>
    <row r="5132" spans="2:13">
      <c r="B5132" s="127"/>
      <c r="C5132" s="127"/>
      <c r="E5132" s="430"/>
      <c r="F5132" s="432"/>
      <c r="G5132" s="432"/>
      <c r="H5132" s="443"/>
      <c r="I5132" s="432"/>
      <c r="J5132" s="443"/>
      <c r="K5132" s="444"/>
      <c r="M5132" s="431"/>
    </row>
    <row r="5133" spans="2:13">
      <c r="B5133" s="127"/>
      <c r="C5133" s="127"/>
      <c r="D5133" s="427"/>
      <c r="E5133" s="427"/>
      <c r="F5133" s="445"/>
      <c r="G5133" s="445"/>
      <c r="H5133" s="446"/>
      <c r="I5133" s="445"/>
      <c r="J5133" s="446"/>
      <c r="K5133" s="447"/>
      <c r="M5133" s="596"/>
    </row>
    <row r="5134" spans="2:13">
      <c r="B5134" s="127"/>
      <c r="C5134" s="127"/>
    </row>
    <row r="5135" spans="2:13">
      <c r="B5135" s="127"/>
      <c r="C5135" s="127"/>
      <c r="E5135" s="427"/>
    </row>
    <row r="5136" spans="2:13">
      <c r="B5136" s="127"/>
      <c r="C5136" s="127"/>
      <c r="E5136" s="430"/>
      <c r="F5136" s="431"/>
      <c r="G5136" s="431"/>
      <c r="H5136" s="436"/>
      <c r="I5136" s="431"/>
      <c r="J5136" s="436"/>
      <c r="K5136" s="437"/>
      <c r="M5136" s="431"/>
    </row>
    <row r="5137" spans="2:13">
      <c r="B5137" s="127"/>
      <c r="C5137" s="127"/>
      <c r="E5137" s="430"/>
      <c r="F5137" s="431"/>
      <c r="G5137" s="431"/>
      <c r="H5137" s="436"/>
      <c r="I5137" s="431"/>
      <c r="J5137" s="436"/>
      <c r="K5137" s="437"/>
      <c r="M5137" s="431"/>
    </row>
    <row r="5138" spans="2:13">
      <c r="B5138" s="127"/>
      <c r="C5138" s="127"/>
      <c r="E5138" s="430"/>
      <c r="F5138" s="431"/>
      <c r="G5138" s="431"/>
      <c r="H5138" s="436"/>
      <c r="I5138" s="431"/>
      <c r="J5138" s="436"/>
      <c r="K5138" s="437"/>
      <c r="M5138" s="431"/>
    </row>
    <row r="5139" spans="2:13">
      <c r="B5139" s="127"/>
      <c r="C5139" s="127"/>
      <c r="E5139" s="430"/>
      <c r="F5139" s="431"/>
      <c r="G5139" s="431"/>
      <c r="H5139" s="436"/>
      <c r="I5139" s="431"/>
      <c r="J5139" s="436"/>
      <c r="K5139" s="437"/>
      <c r="M5139" s="431"/>
    </row>
    <row r="5140" spans="2:13">
      <c r="B5140" s="127"/>
      <c r="C5140" s="127"/>
      <c r="E5140" s="430"/>
      <c r="F5140" s="432"/>
      <c r="G5140" s="432"/>
      <c r="H5140" s="443"/>
      <c r="I5140" s="432"/>
      <c r="J5140" s="443"/>
      <c r="K5140" s="444"/>
      <c r="M5140" s="431"/>
    </row>
    <row r="5141" spans="2:13">
      <c r="B5141" s="127"/>
      <c r="C5141" s="127"/>
      <c r="D5141" s="427"/>
      <c r="E5141" s="427"/>
      <c r="F5141" s="445"/>
      <c r="G5141" s="445"/>
      <c r="H5141" s="446"/>
      <c r="I5141" s="445"/>
      <c r="J5141" s="446"/>
      <c r="K5141" s="447"/>
      <c r="M5141" s="596"/>
    </row>
    <row r="5142" spans="2:13">
      <c r="B5142" s="127"/>
      <c r="C5142" s="127"/>
    </row>
    <row r="5143" spans="2:13">
      <c r="B5143" s="127"/>
      <c r="C5143" s="127"/>
      <c r="E5143" s="427"/>
    </row>
    <row r="5144" spans="2:13">
      <c r="B5144" s="127"/>
      <c r="C5144" s="127"/>
      <c r="E5144" s="430"/>
      <c r="F5144" s="431"/>
      <c r="G5144" s="431"/>
      <c r="H5144" s="436"/>
      <c r="I5144" s="431"/>
      <c r="J5144" s="436"/>
      <c r="K5144" s="437"/>
      <c r="M5144" s="431"/>
    </row>
    <row r="5145" spans="2:13">
      <c r="B5145" s="127"/>
      <c r="C5145" s="127"/>
    </row>
    <row r="5146" spans="2:13">
      <c r="B5146" s="127"/>
      <c r="C5146" s="127"/>
      <c r="D5146" s="438"/>
      <c r="E5146" s="438"/>
      <c r="F5146" s="438"/>
      <c r="G5146" s="438"/>
      <c r="H5146" s="438"/>
      <c r="I5146" s="438"/>
      <c r="J5146" s="438"/>
      <c r="K5146" s="438"/>
      <c r="M5146" s="597"/>
    </row>
    <row r="5147" spans="2:13">
      <c r="B5147" s="127"/>
      <c r="C5147" s="127"/>
      <c r="D5147" s="454"/>
      <c r="E5147" s="454"/>
      <c r="F5147" s="399"/>
      <c r="G5147" s="399"/>
      <c r="H5147" s="399"/>
      <c r="I5147" s="399"/>
      <c r="J5147" s="454"/>
      <c r="K5147" s="454"/>
    </row>
    <row r="5148" spans="2:13">
      <c r="B5148" s="127"/>
      <c r="C5148" s="127"/>
      <c r="D5148" s="455"/>
      <c r="E5148" s="455"/>
      <c r="F5148" s="455"/>
      <c r="H5148" s="455"/>
      <c r="I5148" s="455"/>
      <c r="J5148" s="455"/>
      <c r="K5148" s="455"/>
      <c r="M5148" s="455"/>
    </row>
    <row r="5149" spans="2:13">
      <c r="B5149" s="127"/>
      <c r="C5149" s="127"/>
    </row>
    <row r="5150" spans="2:13">
      <c r="B5150" s="127"/>
      <c r="C5150" s="127"/>
      <c r="J5150" s="428"/>
    </row>
    <row r="5151" spans="2:13">
      <c r="B5151" s="127"/>
      <c r="C5151" s="127"/>
      <c r="F5151" s="428"/>
      <c r="G5151" s="428"/>
      <c r="H5151" s="428"/>
      <c r="I5151" s="428"/>
      <c r="J5151" s="428"/>
      <c r="K5151" s="428"/>
      <c r="M5151" s="428"/>
    </row>
    <row r="5152" spans="2:13">
      <c r="B5152" s="127"/>
      <c r="C5152" s="127"/>
      <c r="E5152" s="453"/>
      <c r="F5152" s="428"/>
      <c r="G5152" s="428"/>
      <c r="H5152" s="428"/>
      <c r="I5152" s="428"/>
      <c r="J5152" s="428"/>
      <c r="K5152" s="428"/>
      <c r="M5152" s="428"/>
    </row>
    <row r="5153" spans="2:13">
      <c r="B5153" s="127"/>
      <c r="C5153" s="127"/>
    </row>
    <row r="5154" spans="2:13">
      <c r="B5154" s="127"/>
      <c r="C5154" s="127"/>
      <c r="E5154" s="430"/>
      <c r="F5154" s="431"/>
      <c r="G5154" s="431"/>
      <c r="H5154" s="436"/>
      <c r="I5154" s="431"/>
      <c r="J5154" s="436"/>
      <c r="K5154" s="437"/>
      <c r="M5154" s="431"/>
    </row>
    <row r="5155" spans="2:13">
      <c r="B5155" s="127"/>
      <c r="C5155" s="127"/>
      <c r="E5155" s="430"/>
      <c r="F5155" s="431"/>
      <c r="G5155" s="431"/>
      <c r="H5155" s="436"/>
      <c r="I5155" s="431"/>
      <c r="J5155" s="436"/>
      <c r="K5155" s="437"/>
      <c r="M5155" s="431"/>
    </row>
    <row r="5156" spans="2:13">
      <c r="B5156" s="127"/>
      <c r="C5156" s="127"/>
      <c r="E5156" s="430"/>
      <c r="F5156" s="432"/>
      <c r="G5156" s="432"/>
      <c r="H5156" s="443"/>
      <c r="I5156" s="432"/>
      <c r="J5156" s="443"/>
      <c r="K5156" s="444"/>
      <c r="M5156" s="431"/>
    </row>
    <row r="5157" spans="2:13">
      <c r="B5157" s="127"/>
      <c r="C5157" s="127"/>
      <c r="D5157" s="427"/>
      <c r="E5157" s="427"/>
      <c r="F5157" s="445"/>
      <c r="G5157" s="445"/>
      <c r="H5157" s="446"/>
      <c r="I5157" s="445"/>
      <c r="J5157" s="446"/>
      <c r="K5157" s="447"/>
      <c r="M5157" s="596"/>
    </row>
    <row r="5158" spans="2:13">
      <c r="B5158" s="127"/>
      <c r="C5158" s="127"/>
    </row>
    <row r="5159" spans="2:13">
      <c r="B5159" s="127"/>
      <c r="C5159" s="127"/>
      <c r="E5159" s="427"/>
    </row>
    <row r="5160" spans="2:13">
      <c r="B5160" s="127"/>
      <c r="C5160" s="127"/>
      <c r="E5160" s="430"/>
      <c r="F5160" s="431"/>
      <c r="G5160" s="431"/>
      <c r="H5160" s="436"/>
      <c r="I5160" s="431"/>
      <c r="J5160" s="436"/>
      <c r="K5160" s="437"/>
      <c r="M5160" s="431"/>
    </row>
    <row r="5161" spans="2:13">
      <c r="B5161" s="127"/>
      <c r="C5161" s="127"/>
      <c r="E5161" s="430"/>
      <c r="F5161" s="432"/>
      <c r="G5161" s="432"/>
      <c r="H5161" s="443"/>
      <c r="I5161" s="432"/>
      <c r="J5161" s="443"/>
      <c r="K5161" s="444"/>
      <c r="M5161" s="431"/>
    </row>
    <row r="5162" spans="2:13">
      <c r="B5162" s="127"/>
      <c r="C5162" s="127"/>
      <c r="D5162" s="427"/>
      <c r="E5162" s="427"/>
      <c r="F5162" s="445"/>
      <c r="G5162" s="445"/>
      <c r="H5162" s="446"/>
      <c r="I5162" s="445"/>
      <c r="J5162" s="446"/>
      <c r="K5162" s="447"/>
      <c r="M5162" s="596"/>
    </row>
    <row r="5163" spans="2:13">
      <c r="B5163" s="127"/>
      <c r="C5163" s="127"/>
      <c r="F5163" s="398"/>
      <c r="G5163" s="398"/>
      <c r="H5163" s="398"/>
      <c r="I5163" s="398"/>
      <c r="J5163" s="398"/>
      <c r="K5163" s="398"/>
    </row>
    <row r="5164" spans="2:13">
      <c r="B5164" s="127"/>
      <c r="C5164" s="127"/>
      <c r="D5164" s="427"/>
      <c r="E5164" s="427"/>
      <c r="F5164" s="445"/>
      <c r="G5164" s="445"/>
      <c r="H5164" s="446"/>
      <c r="I5164" s="445"/>
      <c r="J5164" s="446"/>
      <c r="K5164" s="447"/>
      <c r="M5164" s="596"/>
    </row>
    <row r="5165" spans="2:13">
      <c r="B5165" s="127"/>
      <c r="C5165" s="127"/>
      <c r="F5165" s="398"/>
      <c r="G5165" s="398"/>
      <c r="H5165" s="398"/>
      <c r="I5165" s="398"/>
      <c r="J5165" s="398"/>
      <c r="K5165" s="398"/>
    </row>
    <row r="5166" spans="2:13">
      <c r="B5166" s="127"/>
      <c r="C5166" s="127"/>
      <c r="D5166" s="427"/>
      <c r="E5166" s="427"/>
      <c r="F5166" s="445"/>
      <c r="G5166" s="445"/>
      <c r="H5166" s="446"/>
      <c r="I5166" s="445"/>
      <c r="J5166" s="446"/>
      <c r="K5166" s="447"/>
      <c r="M5166" s="596"/>
    </row>
    <row r="5167" spans="2:13">
      <c r="B5167" s="127"/>
      <c r="C5167" s="127"/>
      <c r="F5167" s="398"/>
      <c r="G5167" s="398"/>
      <c r="H5167" s="398"/>
      <c r="I5167" s="398"/>
      <c r="J5167" s="398"/>
      <c r="K5167" s="398"/>
    </row>
    <row r="5168" spans="2:13">
      <c r="B5168" s="127"/>
      <c r="C5168" s="127"/>
      <c r="D5168" s="427"/>
      <c r="E5168" s="427"/>
      <c r="F5168" s="445"/>
      <c r="G5168" s="445"/>
      <c r="H5168" s="446"/>
      <c r="I5168" s="445"/>
      <c r="J5168" s="446"/>
      <c r="K5168" s="447"/>
      <c r="M5168" s="596"/>
    </row>
    <row r="5169" spans="2:13">
      <c r="B5169" s="127"/>
      <c r="C5169" s="127"/>
    </row>
    <row r="5170" spans="2:13">
      <c r="B5170" s="127"/>
      <c r="C5170" s="127"/>
      <c r="D5170" s="427"/>
      <c r="E5170" s="427"/>
    </row>
    <row r="5171" spans="2:13">
      <c r="B5171" s="127"/>
      <c r="C5171" s="127"/>
      <c r="E5171" s="427"/>
    </row>
    <row r="5172" spans="2:13">
      <c r="B5172" s="127"/>
      <c r="C5172" s="127"/>
      <c r="E5172" s="427"/>
    </row>
    <row r="5173" spans="2:13">
      <c r="B5173" s="127"/>
      <c r="C5173" s="127"/>
      <c r="E5173" s="427"/>
    </row>
    <row r="5174" spans="2:13">
      <c r="B5174" s="127"/>
      <c r="C5174" s="127"/>
      <c r="E5174" s="430"/>
      <c r="F5174" s="432"/>
      <c r="G5174" s="432"/>
      <c r="H5174" s="443"/>
      <c r="I5174" s="432"/>
      <c r="J5174" s="443"/>
      <c r="K5174" s="444"/>
      <c r="M5174" s="431"/>
    </row>
    <row r="5175" spans="2:13">
      <c r="B5175" s="127"/>
      <c r="C5175" s="127"/>
      <c r="D5175" s="427"/>
      <c r="E5175" s="427"/>
      <c r="F5175" s="445"/>
      <c r="G5175" s="445"/>
      <c r="H5175" s="446"/>
      <c r="I5175" s="445"/>
      <c r="J5175" s="446"/>
      <c r="K5175" s="447"/>
      <c r="M5175" s="596"/>
    </row>
    <row r="5176" spans="2:13">
      <c r="B5176" s="127"/>
      <c r="C5176" s="127"/>
      <c r="F5176" s="398"/>
      <c r="G5176" s="398"/>
      <c r="H5176" s="398"/>
      <c r="I5176" s="398"/>
      <c r="J5176" s="398"/>
      <c r="K5176" s="398"/>
    </row>
    <row r="5177" spans="2:13">
      <c r="B5177" s="127"/>
      <c r="C5177" s="127"/>
      <c r="D5177" s="427"/>
      <c r="E5177" s="427"/>
      <c r="F5177" s="445"/>
      <c r="G5177" s="445"/>
      <c r="H5177" s="446"/>
      <c r="I5177" s="445"/>
      <c r="J5177" s="446"/>
      <c r="K5177" s="447"/>
      <c r="M5177" s="596"/>
    </row>
    <row r="5178" spans="2:13">
      <c r="B5178" s="127"/>
      <c r="C5178" s="127"/>
      <c r="F5178" s="398"/>
      <c r="G5178" s="398"/>
      <c r="H5178" s="398"/>
      <c r="I5178" s="398"/>
      <c r="J5178" s="398"/>
      <c r="K5178" s="398"/>
    </row>
    <row r="5179" spans="2:13">
      <c r="B5179" s="127"/>
      <c r="C5179" s="127"/>
      <c r="D5179" s="427"/>
      <c r="E5179" s="427"/>
      <c r="F5179" s="445"/>
      <c r="G5179" s="445"/>
      <c r="H5179" s="446"/>
      <c r="I5179" s="445"/>
      <c r="J5179" s="446"/>
      <c r="K5179" s="447"/>
      <c r="M5179" s="596"/>
    </row>
    <row r="5180" spans="2:13">
      <c r="B5180" s="127"/>
      <c r="C5180" s="127"/>
    </row>
    <row r="5181" spans="2:13">
      <c r="B5181" s="127"/>
      <c r="C5181" s="127"/>
      <c r="E5181" s="427"/>
    </row>
    <row r="5182" spans="2:13">
      <c r="B5182" s="127"/>
      <c r="C5182" s="127"/>
      <c r="E5182" s="427"/>
    </row>
    <row r="5183" spans="2:13">
      <c r="B5183" s="127"/>
      <c r="C5183" s="127"/>
      <c r="E5183" s="427"/>
    </row>
    <row r="5184" spans="2:13">
      <c r="B5184" s="127"/>
      <c r="C5184" s="127"/>
      <c r="E5184" s="430"/>
      <c r="F5184" s="432"/>
      <c r="G5184" s="432"/>
      <c r="H5184" s="443"/>
      <c r="I5184" s="432"/>
      <c r="J5184" s="443"/>
      <c r="K5184" s="444"/>
      <c r="M5184" s="431"/>
    </row>
    <row r="5185" spans="2:13">
      <c r="B5185" s="127"/>
      <c r="C5185" s="127"/>
      <c r="D5185" s="427"/>
      <c r="E5185" s="427"/>
      <c r="F5185" s="445"/>
      <c r="G5185" s="445"/>
      <c r="H5185" s="446"/>
      <c r="I5185" s="445"/>
      <c r="J5185" s="446"/>
      <c r="K5185" s="447"/>
      <c r="M5185" s="596"/>
    </row>
    <row r="5186" spans="2:13">
      <c r="B5186" s="127"/>
      <c r="C5186" s="127"/>
      <c r="F5186" s="398"/>
      <c r="G5186" s="398"/>
      <c r="H5186" s="398"/>
      <c r="I5186" s="398"/>
      <c r="J5186" s="398"/>
      <c r="K5186" s="398"/>
    </row>
    <row r="5187" spans="2:13">
      <c r="B5187" s="127"/>
      <c r="C5187" s="127"/>
      <c r="D5187" s="427"/>
      <c r="E5187" s="427"/>
      <c r="F5187" s="445"/>
      <c r="G5187" s="445"/>
      <c r="H5187" s="446"/>
      <c r="I5187" s="445"/>
      <c r="J5187" s="446"/>
      <c r="K5187" s="447"/>
      <c r="M5187" s="596"/>
    </row>
    <row r="5188" spans="2:13">
      <c r="B5188" s="127"/>
      <c r="C5188" s="127"/>
      <c r="F5188" s="398"/>
      <c r="G5188" s="398"/>
      <c r="H5188" s="398"/>
      <c r="I5188" s="398"/>
      <c r="J5188" s="398"/>
      <c r="K5188" s="398"/>
    </row>
    <row r="5189" spans="2:13">
      <c r="B5189" s="127"/>
      <c r="C5189" s="127"/>
      <c r="D5189" s="427"/>
      <c r="E5189" s="427"/>
      <c r="F5189" s="445"/>
      <c r="G5189" s="445"/>
      <c r="H5189" s="446"/>
      <c r="I5189" s="445"/>
      <c r="J5189" s="446"/>
      <c r="K5189" s="447"/>
      <c r="M5189" s="596"/>
    </row>
    <row r="5190" spans="2:13">
      <c r="B5190" s="127"/>
      <c r="C5190" s="127"/>
      <c r="F5190" s="398"/>
      <c r="G5190" s="398"/>
      <c r="H5190" s="398"/>
      <c r="I5190" s="398"/>
      <c r="J5190" s="398"/>
      <c r="K5190" s="398"/>
    </row>
    <row r="5191" spans="2:13">
      <c r="B5191" s="127"/>
      <c r="C5191" s="127"/>
      <c r="D5191" s="427"/>
      <c r="E5191" s="427"/>
      <c r="F5191" s="445"/>
      <c r="G5191" s="445"/>
      <c r="H5191" s="446"/>
      <c r="I5191" s="445"/>
      <c r="J5191" s="446"/>
      <c r="K5191" s="447"/>
      <c r="M5191" s="596"/>
    </row>
    <row r="5192" spans="2:13">
      <c r="B5192" s="127"/>
      <c r="C5192" s="127"/>
    </row>
    <row r="5193" spans="2:13">
      <c r="B5193" s="127"/>
      <c r="C5193" s="127"/>
      <c r="D5193" s="427"/>
      <c r="E5193" s="427"/>
    </row>
    <row r="5194" spans="2:13">
      <c r="B5194" s="127"/>
      <c r="C5194" s="127"/>
      <c r="E5194" s="427"/>
    </row>
    <row r="5195" spans="2:13">
      <c r="B5195" s="127"/>
      <c r="C5195" s="127"/>
      <c r="E5195" s="427"/>
    </row>
    <row r="5196" spans="2:13">
      <c r="B5196" s="127"/>
      <c r="C5196" s="127"/>
      <c r="E5196" s="427"/>
    </row>
    <row r="5197" spans="2:13">
      <c r="B5197" s="127"/>
      <c r="C5197" s="127"/>
      <c r="E5197" s="430"/>
      <c r="F5197" s="432"/>
      <c r="G5197" s="432"/>
      <c r="H5197" s="443"/>
      <c r="I5197" s="432"/>
      <c r="J5197" s="443"/>
      <c r="K5197" s="444"/>
      <c r="M5197" s="431"/>
    </row>
    <row r="5198" spans="2:13">
      <c r="B5198" s="127"/>
      <c r="C5198" s="127"/>
      <c r="D5198" s="427"/>
      <c r="E5198" s="427"/>
      <c r="F5198" s="445"/>
      <c r="G5198" s="445"/>
      <c r="H5198" s="446"/>
      <c r="I5198" s="445"/>
      <c r="J5198" s="446"/>
      <c r="K5198" s="447"/>
      <c r="M5198" s="596"/>
    </row>
    <row r="5199" spans="2:13">
      <c r="B5199" s="127"/>
      <c r="C5199" s="127"/>
      <c r="F5199" s="398"/>
      <c r="G5199" s="398"/>
      <c r="H5199" s="398"/>
      <c r="I5199" s="398"/>
      <c r="J5199" s="398"/>
      <c r="K5199" s="398"/>
    </row>
    <row r="5200" spans="2:13">
      <c r="B5200" s="127"/>
      <c r="C5200" s="127"/>
      <c r="D5200" s="427"/>
      <c r="E5200" s="427"/>
      <c r="F5200" s="445"/>
      <c r="G5200" s="445"/>
      <c r="H5200" s="446"/>
      <c r="I5200" s="445"/>
      <c r="J5200" s="446"/>
      <c r="K5200" s="447"/>
      <c r="M5200" s="596"/>
    </row>
    <row r="5201" spans="2:13">
      <c r="B5201" s="127"/>
      <c r="C5201" s="127"/>
      <c r="F5201" s="398"/>
      <c r="G5201" s="398"/>
      <c r="H5201" s="398"/>
      <c r="I5201" s="398"/>
      <c r="J5201" s="398"/>
      <c r="K5201" s="398"/>
    </row>
    <row r="5202" spans="2:13">
      <c r="B5202" s="127"/>
      <c r="C5202" s="127"/>
      <c r="D5202" s="427"/>
      <c r="E5202" s="427"/>
      <c r="F5202" s="445"/>
      <c r="G5202" s="445"/>
      <c r="H5202" s="446"/>
      <c r="I5202" s="445"/>
      <c r="J5202" s="446"/>
      <c r="K5202" s="447"/>
      <c r="M5202" s="596"/>
    </row>
    <row r="5203" spans="2:13">
      <c r="B5203" s="127"/>
      <c r="C5203" s="127"/>
    </row>
    <row r="5204" spans="2:13">
      <c r="B5204" s="127"/>
      <c r="C5204" s="127"/>
      <c r="E5204" s="427"/>
    </row>
    <row r="5205" spans="2:13">
      <c r="B5205" s="127"/>
      <c r="C5205" s="127"/>
      <c r="E5205" s="427"/>
    </row>
    <row r="5206" spans="2:13">
      <c r="B5206" s="127"/>
      <c r="C5206" s="127"/>
      <c r="E5206" s="427"/>
    </row>
    <row r="5207" spans="2:13">
      <c r="B5207" s="127"/>
      <c r="C5207" s="127"/>
      <c r="E5207" s="430"/>
      <c r="F5207" s="432"/>
      <c r="G5207" s="432"/>
      <c r="H5207" s="443"/>
      <c r="I5207" s="432"/>
      <c r="J5207" s="443"/>
      <c r="K5207" s="444"/>
      <c r="M5207" s="431"/>
    </row>
    <row r="5208" spans="2:13">
      <c r="B5208" s="127"/>
      <c r="C5208" s="127"/>
      <c r="D5208" s="427"/>
      <c r="E5208" s="427"/>
      <c r="F5208" s="445"/>
      <c r="G5208" s="445"/>
      <c r="H5208" s="446"/>
      <c r="I5208" s="445"/>
      <c r="J5208" s="446"/>
      <c r="K5208" s="447"/>
      <c r="M5208" s="596"/>
    </row>
    <row r="5209" spans="2:13">
      <c r="B5209" s="127"/>
      <c r="C5209" s="127"/>
      <c r="F5209" s="398"/>
      <c r="G5209" s="398"/>
      <c r="H5209" s="398"/>
      <c r="I5209" s="398"/>
      <c r="J5209" s="398"/>
      <c r="K5209" s="398"/>
    </row>
    <row r="5210" spans="2:13">
      <c r="B5210" s="127"/>
      <c r="C5210" s="127"/>
      <c r="D5210" s="427"/>
      <c r="E5210" s="427"/>
      <c r="F5210" s="445"/>
      <c r="G5210" s="445"/>
      <c r="H5210" s="446"/>
      <c r="I5210" s="445"/>
      <c r="J5210" s="446"/>
      <c r="K5210" s="447"/>
      <c r="M5210" s="596"/>
    </row>
    <row r="5211" spans="2:13">
      <c r="B5211" s="127"/>
      <c r="C5211" s="127"/>
      <c r="F5211" s="398"/>
      <c r="G5211" s="398"/>
      <c r="H5211" s="398"/>
      <c r="I5211" s="398"/>
      <c r="J5211" s="398"/>
      <c r="K5211" s="398"/>
    </row>
    <row r="5212" spans="2:13">
      <c r="B5212" s="127"/>
      <c r="C5212" s="127"/>
      <c r="D5212" s="427"/>
      <c r="E5212" s="427"/>
      <c r="F5212" s="445"/>
      <c r="G5212" s="445"/>
      <c r="H5212" s="446"/>
      <c r="I5212" s="445"/>
      <c r="J5212" s="446"/>
      <c r="K5212" s="447"/>
      <c r="M5212" s="596"/>
    </row>
    <row r="5213" spans="2:13">
      <c r="B5213" s="127"/>
      <c r="C5213" s="127"/>
      <c r="F5213" s="398"/>
      <c r="G5213" s="398"/>
      <c r="H5213" s="398"/>
      <c r="I5213" s="398"/>
      <c r="J5213" s="398"/>
      <c r="K5213" s="398"/>
    </row>
    <row r="5214" spans="2:13">
      <c r="B5214" s="127"/>
      <c r="C5214" s="127"/>
      <c r="D5214" s="427"/>
      <c r="E5214" s="427"/>
      <c r="F5214" s="445"/>
      <c r="G5214" s="445"/>
      <c r="H5214" s="446"/>
      <c r="I5214" s="445"/>
      <c r="J5214" s="446"/>
      <c r="K5214" s="447"/>
      <c r="M5214" s="596"/>
    </row>
    <row r="5215" spans="2:13">
      <c r="B5215" s="127"/>
      <c r="C5215" s="127"/>
    </row>
    <row r="5216" spans="2:13">
      <c r="B5216" s="127"/>
      <c r="C5216" s="127"/>
      <c r="D5216" s="427"/>
      <c r="E5216" s="427"/>
    </row>
    <row r="5217" spans="2:13">
      <c r="B5217" s="127"/>
      <c r="C5217" s="127"/>
      <c r="E5217" s="427"/>
    </row>
    <row r="5218" spans="2:13">
      <c r="B5218" s="127"/>
      <c r="C5218" s="127"/>
      <c r="E5218" s="427"/>
    </row>
    <row r="5219" spans="2:13">
      <c r="B5219" s="127"/>
      <c r="C5219" s="127"/>
      <c r="E5219" s="427"/>
    </row>
    <row r="5220" spans="2:13">
      <c r="B5220" s="127"/>
      <c r="C5220" s="127"/>
      <c r="E5220" s="430"/>
      <c r="F5220" s="432"/>
      <c r="G5220" s="432"/>
      <c r="H5220" s="443"/>
      <c r="I5220" s="432"/>
      <c r="J5220" s="443"/>
      <c r="K5220" s="444"/>
      <c r="M5220" s="431"/>
    </row>
    <row r="5221" spans="2:13">
      <c r="B5221" s="127"/>
      <c r="C5221" s="127"/>
      <c r="D5221" s="427"/>
      <c r="E5221" s="427"/>
      <c r="F5221" s="445"/>
      <c r="G5221" s="445"/>
      <c r="H5221" s="446"/>
      <c r="I5221" s="445"/>
      <c r="J5221" s="446"/>
      <c r="K5221" s="447"/>
      <c r="M5221" s="596"/>
    </row>
    <row r="5222" spans="2:13">
      <c r="B5222" s="127"/>
      <c r="C5222" s="127"/>
      <c r="F5222" s="398"/>
      <c r="G5222" s="398"/>
      <c r="H5222" s="398"/>
      <c r="I5222" s="398"/>
      <c r="J5222" s="398"/>
      <c r="K5222" s="398"/>
    </row>
    <row r="5223" spans="2:13">
      <c r="B5223" s="127"/>
      <c r="C5223" s="127"/>
      <c r="D5223" s="427"/>
      <c r="E5223" s="427"/>
      <c r="F5223" s="445"/>
      <c r="G5223" s="445"/>
      <c r="H5223" s="446"/>
      <c r="I5223" s="445"/>
      <c r="J5223" s="446"/>
      <c r="K5223" s="447"/>
      <c r="M5223" s="596"/>
    </row>
    <row r="5224" spans="2:13">
      <c r="B5224" s="127"/>
      <c r="C5224" s="127"/>
      <c r="F5224" s="398"/>
      <c r="G5224" s="398"/>
      <c r="H5224" s="398"/>
      <c r="I5224" s="398"/>
      <c r="J5224" s="398"/>
      <c r="K5224" s="398"/>
    </row>
    <row r="5225" spans="2:13">
      <c r="B5225" s="127"/>
      <c r="C5225" s="127"/>
      <c r="D5225" s="427"/>
      <c r="E5225" s="427"/>
      <c r="F5225" s="445"/>
      <c r="G5225" s="445"/>
      <c r="H5225" s="446"/>
      <c r="I5225" s="445"/>
      <c r="J5225" s="446"/>
      <c r="K5225" s="447"/>
      <c r="M5225" s="596"/>
    </row>
    <row r="5226" spans="2:13">
      <c r="B5226" s="127"/>
      <c r="C5226" s="127"/>
    </row>
    <row r="5227" spans="2:13">
      <c r="B5227" s="127"/>
      <c r="C5227" s="127"/>
    </row>
    <row r="5228" spans="2:13">
      <c r="B5228" s="127"/>
      <c r="C5228" s="127"/>
      <c r="D5228" s="438"/>
      <c r="E5228" s="438"/>
      <c r="F5228" s="438"/>
      <c r="G5228" s="438"/>
      <c r="H5228" s="438"/>
      <c r="I5228" s="438"/>
      <c r="J5228" s="438"/>
      <c r="K5228" s="438"/>
      <c r="M5228" s="597"/>
    </row>
    <row r="5229" spans="2:13">
      <c r="B5229" s="127"/>
      <c r="C5229" s="127"/>
      <c r="D5229" s="454"/>
      <c r="E5229" s="454"/>
      <c r="F5229" s="399"/>
      <c r="G5229" s="399"/>
      <c r="H5229" s="399"/>
      <c r="I5229" s="399"/>
      <c r="J5229" s="454"/>
      <c r="K5229" s="454"/>
    </row>
    <row r="5230" spans="2:13">
      <c r="B5230" s="127"/>
      <c r="C5230" s="127"/>
      <c r="D5230" s="455"/>
      <c r="E5230" s="455"/>
      <c r="F5230" s="455"/>
      <c r="H5230" s="455"/>
      <c r="I5230" s="455"/>
      <c r="J5230" s="455"/>
      <c r="K5230" s="455"/>
      <c r="M5230" s="455"/>
    </row>
    <row r="5231" spans="2:13">
      <c r="B5231" s="127"/>
      <c r="C5231" s="127"/>
    </row>
    <row r="5232" spans="2:13">
      <c r="B5232" s="127"/>
      <c r="C5232" s="127"/>
      <c r="J5232" s="428"/>
    </row>
    <row r="5233" spans="2:13">
      <c r="B5233" s="127"/>
      <c r="C5233" s="127"/>
      <c r="F5233" s="428"/>
      <c r="G5233" s="428"/>
      <c r="H5233" s="428"/>
      <c r="I5233" s="428"/>
      <c r="J5233" s="428"/>
      <c r="K5233" s="428"/>
      <c r="M5233" s="428"/>
    </row>
    <row r="5234" spans="2:13">
      <c r="B5234" s="127"/>
      <c r="C5234" s="127"/>
      <c r="E5234" s="453"/>
      <c r="F5234" s="428"/>
      <c r="G5234" s="428"/>
      <c r="H5234" s="428"/>
      <c r="I5234" s="428"/>
      <c r="J5234" s="428"/>
      <c r="K5234" s="428"/>
      <c r="M5234" s="428"/>
    </row>
    <row r="5235" spans="2:13">
      <c r="B5235" s="127"/>
      <c r="C5235" s="127"/>
    </row>
    <row r="5236" spans="2:13">
      <c r="B5236" s="127"/>
      <c r="C5236" s="127"/>
      <c r="E5236" s="427"/>
    </row>
    <row r="5237" spans="2:13">
      <c r="B5237" s="127"/>
      <c r="C5237" s="127"/>
      <c r="E5237" s="427"/>
    </row>
    <row r="5238" spans="2:13">
      <c r="B5238" s="127"/>
      <c r="C5238" s="127"/>
      <c r="E5238" s="427"/>
    </row>
    <row r="5239" spans="2:13">
      <c r="B5239" s="127"/>
      <c r="C5239" s="127"/>
      <c r="E5239" s="430"/>
      <c r="F5239" s="432"/>
      <c r="G5239" s="432"/>
      <c r="H5239" s="443"/>
      <c r="I5239" s="432"/>
      <c r="J5239" s="443"/>
      <c r="K5239" s="444"/>
      <c r="M5239" s="431"/>
    </row>
    <row r="5240" spans="2:13">
      <c r="B5240" s="127"/>
      <c r="C5240" s="127"/>
      <c r="D5240" s="427"/>
      <c r="E5240" s="427"/>
      <c r="F5240" s="445"/>
      <c r="G5240" s="445"/>
      <c r="H5240" s="446"/>
      <c r="I5240" s="445"/>
      <c r="J5240" s="446"/>
      <c r="K5240" s="447"/>
      <c r="M5240" s="596"/>
    </row>
    <row r="5241" spans="2:13">
      <c r="B5241" s="127"/>
      <c r="C5241" s="127"/>
      <c r="F5241" s="398"/>
      <c r="G5241" s="398"/>
      <c r="H5241" s="398"/>
      <c r="I5241" s="398"/>
      <c r="J5241" s="398"/>
      <c r="K5241" s="398"/>
    </row>
    <row r="5242" spans="2:13">
      <c r="B5242" s="127"/>
      <c r="C5242" s="127"/>
      <c r="D5242" s="427"/>
      <c r="E5242" s="427"/>
      <c r="F5242" s="445"/>
      <c r="G5242" s="445"/>
      <c r="H5242" s="446"/>
      <c r="I5242" s="445"/>
      <c r="J5242" s="446"/>
      <c r="K5242" s="447"/>
      <c r="M5242" s="596"/>
    </row>
    <row r="5243" spans="2:13">
      <c r="B5243" s="127"/>
      <c r="C5243" s="127"/>
      <c r="F5243" s="398"/>
      <c r="G5243" s="398"/>
      <c r="H5243" s="398"/>
      <c r="I5243" s="398"/>
      <c r="J5243" s="398"/>
      <c r="K5243" s="398"/>
    </row>
    <row r="5244" spans="2:13">
      <c r="B5244" s="127"/>
      <c r="C5244" s="127"/>
      <c r="D5244" s="427"/>
      <c r="E5244" s="427"/>
      <c r="F5244" s="445"/>
      <c r="G5244" s="445"/>
      <c r="H5244" s="446"/>
      <c r="I5244" s="445"/>
      <c r="J5244" s="446"/>
      <c r="K5244" s="447"/>
      <c r="M5244" s="596"/>
    </row>
    <row r="5245" spans="2:13">
      <c r="B5245" s="127"/>
      <c r="C5245" s="127"/>
      <c r="F5245" s="398"/>
      <c r="G5245" s="398"/>
      <c r="H5245" s="398"/>
      <c r="I5245" s="398"/>
      <c r="J5245" s="398"/>
      <c r="K5245" s="398"/>
    </row>
    <row r="5246" spans="2:13">
      <c r="B5246" s="127"/>
      <c r="C5246" s="127"/>
      <c r="D5246" s="427"/>
      <c r="E5246" s="427"/>
      <c r="F5246" s="445"/>
      <c r="G5246" s="445"/>
      <c r="H5246" s="446"/>
      <c r="I5246" s="445"/>
      <c r="J5246" s="446"/>
      <c r="K5246" s="447"/>
      <c r="M5246" s="596"/>
    </row>
    <row r="5247" spans="2:13">
      <c r="B5247" s="127"/>
      <c r="C5247" s="127"/>
    </row>
    <row r="5248" spans="2:13">
      <c r="B5248" s="127"/>
      <c r="C5248" s="127"/>
      <c r="D5248" s="427"/>
      <c r="E5248" s="427"/>
    </row>
    <row r="5249" spans="2:13">
      <c r="B5249" s="127"/>
      <c r="C5249" s="127"/>
      <c r="E5249" s="427"/>
    </row>
    <row r="5250" spans="2:13">
      <c r="B5250" s="127"/>
      <c r="C5250" s="127"/>
      <c r="E5250" s="427"/>
    </row>
    <row r="5251" spans="2:13">
      <c r="B5251" s="127"/>
      <c r="C5251" s="127"/>
      <c r="E5251" s="427"/>
    </row>
    <row r="5252" spans="2:13">
      <c r="B5252" s="127"/>
      <c r="C5252" s="127"/>
      <c r="E5252" s="430"/>
      <c r="F5252" s="432"/>
      <c r="G5252" s="432"/>
      <c r="H5252" s="443"/>
      <c r="I5252" s="432"/>
      <c r="J5252" s="443"/>
      <c r="K5252" s="444"/>
      <c r="M5252" s="431"/>
    </row>
    <row r="5253" spans="2:13">
      <c r="B5253" s="127"/>
      <c r="C5253" s="127"/>
      <c r="D5253" s="427"/>
      <c r="E5253" s="427"/>
      <c r="F5253" s="445"/>
      <c r="G5253" s="445"/>
      <c r="H5253" s="446"/>
      <c r="I5253" s="445"/>
      <c r="J5253" s="446"/>
      <c r="K5253" s="447"/>
      <c r="M5253" s="596"/>
    </row>
    <row r="5254" spans="2:13">
      <c r="B5254" s="127"/>
      <c r="C5254" s="127"/>
      <c r="F5254" s="398"/>
      <c r="G5254" s="398"/>
      <c r="H5254" s="398"/>
      <c r="I5254" s="398"/>
      <c r="J5254" s="398"/>
      <c r="K5254" s="398"/>
    </row>
    <row r="5255" spans="2:13">
      <c r="B5255" s="127"/>
      <c r="C5255" s="127"/>
      <c r="D5255" s="427"/>
      <c r="E5255" s="427"/>
      <c r="F5255" s="445"/>
      <c r="G5255" s="445"/>
      <c r="H5255" s="446"/>
      <c r="I5255" s="445"/>
      <c r="J5255" s="446"/>
      <c r="K5255" s="447"/>
      <c r="M5255" s="596"/>
    </row>
    <row r="5256" spans="2:13">
      <c r="B5256" s="127"/>
      <c r="C5256" s="127"/>
      <c r="F5256" s="398"/>
      <c r="G5256" s="398"/>
      <c r="H5256" s="398"/>
      <c r="I5256" s="398"/>
      <c r="J5256" s="398"/>
      <c r="K5256" s="398"/>
    </row>
    <row r="5257" spans="2:13">
      <c r="B5257" s="127"/>
      <c r="C5257" s="127"/>
      <c r="D5257" s="427"/>
      <c r="E5257" s="427"/>
      <c r="F5257" s="445"/>
      <c r="G5257" s="445"/>
      <c r="H5257" s="446"/>
      <c r="I5257" s="445"/>
      <c r="J5257" s="446"/>
      <c r="K5257" s="447"/>
      <c r="M5257" s="596"/>
    </row>
    <row r="5258" spans="2:13">
      <c r="B5258" s="127"/>
      <c r="C5258" s="127"/>
    </row>
    <row r="5259" spans="2:13">
      <c r="B5259" s="127"/>
      <c r="C5259" s="127"/>
      <c r="E5259" s="427"/>
    </row>
    <row r="5260" spans="2:13">
      <c r="B5260" s="127"/>
      <c r="C5260" s="127"/>
      <c r="E5260" s="427"/>
    </row>
    <row r="5261" spans="2:13">
      <c r="B5261" s="127"/>
      <c r="C5261" s="127"/>
      <c r="E5261" s="427"/>
    </row>
    <row r="5262" spans="2:13">
      <c r="B5262" s="127"/>
      <c r="C5262" s="127"/>
      <c r="E5262" s="430"/>
      <c r="F5262" s="432"/>
      <c r="G5262" s="432"/>
      <c r="H5262" s="443"/>
      <c r="I5262" s="432"/>
      <c r="J5262" s="443"/>
      <c r="K5262" s="444"/>
      <c r="M5262" s="431"/>
    </row>
    <row r="5263" spans="2:13">
      <c r="B5263" s="127"/>
      <c r="C5263" s="127"/>
      <c r="D5263" s="427"/>
      <c r="E5263" s="427"/>
      <c r="F5263" s="445"/>
      <c r="G5263" s="445"/>
      <c r="H5263" s="446"/>
      <c r="I5263" s="445"/>
      <c r="J5263" s="446"/>
      <c r="K5263" s="447"/>
      <c r="M5263" s="596"/>
    </row>
    <row r="5264" spans="2:13">
      <c r="B5264" s="127"/>
      <c r="C5264" s="127"/>
      <c r="F5264" s="398"/>
      <c r="G5264" s="398"/>
      <c r="H5264" s="398"/>
      <c r="I5264" s="398"/>
      <c r="J5264" s="398"/>
      <c r="K5264" s="398"/>
    </row>
    <row r="5265" spans="2:13">
      <c r="B5265" s="127"/>
      <c r="C5265" s="127"/>
      <c r="D5265" s="427"/>
      <c r="E5265" s="427"/>
      <c r="F5265" s="445"/>
      <c r="G5265" s="445"/>
      <c r="H5265" s="446"/>
      <c r="I5265" s="445"/>
      <c r="J5265" s="446"/>
      <c r="K5265" s="447"/>
      <c r="M5265" s="596"/>
    </row>
    <row r="5266" spans="2:13">
      <c r="B5266" s="127"/>
      <c r="C5266" s="127"/>
      <c r="F5266" s="398"/>
      <c r="G5266" s="398"/>
      <c r="H5266" s="398"/>
      <c r="I5266" s="398"/>
      <c r="J5266" s="398"/>
      <c r="K5266" s="398"/>
    </row>
    <row r="5267" spans="2:13">
      <c r="B5267" s="127"/>
      <c r="C5267" s="127"/>
      <c r="D5267" s="427"/>
      <c r="E5267" s="427"/>
      <c r="F5267" s="445"/>
      <c r="G5267" s="445"/>
      <c r="H5267" s="446"/>
      <c r="I5267" s="445"/>
      <c r="J5267" s="446"/>
      <c r="K5267" s="447"/>
      <c r="M5267" s="596"/>
    </row>
    <row r="5268" spans="2:13">
      <c r="B5268" s="127"/>
      <c r="C5268" s="127"/>
      <c r="F5268" s="398"/>
      <c r="G5268" s="398"/>
      <c r="H5268" s="398"/>
      <c r="I5268" s="398"/>
      <c r="J5268" s="398"/>
      <c r="K5268" s="398"/>
    </row>
    <row r="5269" spans="2:13">
      <c r="B5269" s="127"/>
      <c r="C5269" s="127"/>
      <c r="D5269" s="427"/>
      <c r="E5269" s="427"/>
      <c r="F5269" s="445"/>
      <c r="G5269" s="445"/>
      <c r="H5269" s="446"/>
      <c r="I5269" s="445"/>
      <c r="J5269" s="446"/>
      <c r="K5269" s="447"/>
      <c r="M5269" s="596"/>
    </row>
    <row r="5270" spans="2:13">
      <c r="B5270" s="127"/>
      <c r="C5270" s="127"/>
    </row>
    <row r="5271" spans="2:13">
      <c r="B5271" s="127"/>
      <c r="C5271" s="127"/>
      <c r="D5271" s="427"/>
      <c r="E5271" s="427"/>
    </row>
    <row r="5272" spans="2:13">
      <c r="B5272" s="127"/>
      <c r="C5272" s="127"/>
      <c r="E5272" s="427"/>
    </row>
    <row r="5273" spans="2:13">
      <c r="B5273" s="127"/>
      <c r="C5273" s="127"/>
      <c r="E5273" s="427"/>
    </row>
    <row r="5274" spans="2:13">
      <c r="B5274" s="127"/>
      <c r="C5274" s="127"/>
      <c r="E5274" s="427"/>
    </row>
    <row r="5275" spans="2:13">
      <c r="B5275" s="127"/>
      <c r="C5275" s="127"/>
      <c r="E5275" s="430"/>
      <c r="F5275" s="431"/>
      <c r="G5275" s="431"/>
      <c r="H5275" s="436"/>
      <c r="I5275" s="431"/>
      <c r="J5275" s="436"/>
      <c r="K5275" s="437"/>
      <c r="M5275" s="431"/>
    </row>
    <row r="5276" spans="2:13">
      <c r="B5276" s="127"/>
      <c r="C5276" s="127"/>
      <c r="E5276" s="430"/>
      <c r="F5276" s="432"/>
      <c r="G5276" s="432"/>
      <c r="H5276" s="443"/>
      <c r="I5276" s="432"/>
      <c r="J5276" s="443"/>
      <c r="K5276" s="444"/>
      <c r="M5276" s="431"/>
    </row>
    <row r="5277" spans="2:13">
      <c r="B5277" s="127"/>
      <c r="C5277" s="127"/>
      <c r="D5277" s="427"/>
      <c r="E5277" s="427"/>
      <c r="F5277" s="445"/>
      <c r="G5277" s="445"/>
      <c r="H5277" s="446"/>
      <c r="I5277" s="445"/>
      <c r="J5277" s="446"/>
      <c r="K5277" s="447"/>
      <c r="M5277" s="596"/>
    </row>
    <row r="5278" spans="2:13">
      <c r="B5278" s="127"/>
      <c r="C5278" s="127"/>
      <c r="F5278" s="398"/>
      <c r="G5278" s="398"/>
      <c r="H5278" s="398"/>
      <c r="I5278" s="398"/>
      <c r="J5278" s="398"/>
      <c r="K5278" s="398"/>
    </row>
    <row r="5279" spans="2:13">
      <c r="B5279" s="127"/>
      <c r="C5279" s="127"/>
      <c r="D5279" s="427"/>
      <c r="E5279" s="427"/>
      <c r="F5279" s="445"/>
      <c r="G5279" s="445"/>
      <c r="H5279" s="446"/>
      <c r="I5279" s="445"/>
      <c r="J5279" s="446"/>
      <c r="K5279" s="447"/>
      <c r="M5279" s="596"/>
    </row>
    <row r="5280" spans="2:13">
      <c r="B5280" s="127"/>
      <c r="C5280" s="127"/>
      <c r="F5280" s="398"/>
      <c r="G5280" s="398"/>
      <c r="H5280" s="398"/>
      <c r="I5280" s="398"/>
      <c r="J5280" s="398"/>
      <c r="K5280" s="398"/>
    </row>
    <row r="5281" spans="2:13">
      <c r="B5281" s="127"/>
      <c r="C5281" s="127"/>
      <c r="D5281" s="427"/>
      <c r="E5281" s="427"/>
      <c r="F5281" s="445"/>
      <c r="G5281" s="445"/>
      <c r="H5281" s="446"/>
      <c r="I5281" s="445"/>
      <c r="J5281" s="446"/>
      <c r="K5281" s="447"/>
      <c r="M5281" s="596"/>
    </row>
    <row r="5282" spans="2:13">
      <c r="B5282" s="127"/>
      <c r="C5282" s="127"/>
    </row>
    <row r="5283" spans="2:13">
      <c r="B5283" s="127"/>
      <c r="C5283" s="127"/>
      <c r="E5283" s="427"/>
    </row>
    <row r="5284" spans="2:13">
      <c r="B5284" s="127"/>
      <c r="C5284" s="127"/>
      <c r="E5284" s="427"/>
    </row>
    <row r="5285" spans="2:13">
      <c r="B5285" s="127"/>
      <c r="C5285" s="127"/>
      <c r="E5285" s="427"/>
    </row>
    <row r="5286" spans="2:13">
      <c r="B5286" s="127"/>
      <c r="C5286" s="127"/>
      <c r="E5286" s="430"/>
      <c r="F5286" s="432"/>
      <c r="G5286" s="432"/>
      <c r="H5286" s="443"/>
      <c r="I5286" s="432"/>
      <c r="J5286" s="443"/>
      <c r="K5286" s="444"/>
      <c r="M5286" s="431"/>
    </row>
    <row r="5287" spans="2:13">
      <c r="B5287" s="127"/>
      <c r="C5287" s="127"/>
      <c r="D5287" s="427"/>
      <c r="E5287" s="427"/>
      <c r="F5287" s="445"/>
      <c r="G5287" s="445"/>
      <c r="H5287" s="446"/>
      <c r="I5287" s="445"/>
      <c r="J5287" s="446"/>
      <c r="K5287" s="447"/>
      <c r="M5287" s="596"/>
    </row>
    <row r="5288" spans="2:13">
      <c r="B5288" s="127"/>
      <c r="C5288" s="127"/>
      <c r="F5288" s="398"/>
      <c r="G5288" s="398"/>
      <c r="H5288" s="398"/>
      <c r="I5288" s="398"/>
      <c r="J5288" s="398"/>
      <c r="K5288" s="398"/>
    </row>
    <row r="5289" spans="2:13">
      <c r="B5289" s="127"/>
      <c r="C5289" s="127"/>
      <c r="D5289" s="427"/>
      <c r="E5289" s="427"/>
      <c r="F5289" s="445"/>
      <c r="G5289" s="445"/>
      <c r="H5289" s="446"/>
      <c r="I5289" s="445"/>
      <c r="J5289" s="446"/>
      <c r="K5289" s="447"/>
      <c r="M5289" s="596"/>
    </row>
    <row r="5290" spans="2:13">
      <c r="B5290" s="127"/>
      <c r="C5290" s="127"/>
      <c r="F5290" s="398"/>
      <c r="G5290" s="398"/>
      <c r="H5290" s="398"/>
      <c r="I5290" s="398"/>
      <c r="J5290" s="398"/>
      <c r="K5290" s="398"/>
    </row>
    <row r="5291" spans="2:13">
      <c r="B5291" s="127"/>
      <c r="C5291" s="127"/>
      <c r="D5291" s="427"/>
      <c r="E5291" s="427"/>
      <c r="F5291" s="445"/>
      <c r="G5291" s="445"/>
      <c r="H5291" s="446"/>
      <c r="I5291" s="445"/>
      <c r="J5291" s="446"/>
      <c r="K5291" s="447"/>
      <c r="M5291" s="596"/>
    </row>
    <row r="5292" spans="2:13">
      <c r="B5292" s="127"/>
      <c r="C5292" s="127"/>
      <c r="F5292" s="398"/>
      <c r="G5292" s="398"/>
      <c r="H5292" s="398"/>
      <c r="I5292" s="398"/>
      <c r="J5292" s="398"/>
      <c r="K5292" s="398"/>
    </row>
    <row r="5293" spans="2:13">
      <c r="B5293" s="127"/>
      <c r="C5293" s="127"/>
      <c r="D5293" s="427"/>
      <c r="E5293" s="427"/>
      <c r="F5293" s="445"/>
      <c r="G5293" s="445"/>
      <c r="H5293" s="446"/>
      <c r="I5293" s="445"/>
      <c r="J5293" s="446"/>
      <c r="K5293" s="447"/>
      <c r="M5293" s="596"/>
    </row>
    <row r="5294" spans="2:13">
      <c r="B5294" s="127"/>
      <c r="C5294" s="127"/>
    </row>
    <row r="5295" spans="2:13">
      <c r="B5295" s="127"/>
      <c r="C5295" s="127"/>
      <c r="D5295" s="427"/>
      <c r="E5295" s="427"/>
    </row>
    <row r="5296" spans="2:13">
      <c r="B5296" s="127"/>
      <c r="C5296" s="127"/>
      <c r="E5296" s="427"/>
    </row>
    <row r="5297" spans="2:13">
      <c r="B5297" s="127"/>
      <c r="C5297" s="127"/>
      <c r="E5297" s="427"/>
    </row>
    <row r="5298" spans="2:13">
      <c r="B5298" s="127"/>
      <c r="C5298" s="127"/>
      <c r="E5298" s="427"/>
    </row>
    <row r="5299" spans="2:13">
      <c r="B5299" s="127"/>
      <c r="C5299" s="127"/>
      <c r="E5299" s="430"/>
      <c r="F5299" s="432"/>
      <c r="G5299" s="432"/>
      <c r="H5299" s="443"/>
      <c r="I5299" s="432"/>
      <c r="J5299" s="443"/>
      <c r="K5299" s="444"/>
      <c r="M5299" s="431"/>
    </row>
    <row r="5300" spans="2:13">
      <c r="B5300" s="127"/>
      <c r="C5300" s="127"/>
      <c r="D5300" s="427"/>
      <c r="E5300" s="427"/>
      <c r="F5300" s="445"/>
      <c r="G5300" s="445"/>
      <c r="H5300" s="446"/>
      <c r="I5300" s="445"/>
      <c r="J5300" s="446"/>
      <c r="K5300" s="447"/>
      <c r="M5300" s="596"/>
    </row>
    <row r="5301" spans="2:13">
      <c r="B5301" s="127"/>
      <c r="C5301" s="127"/>
      <c r="F5301" s="398"/>
      <c r="G5301" s="398"/>
      <c r="H5301" s="398"/>
      <c r="I5301" s="398"/>
      <c r="J5301" s="398"/>
      <c r="K5301" s="398"/>
    </row>
    <row r="5302" spans="2:13">
      <c r="B5302" s="127"/>
      <c r="C5302" s="127"/>
      <c r="D5302" s="427"/>
      <c r="E5302" s="427"/>
      <c r="F5302" s="445"/>
      <c r="G5302" s="445"/>
      <c r="H5302" s="446"/>
      <c r="I5302" s="445"/>
      <c r="J5302" s="446"/>
      <c r="K5302" s="447"/>
      <c r="M5302" s="596"/>
    </row>
    <row r="5303" spans="2:13">
      <c r="B5303" s="127"/>
      <c r="C5303" s="127"/>
      <c r="F5303" s="398"/>
      <c r="G5303" s="398"/>
      <c r="H5303" s="398"/>
      <c r="I5303" s="398"/>
      <c r="J5303" s="398"/>
      <c r="K5303" s="398"/>
    </row>
    <row r="5304" spans="2:13">
      <c r="B5304" s="127"/>
      <c r="C5304" s="127"/>
      <c r="D5304" s="427"/>
      <c r="E5304" s="427"/>
      <c r="F5304" s="445"/>
      <c r="G5304" s="445"/>
      <c r="H5304" s="446"/>
      <c r="I5304" s="445"/>
      <c r="J5304" s="446"/>
      <c r="K5304" s="447"/>
      <c r="M5304" s="596"/>
    </row>
    <row r="5305" spans="2:13">
      <c r="B5305" s="127"/>
      <c r="C5305" s="127"/>
    </row>
    <row r="5306" spans="2:13">
      <c r="B5306" s="127"/>
      <c r="C5306" s="127"/>
    </row>
    <row r="5307" spans="2:13">
      <c r="B5307" s="127"/>
      <c r="C5307" s="127"/>
      <c r="D5307" s="438"/>
      <c r="E5307" s="438"/>
      <c r="F5307" s="438"/>
      <c r="G5307" s="438"/>
      <c r="H5307" s="438"/>
      <c r="I5307" s="438"/>
      <c r="J5307" s="438"/>
      <c r="K5307" s="438"/>
      <c r="M5307" s="597"/>
    </row>
    <row r="5308" spans="2:13">
      <c r="B5308" s="127"/>
      <c r="C5308" s="127"/>
      <c r="D5308" s="454"/>
      <c r="E5308" s="454"/>
      <c r="F5308" s="399"/>
      <c r="G5308" s="399"/>
      <c r="H5308" s="399"/>
      <c r="I5308" s="399"/>
      <c r="J5308" s="454"/>
      <c r="K5308" s="454"/>
    </row>
    <row r="5309" spans="2:13">
      <c r="B5309" s="127"/>
      <c r="C5309" s="127"/>
      <c r="D5309" s="455"/>
      <c r="E5309" s="455"/>
      <c r="F5309" s="455"/>
      <c r="H5309" s="455"/>
      <c r="I5309" s="455"/>
      <c r="J5309" s="455"/>
      <c r="K5309" s="455"/>
      <c r="M5309" s="455"/>
    </row>
    <row r="5310" spans="2:13">
      <c r="B5310" s="127"/>
      <c r="C5310" s="127"/>
    </row>
    <row r="5311" spans="2:13">
      <c r="B5311" s="127"/>
      <c r="C5311" s="127"/>
      <c r="J5311" s="428"/>
    </row>
    <row r="5312" spans="2:13">
      <c r="B5312" s="127"/>
      <c r="C5312" s="127"/>
      <c r="F5312" s="428"/>
      <c r="G5312" s="428"/>
      <c r="H5312" s="428"/>
      <c r="I5312" s="428"/>
      <c r="J5312" s="428"/>
      <c r="K5312" s="428"/>
      <c r="M5312" s="428"/>
    </row>
    <row r="5313" spans="2:13">
      <c r="B5313" s="127"/>
      <c r="C5313" s="127"/>
      <c r="E5313" s="453"/>
      <c r="F5313" s="428"/>
      <c r="G5313" s="428"/>
      <c r="H5313" s="428"/>
      <c r="I5313" s="428"/>
      <c r="J5313" s="428"/>
      <c r="K5313" s="428"/>
      <c r="M5313" s="428"/>
    </row>
    <row r="5314" spans="2:13">
      <c r="B5314" s="127"/>
      <c r="C5314" s="127"/>
    </row>
    <row r="5315" spans="2:13">
      <c r="B5315" s="127"/>
      <c r="C5315" s="127"/>
      <c r="E5315" s="427"/>
    </row>
    <row r="5316" spans="2:13">
      <c r="B5316" s="127"/>
      <c r="C5316" s="127"/>
      <c r="E5316" s="427"/>
    </row>
    <row r="5317" spans="2:13">
      <c r="B5317" s="127"/>
      <c r="C5317" s="127"/>
      <c r="E5317" s="427"/>
    </row>
    <row r="5318" spans="2:13">
      <c r="B5318" s="127"/>
      <c r="C5318" s="127"/>
      <c r="E5318" s="430"/>
      <c r="F5318" s="432"/>
      <c r="G5318" s="432"/>
      <c r="H5318" s="443"/>
      <c r="I5318" s="432"/>
      <c r="J5318" s="443"/>
      <c r="K5318" s="444"/>
      <c r="M5318" s="431"/>
    </row>
    <row r="5319" spans="2:13">
      <c r="B5319" s="127"/>
      <c r="C5319" s="127"/>
      <c r="D5319" s="427"/>
      <c r="E5319" s="427"/>
      <c r="F5319" s="445"/>
      <c r="G5319" s="445"/>
      <c r="H5319" s="446"/>
      <c r="I5319" s="445"/>
      <c r="J5319" s="446"/>
      <c r="K5319" s="447"/>
      <c r="M5319" s="596"/>
    </row>
    <row r="5320" spans="2:13">
      <c r="B5320" s="127"/>
      <c r="C5320" s="127"/>
      <c r="F5320" s="398"/>
      <c r="G5320" s="398"/>
      <c r="H5320" s="398"/>
      <c r="I5320" s="398"/>
      <c r="J5320" s="398"/>
      <c r="K5320" s="398"/>
    </row>
    <row r="5321" spans="2:13">
      <c r="B5321" s="127"/>
      <c r="C5321" s="127"/>
      <c r="D5321" s="427"/>
      <c r="E5321" s="427"/>
      <c r="F5321" s="445"/>
      <c r="G5321" s="445"/>
      <c r="H5321" s="446"/>
      <c r="I5321" s="445"/>
      <c r="J5321" s="446"/>
      <c r="K5321" s="447"/>
      <c r="M5321" s="596"/>
    </row>
    <row r="5322" spans="2:13">
      <c r="B5322" s="127"/>
      <c r="C5322" s="127"/>
      <c r="F5322" s="398"/>
      <c r="G5322" s="398"/>
      <c r="H5322" s="398"/>
      <c r="I5322" s="398"/>
      <c r="J5322" s="398"/>
      <c r="K5322" s="398"/>
    </row>
    <row r="5323" spans="2:13">
      <c r="B5323" s="127"/>
      <c r="C5323" s="127"/>
      <c r="D5323" s="427"/>
      <c r="E5323" s="427"/>
      <c r="F5323" s="445"/>
      <c r="G5323" s="445"/>
      <c r="H5323" s="446"/>
      <c r="I5323" s="445"/>
      <c r="J5323" s="446"/>
      <c r="K5323" s="447"/>
      <c r="M5323" s="596"/>
    </row>
    <row r="5324" spans="2:13">
      <c r="B5324" s="127"/>
      <c r="C5324" s="127"/>
      <c r="F5324" s="398"/>
      <c r="G5324" s="398"/>
      <c r="H5324" s="398"/>
      <c r="I5324" s="398"/>
      <c r="J5324" s="398"/>
      <c r="K5324" s="398"/>
    </row>
    <row r="5325" spans="2:13">
      <c r="B5325" s="127"/>
      <c r="C5325" s="127"/>
      <c r="D5325" s="427"/>
      <c r="E5325" s="427"/>
      <c r="F5325" s="445"/>
      <c r="G5325" s="445"/>
      <c r="H5325" s="446"/>
      <c r="I5325" s="445"/>
      <c r="J5325" s="446"/>
      <c r="K5325" s="447"/>
      <c r="M5325" s="596"/>
    </row>
    <row r="5326" spans="2:13">
      <c r="B5326" s="127"/>
      <c r="C5326" s="127"/>
    </row>
    <row r="5327" spans="2:13">
      <c r="B5327" s="127"/>
      <c r="C5327" s="127"/>
      <c r="D5327" s="427"/>
      <c r="E5327" s="427"/>
    </row>
    <row r="5328" spans="2:13">
      <c r="B5328" s="127"/>
      <c r="C5328" s="127"/>
      <c r="E5328" s="427"/>
    </row>
    <row r="5329" spans="2:13">
      <c r="B5329" s="127"/>
      <c r="C5329" s="127"/>
      <c r="E5329" s="427"/>
    </row>
    <row r="5330" spans="2:13">
      <c r="B5330" s="127"/>
      <c r="C5330" s="127"/>
      <c r="E5330" s="427"/>
    </row>
    <row r="5331" spans="2:13">
      <c r="B5331" s="127"/>
      <c r="C5331" s="127"/>
      <c r="E5331" s="430"/>
      <c r="F5331" s="431"/>
      <c r="G5331" s="431"/>
      <c r="H5331" s="436"/>
      <c r="I5331" s="431"/>
      <c r="J5331" s="436"/>
      <c r="K5331" s="437"/>
      <c r="M5331" s="431"/>
    </row>
    <row r="5332" spans="2:13">
      <c r="B5332" s="127"/>
      <c r="C5332" s="127"/>
      <c r="E5332" s="430"/>
      <c r="F5332" s="432"/>
      <c r="G5332" s="432"/>
      <c r="H5332" s="443"/>
      <c r="I5332" s="432"/>
      <c r="J5332" s="443"/>
      <c r="K5332" s="444"/>
      <c r="M5332" s="431"/>
    </row>
    <row r="5333" spans="2:13">
      <c r="B5333" s="127"/>
      <c r="C5333" s="127"/>
      <c r="D5333" s="427"/>
      <c r="E5333" s="427"/>
      <c r="F5333" s="445"/>
      <c r="G5333" s="445"/>
      <c r="H5333" s="446"/>
      <c r="I5333" s="445"/>
      <c r="J5333" s="446"/>
      <c r="K5333" s="447"/>
      <c r="M5333" s="596"/>
    </row>
    <row r="5334" spans="2:13">
      <c r="B5334" s="127"/>
      <c r="C5334" s="127"/>
      <c r="F5334" s="398"/>
      <c r="G5334" s="398"/>
      <c r="H5334" s="398"/>
      <c r="I5334" s="398"/>
      <c r="J5334" s="398"/>
      <c r="K5334" s="398"/>
    </row>
    <row r="5335" spans="2:13">
      <c r="B5335" s="127"/>
      <c r="C5335" s="127"/>
      <c r="D5335" s="427"/>
      <c r="E5335" s="427"/>
      <c r="F5335" s="445"/>
      <c r="G5335" s="445"/>
      <c r="H5335" s="446"/>
      <c r="I5335" s="445"/>
      <c r="J5335" s="446"/>
      <c r="K5335" s="447"/>
      <c r="M5335" s="596"/>
    </row>
    <row r="5336" spans="2:13">
      <c r="B5336" s="127"/>
      <c r="C5336" s="127"/>
      <c r="F5336" s="398"/>
      <c r="G5336" s="398"/>
      <c r="H5336" s="398"/>
      <c r="I5336" s="398"/>
      <c r="J5336" s="398"/>
      <c r="K5336" s="398"/>
    </row>
    <row r="5337" spans="2:13">
      <c r="B5337" s="127"/>
      <c r="C5337" s="127"/>
      <c r="D5337" s="427"/>
      <c r="E5337" s="427"/>
      <c r="F5337" s="445"/>
      <c r="G5337" s="445"/>
      <c r="H5337" s="446"/>
      <c r="I5337" s="445"/>
      <c r="J5337" s="446"/>
      <c r="K5337" s="447"/>
      <c r="M5337" s="596"/>
    </row>
    <row r="5338" spans="2:13">
      <c r="B5338" s="127"/>
      <c r="C5338" s="127"/>
    </row>
    <row r="5339" spans="2:13">
      <c r="B5339" s="127"/>
      <c r="C5339" s="127"/>
      <c r="E5339" s="427"/>
    </row>
    <row r="5340" spans="2:13">
      <c r="B5340" s="127"/>
      <c r="C5340" s="127"/>
      <c r="E5340" s="427"/>
    </row>
    <row r="5341" spans="2:13">
      <c r="B5341" s="127"/>
      <c r="C5341" s="127"/>
      <c r="E5341" s="427"/>
    </row>
    <row r="5342" spans="2:13">
      <c r="B5342" s="127"/>
      <c r="C5342" s="127"/>
      <c r="E5342" s="430"/>
      <c r="F5342" s="432"/>
      <c r="G5342" s="432"/>
      <c r="H5342" s="443"/>
      <c r="I5342" s="432"/>
      <c r="J5342" s="443"/>
      <c r="K5342" s="444"/>
      <c r="M5342" s="431"/>
    </row>
    <row r="5343" spans="2:13">
      <c r="B5343" s="127"/>
      <c r="C5343" s="127"/>
      <c r="D5343" s="427"/>
      <c r="E5343" s="427"/>
      <c r="F5343" s="445"/>
      <c r="G5343" s="445"/>
      <c r="H5343" s="446"/>
      <c r="I5343" s="445"/>
      <c r="J5343" s="446"/>
      <c r="K5343" s="447"/>
      <c r="M5343" s="596"/>
    </row>
    <row r="5344" spans="2:13">
      <c r="B5344" s="127"/>
      <c r="C5344" s="127"/>
      <c r="F5344" s="398"/>
      <c r="G5344" s="398"/>
      <c r="H5344" s="398"/>
      <c r="I5344" s="398"/>
      <c r="J5344" s="398"/>
      <c r="K5344" s="398"/>
    </row>
    <row r="5345" spans="2:13">
      <c r="B5345" s="127"/>
      <c r="C5345" s="127"/>
      <c r="D5345" s="427"/>
      <c r="E5345" s="427"/>
      <c r="F5345" s="445"/>
      <c r="G5345" s="445"/>
      <c r="H5345" s="446"/>
      <c r="I5345" s="445"/>
      <c r="J5345" s="446"/>
      <c r="K5345" s="447"/>
      <c r="M5345" s="596"/>
    </row>
    <row r="5346" spans="2:13">
      <c r="B5346" s="127"/>
      <c r="C5346" s="127"/>
    </row>
    <row r="5347" spans="2:13">
      <c r="B5347" s="127"/>
      <c r="C5347" s="127"/>
      <c r="E5347" s="427"/>
    </row>
    <row r="5348" spans="2:13">
      <c r="B5348" s="127"/>
      <c r="C5348" s="127"/>
      <c r="E5348" s="427"/>
    </row>
    <row r="5349" spans="2:13">
      <c r="B5349" s="127"/>
      <c r="C5349" s="127"/>
      <c r="E5349" s="430"/>
      <c r="F5349" s="431"/>
      <c r="G5349" s="431"/>
      <c r="H5349" s="436"/>
      <c r="I5349" s="431"/>
      <c r="J5349" s="436"/>
      <c r="K5349" s="437"/>
      <c r="M5349" s="431"/>
    </row>
    <row r="5350" spans="2:13">
      <c r="B5350" s="127"/>
      <c r="C5350" s="127"/>
      <c r="E5350" s="430"/>
      <c r="F5350" s="432"/>
      <c r="G5350" s="432"/>
      <c r="H5350" s="443"/>
      <c r="I5350" s="432"/>
      <c r="J5350" s="443"/>
      <c r="K5350" s="444"/>
      <c r="M5350" s="431"/>
    </row>
    <row r="5351" spans="2:13">
      <c r="B5351" s="127"/>
      <c r="C5351" s="127"/>
      <c r="D5351" s="427"/>
      <c r="E5351" s="427"/>
      <c r="F5351" s="445"/>
      <c r="G5351" s="445"/>
      <c r="H5351" s="446"/>
      <c r="I5351" s="445"/>
      <c r="J5351" s="446"/>
      <c r="K5351" s="447"/>
      <c r="M5351" s="596"/>
    </row>
    <row r="5352" spans="2:13">
      <c r="B5352" s="127"/>
      <c r="C5352" s="127"/>
      <c r="F5352" s="398"/>
      <c r="G5352" s="398"/>
      <c r="H5352" s="398"/>
      <c r="I5352" s="398"/>
      <c r="J5352" s="398"/>
      <c r="K5352" s="398"/>
    </row>
    <row r="5353" spans="2:13">
      <c r="B5353" s="127"/>
      <c r="C5353" s="127"/>
      <c r="D5353" s="427"/>
      <c r="E5353" s="427"/>
      <c r="F5353" s="445"/>
      <c r="G5353" s="445"/>
      <c r="H5353" s="446"/>
      <c r="I5353" s="445"/>
      <c r="J5353" s="446"/>
      <c r="K5353" s="447"/>
      <c r="M5353" s="596"/>
    </row>
    <row r="5354" spans="2:13">
      <c r="B5354" s="127"/>
      <c r="C5354" s="127"/>
      <c r="F5354" s="398"/>
      <c r="G5354" s="398"/>
      <c r="H5354" s="398"/>
      <c r="I5354" s="398"/>
      <c r="J5354" s="398"/>
      <c r="K5354" s="398"/>
    </row>
    <row r="5355" spans="2:13">
      <c r="B5355" s="127"/>
      <c r="C5355" s="127"/>
      <c r="D5355" s="427"/>
      <c r="E5355" s="427"/>
      <c r="F5355" s="445"/>
      <c r="G5355" s="445"/>
      <c r="H5355" s="446"/>
      <c r="I5355" s="445"/>
      <c r="J5355" s="446"/>
      <c r="K5355" s="447"/>
      <c r="M5355" s="596"/>
    </row>
    <row r="5356" spans="2:13">
      <c r="B5356" s="127"/>
      <c r="C5356" s="127"/>
      <c r="F5356" s="398"/>
      <c r="G5356" s="398"/>
      <c r="H5356" s="398"/>
      <c r="I5356" s="398"/>
      <c r="J5356" s="398"/>
      <c r="K5356" s="398"/>
    </row>
    <row r="5357" spans="2:13">
      <c r="B5357" s="127"/>
      <c r="C5357" s="127"/>
      <c r="D5357" s="427"/>
      <c r="E5357" s="427"/>
      <c r="F5357" s="445"/>
      <c r="G5357" s="445"/>
      <c r="H5357" s="446"/>
      <c r="I5357" s="445"/>
      <c r="J5357" s="446"/>
      <c r="K5357" s="447"/>
      <c r="M5357" s="596"/>
    </row>
    <row r="5358" spans="2:13">
      <c r="B5358" s="127"/>
      <c r="C5358" s="127"/>
    </row>
    <row r="5359" spans="2:13">
      <c r="B5359" s="127"/>
      <c r="C5359" s="127"/>
      <c r="D5359" s="427"/>
      <c r="E5359" s="427"/>
    </row>
    <row r="5360" spans="2:13">
      <c r="B5360" s="127"/>
      <c r="C5360" s="127"/>
      <c r="E5360" s="427"/>
    </row>
    <row r="5361" spans="2:13">
      <c r="B5361" s="127"/>
      <c r="C5361" s="127"/>
      <c r="E5361" s="427"/>
    </row>
    <row r="5362" spans="2:13">
      <c r="B5362" s="127"/>
      <c r="C5362" s="127"/>
      <c r="E5362" s="427"/>
    </row>
    <row r="5363" spans="2:13">
      <c r="B5363" s="127"/>
      <c r="C5363" s="127"/>
      <c r="E5363" s="430"/>
      <c r="F5363" s="431"/>
      <c r="G5363" s="431"/>
      <c r="H5363" s="436"/>
      <c r="I5363" s="431"/>
      <c r="J5363" s="436"/>
      <c r="K5363" s="437"/>
      <c r="M5363" s="431"/>
    </row>
    <row r="5364" spans="2:13">
      <c r="B5364" s="127"/>
      <c r="C5364" s="127"/>
      <c r="E5364" s="430"/>
      <c r="F5364" s="432"/>
      <c r="G5364" s="432"/>
      <c r="H5364" s="443"/>
      <c r="I5364" s="432"/>
      <c r="J5364" s="443"/>
      <c r="K5364" s="444"/>
      <c r="M5364" s="431"/>
    </row>
    <row r="5365" spans="2:13">
      <c r="B5365" s="127"/>
      <c r="C5365" s="127"/>
      <c r="D5365" s="427"/>
      <c r="E5365" s="427"/>
      <c r="F5365" s="445"/>
      <c r="G5365" s="445"/>
      <c r="H5365" s="446"/>
      <c r="I5365" s="445"/>
      <c r="J5365" s="446"/>
      <c r="K5365" s="447"/>
      <c r="M5365" s="596"/>
    </row>
    <row r="5366" spans="2:13">
      <c r="B5366" s="127"/>
      <c r="C5366" s="127"/>
      <c r="F5366" s="398"/>
      <c r="G5366" s="398"/>
      <c r="H5366" s="398"/>
      <c r="I5366" s="398"/>
      <c r="J5366" s="398"/>
      <c r="K5366" s="398"/>
    </row>
    <row r="5367" spans="2:13">
      <c r="B5367" s="127"/>
      <c r="C5367" s="127"/>
      <c r="D5367" s="427"/>
      <c r="E5367" s="427"/>
      <c r="F5367" s="445"/>
      <c r="G5367" s="445"/>
      <c r="H5367" s="446"/>
      <c r="I5367" s="445"/>
      <c r="J5367" s="446"/>
      <c r="K5367" s="447"/>
      <c r="M5367" s="596"/>
    </row>
    <row r="5368" spans="2:13">
      <c r="B5368" s="127"/>
      <c r="C5368" s="127"/>
      <c r="F5368" s="398"/>
      <c r="G5368" s="398"/>
      <c r="H5368" s="398"/>
      <c r="I5368" s="398"/>
      <c r="J5368" s="398"/>
      <c r="K5368" s="398"/>
    </row>
    <row r="5369" spans="2:13">
      <c r="B5369" s="127"/>
      <c r="C5369" s="127"/>
      <c r="D5369" s="427"/>
      <c r="E5369" s="427"/>
      <c r="F5369" s="445"/>
      <c r="G5369" s="445"/>
      <c r="H5369" s="446"/>
      <c r="I5369" s="445"/>
      <c r="J5369" s="446"/>
      <c r="K5369" s="447"/>
      <c r="M5369" s="596"/>
    </row>
    <row r="5370" spans="2:13">
      <c r="B5370" s="127"/>
      <c r="C5370" s="127"/>
    </row>
    <row r="5371" spans="2:13">
      <c r="B5371" s="127"/>
      <c r="C5371" s="127"/>
      <c r="E5371" s="427"/>
    </row>
    <row r="5372" spans="2:13">
      <c r="B5372" s="127"/>
      <c r="C5372" s="127"/>
      <c r="E5372" s="427"/>
    </row>
    <row r="5373" spans="2:13">
      <c r="B5373" s="127"/>
      <c r="C5373" s="127"/>
      <c r="E5373" s="427"/>
    </row>
    <row r="5374" spans="2:13">
      <c r="B5374" s="127"/>
      <c r="C5374" s="127"/>
      <c r="E5374" s="430"/>
      <c r="F5374" s="431"/>
      <c r="G5374" s="431"/>
      <c r="H5374" s="436"/>
      <c r="I5374" s="431"/>
      <c r="J5374" s="436"/>
      <c r="K5374" s="437"/>
      <c r="M5374" s="431"/>
    </row>
    <row r="5375" spans="2:13">
      <c r="B5375" s="127"/>
      <c r="C5375" s="127"/>
      <c r="E5375" s="430"/>
      <c r="F5375" s="431"/>
      <c r="G5375" s="431"/>
      <c r="H5375" s="436"/>
      <c r="I5375" s="431"/>
      <c r="J5375" s="436"/>
      <c r="K5375" s="437"/>
      <c r="M5375" s="431"/>
    </row>
    <row r="5376" spans="2:13">
      <c r="B5376" s="127"/>
      <c r="C5376" s="127"/>
      <c r="E5376" s="430"/>
      <c r="F5376" s="432"/>
      <c r="G5376" s="432"/>
      <c r="H5376" s="443"/>
      <c r="I5376" s="432"/>
      <c r="J5376" s="443"/>
      <c r="K5376" s="444"/>
      <c r="M5376" s="431"/>
    </row>
    <row r="5377" spans="2:13">
      <c r="B5377" s="127"/>
      <c r="C5377" s="127"/>
      <c r="D5377" s="427"/>
      <c r="E5377" s="427"/>
      <c r="F5377" s="445"/>
      <c r="G5377" s="445"/>
      <c r="H5377" s="446"/>
      <c r="I5377" s="445"/>
      <c r="J5377" s="446"/>
      <c r="K5377" s="447"/>
      <c r="M5377" s="596"/>
    </row>
    <row r="5378" spans="2:13">
      <c r="B5378" s="127"/>
      <c r="C5378" s="127"/>
      <c r="F5378" s="398"/>
      <c r="G5378" s="398"/>
      <c r="H5378" s="398"/>
      <c r="I5378" s="398"/>
      <c r="J5378" s="398"/>
      <c r="K5378" s="398"/>
    </row>
    <row r="5379" spans="2:13">
      <c r="B5379" s="127"/>
      <c r="C5379" s="127"/>
      <c r="D5379" s="427"/>
      <c r="E5379" s="427"/>
      <c r="F5379" s="445"/>
      <c r="G5379" s="445"/>
      <c r="H5379" s="446"/>
      <c r="I5379" s="445"/>
      <c r="J5379" s="446"/>
      <c r="K5379" s="447"/>
      <c r="M5379" s="596"/>
    </row>
    <row r="5380" spans="2:13">
      <c r="B5380" s="127"/>
      <c r="C5380" s="127"/>
      <c r="F5380" s="398"/>
      <c r="G5380" s="398"/>
      <c r="H5380" s="398"/>
      <c r="I5380" s="398"/>
      <c r="J5380" s="398"/>
      <c r="K5380" s="398"/>
    </row>
    <row r="5381" spans="2:13">
      <c r="B5381" s="127"/>
      <c r="C5381" s="127"/>
      <c r="D5381" s="427"/>
      <c r="E5381" s="427"/>
      <c r="F5381" s="445"/>
      <c r="G5381" s="445"/>
      <c r="H5381" s="446"/>
      <c r="I5381" s="445"/>
      <c r="J5381" s="446"/>
      <c r="K5381" s="447"/>
      <c r="M5381" s="596"/>
    </row>
    <row r="5382" spans="2:13">
      <c r="B5382" s="127"/>
      <c r="C5382" s="127"/>
      <c r="F5382" s="398"/>
      <c r="G5382" s="398"/>
      <c r="H5382" s="398"/>
      <c r="I5382" s="398"/>
      <c r="J5382" s="398"/>
      <c r="K5382" s="398"/>
    </row>
    <row r="5383" spans="2:13">
      <c r="B5383" s="127"/>
      <c r="C5383" s="127"/>
      <c r="D5383" s="427"/>
      <c r="E5383" s="427"/>
      <c r="F5383" s="445"/>
      <c r="G5383" s="445"/>
      <c r="H5383" s="446"/>
      <c r="I5383" s="445"/>
      <c r="J5383" s="446"/>
      <c r="K5383" s="447"/>
      <c r="M5383" s="596"/>
    </row>
    <row r="5384" spans="2:13">
      <c r="B5384" s="127"/>
      <c r="C5384" s="127"/>
    </row>
    <row r="5385" spans="2:13">
      <c r="B5385" s="127"/>
      <c r="C5385" s="127"/>
    </row>
    <row r="5386" spans="2:13">
      <c r="B5386" s="127"/>
      <c r="C5386" s="127"/>
      <c r="D5386" s="438"/>
      <c r="E5386" s="438"/>
      <c r="F5386" s="438"/>
      <c r="G5386" s="438"/>
      <c r="H5386" s="438"/>
      <c r="I5386" s="438"/>
      <c r="J5386" s="438"/>
      <c r="K5386" s="438"/>
      <c r="M5386" s="597"/>
    </row>
    <row r="5387" spans="2:13">
      <c r="B5387" s="127"/>
      <c r="C5387" s="127"/>
      <c r="D5387" s="454"/>
      <c r="E5387" s="454"/>
      <c r="F5387" s="399"/>
      <c r="G5387" s="399"/>
      <c r="H5387" s="399"/>
      <c r="I5387" s="399"/>
      <c r="J5387" s="454"/>
      <c r="K5387" s="454"/>
    </row>
    <row r="5388" spans="2:13">
      <c r="B5388" s="127"/>
      <c r="C5388" s="127"/>
      <c r="D5388" s="455"/>
      <c r="E5388" s="455"/>
      <c r="F5388" s="455"/>
      <c r="H5388" s="455"/>
      <c r="I5388" s="455"/>
      <c r="J5388" s="455"/>
      <c r="K5388" s="455"/>
      <c r="M5388" s="455"/>
    </row>
    <row r="5389" spans="2:13">
      <c r="B5389" s="127"/>
      <c r="C5389" s="127"/>
    </row>
    <row r="5390" spans="2:13">
      <c r="B5390" s="127"/>
      <c r="C5390" s="127"/>
      <c r="J5390" s="428"/>
    </row>
    <row r="5391" spans="2:13">
      <c r="B5391" s="127"/>
      <c r="C5391" s="127"/>
      <c r="F5391" s="428"/>
      <c r="G5391" s="428"/>
      <c r="H5391" s="428"/>
      <c r="I5391" s="428"/>
      <c r="J5391" s="428"/>
      <c r="K5391" s="428"/>
      <c r="M5391" s="428"/>
    </row>
    <row r="5392" spans="2:13">
      <c r="B5392" s="127"/>
      <c r="C5392" s="127"/>
      <c r="E5392" s="453"/>
      <c r="F5392" s="428"/>
      <c r="G5392" s="428"/>
      <c r="H5392" s="428"/>
      <c r="I5392" s="428"/>
      <c r="J5392" s="428"/>
      <c r="K5392" s="428"/>
      <c r="M5392" s="428"/>
    </row>
    <row r="5393" spans="2:13">
      <c r="B5393" s="127"/>
      <c r="C5393" s="127"/>
    </row>
    <row r="5394" spans="2:13">
      <c r="B5394" s="127"/>
      <c r="C5394" s="127"/>
      <c r="D5394" s="427"/>
      <c r="E5394" s="427"/>
    </row>
    <row r="5395" spans="2:13">
      <c r="B5395" s="127"/>
      <c r="C5395" s="127"/>
      <c r="E5395" s="427"/>
    </row>
    <row r="5396" spans="2:13">
      <c r="B5396" s="127"/>
      <c r="C5396" s="127"/>
      <c r="E5396" s="427"/>
    </row>
    <row r="5397" spans="2:13">
      <c r="B5397" s="127"/>
      <c r="C5397" s="127"/>
      <c r="E5397" s="427"/>
    </row>
    <row r="5398" spans="2:13">
      <c r="B5398" s="127"/>
      <c r="C5398" s="127"/>
      <c r="E5398" s="430"/>
      <c r="F5398" s="432"/>
      <c r="G5398" s="432"/>
      <c r="H5398" s="443"/>
      <c r="I5398" s="432"/>
      <c r="J5398" s="443"/>
      <c r="K5398" s="444"/>
      <c r="M5398" s="431"/>
    </row>
    <row r="5399" spans="2:13">
      <c r="B5399" s="127"/>
      <c r="C5399" s="127"/>
      <c r="D5399" s="427"/>
      <c r="E5399" s="427"/>
      <c r="F5399" s="445"/>
      <c r="G5399" s="445"/>
      <c r="H5399" s="446"/>
      <c r="I5399" s="445"/>
      <c r="J5399" s="446"/>
      <c r="K5399" s="447"/>
      <c r="M5399" s="596"/>
    </row>
    <row r="5400" spans="2:13">
      <c r="B5400" s="127"/>
      <c r="C5400" s="127"/>
      <c r="F5400" s="398"/>
      <c r="G5400" s="398"/>
      <c r="H5400" s="398"/>
      <c r="I5400" s="398"/>
      <c r="J5400" s="398"/>
      <c r="K5400" s="398"/>
    </row>
    <row r="5401" spans="2:13">
      <c r="B5401" s="127"/>
      <c r="C5401" s="127"/>
      <c r="D5401" s="427"/>
      <c r="E5401" s="427"/>
      <c r="F5401" s="445"/>
      <c r="G5401" s="445"/>
      <c r="H5401" s="446"/>
      <c r="I5401" s="445"/>
      <c r="J5401" s="446"/>
      <c r="K5401" s="447"/>
      <c r="M5401" s="596"/>
    </row>
    <row r="5402" spans="2:13">
      <c r="B5402" s="127"/>
      <c r="C5402" s="127"/>
      <c r="F5402" s="398"/>
      <c r="G5402" s="398"/>
      <c r="H5402" s="398"/>
      <c r="I5402" s="398"/>
      <c r="J5402" s="398"/>
      <c r="K5402" s="398"/>
    </row>
    <row r="5403" spans="2:13">
      <c r="B5403" s="127"/>
      <c r="C5403" s="127"/>
      <c r="D5403" s="427"/>
      <c r="E5403" s="427"/>
      <c r="F5403" s="445"/>
      <c r="G5403" s="445"/>
      <c r="H5403" s="446"/>
      <c r="I5403" s="445"/>
      <c r="J5403" s="446"/>
      <c r="K5403" s="447"/>
      <c r="M5403" s="596"/>
    </row>
    <row r="5404" spans="2:13">
      <c r="B5404" s="127"/>
      <c r="C5404" s="127"/>
    </row>
    <row r="5405" spans="2:13">
      <c r="B5405" s="127"/>
      <c r="C5405" s="127"/>
      <c r="E5405" s="427"/>
    </row>
    <row r="5406" spans="2:13">
      <c r="B5406" s="127"/>
      <c r="C5406" s="127"/>
      <c r="E5406" s="427"/>
    </row>
    <row r="5407" spans="2:13">
      <c r="B5407" s="127"/>
      <c r="C5407" s="127"/>
      <c r="E5407" s="427"/>
    </row>
    <row r="5408" spans="2:13">
      <c r="B5408" s="127"/>
      <c r="C5408" s="127"/>
      <c r="E5408" s="430"/>
      <c r="F5408" s="432"/>
      <c r="G5408" s="432"/>
      <c r="H5408" s="443"/>
      <c r="I5408" s="432"/>
      <c r="J5408" s="443"/>
      <c r="K5408" s="444"/>
      <c r="M5408" s="431"/>
    </row>
    <row r="5409" spans="2:13">
      <c r="B5409" s="127"/>
      <c r="C5409" s="127"/>
      <c r="D5409" s="427"/>
      <c r="E5409" s="427"/>
      <c r="F5409" s="445"/>
      <c r="G5409" s="445"/>
      <c r="H5409" s="446"/>
      <c r="I5409" s="445"/>
      <c r="J5409" s="446"/>
      <c r="K5409" s="447"/>
      <c r="M5409" s="596"/>
    </row>
    <row r="5410" spans="2:13">
      <c r="B5410" s="127"/>
      <c r="C5410" s="127"/>
      <c r="F5410" s="398"/>
      <c r="G5410" s="398"/>
      <c r="H5410" s="398"/>
      <c r="I5410" s="398"/>
      <c r="J5410" s="398"/>
      <c r="K5410" s="398"/>
    </row>
    <row r="5411" spans="2:13">
      <c r="B5411" s="127"/>
      <c r="C5411" s="127"/>
      <c r="D5411" s="427"/>
      <c r="E5411" s="427"/>
      <c r="F5411" s="445"/>
      <c r="G5411" s="445"/>
      <c r="H5411" s="446"/>
      <c r="I5411" s="445"/>
      <c r="J5411" s="446"/>
      <c r="K5411" s="447"/>
      <c r="M5411" s="596"/>
    </row>
    <row r="5412" spans="2:13">
      <c r="B5412" s="127"/>
      <c r="C5412" s="127"/>
      <c r="F5412" s="398"/>
      <c r="G5412" s="398"/>
      <c r="H5412" s="398"/>
      <c r="I5412" s="398"/>
      <c r="J5412" s="398"/>
      <c r="K5412" s="398"/>
    </row>
    <row r="5413" spans="2:13">
      <c r="B5413" s="127"/>
      <c r="C5413" s="127"/>
      <c r="D5413" s="427"/>
      <c r="E5413" s="427"/>
      <c r="F5413" s="445"/>
      <c r="G5413" s="445"/>
      <c r="H5413" s="446"/>
      <c r="I5413" s="445"/>
      <c r="J5413" s="446"/>
      <c r="K5413" s="447"/>
      <c r="M5413" s="596"/>
    </row>
    <row r="5414" spans="2:13">
      <c r="B5414" s="127"/>
      <c r="C5414" s="127"/>
      <c r="F5414" s="398"/>
      <c r="G5414" s="398"/>
      <c r="H5414" s="398"/>
      <c r="I5414" s="398"/>
      <c r="J5414" s="398"/>
      <c r="K5414" s="398"/>
    </row>
    <row r="5415" spans="2:13">
      <c r="B5415" s="127"/>
      <c r="C5415" s="127"/>
      <c r="D5415" s="427"/>
      <c r="E5415" s="427"/>
      <c r="F5415" s="445"/>
      <c r="G5415" s="445"/>
      <c r="H5415" s="446"/>
      <c r="I5415" s="445"/>
      <c r="J5415" s="446"/>
      <c r="K5415" s="447"/>
      <c r="M5415" s="596"/>
    </row>
    <row r="5416" spans="2:13">
      <c r="B5416" s="127"/>
      <c r="C5416" s="127"/>
    </row>
    <row r="5417" spans="2:13">
      <c r="B5417" s="127"/>
      <c r="C5417" s="127"/>
      <c r="D5417" s="427"/>
      <c r="E5417" s="427"/>
    </row>
    <row r="5418" spans="2:13">
      <c r="B5418" s="127"/>
      <c r="C5418" s="127"/>
      <c r="E5418" s="427"/>
    </row>
    <row r="5419" spans="2:13">
      <c r="B5419" s="127"/>
      <c r="C5419" s="127"/>
      <c r="E5419" s="427"/>
    </row>
    <row r="5420" spans="2:13">
      <c r="B5420" s="127"/>
      <c r="C5420" s="127"/>
      <c r="E5420" s="427"/>
    </row>
    <row r="5421" spans="2:13">
      <c r="B5421" s="127"/>
      <c r="C5421" s="127"/>
      <c r="E5421" s="430"/>
      <c r="F5421" s="432"/>
      <c r="G5421" s="432"/>
      <c r="H5421" s="443"/>
      <c r="I5421" s="432"/>
      <c r="J5421" s="443"/>
      <c r="K5421" s="444"/>
      <c r="M5421" s="431"/>
    </row>
    <row r="5422" spans="2:13">
      <c r="B5422" s="127"/>
      <c r="C5422" s="127"/>
      <c r="D5422" s="427"/>
      <c r="E5422" s="427"/>
      <c r="F5422" s="445"/>
      <c r="G5422" s="445"/>
      <c r="H5422" s="446"/>
      <c r="I5422" s="445"/>
      <c r="J5422" s="446"/>
      <c r="K5422" s="447"/>
      <c r="M5422" s="596"/>
    </row>
    <row r="5423" spans="2:13">
      <c r="B5423" s="127"/>
      <c r="C5423" s="127"/>
      <c r="F5423" s="398"/>
      <c r="G5423" s="398"/>
      <c r="H5423" s="398"/>
      <c r="I5423" s="398"/>
      <c r="J5423" s="398"/>
      <c r="K5423" s="398"/>
    </row>
    <row r="5424" spans="2:13">
      <c r="B5424" s="127"/>
      <c r="C5424" s="127"/>
      <c r="D5424" s="427"/>
      <c r="E5424" s="427"/>
      <c r="F5424" s="445"/>
      <c r="G5424" s="445"/>
      <c r="H5424" s="446"/>
      <c r="I5424" s="445"/>
      <c r="J5424" s="446"/>
      <c r="K5424" s="447"/>
      <c r="M5424" s="596"/>
    </row>
    <row r="5425" spans="2:13">
      <c r="B5425" s="127"/>
      <c r="C5425" s="127"/>
      <c r="F5425" s="398"/>
      <c r="G5425" s="398"/>
      <c r="H5425" s="398"/>
      <c r="I5425" s="398"/>
      <c r="J5425" s="398"/>
      <c r="K5425" s="398"/>
    </row>
    <row r="5426" spans="2:13">
      <c r="B5426" s="127"/>
      <c r="C5426" s="127"/>
      <c r="D5426" s="427"/>
      <c r="E5426" s="427"/>
      <c r="F5426" s="445"/>
      <c r="G5426" s="445"/>
      <c r="H5426" s="446"/>
      <c r="I5426" s="445"/>
      <c r="J5426" s="446"/>
      <c r="K5426" s="447"/>
      <c r="M5426" s="596"/>
    </row>
    <row r="5427" spans="2:13">
      <c r="B5427" s="127"/>
      <c r="C5427" s="127"/>
      <c r="F5427" s="398"/>
      <c r="G5427" s="398"/>
      <c r="H5427" s="398"/>
      <c r="I5427" s="398"/>
      <c r="J5427" s="398"/>
      <c r="K5427" s="398"/>
    </row>
    <row r="5428" spans="2:13">
      <c r="B5428" s="127"/>
      <c r="C5428" s="127"/>
      <c r="D5428" s="427"/>
      <c r="E5428" s="427"/>
      <c r="F5428" s="445"/>
      <c r="G5428" s="445"/>
      <c r="H5428" s="446"/>
      <c r="I5428" s="445"/>
      <c r="J5428" s="446"/>
      <c r="K5428" s="447"/>
      <c r="M5428" s="596"/>
    </row>
    <row r="5429" spans="2:13">
      <c r="B5429" s="127"/>
      <c r="C5429" s="127"/>
    </row>
    <row r="5430" spans="2:13">
      <c r="B5430" s="127"/>
      <c r="C5430" s="127"/>
      <c r="D5430" s="427"/>
      <c r="E5430" s="427"/>
    </row>
    <row r="5431" spans="2:13">
      <c r="B5431" s="127"/>
      <c r="C5431" s="127"/>
      <c r="E5431" s="427"/>
    </row>
    <row r="5432" spans="2:13">
      <c r="B5432" s="127"/>
      <c r="C5432" s="127"/>
      <c r="E5432" s="427"/>
    </row>
    <row r="5433" spans="2:13">
      <c r="B5433" s="127"/>
      <c r="C5433" s="127"/>
      <c r="E5433" s="427"/>
    </row>
    <row r="5434" spans="2:13">
      <c r="B5434" s="127"/>
      <c r="C5434" s="127"/>
      <c r="E5434" s="430"/>
      <c r="F5434" s="431"/>
      <c r="G5434" s="431"/>
      <c r="H5434" s="436"/>
      <c r="I5434" s="431"/>
      <c r="J5434" s="436"/>
      <c r="K5434" s="437"/>
      <c r="M5434" s="431"/>
    </row>
    <row r="5435" spans="2:13">
      <c r="B5435" s="127"/>
      <c r="C5435" s="127"/>
      <c r="E5435" s="430"/>
      <c r="F5435" s="432"/>
      <c r="G5435" s="432"/>
      <c r="H5435" s="443"/>
      <c r="I5435" s="432"/>
      <c r="J5435" s="443"/>
      <c r="K5435" s="444"/>
      <c r="M5435" s="431"/>
    </row>
    <row r="5436" spans="2:13">
      <c r="B5436" s="127"/>
      <c r="C5436" s="127"/>
      <c r="D5436" s="427"/>
      <c r="E5436" s="427"/>
      <c r="F5436" s="445"/>
      <c r="G5436" s="445"/>
      <c r="H5436" s="446"/>
      <c r="I5436" s="445"/>
      <c r="J5436" s="446"/>
      <c r="K5436" s="447"/>
      <c r="M5436" s="596"/>
    </row>
    <row r="5437" spans="2:13">
      <c r="B5437" s="127"/>
      <c r="C5437" s="127"/>
      <c r="F5437" s="398"/>
      <c r="G5437" s="398"/>
      <c r="H5437" s="398"/>
      <c r="I5437" s="398"/>
      <c r="J5437" s="398"/>
      <c r="K5437" s="398"/>
    </row>
    <row r="5438" spans="2:13">
      <c r="B5438" s="127"/>
      <c r="C5438" s="127"/>
      <c r="D5438" s="427"/>
      <c r="E5438" s="427"/>
      <c r="F5438" s="445"/>
      <c r="G5438" s="445"/>
      <c r="H5438" s="446"/>
      <c r="I5438" s="445"/>
      <c r="J5438" s="446"/>
      <c r="K5438" s="447"/>
      <c r="M5438" s="596"/>
    </row>
    <row r="5439" spans="2:13">
      <c r="B5439" s="127"/>
      <c r="C5439" s="127"/>
      <c r="F5439" s="398"/>
      <c r="G5439" s="398"/>
      <c r="H5439" s="398"/>
      <c r="I5439" s="398"/>
      <c r="J5439" s="398"/>
      <c r="K5439" s="398"/>
    </row>
    <row r="5440" spans="2:13">
      <c r="B5440" s="127"/>
      <c r="C5440" s="127"/>
      <c r="D5440" s="427"/>
      <c r="E5440" s="427"/>
      <c r="F5440" s="445"/>
      <c r="G5440" s="445"/>
      <c r="H5440" s="446"/>
      <c r="I5440" s="445"/>
      <c r="J5440" s="446"/>
      <c r="K5440" s="447"/>
      <c r="M5440" s="596"/>
    </row>
    <row r="5441" spans="2:13">
      <c r="B5441" s="127"/>
      <c r="C5441" s="127"/>
    </row>
    <row r="5442" spans="2:13">
      <c r="B5442" s="127"/>
      <c r="C5442" s="127"/>
      <c r="E5442" s="427"/>
    </row>
    <row r="5443" spans="2:13">
      <c r="B5443" s="127"/>
      <c r="C5443" s="127"/>
      <c r="E5443" s="427"/>
    </row>
    <row r="5444" spans="2:13">
      <c r="B5444" s="127"/>
      <c r="C5444" s="127"/>
      <c r="E5444" s="427"/>
    </row>
    <row r="5445" spans="2:13">
      <c r="B5445" s="127"/>
      <c r="C5445" s="127"/>
      <c r="E5445" s="430"/>
      <c r="F5445" s="432"/>
      <c r="G5445" s="432"/>
      <c r="H5445" s="443"/>
      <c r="I5445" s="432"/>
      <c r="J5445" s="443"/>
      <c r="K5445" s="444"/>
      <c r="M5445" s="431"/>
    </row>
    <row r="5446" spans="2:13">
      <c r="B5446" s="127"/>
      <c r="C5446" s="127"/>
      <c r="D5446" s="427"/>
      <c r="E5446" s="427"/>
      <c r="F5446" s="445"/>
      <c r="G5446" s="445"/>
      <c r="H5446" s="446"/>
      <c r="I5446" s="445"/>
      <c r="J5446" s="446"/>
      <c r="K5446" s="447"/>
      <c r="M5446" s="596"/>
    </row>
    <row r="5447" spans="2:13">
      <c r="B5447" s="127"/>
      <c r="C5447" s="127"/>
      <c r="F5447" s="398"/>
      <c r="G5447" s="398"/>
      <c r="H5447" s="398"/>
      <c r="I5447" s="398"/>
      <c r="J5447" s="398"/>
      <c r="K5447" s="398"/>
    </row>
    <row r="5448" spans="2:13">
      <c r="B5448" s="127"/>
      <c r="C5448" s="127"/>
      <c r="D5448" s="427"/>
      <c r="E5448" s="427"/>
      <c r="F5448" s="445"/>
      <c r="G5448" s="445"/>
      <c r="H5448" s="446"/>
      <c r="I5448" s="445"/>
      <c r="J5448" s="446"/>
      <c r="K5448" s="447"/>
      <c r="M5448" s="596"/>
    </row>
    <row r="5449" spans="2:13">
      <c r="B5449" s="127"/>
      <c r="C5449" s="127"/>
      <c r="F5449" s="398"/>
      <c r="G5449" s="398"/>
      <c r="H5449" s="398"/>
      <c r="I5449" s="398"/>
      <c r="J5449" s="398"/>
      <c r="K5449" s="398"/>
    </row>
    <row r="5450" spans="2:13">
      <c r="B5450" s="127"/>
      <c r="C5450" s="127"/>
      <c r="D5450" s="427"/>
      <c r="E5450" s="427"/>
      <c r="F5450" s="445"/>
      <c r="G5450" s="445"/>
      <c r="H5450" s="446"/>
      <c r="I5450" s="445"/>
      <c r="J5450" s="446"/>
      <c r="K5450" s="447"/>
      <c r="M5450" s="596"/>
    </row>
    <row r="5451" spans="2:13">
      <c r="B5451" s="127"/>
      <c r="C5451" s="127"/>
      <c r="F5451" s="398"/>
      <c r="G5451" s="398"/>
      <c r="H5451" s="398"/>
      <c r="I5451" s="398"/>
      <c r="J5451" s="398"/>
      <c r="K5451" s="398"/>
    </row>
    <row r="5452" spans="2:13">
      <c r="B5452" s="127"/>
      <c r="C5452" s="127"/>
      <c r="D5452" s="427"/>
      <c r="E5452" s="427"/>
      <c r="F5452" s="445"/>
      <c r="G5452" s="445"/>
      <c r="H5452" s="446"/>
      <c r="I5452" s="445"/>
      <c r="J5452" s="446"/>
      <c r="K5452" s="447"/>
      <c r="M5452" s="596"/>
    </row>
    <row r="5453" spans="2:13">
      <c r="B5453" s="127"/>
      <c r="C5453" s="127"/>
    </row>
    <row r="5454" spans="2:13">
      <c r="B5454" s="127"/>
      <c r="C5454" s="127"/>
      <c r="D5454" s="427"/>
      <c r="E5454" s="427"/>
    </row>
    <row r="5455" spans="2:13">
      <c r="B5455" s="127"/>
      <c r="C5455" s="127"/>
      <c r="E5455" s="427"/>
    </row>
    <row r="5456" spans="2:13">
      <c r="B5456" s="127"/>
      <c r="C5456" s="127"/>
      <c r="E5456" s="427"/>
    </row>
    <row r="5457" spans="2:13">
      <c r="B5457" s="127"/>
      <c r="C5457" s="127"/>
      <c r="E5457" s="427"/>
    </row>
    <row r="5458" spans="2:13">
      <c r="B5458" s="127"/>
      <c r="C5458" s="127"/>
      <c r="E5458" s="430"/>
      <c r="F5458" s="432"/>
      <c r="G5458" s="432"/>
      <c r="H5458" s="443"/>
      <c r="I5458" s="432"/>
      <c r="J5458" s="443"/>
      <c r="K5458" s="444"/>
      <c r="M5458" s="431"/>
    </row>
    <row r="5459" spans="2:13">
      <c r="B5459" s="127"/>
      <c r="C5459" s="127"/>
      <c r="D5459" s="427"/>
      <c r="E5459" s="427"/>
      <c r="F5459" s="445"/>
      <c r="G5459" s="445"/>
      <c r="H5459" s="446"/>
      <c r="I5459" s="445"/>
      <c r="J5459" s="446"/>
      <c r="K5459" s="447"/>
      <c r="M5459" s="596"/>
    </row>
    <row r="5460" spans="2:13">
      <c r="B5460" s="127"/>
      <c r="C5460" s="127"/>
      <c r="F5460" s="398"/>
      <c r="G5460" s="398"/>
      <c r="H5460" s="398"/>
      <c r="I5460" s="398"/>
      <c r="J5460" s="398"/>
      <c r="K5460" s="398"/>
    </row>
    <row r="5461" spans="2:13">
      <c r="B5461" s="127"/>
      <c r="C5461" s="127"/>
      <c r="D5461" s="427"/>
      <c r="E5461" s="427"/>
      <c r="F5461" s="445"/>
      <c r="G5461" s="445"/>
      <c r="H5461" s="446"/>
      <c r="I5461" s="445"/>
      <c r="J5461" s="446"/>
      <c r="K5461" s="447"/>
      <c r="M5461" s="596"/>
    </row>
    <row r="5462" spans="2:13">
      <c r="B5462" s="127"/>
      <c r="C5462" s="127"/>
      <c r="F5462" s="398"/>
      <c r="G5462" s="398"/>
      <c r="H5462" s="398"/>
      <c r="I5462" s="398"/>
      <c r="J5462" s="398"/>
      <c r="K5462" s="398"/>
    </row>
    <row r="5463" spans="2:13">
      <c r="B5463" s="127"/>
      <c r="C5463" s="127"/>
      <c r="D5463" s="427"/>
      <c r="E5463" s="427"/>
      <c r="F5463" s="445"/>
      <c r="G5463" s="445"/>
      <c r="H5463" s="446"/>
      <c r="I5463" s="445"/>
      <c r="J5463" s="446"/>
      <c r="K5463" s="447"/>
      <c r="M5463" s="596"/>
    </row>
    <row r="5464" spans="2:13">
      <c r="B5464" s="127"/>
      <c r="C5464" s="127"/>
    </row>
    <row r="5465" spans="2:13">
      <c r="B5465" s="127"/>
      <c r="C5465" s="127"/>
    </row>
    <row r="5466" spans="2:13">
      <c r="B5466" s="127"/>
      <c r="C5466" s="127"/>
      <c r="D5466" s="438"/>
      <c r="E5466" s="438"/>
      <c r="F5466" s="438"/>
      <c r="G5466" s="438"/>
      <c r="H5466" s="438"/>
      <c r="I5466" s="438"/>
      <c r="J5466" s="438"/>
      <c r="K5466" s="438"/>
      <c r="M5466" s="597"/>
    </row>
    <row r="5467" spans="2:13">
      <c r="B5467" s="127"/>
      <c r="C5467" s="127"/>
      <c r="D5467" s="454"/>
      <c r="E5467" s="454"/>
      <c r="F5467" s="399"/>
      <c r="G5467" s="399"/>
      <c r="H5467" s="399"/>
      <c r="I5467" s="399"/>
      <c r="J5467" s="454"/>
      <c r="K5467" s="454"/>
    </row>
    <row r="5468" spans="2:13">
      <c r="B5468" s="127"/>
      <c r="C5468" s="127"/>
      <c r="D5468" s="455"/>
      <c r="E5468" s="455"/>
      <c r="F5468" s="455"/>
      <c r="H5468" s="455"/>
      <c r="I5468" s="455"/>
      <c r="J5468" s="455"/>
      <c r="K5468" s="455"/>
      <c r="M5468" s="455"/>
    </row>
    <row r="5469" spans="2:13">
      <c r="B5469" s="127"/>
      <c r="C5469" s="127"/>
    </row>
    <row r="5470" spans="2:13">
      <c r="B5470" s="127"/>
      <c r="C5470" s="127"/>
      <c r="J5470" s="428"/>
    </row>
    <row r="5471" spans="2:13">
      <c r="B5471" s="127"/>
      <c r="C5471" s="127"/>
      <c r="F5471" s="428"/>
      <c r="G5471" s="428"/>
      <c r="H5471" s="428"/>
      <c r="I5471" s="428"/>
      <c r="J5471" s="428"/>
      <c r="K5471" s="428"/>
      <c r="M5471" s="428"/>
    </row>
    <row r="5472" spans="2:13">
      <c r="B5472" s="127"/>
      <c r="C5472" s="127"/>
      <c r="E5472" s="453"/>
      <c r="F5472" s="428"/>
      <c r="G5472" s="428"/>
      <c r="H5472" s="428"/>
      <c r="I5472" s="428"/>
      <c r="J5472" s="428"/>
      <c r="K5472" s="428"/>
      <c r="M5472" s="428"/>
    </row>
    <row r="5473" spans="2:13">
      <c r="B5473" s="127"/>
      <c r="C5473" s="127"/>
    </row>
    <row r="5474" spans="2:13">
      <c r="B5474" s="127"/>
      <c r="C5474" s="127"/>
      <c r="E5474" s="427"/>
    </row>
    <row r="5475" spans="2:13">
      <c r="B5475" s="127"/>
      <c r="C5475" s="127"/>
      <c r="E5475" s="427"/>
    </row>
    <row r="5476" spans="2:13">
      <c r="B5476" s="127"/>
      <c r="C5476" s="127"/>
      <c r="E5476" s="427"/>
    </row>
    <row r="5477" spans="2:13">
      <c r="B5477" s="127"/>
      <c r="C5477" s="127"/>
      <c r="E5477" s="430"/>
      <c r="F5477" s="432"/>
      <c r="G5477" s="432"/>
      <c r="H5477" s="443"/>
      <c r="I5477" s="432"/>
      <c r="J5477" s="443"/>
      <c r="K5477" s="444"/>
      <c r="M5477" s="431"/>
    </row>
    <row r="5478" spans="2:13">
      <c r="B5478" s="127"/>
      <c r="C5478" s="127"/>
      <c r="D5478" s="427"/>
      <c r="E5478" s="427"/>
      <c r="F5478" s="445"/>
      <c r="G5478" s="445"/>
      <c r="H5478" s="446"/>
      <c r="I5478" s="445"/>
      <c r="J5478" s="446"/>
      <c r="K5478" s="447"/>
      <c r="M5478" s="596"/>
    </row>
    <row r="5479" spans="2:13">
      <c r="B5479" s="127"/>
      <c r="C5479" s="127"/>
      <c r="F5479" s="398"/>
      <c r="G5479" s="398"/>
      <c r="H5479" s="398"/>
      <c r="I5479" s="398"/>
      <c r="J5479" s="398"/>
      <c r="K5479" s="398"/>
    </row>
    <row r="5480" spans="2:13">
      <c r="B5480" s="127"/>
      <c r="C5480" s="127"/>
      <c r="D5480" s="427"/>
      <c r="E5480" s="427"/>
      <c r="F5480" s="445"/>
      <c r="G5480" s="445"/>
      <c r="H5480" s="446"/>
      <c r="I5480" s="445"/>
      <c r="J5480" s="446"/>
      <c r="K5480" s="447"/>
      <c r="M5480" s="596"/>
    </row>
    <row r="5481" spans="2:13">
      <c r="B5481" s="127"/>
      <c r="C5481" s="127"/>
    </row>
    <row r="5482" spans="2:13">
      <c r="B5482" s="127"/>
      <c r="C5482" s="127"/>
      <c r="E5482" s="427"/>
    </row>
    <row r="5483" spans="2:13">
      <c r="B5483" s="127"/>
      <c r="C5483" s="127"/>
      <c r="E5483" s="427"/>
    </row>
    <row r="5484" spans="2:13">
      <c r="B5484" s="127"/>
      <c r="C5484" s="127"/>
      <c r="E5484" s="430"/>
      <c r="F5484" s="431"/>
      <c r="G5484" s="431"/>
      <c r="H5484" s="436"/>
      <c r="I5484" s="431"/>
      <c r="J5484" s="436"/>
      <c r="K5484" s="437"/>
      <c r="M5484" s="431"/>
    </row>
    <row r="5485" spans="2:13">
      <c r="B5485" s="127"/>
      <c r="C5485" s="127"/>
      <c r="E5485" s="430"/>
      <c r="F5485" s="432"/>
      <c r="G5485" s="432"/>
      <c r="H5485" s="443"/>
      <c r="I5485" s="432"/>
      <c r="J5485" s="443"/>
      <c r="K5485" s="444"/>
      <c r="M5485" s="431"/>
    </row>
    <row r="5486" spans="2:13">
      <c r="B5486" s="127"/>
      <c r="C5486" s="127"/>
      <c r="D5486" s="427"/>
      <c r="E5486" s="427"/>
      <c r="F5486" s="445"/>
      <c r="G5486" s="445"/>
      <c r="H5486" s="446"/>
      <c r="I5486" s="445"/>
      <c r="J5486" s="446"/>
      <c r="K5486" s="447"/>
      <c r="M5486" s="596"/>
    </row>
    <row r="5487" spans="2:13">
      <c r="B5487" s="127"/>
      <c r="C5487" s="127"/>
      <c r="F5487" s="398"/>
      <c r="G5487" s="398"/>
      <c r="H5487" s="398"/>
      <c r="I5487" s="398"/>
      <c r="J5487" s="398"/>
      <c r="K5487" s="398"/>
    </row>
    <row r="5488" spans="2:13">
      <c r="B5488" s="127"/>
      <c r="C5488" s="127"/>
      <c r="D5488" s="427"/>
      <c r="E5488" s="427"/>
      <c r="F5488" s="445"/>
      <c r="G5488" s="445"/>
      <c r="H5488" s="446"/>
      <c r="I5488" s="445"/>
      <c r="J5488" s="446"/>
      <c r="K5488" s="447"/>
      <c r="M5488" s="596"/>
    </row>
    <row r="5489" spans="2:13">
      <c r="B5489" s="127"/>
      <c r="C5489" s="127"/>
    </row>
    <row r="5490" spans="2:13">
      <c r="B5490" s="127"/>
      <c r="C5490" s="127"/>
      <c r="E5490" s="427"/>
    </row>
    <row r="5491" spans="2:13">
      <c r="B5491" s="127"/>
      <c r="C5491" s="127"/>
      <c r="E5491" s="427"/>
    </row>
    <row r="5492" spans="2:13">
      <c r="B5492" s="127"/>
      <c r="C5492" s="127"/>
      <c r="E5492" s="430"/>
      <c r="F5492" s="432"/>
      <c r="G5492" s="432"/>
      <c r="H5492" s="443"/>
      <c r="I5492" s="432"/>
      <c r="J5492" s="443"/>
      <c r="K5492" s="444"/>
      <c r="M5492" s="431"/>
    </row>
    <row r="5493" spans="2:13">
      <c r="B5493" s="127"/>
      <c r="C5493" s="127"/>
      <c r="D5493" s="427"/>
      <c r="E5493" s="427"/>
      <c r="F5493" s="445"/>
      <c r="G5493" s="445"/>
      <c r="H5493" s="446"/>
      <c r="I5493" s="445"/>
      <c r="J5493" s="446"/>
      <c r="K5493" s="447"/>
      <c r="M5493" s="596"/>
    </row>
    <row r="5494" spans="2:13">
      <c r="B5494" s="127"/>
      <c r="C5494" s="127"/>
      <c r="F5494" s="398"/>
      <c r="G5494" s="398"/>
      <c r="H5494" s="398"/>
      <c r="I5494" s="398"/>
      <c r="J5494" s="398"/>
      <c r="K5494" s="398"/>
    </row>
    <row r="5495" spans="2:13">
      <c r="B5495" s="127"/>
      <c r="C5495" s="127"/>
      <c r="D5495" s="427"/>
      <c r="E5495" s="427"/>
      <c r="F5495" s="445"/>
      <c r="G5495" s="445"/>
      <c r="H5495" s="446"/>
      <c r="I5495" s="445"/>
      <c r="J5495" s="446"/>
      <c r="K5495" s="447"/>
      <c r="M5495" s="596"/>
    </row>
    <row r="5496" spans="2:13">
      <c r="B5496" s="127"/>
      <c r="C5496" s="127"/>
    </row>
    <row r="5497" spans="2:13">
      <c r="B5497" s="127"/>
      <c r="C5497" s="127"/>
      <c r="E5497" s="427"/>
    </row>
    <row r="5498" spans="2:13">
      <c r="B5498" s="127"/>
      <c r="C5498" s="127"/>
      <c r="E5498" s="427"/>
    </row>
    <row r="5499" spans="2:13">
      <c r="B5499" s="127"/>
      <c r="C5499" s="127"/>
      <c r="E5499" s="430"/>
      <c r="F5499" s="432"/>
      <c r="G5499" s="432"/>
      <c r="H5499" s="443"/>
      <c r="I5499" s="432"/>
      <c r="J5499" s="443"/>
      <c r="K5499" s="444"/>
      <c r="M5499" s="431"/>
    </row>
    <row r="5500" spans="2:13">
      <c r="B5500" s="127"/>
      <c r="C5500" s="127"/>
      <c r="D5500" s="427"/>
      <c r="E5500" s="427"/>
      <c r="F5500" s="445"/>
      <c r="G5500" s="445"/>
      <c r="H5500" s="446"/>
      <c r="I5500" s="445"/>
      <c r="J5500" s="446"/>
      <c r="K5500" s="447"/>
      <c r="M5500" s="596"/>
    </row>
    <row r="5501" spans="2:13">
      <c r="B5501" s="127"/>
      <c r="C5501" s="127"/>
    </row>
    <row r="5502" spans="2:13">
      <c r="B5502" s="127"/>
      <c r="C5502" s="127"/>
      <c r="E5502" s="427"/>
    </row>
    <row r="5503" spans="2:13">
      <c r="B5503" s="127"/>
      <c r="C5503" s="127"/>
      <c r="E5503" s="430"/>
      <c r="F5503" s="432"/>
      <c r="G5503" s="432"/>
      <c r="H5503" s="443"/>
      <c r="I5503" s="432"/>
      <c r="J5503" s="443"/>
      <c r="K5503" s="444"/>
      <c r="M5503" s="431"/>
    </row>
    <row r="5504" spans="2:13">
      <c r="B5504" s="127"/>
      <c r="C5504" s="127"/>
      <c r="D5504" s="427"/>
      <c r="E5504" s="427"/>
      <c r="F5504" s="445"/>
      <c r="G5504" s="445"/>
      <c r="H5504" s="446"/>
      <c r="I5504" s="445"/>
      <c r="J5504" s="446"/>
      <c r="K5504" s="447"/>
      <c r="M5504" s="596"/>
    </row>
    <row r="5505" spans="2:13">
      <c r="B5505" s="127"/>
      <c r="C5505" s="127"/>
      <c r="F5505" s="398"/>
      <c r="G5505" s="398"/>
      <c r="H5505" s="398"/>
      <c r="I5505" s="398"/>
      <c r="J5505" s="398"/>
      <c r="K5505" s="398"/>
    </row>
    <row r="5506" spans="2:13">
      <c r="B5506" s="127"/>
      <c r="C5506" s="127"/>
      <c r="D5506" s="427"/>
      <c r="E5506" s="427"/>
      <c r="F5506" s="445"/>
      <c r="G5506" s="445"/>
      <c r="H5506" s="446"/>
      <c r="I5506" s="445"/>
      <c r="J5506" s="446"/>
      <c r="K5506" s="447"/>
      <c r="M5506" s="596"/>
    </row>
    <row r="5507" spans="2:13">
      <c r="B5507" s="127"/>
      <c r="C5507" s="127"/>
    </row>
    <row r="5508" spans="2:13">
      <c r="B5508" s="127"/>
      <c r="C5508" s="127"/>
      <c r="E5508" s="427"/>
    </row>
    <row r="5509" spans="2:13">
      <c r="B5509" s="127"/>
      <c r="C5509" s="127"/>
      <c r="E5509" s="427"/>
    </row>
    <row r="5510" spans="2:13">
      <c r="B5510" s="127"/>
      <c r="C5510" s="127"/>
      <c r="E5510" s="430"/>
      <c r="F5510" s="432"/>
      <c r="G5510" s="432"/>
      <c r="H5510" s="443"/>
      <c r="I5510" s="432"/>
      <c r="J5510" s="443"/>
      <c r="K5510" s="444"/>
      <c r="M5510" s="431"/>
    </row>
    <row r="5511" spans="2:13">
      <c r="B5511" s="127"/>
      <c r="C5511" s="127"/>
      <c r="D5511" s="427"/>
      <c r="E5511" s="427"/>
      <c r="F5511" s="445"/>
      <c r="G5511" s="445"/>
      <c r="H5511" s="446"/>
      <c r="I5511" s="445"/>
      <c r="J5511" s="446"/>
      <c r="K5511" s="447"/>
      <c r="M5511" s="596"/>
    </row>
    <row r="5512" spans="2:13">
      <c r="B5512" s="127"/>
      <c r="C5512" s="127"/>
    </row>
    <row r="5513" spans="2:13">
      <c r="B5513" s="127"/>
      <c r="C5513" s="127"/>
      <c r="E5513" s="427"/>
    </row>
    <row r="5514" spans="2:13">
      <c r="B5514" s="127"/>
      <c r="C5514" s="127"/>
      <c r="E5514" s="430"/>
      <c r="F5514" s="432"/>
      <c r="G5514" s="432"/>
      <c r="H5514" s="443"/>
      <c r="I5514" s="432"/>
      <c r="J5514" s="443"/>
      <c r="K5514" s="444"/>
      <c r="M5514" s="431"/>
    </row>
    <row r="5515" spans="2:13">
      <c r="B5515" s="127"/>
      <c r="C5515" s="127"/>
      <c r="D5515" s="427"/>
      <c r="E5515" s="427"/>
      <c r="F5515" s="445"/>
      <c r="G5515" s="445"/>
      <c r="H5515" s="446"/>
      <c r="I5515" s="445"/>
      <c r="J5515" s="446"/>
      <c r="K5515" s="447"/>
      <c r="M5515" s="596"/>
    </row>
    <row r="5516" spans="2:13">
      <c r="B5516" s="127"/>
      <c r="C5516" s="127"/>
      <c r="F5516" s="398"/>
      <c r="G5516" s="398"/>
      <c r="H5516" s="398"/>
      <c r="I5516" s="398"/>
      <c r="J5516" s="398"/>
      <c r="K5516" s="398"/>
    </row>
    <row r="5517" spans="2:13">
      <c r="B5517" s="127"/>
      <c r="C5517" s="127"/>
      <c r="D5517" s="427"/>
      <c r="E5517" s="427"/>
      <c r="F5517" s="445"/>
      <c r="G5517" s="445"/>
      <c r="H5517" s="446"/>
      <c r="I5517" s="445"/>
      <c r="J5517" s="446"/>
      <c r="K5517" s="447"/>
      <c r="M5517" s="596"/>
    </row>
    <row r="5518" spans="2:13">
      <c r="B5518" s="127"/>
      <c r="C5518" s="127"/>
    </row>
    <row r="5519" spans="2:13">
      <c r="B5519" s="127"/>
      <c r="C5519" s="127"/>
      <c r="E5519" s="427"/>
    </row>
    <row r="5520" spans="2:13">
      <c r="B5520" s="127"/>
      <c r="C5520" s="127"/>
      <c r="E5520" s="427"/>
    </row>
    <row r="5521" spans="2:13">
      <c r="B5521" s="127"/>
      <c r="C5521" s="127"/>
      <c r="E5521" s="430"/>
      <c r="F5521" s="431"/>
      <c r="G5521" s="431"/>
      <c r="H5521" s="436"/>
      <c r="I5521" s="431"/>
      <c r="J5521" s="436"/>
      <c r="K5521" s="437"/>
      <c r="M5521" s="431"/>
    </row>
    <row r="5522" spans="2:13">
      <c r="B5522" s="127"/>
      <c r="C5522" s="127"/>
      <c r="E5522" s="430"/>
      <c r="F5522" s="432"/>
      <c r="G5522" s="432"/>
      <c r="H5522" s="443"/>
      <c r="I5522" s="432"/>
      <c r="J5522" s="443"/>
      <c r="K5522" s="444"/>
      <c r="M5522" s="431"/>
    </row>
    <row r="5523" spans="2:13">
      <c r="B5523" s="127"/>
      <c r="C5523" s="127"/>
      <c r="D5523" s="427"/>
      <c r="E5523" s="427"/>
      <c r="F5523" s="445"/>
      <c r="G5523" s="445"/>
      <c r="H5523" s="446"/>
      <c r="I5523" s="445"/>
      <c r="J5523" s="446"/>
      <c r="K5523" s="447"/>
      <c r="M5523" s="596"/>
    </row>
    <row r="5524" spans="2:13">
      <c r="B5524" s="127"/>
      <c r="C5524" s="127"/>
      <c r="F5524" s="398"/>
      <c r="G5524" s="398"/>
      <c r="H5524" s="398"/>
      <c r="I5524" s="398"/>
      <c r="J5524" s="398"/>
      <c r="K5524" s="398"/>
    </row>
    <row r="5525" spans="2:13">
      <c r="B5525" s="127"/>
      <c r="C5525" s="127"/>
      <c r="D5525" s="427"/>
      <c r="E5525" s="427"/>
      <c r="F5525" s="445"/>
      <c r="G5525" s="445"/>
      <c r="H5525" s="446"/>
      <c r="I5525" s="445"/>
      <c r="J5525" s="446"/>
      <c r="K5525" s="447"/>
      <c r="M5525" s="596"/>
    </row>
    <row r="5526" spans="2:13">
      <c r="B5526" s="127"/>
      <c r="C5526" s="127"/>
    </row>
    <row r="5527" spans="2:13">
      <c r="B5527" s="127"/>
      <c r="C5527" s="127"/>
      <c r="E5527" s="427"/>
    </row>
    <row r="5528" spans="2:13">
      <c r="B5528" s="127"/>
      <c r="C5528" s="127"/>
      <c r="E5528" s="427"/>
    </row>
    <row r="5529" spans="2:13">
      <c r="B5529" s="127"/>
      <c r="C5529" s="127"/>
      <c r="E5529" s="430"/>
      <c r="F5529" s="432"/>
      <c r="G5529" s="432"/>
      <c r="H5529" s="443"/>
      <c r="I5529" s="432"/>
      <c r="J5529" s="443"/>
      <c r="K5529" s="444"/>
      <c r="M5529" s="431"/>
    </row>
    <row r="5530" spans="2:13">
      <c r="B5530" s="127"/>
      <c r="C5530" s="127"/>
      <c r="D5530" s="427"/>
      <c r="E5530" s="427"/>
      <c r="F5530" s="445"/>
      <c r="G5530" s="445"/>
      <c r="H5530" s="446"/>
      <c r="I5530" s="445"/>
      <c r="J5530" s="446"/>
      <c r="K5530" s="447"/>
      <c r="M5530" s="596"/>
    </row>
    <row r="5531" spans="2:13">
      <c r="B5531" s="127"/>
      <c r="C5531" s="127"/>
      <c r="F5531" s="398"/>
      <c r="G5531" s="398"/>
      <c r="H5531" s="398"/>
      <c r="I5531" s="398"/>
      <c r="J5531" s="398"/>
      <c r="K5531" s="398"/>
    </row>
    <row r="5532" spans="2:13">
      <c r="B5532" s="127"/>
      <c r="C5532" s="127"/>
      <c r="D5532" s="427"/>
      <c r="E5532" s="427"/>
      <c r="F5532" s="445"/>
      <c r="G5532" s="445"/>
      <c r="H5532" s="446"/>
      <c r="I5532" s="445"/>
      <c r="J5532" s="446"/>
      <c r="K5532" s="447"/>
      <c r="M5532" s="596"/>
    </row>
    <row r="5533" spans="2:13">
      <c r="B5533" s="127"/>
      <c r="C5533" s="127"/>
    </row>
    <row r="5534" spans="2:13">
      <c r="B5534" s="127"/>
      <c r="C5534" s="127"/>
      <c r="E5534" s="427"/>
    </row>
    <row r="5535" spans="2:13">
      <c r="B5535" s="127"/>
      <c r="C5535" s="127"/>
      <c r="E5535" s="427"/>
    </row>
    <row r="5536" spans="2:13">
      <c r="B5536" s="127"/>
      <c r="C5536" s="127"/>
      <c r="E5536" s="430"/>
      <c r="F5536" s="432"/>
      <c r="G5536" s="432"/>
      <c r="H5536" s="443"/>
      <c r="I5536" s="432"/>
      <c r="J5536" s="443"/>
      <c r="K5536" s="444"/>
      <c r="M5536" s="431"/>
    </row>
    <row r="5537" spans="2:13">
      <c r="B5537" s="127"/>
      <c r="C5537" s="127"/>
      <c r="D5537" s="427"/>
      <c r="E5537" s="427"/>
      <c r="F5537" s="445"/>
      <c r="G5537" s="445"/>
      <c r="H5537" s="446"/>
      <c r="I5537" s="445"/>
      <c r="J5537" s="446"/>
      <c r="K5537" s="447"/>
      <c r="M5537" s="596"/>
    </row>
    <row r="5538" spans="2:13">
      <c r="B5538" s="127"/>
      <c r="C5538" s="127"/>
      <c r="F5538" s="398"/>
      <c r="G5538" s="398"/>
      <c r="H5538" s="398"/>
      <c r="I5538" s="398"/>
      <c r="J5538" s="398"/>
      <c r="K5538" s="398"/>
    </row>
    <row r="5539" spans="2:13">
      <c r="B5539" s="127"/>
      <c r="C5539" s="127"/>
      <c r="D5539" s="427"/>
      <c r="E5539" s="427"/>
      <c r="F5539" s="445"/>
      <c r="G5539" s="445"/>
      <c r="H5539" s="446"/>
      <c r="I5539" s="445"/>
      <c r="J5539" s="446"/>
      <c r="K5539" s="447"/>
      <c r="M5539" s="596"/>
    </row>
    <row r="5540" spans="2:13">
      <c r="B5540" s="127"/>
      <c r="C5540" s="127"/>
    </row>
    <row r="5541" spans="2:13">
      <c r="B5541" s="127"/>
      <c r="C5541" s="127"/>
    </row>
    <row r="5542" spans="2:13">
      <c r="B5542" s="127"/>
      <c r="C5542" s="127"/>
      <c r="D5542" s="438"/>
      <c r="E5542" s="438"/>
      <c r="F5542" s="438"/>
      <c r="G5542" s="438"/>
      <c r="H5542" s="438"/>
      <c r="I5542" s="438"/>
      <c r="J5542" s="438"/>
      <c r="K5542" s="438"/>
      <c r="M5542" s="597"/>
    </row>
    <row r="5543" spans="2:13">
      <c r="B5543" s="127"/>
      <c r="C5543" s="127"/>
      <c r="D5543" s="454"/>
      <c r="E5543" s="454"/>
      <c r="F5543" s="399"/>
      <c r="G5543" s="399"/>
      <c r="H5543" s="399"/>
      <c r="I5543" s="399"/>
      <c r="J5543" s="454"/>
      <c r="K5543" s="454"/>
    </row>
    <row r="5544" spans="2:13">
      <c r="B5544" s="127"/>
      <c r="C5544" s="127"/>
      <c r="D5544" s="455"/>
      <c r="E5544" s="455"/>
      <c r="F5544" s="455"/>
      <c r="H5544" s="455"/>
      <c r="I5544" s="455"/>
      <c r="J5544" s="455"/>
      <c r="K5544" s="455"/>
      <c r="M5544" s="455"/>
    </row>
    <row r="5545" spans="2:13">
      <c r="B5545" s="127"/>
      <c r="C5545" s="127"/>
    </row>
    <row r="5546" spans="2:13">
      <c r="B5546" s="127"/>
      <c r="C5546" s="127"/>
      <c r="J5546" s="428"/>
    </row>
    <row r="5547" spans="2:13">
      <c r="B5547" s="127"/>
      <c r="C5547" s="127"/>
      <c r="F5547" s="428"/>
      <c r="G5547" s="428"/>
      <c r="H5547" s="428"/>
      <c r="I5547" s="428"/>
      <c r="J5547" s="428"/>
      <c r="K5547" s="428"/>
      <c r="M5547" s="428"/>
    </row>
    <row r="5548" spans="2:13">
      <c r="B5548" s="127"/>
      <c r="C5548" s="127"/>
      <c r="E5548" s="453"/>
      <c r="F5548" s="428"/>
      <c r="G5548" s="428"/>
      <c r="H5548" s="428"/>
      <c r="I5548" s="428"/>
      <c r="J5548" s="428"/>
      <c r="K5548" s="428"/>
      <c r="M5548" s="428"/>
    </row>
    <row r="5549" spans="2:13">
      <c r="B5549" s="127"/>
      <c r="C5549" s="127"/>
    </row>
    <row r="5550" spans="2:13">
      <c r="B5550" s="127"/>
      <c r="C5550" s="127"/>
      <c r="E5550" s="427"/>
    </row>
    <row r="5551" spans="2:13">
      <c r="B5551" s="127"/>
      <c r="C5551" s="127"/>
      <c r="E5551" s="427"/>
    </row>
    <row r="5552" spans="2:13">
      <c r="B5552" s="127"/>
      <c r="C5552" s="127"/>
      <c r="E5552" s="430"/>
      <c r="F5552" s="432"/>
      <c r="G5552" s="432"/>
      <c r="H5552" s="443"/>
      <c r="I5552" s="432"/>
      <c r="J5552" s="443"/>
      <c r="K5552" s="444"/>
      <c r="M5552" s="431"/>
    </row>
    <row r="5553" spans="2:13">
      <c r="B5553" s="127"/>
      <c r="C5553" s="127"/>
      <c r="D5553" s="427"/>
      <c r="E5553" s="427"/>
      <c r="F5553" s="445"/>
      <c r="G5553" s="445"/>
      <c r="H5553" s="446"/>
      <c r="I5553" s="445"/>
      <c r="J5553" s="446"/>
      <c r="K5553" s="447"/>
      <c r="M5553" s="596"/>
    </row>
    <row r="5554" spans="2:13">
      <c r="B5554" s="127"/>
      <c r="C5554" s="127"/>
      <c r="F5554" s="398"/>
      <c r="G5554" s="398"/>
      <c r="H5554" s="398"/>
      <c r="I5554" s="398"/>
      <c r="J5554" s="398"/>
      <c r="K5554" s="398"/>
    </row>
    <row r="5555" spans="2:13">
      <c r="B5555" s="127"/>
      <c r="C5555" s="127"/>
      <c r="D5555" s="427"/>
      <c r="E5555" s="427"/>
      <c r="F5555" s="445"/>
      <c r="G5555" s="445"/>
      <c r="H5555" s="446"/>
      <c r="I5555" s="445"/>
      <c r="J5555" s="446"/>
      <c r="K5555" s="447"/>
      <c r="M5555" s="596"/>
    </row>
    <row r="5556" spans="2:13">
      <c r="B5556" s="127"/>
      <c r="C5556" s="127"/>
    </row>
    <row r="5557" spans="2:13">
      <c r="B5557" s="127"/>
      <c r="C5557" s="127"/>
      <c r="E5557" s="427"/>
    </row>
    <row r="5558" spans="2:13">
      <c r="B5558" s="127"/>
      <c r="C5558" s="127"/>
      <c r="E5558" s="427"/>
    </row>
    <row r="5559" spans="2:13">
      <c r="B5559" s="127"/>
      <c r="C5559" s="127"/>
      <c r="E5559" s="430"/>
      <c r="F5559" s="432"/>
      <c r="G5559" s="432"/>
      <c r="H5559" s="443"/>
      <c r="I5559" s="432"/>
      <c r="J5559" s="443"/>
      <c r="K5559" s="444"/>
      <c r="M5559" s="431"/>
    </row>
    <row r="5560" spans="2:13">
      <c r="B5560" s="127"/>
      <c r="C5560" s="127"/>
      <c r="D5560" s="427"/>
      <c r="E5560" s="427"/>
      <c r="F5560" s="445"/>
      <c r="G5560" s="445"/>
      <c r="H5560" s="446"/>
      <c r="I5560" s="445"/>
      <c r="J5560" s="446"/>
      <c r="K5560" s="447"/>
      <c r="M5560" s="596"/>
    </row>
    <row r="5561" spans="2:13">
      <c r="B5561" s="127"/>
      <c r="C5561" s="127"/>
      <c r="F5561" s="398"/>
      <c r="G5561" s="398"/>
      <c r="H5561" s="398"/>
      <c r="I5561" s="398"/>
      <c r="J5561" s="398"/>
      <c r="K5561" s="398"/>
    </row>
    <row r="5562" spans="2:13">
      <c r="B5562" s="127"/>
      <c r="C5562" s="127"/>
      <c r="D5562" s="427"/>
      <c r="E5562" s="427"/>
      <c r="F5562" s="445"/>
      <c r="G5562" s="445"/>
      <c r="H5562" s="446"/>
      <c r="I5562" s="445"/>
      <c r="J5562" s="446"/>
      <c r="K5562" s="447"/>
      <c r="M5562" s="596"/>
    </row>
    <row r="5563" spans="2:13">
      <c r="B5563" s="127"/>
      <c r="C5563" s="127"/>
    </row>
    <row r="5564" spans="2:13">
      <c r="B5564" s="127"/>
      <c r="C5564" s="127"/>
      <c r="E5564" s="427"/>
    </row>
    <row r="5565" spans="2:13">
      <c r="B5565" s="127"/>
      <c r="C5565" s="127"/>
      <c r="E5565" s="427"/>
    </row>
    <row r="5566" spans="2:13">
      <c r="B5566" s="127"/>
      <c r="C5566" s="127"/>
      <c r="E5566" s="430"/>
      <c r="F5566" s="431"/>
      <c r="G5566" s="431"/>
      <c r="H5566" s="436"/>
      <c r="I5566" s="431"/>
      <c r="J5566" s="436"/>
      <c r="K5566" s="437"/>
      <c r="M5566" s="431"/>
    </row>
    <row r="5567" spans="2:13">
      <c r="B5567" s="127"/>
      <c r="C5567" s="127"/>
      <c r="E5567" s="430"/>
      <c r="F5567" s="432"/>
      <c r="G5567" s="432"/>
      <c r="H5567" s="443"/>
      <c r="I5567" s="432"/>
      <c r="J5567" s="443"/>
      <c r="K5567" s="444"/>
      <c r="M5567" s="431"/>
    </row>
    <row r="5568" spans="2:13">
      <c r="B5568" s="127"/>
      <c r="C5568" s="127"/>
      <c r="D5568" s="427"/>
      <c r="E5568" s="427"/>
      <c r="F5568" s="445"/>
      <c r="G5568" s="445"/>
      <c r="H5568" s="446"/>
      <c r="I5568" s="445"/>
      <c r="J5568" s="446"/>
      <c r="K5568" s="447"/>
      <c r="M5568" s="596"/>
    </row>
    <row r="5569" spans="2:13">
      <c r="B5569" s="127"/>
      <c r="C5569" s="127"/>
      <c r="F5569" s="398"/>
      <c r="G5569" s="398"/>
      <c r="H5569" s="398"/>
      <c r="I5569" s="398"/>
      <c r="J5569" s="398"/>
      <c r="K5569" s="398"/>
    </row>
    <row r="5570" spans="2:13">
      <c r="B5570" s="127"/>
      <c r="C5570" s="127"/>
      <c r="D5570" s="427"/>
      <c r="E5570" s="427"/>
      <c r="F5570" s="445"/>
      <c r="G5570" s="445"/>
      <c r="H5570" s="446"/>
      <c r="I5570" s="445"/>
      <c r="J5570" s="446"/>
      <c r="K5570" s="447"/>
      <c r="M5570" s="596"/>
    </row>
    <row r="5571" spans="2:13">
      <c r="B5571" s="127"/>
      <c r="C5571" s="127"/>
    </row>
    <row r="5572" spans="2:13">
      <c r="B5572" s="127"/>
      <c r="C5572" s="127"/>
      <c r="E5572" s="427"/>
    </row>
    <row r="5573" spans="2:13">
      <c r="B5573" s="127"/>
      <c r="C5573" s="127"/>
      <c r="E5573" s="427"/>
    </row>
    <row r="5574" spans="2:13">
      <c r="B5574" s="127"/>
      <c r="C5574" s="127"/>
      <c r="E5574" s="430"/>
      <c r="F5574" s="432"/>
      <c r="G5574" s="432"/>
      <c r="H5574" s="443"/>
      <c r="I5574" s="432"/>
      <c r="J5574" s="443"/>
      <c r="K5574" s="444"/>
      <c r="M5574" s="431"/>
    </row>
    <row r="5575" spans="2:13">
      <c r="B5575" s="127"/>
      <c r="C5575" s="127"/>
      <c r="D5575" s="427"/>
      <c r="E5575" s="427"/>
      <c r="F5575" s="445"/>
      <c r="G5575" s="445"/>
      <c r="H5575" s="446"/>
      <c r="I5575" s="445"/>
      <c r="J5575" s="446"/>
      <c r="K5575" s="447"/>
      <c r="M5575" s="596"/>
    </row>
    <row r="5576" spans="2:13">
      <c r="B5576" s="127"/>
      <c r="C5576" s="127"/>
      <c r="F5576" s="398"/>
      <c r="G5576" s="398"/>
      <c r="H5576" s="398"/>
      <c r="I5576" s="398"/>
      <c r="J5576" s="398"/>
      <c r="K5576" s="398"/>
    </row>
    <row r="5577" spans="2:13">
      <c r="B5577" s="127"/>
      <c r="C5577" s="127"/>
      <c r="D5577" s="427"/>
      <c r="E5577" s="427"/>
      <c r="F5577" s="445"/>
      <c r="G5577" s="445"/>
      <c r="H5577" s="446"/>
      <c r="I5577" s="445"/>
      <c r="J5577" s="446"/>
      <c r="K5577" s="447"/>
      <c r="M5577" s="596"/>
    </row>
    <row r="5578" spans="2:13">
      <c r="B5578" s="127"/>
      <c r="C5578" s="127"/>
      <c r="F5578" s="398"/>
      <c r="G5578" s="398"/>
      <c r="H5578" s="398"/>
      <c r="I5578" s="398"/>
      <c r="J5578" s="398"/>
      <c r="K5578" s="398"/>
    </row>
    <row r="5579" spans="2:13">
      <c r="B5579" s="127"/>
      <c r="C5579" s="127"/>
      <c r="D5579" s="427"/>
      <c r="E5579" s="427"/>
      <c r="F5579" s="445"/>
      <c r="G5579" s="445"/>
      <c r="H5579" s="446"/>
      <c r="I5579" s="445"/>
      <c r="J5579" s="446"/>
      <c r="K5579" s="447"/>
      <c r="M5579" s="596"/>
    </row>
    <row r="5580" spans="2:13">
      <c r="B5580" s="127"/>
      <c r="C5580" s="127"/>
      <c r="F5580" s="398"/>
      <c r="G5580" s="398"/>
      <c r="H5580" s="398"/>
      <c r="I5580" s="398"/>
      <c r="J5580" s="398"/>
      <c r="K5580" s="398"/>
    </row>
    <row r="5581" spans="2:13">
      <c r="B5581" s="127"/>
      <c r="C5581" s="127"/>
      <c r="D5581" s="427"/>
      <c r="E5581" s="427"/>
      <c r="F5581" s="445"/>
      <c r="G5581" s="445"/>
      <c r="H5581" s="446"/>
      <c r="I5581" s="445"/>
      <c r="J5581" s="446"/>
      <c r="K5581" s="447"/>
      <c r="M5581" s="596"/>
    </row>
    <row r="5582" spans="2:13">
      <c r="B5582" s="127"/>
      <c r="C5582" s="127"/>
    </row>
    <row r="5583" spans="2:13">
      <c r="B5583" s="127"/>
      <c r="C5583" s="127"/>
      <c r="D5583" s="427"/>
      <c r="E5583" s="427"/>
    </row>
    <row r="5584" spans="2:13">
      <c r="B5584" s="127"/>
      <c r="C5584" s="127"/>
      <c r="E5584" s="427"/>
    </row>
    <row r="5585" spans="2:13">
      <c r="B5585" s="127"/>
      <c r="C5585" s="127"/>
      <c r="E5585" s="427"/>
    </row>
    <row r="5586" spans="2:13">
      <c r="B5586" s="127"/>
      <c r="C5586" s="127"/>
      <c r="E5586" s="427"/>
    </row>
    <row r="5587" spans="2:13">
      <c r="B5587" s="127"/>
      <c r="C5587" s="127"/>
      <c r="E5587" s="430"/>
      <c r="F5587" s="431"/>
      <c r="G5587" s="431"/>
      <c r="H5587" s="436"/>
      <c r="I5587" s="431"/>
      <c r="J5587" s="436"/>
      <c r="K5587" s="437"/>
      <c r="M5587" s="431"/>
    </row>
    <row r="5588" spans="2:13">
      <c r="B5588" s="127"/>
      <c r="C5588" s="127"/>
      <c r="E5588" s="430"/>
      <c r="F5588" s="432"/>
      <c r="G5588" s="432"/>
      <c r="H5588" s="443"/>
      <c r="I5588" s="432"/>
      <c r="J5588" s="443"/>
      <c r="K5588" s="444"/>
      <c r="M5588" s="431"/>
    </row>
    <row r="5589" spans="2:13">
      <c r="B5589" s="127"/>
      <c r="C5589" s="127"/>
      <c r="D5589" s="427"/>
      <c r="E5589" s="427"/>
      <c r="F5589" s="445"/>
      <c r="G5589" s="445"/>
      <c r="H5589" s="446"/>
      <c r="I5589" s="445"/>
      <c r="J5589" s="446"/>
      <c r="K5589" s="447"/>
      <c r="M5589" s="596"/>
    </row>
    <row r="5590" spans="2:13">
      <c r="B5590" s="127"/>
      <c r="C5590" s="127"/>
      <c r="F5590" s="398"/>
      <c r="G5590" s="398"/>
      <c r="H5590" s="398"/>
      <c r="I5590" s="398"/>
      <c r="J5590" s="398"/>
      <c r="K5590" s="398"/>
    </row>
    <row r="5591" spans="2:13">
      <c r="B5591" s="127"/>
      <c r="C5591" s="127"/>
      <c r="D5591" s="427"/>
      <c r="E5591" s="427"/>
      <c r="F5591" s="445"/>
      <c r="G5591" s="445"/>
      <c r="H5591" s="446"/>
      <c r="I5591" s="445"/>
      <c r="J5591" s="446"/>
      <c r="K5591" s="447"/>
      <c r="M5591" s="596"/>
    </row>
    <row r="5592" spans="2:13">
      <c r="B5592" s="127"/>
      <c r="C5592" s="127"/>
      <c r="F5592" s="398"/>
      <c r="G5592" s="398"/>
      <c r="H5592" s="398"/>
      <c r="I5592" s="398"/>
      <c r="J5592" s="398"/>
      <c r="K5592" s="398"/>
    </row>
    <row r="5593" spans="2:13">
      <c r="B5593" s="127"/>
      <c r="C5593" s="127"/>
      <c r="D5593" s="427"/>
      <c r="E5593" s="427"/>
      <c r="F5593" s="445"/>
      <c r="G5593" s="445"/>
      <c r="H5593" s="446"/>
      <c r="I5593" s="445"/>
      <c r="J5593" s="446"/>
      <c r="K5593" s="447"/>
      <c r="M5593" s="596"/>
    </row>
    <row r="5594" spans="2:13">
      <c r="B5594" s="127"/>
      <c r="C5594" s="127"/>
    </row>
    <row r="5595" spans="2:13">
      <c r="B5595" s="127"/>
      <c r="C5595" s="127"/>
      <c r="E5595" s="427"/>
    </row>
    <row r="5596" spans="2:13">
      <c r="B5596" s="127"/>
      <c r="C5596" s="127"/>
      <c r="E5596" s="427"/>
    </row>
    <row r="5597" spans="2:13">
      <c r="B5597" s="127"/>
      <c r="C5597" s="127"/>
      <c r="E5597" s="427"/>
    </row>
    <row r="5598" spans="2:13">
      <c r="B5598" s="127"/>
      <c r="C5598" s="127"/>
      <c r="E5598" s="430"/>
      <c r="F5598" s="431"/>
      <c r="G5598" s="431"/>
      <c r="H5598" s="436"/>
      <c r="I5598" s="431"/>
      <c r="J5598" s="436"/>
      <c r="K5598" s="437"/>
      <c r="M5598" s="431"/>
    </row>
    <row r="5599" spans="2:13">
      <c r="B5599" s="127"/>
      <c r="C5599" s="127"/>
      <c r="E5599" s="430"/>
      <c r="F5599" s="431"/>
      <c r="G5599" s="431"/>
      <c r="H5599" s="436"/>
      <c r="I5599" s="431"/>
      <c r="J5599" s="436"/>
      <c r="K5599" s="437"/>
      <c r="M5599" s="431"/>
    </row>
    <row r="5600" spans="2:13">
      <c r="B5600" s="127"/>
      <c r="C5600" s="127"/>
      <c r="E5600" s="430"/>
      <c r="F5600" s="431"/>
      <c r="G5600" s="431"/>
      <c r="H5600" s="436"/>
      <c r="I5600" s="431"/>
      <c r="J5600" s="436"/>
      <c r="K5600" s="437"/>
      <c r="M5600" s="431"/>
    </row>
    <row r="5601" spans="2:13">
      <c r="B5601" s="127"/>
      <c r="C5601" s="127"/>
      <c r="E5601" s="430"/>
      <c r="F5601" s="432"/>
      <c r="G5601" s="432"/>
      <c r="H5601" s="443"/>
      <c r="I5601" s="432"/>
      <c r="J5601" s="443"/>
      <c r="K5601" s="444"/>
      <c r="M5601" s="431"/>
    </row>
    <row r="5602" spans="2:13">
      <c r="B5602" s="127"/>
      <c r="C5602" s="127"/>
      <c r="D5602" s="427"/>
      <c r="E5602" s="427"/>
      <c r="F5602" s="445"/>
      <c r="G5602" s="445"/>
      <c r="H5602" s="446"/>
      <c r="I5602" s="445"/>
      <c r="J5602" s="446"/>
      <c r="K5602" s="447"/>
      <c r="M5602" s="596"/>
    </row>
    <row r="5603" spans="2:13">
      <c r="B5603" s="127"/>
      <c r="C5603" s="127"/>
      <c r="F5603" s="398"/>
      <c r="G5603" s="398"/>
      <c r="H5603" s="398"/>
      <c r="I5603" s="398"/>
      <c r="J5603" s="398"/>
      <c r="K5603" s="398"/>
    </row>
    <row r="5604" spans="2:13">
      <c r="B5604" s="127"/>
      <c r="C5604" s="127"/>
      <c r="D5604" s="427"/>
      <c r="E5604" s="427"/>
      <c r="F5604" s="445"/>
      <c r="G5604" s="445"/>
      <c r="H5604" s="446"/>
      <c r="I5604" s="445"/>
      <c r="J5604" s="446"/>
      <c r="K5604" s="447"/>
      <c r="M5604" s="596"/>
    </row>
    <row r="5605" spans="2:13">
      <c r="B5605" s="127"/>
      <c r="C5605" s="127"/>
      <c r="F5605" s="398"/>
      <c r="G5605" s="398"/>
      <c r="H5605" s="398"/>
      <c r="I5605" s="398"/>
      <c r="J5605" s="398"/>
      <c r="K5605" s="398"/>
    </row>
    <row r="5606" spans="2:13">
      <c r="B5606" s="127"/>
      <c r="C5606" s="127"/>
      <c r="D5606" s="427"/>
      <c r="E5606" s="427"/>
      <c r="F5606" s="445"/>
      <c r="G5606" s="445"/>
      <c r="H5606" s="446"/>
      <c r="I5606" s="445"/>
      <c r="J5606" s="446"/>
      <c r="K5606" s="447"/>
      <c r="M5606" s="596"/>
    </row>
    <row r="5607" spans="2:13">
      <c r="B5607" s="127"/>
      <c r="C5607" s="127"/>
      <c r="F5607" s="398"/>
      <c r="G5607" s="398"/>
      <c r="H5607" s="398"/>
      <c r="I5607" s="398"/>
      <c r="J5607" s="398"/>
      <c r="K5607" s="398"/>
    </row>
    <row r="5608" spans="2:13">
      <c r="B5608" s="127"/>
      <c r="C5608" s="127"/>
      <c r="D5608" s="427"/>
      <c r="E5608" s="427"/>
      <c r="F5608" s="445"/>
      <c r="G5608" s="445"/>
      <c r="H5608" s="446"/>
      <c r="I5608" s="445"/>
      <c r="J5608" s="446"/>
      <c r="K5608" s="447"/>
      <c r="M5608" s="596"/>
    </row>
    <row r="5609" spans="2:13">
      <c r="B5609" s="127"/>
      <c r="C5609" s="127"/>
    </row>
    <row r="5610" spans="2:13">
      <c r="B5610" s="127"/>
      <c r="C5610" s="127"/>
      <c r="D5610" s="427"/>
      <c r="E5610" s="427"/>
    </row>
    <row r="5611" spans="2:13">
      <c r="B5611" s="127"/>
      <c r="C5611" s="127"/>
      <c r="E5611" s="427"/>
    </row>
    <row r="5612" spans="2:13">
      <c r="B5612" s="127"/>
      <c r="C5612" s="127"/>
      <c r="E5612" s="427"/>
    </row>
    <row r="5613" spans="2:13">
      <c r="B5613" s="127"/>
      <c r="C5613" s="127"/>
      <c r="E5613" s="427"/>
    </row>
    <row r="5614" spans="2:13">
      <c r="B5614" s="127"/>
      <c r="C5614" s="127"/>
      <c r="E5614" s="430"/>
      <c r="F5614" s="431"/>
      <c r="G5614" s="431"/>
      <c r="H5614" s="436"/>
      <c r="I5614" s="431"/>
      <c r="J5614" s="436"/>
      <c r="K5614" s="437"/>
      <c r="M5614" s="431"/>
    </row>
    <row r="5615" spans="2:13">
      <c r="B5615" s="127"/>
      <c r="C5615" s="127"/>
      <c r="E5615" s="430"/>
      <c r="F5615" s="432"/>
      <c r="G5615" s="432"/>
      <c r="H5615" s="443"/>
      <c r="I5615" s="432"/>
      <c r="J5615" s="443"/>
      <c r="K5615" s="444"/>
      <c r="M5615" s="431"/>
    </row>
    <row r="5616" spans="2:13">
      <c r="B5616" s="127"/>
      <c r="C5616" s="127"/>
      <c r="D5616" s="427"/>
      <c r="E5616" s="427"/>
      <c r="F5616" s="445"/>
      <c r="G5616" s="445"/>
      <c r="H5616" s="446"/>
      <c r="I5616" s="445"/>
      <c r="J5616" s="446"/>
      <c r="K5616" s="447"/>
      <c r="M5616" s="596"/>
    </row>
    <row r="5617" spans="2:13">
      <c r="B5617" s="127"/>
      <c r="C5617" s="127"/>
      <c r="F5617" s="398"/>
      <c r="G5617" s="398"/>
      <c r="H5617" s="398"/>
      <c r="I5617" s="398"/>
      <c r="J5617" s="398"/>
      <c r="K5617" s="398"/>
    </row>
    <row r="5618" spans="2:13">
      <c r="B5618" s="127"/>
      <c r="C5618" s="127"/>
      <c r="D5618" s="427"/>
      <c r="E5618" s="427"/>
      <c r="F5618" s="445"/>
      <c r="G5618" s="445"/>
      <c r="H5618" s="446"/>
      <c r="I5618" s="445"/>
      <c r="J5618" s="446"/>
      <c r="K5618" s="447"/>
      <c r="M5618" s="596"/>
    </row>
    <row r="5619" spans="2:13">
      <c r="B5619" s="127"/>
      <c r="C5619" s="127"/>
      <c r="F5619" s="398"/>
      <c r="G5619" s="398"/>
      <c r="H5619" s="398"/>
      <c r="I5619" s="398"/>
      <c r="J5619" s="398"/>
      <c r="K5619" s="398"/>
    </row>
    <row r="5620" spans="2:13">
      <c r="B5620" s="127"/>
      <c r="C5620" s="127"/>
      <c r="D5620" s="427"/>
      <c r="E5620" s="427"/>
      <c r="F5620" s="445"/>
      <c r="G5620" s="445"/>
      <c r="H5620" s="446"/>
      <c r="I5620" s="445"/>
      <c r="J5620" s="446"/>
      <c r="K5620" s="447"/>
      <c r="M5620" s="596"/>
    </row>
    <row r="5621" spans="2:13">
      <c r="B5621" s="127"/>
      <c r="C5621" s="127"/>
    </row>
    <row r="5622" spans="2:13">
      <c r="B5622" s="127"/>
      <c r="C5622" s="127"/>
      <c r="D5622" s="438"/>
      <c r="E5622" s="438"/>
      <c r="F5622" s="438"/>
      <c r="G5622" s="438"/>
      <c r="H5622" s="438"/>
      <c r="I5622" s="438"/>
      <c r="J5622" s="438"/>
      <c r="K5622" s="438"/>
      <c r="M5622" s="597"/>
    </row>
    <row r="5623" spans="2:13">
      <c r="B5623" s="127"/>
      <c r="C5623" s="127"/>
      <c r="D5623" s="454"/>
      <c r="E5623" s="454"/>
      <c r="F5623" s="399"/>
      <c r="G5623" s="399"/>
      <c r="H5623" s="399"/>
      <c r="I5623" s="399"/>
      <c r="J5623" s="454"/>
      <c r="K5623" s="454"/>
    </row>
    <row r="5624" spans="2:13">
      <c r="B5624" s="127"/>
      <c r="C5624" s="127"/>
      <c r="D5624" s="455"/>
      <c r="E5624" s="455"/>
      <c r="F5624" s="455"/>
      <c r="H5624" s="455"/>
      <c r="I5624" s="455"/>
      <c r="J5624" s="455"/>
      <c r="K5624" s="455"/>
      <c r="M5624" s="455"/>
    </row>
    <row r="5625" spans="2:13">
      <c r="B5625" s="127"/>
      <c r="C5625" s="127"/>
    </row>
    <row r="5626" spans="2:13">
      <c r="B5626" s="127"/>
      <c r="C5626" s="127"/>
      <c r="J5626" s="428"/>
    </row>
    <row r="5627" spans="2:13">
      <c r="B5627" s="127"/>
      <c r="C5627" s="127"/>
      <c r="F5627" s="428"/>
      <c r="G5627" s="428"/>
      <c r="H5627" s="428"/>
      <c r="I5627" s="428"/>
      <c r="J5627" s="428"/>
      <c r="K5627" s="428"/>
      <c r="M5627" s="428"/>
    </row>
    <row r="5628" spans="2:13">
      <c r="B5628" s="127"/>
      <c r="C5628" s="127"/>
      <c r="E5628" s="453"/>
      <c r="F5628" s="428"/>
      <c r="G5628" s="428"/>
      <c r="H5628" s="428"/>
      <c r="I5628" s="428"/>
      <c r="J5628" s="428"/>
      <c r="K5628" s="428"/>
      <c r="M5628" s="428"/>
    </row>
    <row r="5629" spans="2:13">
      <c r="B5629" s="127"/>
      <c r="C5629" s="127"/>
    </row>
    <row r="5630" spans="2:13">
      <c r="B5630" s="127"/>
      <c r="C5630" s="127"/>
      <c r="E5630" s="427"/>
    </row>
    <row r="5631" spans="2:13">
      <c r="B5631" s="127"/>
      <c r="C5631" s="127"/>
      <c r="E5631" s="427"/>
    </row>
    <row r="5632" spans="2:13">
      <c r="B5632" s="127"/>
      <c r="C5632" s="127"/>
      <c r="E5632" s="427"/>
    </row>
    <row r="5633" spans="2:13">
      <c r="B5633" s="127"/>
      <c r="C5633" s="127"/>
      <c r="E5633" s="430"/>
      <c r="F5633" s="431"/>
      <c r="G5633" s="431"/>
      <c r="H5633" s="436"/>
      <c r="I5633" s="431"/>
      <c r="J5633" s="436"/>
      <c r="K5633" s="437"/>
      <c r="M5633" s="431"/>
    </row>
    <row r="5634" spans="2:13">
      <c r="B5634" s="127"/>
      <c r="C5634" s="127"/>
      <c r="E5634" s="430"/>
      <c r="F5634" s="432"/>
      <c r="G5634" s="432"/>
      <c r="H5634" s="443"/>
      <c r="I5634" s="432"/>
      <c r="J5634" s="443"/>
      <c r="K5634" s="444"/>
      <c r="M5634" s="431"/>
    </row>
    <row r="5635" spans="2:13">
      <c r="B5635" s="127"/>
      <c r="C5635" s="127"/>
      <c r="D5635" s="427"/>
      <c r="E5635" s="427"/>
      <c r="F5635" s="445"/>
      <c r="G5635" s="445"/>
      <c r="H5635" s="446"/>
      <c r="I5635" s="445"/>
      <c r="J5635" s="446"/>
      <c r="K5635" s="447"/>
      <c r="M5635" s="596"/>
    </row>
    <row r="5636" spans="2:13">
      <c r="B5636" s="127"/>
      <c r="C5636" s="127"/>
      <c r="F5636" s="398"/>
      <c r="G5636" s="398"/>
      <c r="H5636" s="398"/>
      <c r="I5636" s="398"/>
      <c r="J5636" s="398"/>
      <c r="K5636" s="398"/>
    </row>
    <row r="5637" spans="2:13">
      <c r="B5637" s="127"/>
      <c r="C5637" s="127"/>
      <c r="D5637" s="427"/>
      <c r="E5637" s="427"/>
      <c r="F5637" s="445"/>
      <c r="G5637" s="445"/>
      <c r="H5637" s="446"/>
      <c r="I5637" s="445"/>
      <c r="J5637" s="446"/>
      <c r="K5637" s="447"/>
      <c r="M5637" s="596"/>
    </row>
    <row r="5638" spans="2:13">
      <c r="B5638" s="127"/>
      <c r="C5638" s="127"/>
    </row>
    <row r="5639" spans="2:13">
      <c r="B5639" s="127"/>
      <c r="C5639" s="127"/>
      <c r="E5639" s="427"/>
    </row>
    <row r="5640" spans="2:13">
      <c r="B5640" s="127"/>
      <c r="C5640" s="127"/>
      <c r="E5640" s="427"/>
    </row>
    <row r="5641" spans="2:13">
      <c r="B5641" s="127"/>
      <c r="C5641" s="127"/>
      <c r="E5641" s="430"/>
      <c r="F5641" s="432"/>
      <c r="G5641" s="432"/>
      <c r="H5641" s="443"/>
      <c r="I5641" s="432"/>
      <c r="J5641" s="443"/>
      <c r="K5641" s="444"/>
      <c r="M5641" s="431"/>
    </row>
    <row r="5642" spans="2:13">
      <c r="B5642" s="127"/>
      <c r="C5642" s="127"/>
      <c r="D5642" s="427"/>
      <c r="E5642" s="427"/>
      <c r="F5642" s="445"/>
      <c r="G5642" s="445"/>
      <c r="H5642" s="446"/>
      <c r="I5642" s="445"/>
      <c r="J5642" s="446"/>
      <c r="K5642" s="447"/>
      <c r="M5642" s="596"/>
    </row>
    <row r="5643" spans="2:13">
      <c r="B5643" s="127"/>
      <c r="C5643" s="127"/>
      <c r="F5643" s="398"/>
      <c r="G5643" s="398"/>
      <c r="H5643" s="398"/>
      <c r="I5643" s="398"/>
      <c r="J5643" s="398"/>
      <c r="K5643" s="398"/>
    </row>
    <row r="5644" spans="2:13">
      <c r="B5644" s="127"/>
      <c r="C5644" s="127"/>
      <c r="D5644" s="427"/>
      <c r="E5644" s="427"/>
      <c r="F5644" s="445"/>
      <c r="G5644" s="445"/>
      <c r="H5644" s="446"/>
      <c r="I5644" s="445"/>
      <c r="J5644" s="446"/>
      <c r="K5644" s="447"/>
      <c r="M5644" s="596"/>
    </row>
    <row r="5645" spans="2:13">
      <c r="B5645" s="127"/>
      <c r="C5645" s="127"/>
    </row>
    <row r="5646" spans="2:13">
      <c r="B5646" s="127"/>
      <c r="C5646" s="127"/>
      <c r="E5646" s="427"/>
    </row>
    <row r="5647" spans="2:13">
      <c r="B5647" s="127"/>
      <c r="C5647" s="127"/>
      <c r="E5647" s="427"/>
    </row>
    <row r="5648" spans="2:13">
      <c r="B5648" s="127"/>
      <c r="C5648" s="127"/>
      <c r="E5648" s="430"/>
      <c r="F5648" s="432"/>
      <c r="G5648" s="432"/>
      <c r="H5648" s="443"/>
      <c r="I5648" s="432"/>
      <c r="J5648" s="443"/>
      <c r="K5648" s="444"/>
      <c r="M5648" s="431"/>
    </row>
    <row r="5649" spans="2:13">
      <c r="B5649" s="127"/>
      <c r="C5649" s="127"/>
      <c r="D5649" s="427"/>
      <c r="E5649" s="427"/>
      <c r="F5649" s="445"/>
      <c r="G5649" s="445"/>
      <c r="H5649" s="446"/>
      <c r="I5649" s="445"/>
      <c r="J5649" s="446"/>
      <c r="K5649" s="447"/>
      <c r="M5649" s="596"/>
    </row>
    <row r="5650" spans="2:13">
      <c r="B5650" s="127"/>
      <c r="C5650" s="127"/>
      <c r="F5650" s="398"/>
      <c r="G5650" s="398"/>
      <c r="H5650" s="398"/>
      <c r="I5650" s="398"/>
      <c r="J5650" s="398"/>
      <c r="K5650" s="398"/>
    </row>
    <row r="5651" spans="2:13">
      <c r="B5651" s="127"/>
      <c r="C5651" s="127"/>
      <c r="D5651" s="427"/>
      <c r="E5651" s="427"/>
      <c r="F5651" s="445"/>
      <c r="G5651" s="445"/>
      <c r="H5651" s="446"/>
      <c r="I5651" s="445"/>
      <c r="J5651" s="446"/>
      <c r="K5651" s="447"/>
      <c r="M5651" s="596"/>
    </row>
    <row r="5652" spans="2:13">
      <c r="B5652" s="127"/>
      <c r="C5652" s="127"/>
      <c r="F5652" s="398"/>
      <c r="G5652" s="398"/>
      <c r="H5652" s="398"/>
      <c r="I5652" s="398"/>
      <c r="J5652" s="398"/>
      <c r="K5652" s="398"/>
    </row>
    <row r="5653" spans="2:13">
      <c r="B5653" s="127"/>
      <c r="C5653" s="127"/>
      <c r="D5653" s="427"/>
      <c r="E5653" s="427"/>
      <c r="F5653" s="445"/>
      <c r="G5653" s="445"/>
      <c r="H5653" s="446"/>
      <c r="I5653" s="445"/>
      <c r="J5653" s="446"/>
      <c r="K5653" s="447"/>
      <c r="M5653" s="596"/>
    </row>
    <row r="5654" spans="2:13">
      <c r="B5654" s="127"/>
      <c r="C5654" s="127"/>
      <c r="F5654" s="398"/>
      <c r="G5654" s="398"/>
      <c r="H5654" s="398"/>
      <c r="I5654" s="398"/>
      <c r="J5654" s="398"/>
      <c r="K5654" s="398"/>
    </row>
    <row r="5655" spans="2:13">
      <c r="B5655" s="127"/>
      <c r="C5655" s="127"/>
      <c r="D5655" s="427"/>
      <c r="E5655" s="427"/>
      <c r="F5655" s="445"/>
      <c r="G5655" s="445"/>
      <c r="H5655" s="446"/>
      <c r="I5655" s="445"/>
      <c r="J5655" s="446"/>
      <c r="K5655" s="447"/>
      <c r="M5655" s="596"/>
    </row>
    <row r="5656" spans="2:13">
      <c r="B5656" s="127"/>
      <c r="C5656" s="127"/>
    </row>
    <row r="5657" spans="2:13">
      <c r="B5657" s="127"/>
      <c r="C5657" s="127"/>
      <c r="D5657" s="427"/>
      <c r="E5657" s="427"/>
    </row>
    <row r="5658" spans="2:13">
      <c r="B5658" s="127"/>
      <c r="C5658" s="127"/>
      <c r="E5658" s="427"/>
    </row>
    <row r="5659" spans="2:13">
      <c r="B5659" s="127"/>
      <c r="C5659" s="127"/>
      <c r="E5659" s="427"/>
    </row>
    <row r="5660" spans="2:13">
      <c r="B5660" s="127"/>
      <c r="C5660" s="127"/>
      <c r="E5660" s="427"/>
    </row>
    <row r="5661" spans="2:13">
      <c r="B5661" s="127"/>
      <c r="C5661" s="127"/>
      <c r="E5661" s="430"/>
      <c r="F5661" s="432"/>
      <c r="G5661" s="432"/>
      <c r="H5661" s="443"/>
      <c r="I5661" s="432"/>
      <c r="J5661" s="443"/>
      <c r="K5661" s="444"/>
      <c r="M5661" s="431"/>
    </row>
    <row r="5662" spans="2:13">
      <c r="B5662" s="127"/>
      <c r="C5662" s="127"/>
      <c r="D5662" s="427"/>
      <c r="E5662" s="427"/>
      <c r="F5662" s="445"/>
      <c r="G5662" s="445"/>
      <c r="H5662" s="446"/>
      <c r="I5662" s="445"/>
      <c r="J5662" s="446"/>
      <c r="K5662" s="447"/>
      <c r="M5662" s="596"/>
    </row>
    <row r="5663" spans="2:13">
      <c r="B5663" s="127"/>
      <c r="C5663" s="127"/>
      <c r="F5663" s="398"/>
      <c r="G5663" s="398"/>
      <c r="H5663" s="398"/>
      <c r="I5663" s="398"/>
      <c r="J5663" s="398"/>
      <c r="K5663" s="398"/>
    </row>
    <row r="5664" spans="2:13">
      <c r="B5664" s="127"/>
      <c r="C5664" s="127"/>
      <c r="D5664" s="427"/>
      <c r="E5664" s="427"/>
      <c r="F5664" s="445"/>
      <c r="G5664" s="445"/>
      <c r="H5664" s="446"/>
      <c r="I5664" s="445"/>
      <c r="J5664" s="446"/>
      <c r="K5664" s="447"/>
      <c r="M5664" s="596"/>
    </row>
    <row r="5665" spans="2:13">
      <c r="B5665" s="127"/>
      <c r="C5665" s="127"/>
      <c r="F5665" s="398"/>
      <c r="G5665" s="398"/>
      <c r="H5665" s="398"/>
      <c r="I5665" s="398"/>
      <c r="J5665" s="398"/>
      <c r="K5665" s="398"/>
    </row>
    <row r="5666" spans="2:13">
      <c r="B5666" s="127"/>
      <c r="C5666" s="127"/>
      <c r="D5666" s="427"/>
      <c r="E5666" s="427"/>
      <c r="F5666" s="445"/>
      <c r="G5666" s="445"/>
      <c r="H5666" s="446"/>
      <c r="I5666" s="445"/>
      <c r="J5666" s="446"/>
      <c r="K5666" s="447"/>
      <c r="M5666" s="596"/>
    </row>
    <row r="5667" spans="2:13">
      <c r="B5667" s="127"/>
      <c r="C5667" s="127"/>
    </row>
    <row r="5668" spans="2:13">
      <c r="B5668" s="127"/>
      <c r="C5668" s="127"/>
      <c r="E5668" s="427"/>
    </row>
    <row r="5669" spans="2:13">
      <c r="B5669" s="127"/>
      <c r="C5669" s="127"/>
      <c r="E5669" s="427"/>
    </row>
    <row r="5670" spans="2:13">
      <c r="B5670" s="127"/>
      <c r="C5670" s="127"/>
      <c r="E5670" s="427"/>
    </row>
    <row r="5671" spans="2:13">
      <c r="B5671" s="127"/>
      <c r="C5671" s="127"/>
      <c r="E5671" s="430"/>
      <c r="F5671" s="431"/>
      <c r="G5671" s="431"/>
      <c r="H5671" s="436"/>
      <c r="I5671" s="431"/>
      <c r="J5671" s="436"/>
      <c r="K5671" s="437"/>
      <c r="M5671" s="431"/>
    </row>
    <row r="5672" spans="2:13">
      <c r="B5672" s="127"/>
      <c r="C5672" s="127"/>
      <c r="E5672" s="430"/>
      <c r="F5672" s="431"/>
      <c r="G5672" s="431"/>
      <c r="H5672" s="436"/>
      <c r="I5672" s="431"/>
      <c r="J5672" s="436"/>
      <c r="K5672" s="437"/>
      <c r="M5672" s="431"/>
    </row>
    <row r="5673" spans="2:13">
      <c r="B5673" s="127"/>
      <c r="C5673" s="127"/>
      <c r="E5673" s="430"/>
      <c r="F5673" s="431"/>
      <c r="G5673" s="431"/>
      <c r="H5673" s="436"/>
      <c r="I5673" s="431"/>
      <c r="J5673" s="436"/>
      <c r="K5673" s="437"/>
      <c r="M5673" s="431"/>
    </row>
    <row r="5674" spans="2:13">
      <c r="B5674" s="127"/>
      <c r="C5674" s="127"/>
      <c r="E5674" s="430"/>
      <c r="F5674" s="431"/>
      <c r="G5674" s="431"/>
      <c r="H5674" s="436"/>
      <c r="I5674" s="431"/>
      <c r="J5674" s="436"/>
      <c r="K5674" s="437"/>
      <c r="M5674" s="431"/>
    </row>
    <row r="5675" spans="2:13">
      <c r="B5675" s="127"/>
      <c r="C5675" s="127"/>
      <c r="E5675" s="430"/>
      <c r="F5675" s="432"/>
      <c r="G5675" s="432"/>
      <c r="H5675" s="443"/>
      <c r="I5675" s="432"/>
      <c r="J5675" s="443"/>
      <c r="K5675" s="444"/>
      <c r="M5675" s="431"/>
    </row>
    <row r="5676" spans="2:13">
      <c r="B5676" s="127"/>
      <c r="C5676" s="127"/>
      <c r="D5676" s="427"/>
      <c r="E5676" s="427"/>
      <c r="F5676" s="445"/>
      <c r="G5676" s="445"/>
      <c r="H5676" s="446"/>
      <c r="I5676" s="445"/>
      <c r="J5676" s="446"/>
      <c r="K5676" s="447"/>
      <c r="M5676" s="596"/>
    </row>
    <row r="5677" spans="2:13">
      <c r="B5677" s="127"/>
      <c r="C5677" s="127"/>
      <c r="F5677" s="398"/>
      <c r="G5677" s="398"/>
      <c r="H5677" s="398"/>
      <c r="I5677" s="398"/>
      <c r="J5677" s="398"/>
      <c r="K5677" s="398"/>
    </row>
    <row r="5678" spans="2:13">
      <c r="B5678" s="127"/>
      <c r="C5678" s="127"/>
      <c r="D5678" s="427"/>
      <c r="E5678" s="427"/>
      <c r="F5678" s="445"/>
      <c r="G5678" s="445"/>
      <c r="H5678" s="446"/>
      <c r="I5678" s="445"/>
      <c r="J5678" s="446"/>
      <c r="K5678" s="447"/>
      <c r="M5678" s="596"/>
    </row>
    <row r="5679" spans="2:13">
      <c r="B5679" s="127"/>
      <c r="C5679" s="127"/>
    </row>
    <row r="5680" spans="2:13">
      <c r="B5680" s="127"/>
      <c r="C5680" s="127"/>
      <c r="E5680" s="427"/>
    </row>
    <row r="5681" spans="2:13">
      <c r="B5681" s="127"/>
      <c r="C5681" s="127"/>
      <c r="E5681" s="427"/>
    </row>
    <row r="5682" spans="2:13">
      <c r="B5682" s="127"/>
      <c r="C5682" s="127"/>
      <c r="E5682" s="430"/>
      <c r="F5682" s="431"/>
      <c r="G5682" s="431"/>
      <c r="H5682" s="436"/>
      <c r="I5682" s="431"/>
      <c r="J5682" s="436"/>
      <c r="K5682" s="437"/>
      <c r="M5682" s="431"/>
    </row>
    <row r="5683" spans="2:13">
      <c r="B5683" s="127"/>
      <c r="C5683" s="127"/>
      <c r="E5683" s="430"/>
      <c r="F5683" s="431"/>
      <c r="G5683" s="431"/>
      <c r="H5683" s="436"/>
      <c r="I5683" s="431"/>
      <c r="J5683" s="436"/>
      <c r="K5683" s="437"/>
      <c r="M5683" s="431"/>
    </row>
    <row r="5684" spans="2:13">
      <c r="B5684" s="127"/>
      <c r="C5684" s="127"/>
      <c r="E5684" s="430"/>
      <c r="F5684" s="431"/>
      <c r="G5684" s="431"/>
      <c r="H5684" s="436"/>
      <c r="I5684" s="431"/>
      <c r="J5684" s="436"/>
      <c r="K5684" s="437"/>
      <c r="M5684" s="431"/>
    </row>
    <row r="5685" spans="2:13">
      <c r="B5685" s="127"/>
      <c r="C5685" s="127"/>
      <c r="E5685" s="430"/>
      <c r="F5685" s="432"/>
      <c r="G5685" s="432"/>
      <c r="H5685" s="443"/>
      <c r="I5685" s="432"/>
      <c r="J5685" s="443"/>
      <c r="K5685" s="444"/>
      <c r="M5685" s="431"/>
    </row>
    <row r="5686" spans="2:13">
      <c r="B5686" s="127"/>
      <c r="C5686" s="127"/>
      <c r="D5686" s="427"/>
      <c r="E5686" s="427"/>
      <c r="F5686" s="445"/>
      <c r="G5686" s="445"/>
      <c r="H5686" s="446"/>
      <c r="I5686" s="445"/>
      <c r="J5686" s="446"/>
      <c r="K5686" s="447"/>
      <c r="M5686" s="596"/>
    </row>
    <row r="5687" spans="2:13">
      <c r="B5687" s="127"/>
      <c r="C5687" s="127"/>
    </row>
    <row r="5688" spans="2:13">
      <c r="B5688" s="127"/>
      <c r="C5688" s="127"/>
      <c r="E5688" s="427"/>
    </row>
    <row r="5689" spans="2:13">
      <c r="B5689" s="127"/>
      <c r="C5689" s="127"/>
      <c r="E5689" s="430"/>
      <c r="F5689" s="431"/>
      <c r="G5689" s="431"/>
      <c r="H5689" s="436"/>
      <c r="I5689" s="431"/>
      <c r="J5689" s="436"/>
      <c r="K5689" s="437"/>
      <c r="M5689" s="431"/>
    </row>
    <row r="5690" spans="2:13">
      <c r="B5690" s="127"/>
      <c r="C5690" s="127"/>
      <c r="E5690" s="430"/>
      <c r="F5690" s="431"/>
      <c r="G5690" s="431"/>
      <c r="H5690" s="436"/>
      <c r="I5690" s="431"/>
      <c r="J5690" s="436"/>
      <c r="K5690" s="437"/>
      <c r="M5690" s="431"/>
    </row>
    <row r="5691" spans="2:13">
      <c r="B5691" s="127"/>
      <c r="C5691" s="127"/>
      <c r="E5691" s="430"/>
      <c r="F5691" s="431"/>
      <c r="G5691" s="431"/>
      <c r="H5691" s="436"/>
      <c r="I5691" s="431"/>
      <c r="J5691" s="436"/>
      <c r="K5691" s="437"/>
      <c r="M5691" s="431"/>
    </row>
    <row r="5692" spans="2:13">
      <c r="B5692" s="127"/>
      <c r="C5692" s="127"/>
      <c r="E5692" s="430"/>
      <c r="F5692" s="432"/>
      <c r="G5692" s="432"/>
      <c r="H5692" s="443"/>
      <c r="I5692" s="432"/>
      <c r="J5692" s="443"/>
      <c r="K5692" s="444"/>
      <c r="M5692" s="431"/>
    </row>
    <row r="5693" spans="2:13">
      <c r="B5693" s="127"/>
      <c r="C5693" s="127"/>
      <c r="D5693" s="427"/>
      <c r="E5693" s="427"/>
      <c r="F5693" s="445"/>
      <c r="G5693" s="445"/>
      <c r="H5693" s="446"/>
      <c r="I5693" s="445"/>
      <c r="J5693" s="446"/>
      <c r="K5693" s="447"/>
      <c r="M5693" s="596"/>
    </row>
    <row r="5694" spans="2:13">
      <c r="B5694" s="127"/>
      <c r="C5694" s="127"/>
      <c r="F5694" s="398"/>
      <c r="G5694" s="398"/>
      <c r="H5694" s="398"/>
      <c r="I5694" s="398"/>
      <c r="J5694" s="398"/>
      <c r="K5694" s="398"/>
    </row>
    <row r="5695" spans="2:13">
      <c r="B5695" s="127"/>
      <c r="C5695" s="127"/>
      <c r="D5695" s="427"/>
      <c r="E5695" s="427"/>
      <c r="F5695" s="445"/>
      <c r="G5695" s="445"/>
      <c r="H5695" s="446"/>
      <c r="I5695" s="445"/>
      <c r="J5695" s="446"/>
      <c r="K5695" s="447"/>
      <c r="M5695" s="596"/>
    </row>
    <row r="5696" spans="2:13">
      <c r="B5696" s="127"/>
      <c r="C5696" s="127"/>
    </row>
    <row r="5697" spans="2:13">
      <c r="B5697" s="127"/>
      <c r="C5697" s="127"/>
    </row>
    <row r="5698" spans="2:13">
      <c r="B5698" s="127"/>
      <c r="C5698" s="127"/>
      <c r="D5698" s="438"/>
      <c r="E5698" s="438"/>
      <c r="F5698" s="438"/>
      <c r="G5698" s="438"/>
      <c r="H5698" s="438"/>
      <c r="I5698" s="438"/>
      <c r="J5698" s="438"/>
      <c r="K5698" s="438"/>
      <c r="M5698" s="597"/>
    </row>
    <row r="5699" spans="2:13">
      <c r="B5699" s="127"/>
      <c r="C5699" s="127"/>
      <c r="D5699" s="454"/>
      <c r="E5699" s="454"/>
      <c r="F5699" s="399"/>
      <c r="G5699" s="399"/>
      <c r="H5699" s="399"/>
      <c r="I5699" s="399"/>
      <c r="J5699" s="454"/>
      <c r="K5699" s="454"/>
    </row>
    <row r="5700" spans="2:13">
      <c r="B5700" s="127"/>
      <c r="C5700" s="127"/>
      <c r="D5700" s="455"/>
      <c r="E5700" s="455"/>
      <c r="F5700" s="455"/>
      <c r="H5700" s="455"/>
      <c r="I5700" s="455"/>
      <c r="J5700" s="455"/>
      <c r="K5700" s="455"/>
      <c r="M5700" s="455"/>
    </row>
    <row r="5701" spans="2:13">
      <c r="B5701" s="127"/>
      <c r="C5701" s="127"/>
    </row>
    <row r="5702" spans="2:13">
      <c r="B5702" s="127"/>
      <c r="C5702" s="127"/>
      <c r="J5702" s="428"/>
    </row>
    <row r="5703" spans="2:13">
      <c r="B5703" s="127"/>
      <c r="C5703" s="127"/>
      <c r="F5703" s="428"/>
      <c r="G5703" s="428"/>
      <c r="H5703" s="428"/>
      <c r="I5703" s="428"/>
      <c r="J5703" s="428"/>
      <c r="K5703" s="428"/>
      <c r="M5703" s="428"/>
    </row>
    <row r="5704" spans="2:13">
      <c r="B5704" s="127"/>
      <c r="C5704" s="127"/>
      <c r="E5704" s="453"/>
      <c r="F5704" s="428"/>
      <c r="G5704" s="428"/>
      <c r="H5704" s="428"/>
      <c r="I5704" s="428"/>
      <c r="J5704" s="428"/>
      <c r="K5704" s="428"/>
      <c r="M5704" s="428"/>
    </row>
    <row r="5705" spans="2:13">
      <c r="B5705" s="127"/>
      <c r="C5705" s="127"/>
    </row>
    <row r="5706" spans="2:13">
      <c r="B5706" s="127"/>
      <c r="C5706" s="127"/>
      <c r="E5706" s="427"/>
    </row>
    <row r="5707" spans="2:13">
      <c r="B5707" s="127"/>
      <c r="C5707" s="127"/>
      <c r="E5707" s="427"/>
    </row>
    <row r="5708" spans="2:13">
      <c r="B5708" s="127"/>
      <c r="C5708" s="127"/>
      <c r="E5708" s="430"/>
      <c r="F5708" s="431"/>
      <c r="G5708" s="431"/>
      <c r="H5708" s="436"/>
      <c r="I5708" s="431"/>
      <c r="J5708" s="436"/>
      <c r="K5708" s="437"/>
      <c r="M5708" s="431"/>
    </row>
    <row r="5709" spans="2:13">
      <c r="B5709" s="127"/>
      <c r="C5709" s="127"/>
      <c r="E5709" s="430"/>
      <c r="F5709" s="431"/>
      <c r="G5709" s="431"/>
      <c r="H5709" s="436"/>
      <c r="I5709" s="431"/>
      <c r="J5709" s="436"/>
      <c r="K5709" s="437"/>
      <c r="M5709" s="431"/>
    </row>
    <row r="5710" spans="2:13">
      <c r="B5710" s="127"/>
      <c r="C5710" s="127"/>
      <c r="E5710" s="430"/>
      <c r="F5710" s="431"/>
      <c r="G5710" s="431"/>
      <c r="H5710" s="436"/>
      <c r="I5710" s="431"/>
      <c r="J5710" s="436"/>
      <c r="K5710" s="437"/>
      <c r="M5710" s="431"/>
    </row>
    <row r="5711" spans="2:13">
      <c r="B5711" s="127"/>
      <c r="C5711" s="127"/>
      <c r="E5711" s="430"/>
      <c r="F5711" s="431"/>
      <c r="G5711" s="431"/>
      <c r="H5711" s="436"/>
      <c r="I5711" s="431"/>
      <c r="J5711" s="436"/>
      <c r="K5711" s="437"/>
      <c r="M5711" s="431"/>
    </row>
    <row r="5712" spans="2:13">
      <c r="B5712" s="127"/>
      <c r="C5712" s="127"/>
      <c r="E5712" s="430"/>
      <c r="F5712" s="432"/>
      <c r="G5712" s="432"/>
      <c r="H5712" s="443"/>
      <c r="I5712" s="432"/>
      <c r="J5712" s="443"/>
      <c r="K5712" s="444"/>
      <c r="M5712" s="431"/>
    </row>
    <row r="5713" spans="2:13">
      <c r="B5713" s="127"/>
      <c r="C5713" s="127"/>
      <c r="D5713" s="427"/>
      <c r="E5713" s="427"/>
      <c r="F5713" s="445"/>
      <c r="G5713" s="445"/>
      <c r="H5713" s="446"/>
      <c r="I5713" s="445"/>
      <c r="J5713" s="446"/>
      <c r="K5713" s="447"/>
      <c r="M5713" s="596"/>
    </row>
    <row r="5714" spans="2:13">
      <c r="B5714" s="127"/>
      <c r="C5714" s="127"/>
    </row>
    <row r="5715" spans="2:13">
      <c r="B5715" s="127"/>
      <c r="C5715" s="127"/>
      <c r="E5715" s="427"/>
    </row>
    <row r="5716" spans="2:13">
      <c r="B5716" s="127"/>
      <c r="C5716" s="127"/>
      <c r="E5716" s="430"/>
      <c r="F5716" s="431"/>
      <c r="G5716" s="431"/>
      <c r="H5716" s="436"/>
      <c r="I5716" s="431"/>
      <c r="J5716" s="436"/>
      <c r="K5716" s="437"/>
      <c r="M5716" s="431"/>
    </row>
    <row r="5717" spans="2:13">
      <c r="B5717" s="127"/>
      <c r="C5717" s="127"/>
      <c r="E5717" s="430"/>
      <c r="F5717" s="431"/>
      <c r="G5717" s="431"/>
      <c r="H5717" s="436"/>
      <c r="I5717" s="431"/>
      <c r="J5717" s="436"/>
      <c r="K5717" s="437"/>
      <c r="M5717" s="431"/>
    </row>
    <row r="5718" spans="2:13">
      <c r="B5718" s="127"/>
      <c r="C5718" s="127"/>
      <c r="E5718" s="430"/>
      <c r="F5718" s="431"/>
      <c r="G5718" s="431"/>
      <c r="H5718" s="436"/>
      <c r="I5718" s="431"/>
      <c r="J5718" s="436"/>
      <c r="K5718" s="437"/>
      <c r="M5718" s="431"/>
    </row>
    <row r="5719" spans="2:13">
      <c r="B5719" s="127"/>
      <c r="C5719" s="127"/>
      <c r="E5719" s="430"/>
      <c r="F5719" s="431"/>
      <c r="G5719" s="431"/>
      <c r="H5719" s="436"/>
      <c r="I5719" s="431"/>
      <c r="J5719" s="436"/>
      <c r="K5719" s="437"/>
      <c r="M5719" s="431"/>
    </row>
    <row r="5720" spans="2:13">
      <c r="B5720" s="127"/>
      <c r="C5720" s="127"/>
      <c r="E5720" s="430"/>
      <c r="F5720" s="431"/>
      <c r="G5720" s="431"/>
      <c r="H5720" s="436"/>
      <c r="I5720" s="431"/>
      <c r="J5720" s="436"/>
      <c r="K5720" s="437"/>
      <c r="M5720" s="431"/>
    </row>
    <row r="5721" spans="2:13">
      <c r="B5721" s="127"/>
      <c r="C5721" s="127"/>
      <c r="E5721" s="430"/>
      <c r="F5721" s="432"/>
      <c r="G5721" s="432"/>
      <c r="H5721" s="443"/>
      <c r="I5721" s="432"/>
      <c r="J5721" s="443"/>
      <c r="K5721" s="444"/>
      <c r="M5721" s="431"/>
    </row>
    <row r="5722" spans="2:13">
      <c r="B5722" s="127"/>
      <c r="C5722" s="127"/>
      <c r="D5722" s="427"/>
      <c r="E5722" s="427"/>
      <c r="F5722" s="445"/>
      <c r="G5722" s="445"/>
      <c r="H5722" s="446"/>
      <c r="I5722" s="445"/>
      <c r="J5722" s="446"/>
      <c r="K5722" s="447"/>
      <c r="M5722" s="596"/>
    </row>
    <row r="5723" spans="2:13">
      <c r="B5723" s="127"/>
      <c r="C5723" s="127"/>
      <c r="F5723" s="398"/>
      <c r="G5723" s="398"/>
      <c r="H5723" s="398"/>
      <c r="I5723" s="398"/>
      <c r="J5723" s="398"/>
      <c r="K5723" s="398"/>
    </row>
    <row r="5724" spans="2:13">
      <c r="B5724" s="127"/>
      <c r="C5724" s="127"/>
      <c r="D5724" s="427"/>
      <c r="E5724" s="427"/>
      <c r="F5724" s="445"/>
      <c r="G5724" s="445"/>
      <c r="H5724" s="446"/>
      <c r="I5724" s="445"/>
      <c r="J5724" s="446"/>
      <c r="K5724" s="447"/>
      <c r="M5724" s="596"/>
    </row>
    <row r="5725" spans="2:13">
      <c r="B5725" s="127"/>
      <c r="C5725" s="127"/>
    </row>
    <row r="5726" spans="2:13">
      <c r="B5726" s="127"/>
      <c r="C5726" s="127"/>
      <c r="E5726" s="427"/>
    </row>
    <row r="5727" spans="2:13">
      <c r="B5727" s="127"/>
      <c r="C5727" s="127"/>
      <c r="E5727" s="427"/>
    </row>
    <row r="5728" spans="2:13">
      <c r="B5728" s="127"/>
      <c r="C5728" s="127"/>
      <c r="E5728" s="430"/>
      <c r="F5728" s="431"/>
      <c r="G5728" s="431"/>
      <c r="H5728" s="436"/>
      <c r="I5728" s="431"/>
      <c r="J5728" s="436"/>
      <c r="K5728" s="437"/>
      <c r="M5728" s="431"/>
    </row>
    <row r="5729" spans="2:13">
      <c r="B5729" s="127"/>
      <c r="C5729" s="127"/>
      <c r="E5729" s="430"/>
      <c r="F5729" s="431"/>
      <c r="G5729" s="431"/>
      <c r="H5729" s="436"/>
      <c r="I5729" s="431"/>
      <c r="J5729" s="436"/>
      <c r="K5729" s="437"/>
      <c r="M5729" s="431"/>
    </row>
    <row r="5730" spans="2:13">
      <c r="B5730" s="127"/>
      <c r="C5730" s="127"/>
      <c r="E5730" s="430"/>
      <c r="F5730" s="431"/>
      <c r="G5730" s="431"/>
      <c r="H5730" s="436"/>
      <c r="I5730" s="431"/>
      <c r="J5730" s="436"/>
      <c r="K5730" s="437"/>
      <c r="M5730" s="431"/>
    </row>
    <row r="5731" spans="2:13">
      <c r="B5731" s="127"/>
      <c r="C5731" s="127"/>
      <c r="E5731" s="430"/>
      <c r="F5731" s="431"/>
      <c r="G5731" s="431"/>
      <c r="H5731" s="436"/>
      <c r="I5731" s="431"/>
      <c r="J5731" s="436"/>
      <c r="K5731" s="437"/>
      <c r="M5731" s="431"/>
    </row>
    <row r="5732" spans="2:13">
      <c r="B5732" s="127"/>
      <c r="C5732" s="127"/>
      <c r="E5732" s="430"/>
      <c r="F5732" s="431"/>
      <c r="G5732" s="431"/>
      <c r="H5732" s="436"/>
      <c r="I5732" s="431"/>
      <c r="J5732" s="436"/>
      <c r="K5732" s="437"/>
      <c r="M5732" s="431"/>
    </row>
    <row r="5733" spans="2:13">
      <c r="B5733" s="127"/>
      <c r="C5733" s="127"/>
      <c r="E5733" s="430"/>
      <c r="F5733" s="432"/>
      <c r="G5733" s="432"/>
      <c r="H5733" s="443"/>
      <c r="I5733" s="432"/>
      <c r="J5733" s="443"/>
      <c r="K5733" s="444"/>
      <c r="M5733" s="431"/>
    </row>
    <row r="5734" spans="2:13">
      <c r="B5734" s="127"/>
      <c r="C5734" s="127"/>
      <c r="D5734" s="427"/>
      <c r="E5734" s="427"/>
      <c r="F5734" s="445"/>
      <c r="G5734" s="445"/>
      <c r="H5734" s="446"/>
      <c r="I5734" s="445"/>
      <c r="J5734" s="446"/>
      <c r="K5734" s="447"/>
      <c r="M5734" s="596"/>
    </row>
    <row r="5735" spans="2:13">
      <c r="B5735" s="127"/>
      <c r="C5735" s="127"/>
    </row>
    <row r="5736" spans="2:13">
      <c r="B5736" s="127"/>
      <c r="C5736" s="127"/>
      <c r="E5736" s="427"/>
    </row>
    <row r="5737" spans="2:13">
      <c r="B5737" s="127"/>
      <c r="C5737" s="127"/>
      <c r="E5737" s="430"/>
      <c r="F5737" s="432"/>
      <c r="G5737" s="432"/>
      <c r="H5737" s="443"/>
      <c r="I5737" s="432"/>
      <c r="J5737" s="443"/>
      <c r="K5737" s="444"/>
      <c r="M5737" s="431"/>
    </row>
    <row r="5738" spans="2:13">
      <c r="B5738" s="127"/>
      <c r="C5738" s="127"/>
      <c r="D5738" s="427"/>
      <c r="E5738" s="427"/>
      <c r="F5738" s="445"/>
      <c r="G5738" s="445"/>
      <c r="H5738" s="446"/>
      <c r="I5738" s="445"/>
      <c r="J5738" s="446"/>
      <c r="K5738" s="447"/>
      <c r="M5738" s="596"/>
    </row>
    <row r="5739" spans="2:13">
      <c r="B5739" s="127"/>
      <c r="C5739" s="127"/>
      <c r="F5739" s="398"/>
      <c r="G5739" s="398"/>
      <c r="H5739" s="398"/>
      <c r="I5739" s="398"/>
      <c r="J5739" s="398"/>
      <c r="K5739" s="398"/>
    </row>
    <row r="5740" spans="2:13">
      <c r="B5740" s="127"/>
      <c r="C5740" s="127"/>
      <c r="D5740" s="427"/>
      <c r="E5740" s="427"/>
      <c r="F5740" s="445"/>
      <c r="G5740" s="445"/>
      <c r="H5740" s="446"/>
      <c r="I5740" s="445"/>
      <c r="J5740" s="446"/>
      <c r="K5740" s="447"/>
      <c r="M5740" s="596"/>
    </row>
    <row r="5741" spans="2:13">
      <c r="B5741" s="127"/>
      <c r="C5741" s="127"/>
    </row>
    <row r="5742" spans="2:13">
      <c r="B5742" s="127"/>
      <c r="C5742" s="127"/>
      <c r="E5742" s="427"/>
    </row>
    <row r="5743" spans="2:13">
      <c r="B5743" s="127"/>
      <c r="C5743" s="127"/>
      <c r="E5743" s="427"/>
    </row>
    <row r="5744" spans="2:13">
      <c r="B5744" s="127"/>
      <c r="C5744" s="127"/>
      <c r="E5744" s="430"/>
      <c r="F5744" s="431"/>
      <c r="G5744" s="431"/>
      <c r="H5744" s="436"/>
      <c r="I5744" s="431"/>
      <c r="J5744" s="436"/>
      <c r="K5744" s="437"/>
      <c r="M5744" s="431"/>
    </row>
    <row r="5745" spans="2:13">
      <c r="B5745" s="127"/>
      <c r="C5745" s="127"/>
      <c r="E5745" s="430"/>
      <c r="F5745" s="431"/>
      <c r="G5745" s="431"/>
      <c r="H5745" s="436"/>
      <c r="I5745" s="431"/>
      <c r="J5745" s="436"/>
      <c r="K5745" s="437"/>
      <c r="M5745" s="431"/>
    </row>
    <row r="5746" spans="2:13">
      <c r="B5746" s="127"/>
      <c r="C5746" s="127"/>
      <c r="E5746" s="430"/>
      <c r="F5746" s="431"/>
      <c r="G5746" s="431"/>
      <c r="H5746" s="436"/>
      <c r="I5746" s="431"/>
      <c r="J5746" s="436"/>
      <c r="K5746" s="437"/>
      <c r="M5746" s="431"/>
    </row>
    <row r="5747" spans="2:13">
      <c r="B5747" s="127"/>
      <c r="C5747" s="127"/>
      <c r="E5747" s="430"/>
      <c r="F5747" s="431"/>
      <c r="G5747" s="431"/>
      <c r="H5747" s="436"/>
      <c r="I5747" s="431"/>
      <c r="J5747" s="436"/>
      <c r="K5747" s="437"/>
      <c r="M5747" s="431"/>
    </row>
    <row r="5748" spans="2:13">
      <c r="B5748" s="127"/>
      <c r="C5748" s="127"/>
      <c r="E5748" s="430"/>
      <c r="F5748" s="431"/>
      <c r="G5748" s="431"/>
      <c r="H5748" s="436"/>
      <c r="I5748" s="431"/>
      <c r="J5748" s="436"/>
      <c r="K5748" s="437"/>
      <c r="M5748" s="431"/>
    </row>
    <row r="5749" spans="2:13">
      <c r="B5749" s="127"/>
      <c r="C5749" s="127"/>
      <c r="E5749" s="430"/>
      <c r="F5749" s="432"/>
      <c r="G5749" s="432"/>
      <c r="H5749" s="443"/>
      <c r="I5749" s="432"/>
      <c r="J5749" s="443"/>
      <c r="K5749" s="444"/>
      <c r="M5749" s="431"/>
    </row>
    <row r="5750" spans="2:13">
      <c r="B5750" s="127"/>
      <c r="C5750" s="127"/>
      <c r="D5750" s="427"/>
      <c r="E5750" s="427"/>
      <c r="F5750" s="445"/>
      <c r="G5750" s="445"/>
      <c r="H5750" s="446"/>
      <c r="I5750" s="445"/>
      <c r="J5750" s="446"/>
      <c r="K5750" s="447"/>
      <c r="M5750" s="596"/>
    </row>
    <row r="5751" spans="2:13">
      <c r="B5751" s="127"/>
      <c r="C5751" s="127"/>
      <c r="F5751" s="398"/>
      <c r="G5751" s="398"/>
      <c r="H5751" s="398"/>
      <c r="I5751" s="398"/>
      <c r="J5751" s="398"/>
      <c r="K5751" s="398"/>
    </row>
    <row r="5752" spans="2:13">
      <c r="B5752" s="127"/>
      <c r="C5752" s="127"/>
      <c r="D5752" s="427"/>
      <c r="E5752" s="427"/>
      <c r="F5752" s="445"/>
      <c r="G5752" s="445"/>
      <c r="H5752" s="446"/>
      <c r="I5752" s="445"/>
      <c r="J5752" s="446"/>
      <c r="K5752" s="447"/>
      <c r="M5752" s="596"/>
    </row>
    <row r="5753" spans="2:13">
      <c r="B5753" s="127"/>
      <c r="C5753" s="127"/>
    </row>
    <row r="5754" spans="2:13">
      <c r="B5754" s="127"/>
      <c r="C5754" s="127"/>
      <c r="E5754" s="427"/>
    </row>
    <row r="5755" spans="2:13">
      <c r="B5755" s="127"/>
      <c r="C5755" s="127"/>
      <c r="E5755" s="427"/>
    </row>
    <row r="5756" spans="2:13">
      <c r="B5756" s="127"/>
      <c r="C5756" s="127"/>
      <c r="E5756" s="430"/>
      <c r="F5756" s="431"/>
      <c r="G5756" s="431"/>
      <c r="H5756" s="436"/>
      <c r="I5756" s="431"/>
      <c r="J5756" s="436"/>
      <c r="K5756" s="437"/>
      <c r="M5756" s="431"/>
    </row>
    <row r="5757" spans="2:13">
      <c r="B5757" s="127"/>
      <c r="C5757" s="127"/>
      <c r="E5757" s="430"/>
      <c r="F5757" s="432"/>
      <c r="G5757" s="432"/>
      <c r="H5757" s="443"/>
      <c r="I5757" s="432"/>
      <c r="J5757" s="443"/>
      <c r="K5757" s="444"/>
      <c r="M5757" s="431"/>
    </row>
    <row r="5758" spans="2:13">
      <c r="B5758" s="127"/>
      <c r="C5758" s="127"/>
      <c r="D5758" s="427"/>
      <c r="E5758" s="427"/>
      <c r="F5758" s="445"/>
      <c r="G5758" s="445"/>
      <c r="H5758" s="446"/>
      <c r="I5758" s="445"/>
      <c r="J5758" s="446"/>
      <c r="K5758" s="447"/>
      <c r="M5758" s="596"/>
    </row>
    <row r="5759" spans="2:13">
      <c r="B5759" s="127"/>
      <c r="C5759" s="127"/>
    </row>
    <row r="5760" spans="2:13">
      <c r="B5760" s="127"/>
      <c r="C5760" s="127"/>
      <c r="E5760" s="427"/>
    </row>
    <row r="5761" spans="2:13">
      <c r="B5761" s="127"/>
      <c r="C5761" s="127"/>
      <c r="E5761" s="430"/>
      <c r="F5761" s="431"/>
      <c r="G5761" s="431"/>
      <c r="H5761" s="436"/>
      <c r="I5761" s="431"/>
      <c r="J5761" s="436"/>
      <c r="K5761" s="437"/>
      <c r="M5761" s="431"/>
    </row>
    <row r="5762" spans="2:13">
      <c r="B5762" s="127"/>
      <c r="C5762" s="127"/>
      <c r="E5762" s="430"/>
      <c r="F5762" s="431"/>
      <c r="G5762" s="431"/>
      <c r="H5762" s="436"/>
      <c r="I5762" s="431"/>
      <c r="J5762" s="436"/>
      <c r="K5762" s="437"/>
      <c r="M5762" s="431"/>
    </row>
    <row r="5763" spans="2:13">
      <c r="B5763" s="127"/>
      <c r="C5763" s="127"/>
      <c r="E5763" s="430"/>
      <c r="F5763" s="432"/>
      <c r="G5763" s="432"/>
      <c r="H5763" s="443"/>
      <c r="I5763" s="432"/>
      <c r="J5763" s="443"/>
      <c r="K5763" s="444"/>
      <c r="M5763" s="431"/>
    </row>
    <row r="5764" spans="2:13">
      <c r="B5764" s="127"/>
      <c r="C5764" s="127"/>
      <c r="D5764" s="427"/>
      <c r="E5764" s="427"/>
      <c r="F5764" s="445"/>
      <c r="G5764" s="445"/>
      <c r="H5764" s="446"/>
      <c r="I5764" s="445"/>
      <c r="J5764" s="446"/>
      <c r="K5764" s="447"/>
      <c r="M5764" s="596"/>
    </row>
    <row r="5765" spans="2:13">
      <c r="B5765" s="127"/>
      <c r="C5765" s="127"/>
      <c r="F5765" s="398"/>
      <c r="G5765" s="398"/>
      <c r="H5765" s="398"/>
      <c r="I5765" s="398"/>
      <c r="J5765" s="398"/>
      <c r="K5765" s="398"/>
    </row>
    <row r="5766" spans="2:13">
      <c r="B5766" s="127"/>
      <c r="C5766" s="127"/>
      <c r="D5766" s="427"/>
      <c r="E5766" s="427"/>
      <c r="F5766" s="445"/>
      <c r="G5766" s="445"/>
      <c r="H5766" s="446"/>
      <c r="I5766" s="445"/>
      <c r="J5766" s="446"/>
      <c r="K5766" s="447"/>
      <c r="M5766" s="596"/>
    </row>
    <row r="5767" spans="2:13">
      <c r="B5767" s="127"/>
      <c r="C5767" s="127"/>
      <c r="F5767" s="398"/>
      <c r="G5767" s="398"/>
      <c r="H5767" s="398"/>
      <c r="I5767" s="398"/>
      <c r="J5767" s="398"/>
      <c r="K5767" s="398"/>
    </row>
    <row r="5768" spans="2:13">
      <c r="B5768" s="127"/>
      <c r="C5768" s="127"/>
      <c r="D5768" s="427"/>
      <c r="E5768" s="427"/>
      <c r="F5768" s="445"/>
      <c r="G5768" s="445"/>
      <c r="H5768" s="446"/>
      <c r="I5768" s="445"/>
      <c r="J5768" s="446"/>
      <c r="K5768" s="447"/>
      <c r="M5768" s="596"/>
    </row>
    <row r="5769" spans="2:13">
      <c r="B5769" s="127"/>
      <c r="C5769" s="127"/>
      <c r="F5769" s="398"/>
      <c r="G5769" s="398"/>
      <c r="H5769" s="398"/>
      <c r="I5769" s="398"/>
      <c r="J5769" s="398"/>
      <c r="K5769" s="398"/>
    </row>
    <row r="5770" spans="2:13">
      <c r="B5770" s="127"/>
      <c r="C5770" s="127"/>
      <c r="D5770" s="427"/>
      <c r="E5770" s="427"/>
      <c r="F5770" s="445"/>
      <c r="G5770" s="445"/>
      <c r="H5770" s="446"/>
      <c r="I5770" s="445"/>
      <c r="J5770" s="446"/>
      <c r="K5770" s="447"/>
      <c r="M5770" s="596"/>
    </row>
    <row r="5771" spans="2:13">
      <c r="B5771" s="127"/>
      <c r="C5771" s="127"/>
    </row>
    <row r="5772" spans="2:13">
      <c r="B5772" s="127"/>
      <c r="C5772" s="127"/>
    </row>
    <row r="5773" spans="2:13">
      <c r="B5773" s="127"/>
      <c r="C5773" s="127"/>
      <c r="D5773" s="438"/>
      <c r="E5773" s="438"/>
      <c r="F5773" s="438"/>
      <c r="G5773" s="438"/>
      <c r="H5773" s="438"/>
      <c r="I5773" s="438"/>
      <c r="J5773" s="438"/>
      <c r="K5773" s="438"/>
      <c r="M5773" s="597"/>
    </row>
    <row r="5774" spans="2:13">
      <c r="B5774" s="127"/>
      <c r="C5774" s="127"/>
      <c r="D5774" s="454"/>
      <c r="E5774" s="454"/>
      <c r="F5774" s="399"/>
      <c r="G5774" s="399"/>
      <c r="H5774" s="399"/>
      <c r="I5774" s="399"/>
      <c r="J5774" s="454"/>
      <c r="K5774" s="454"/>
    </row>
    <row r="5775" spans="2:13">
      <c r="B5775" s="127"/>
      <c r="C5775" s="127"/>
      <c r="D5775" s="455"/>
      <c r="E5775" s="455"/>
      <c r="F5775" s="455"/>
      <c r="H5775" s="455"/>
      <c r="I5775" s="455"/>
      <c r="J5775" s="455"/>
      <c r="K5775" s="455"/>
      <c r="M5775" s="455"/>
    </row>
    <row r="5776" spans="2:13">
      <c r="B5776" s="127"/>
      <c r="C5776" s="127"/>
    </row>
    <row r="5777" spans="2:13">
      <c r="B5777" s="127"/>
      <c r="C5777" s="127"/>
      <c r="J5777" s="428"/>
    </row>
    <row r="5778" spans="2:13">
      <c r="B5778" s="127"/>
      <c r="C5778" s="127"/>
      <c r="F5778" s="428"/>
      <c r="G5778" s="428"/>
      <c r="H5778" s="428"/>
      <c r="I5778" s="428"/>
      <c r="J5778" s="428"/>
      <c r="K5778" s="428"/>
      <c r="M5778" s="428"/>
    </row>
    <row r="5779" spans="2:13">
      <c r="B5779" s="127"/>
      <c r="C5779" s="127"/>
      <c r="E5779" s="453"/>
      <c r="F5779" s="428"/>
      <c r="G5779" s="428"/>
      <c r="H5779" s="428"/>
      <c r="I5779" s="428"/>
      <c r="J5779" s="428"/>
      <c r="K5779" s="428"/>
      <c r="M5779" s="428"/>
    </row>
    <row r="5780" spans="2:13">
      <c r="B5780" s="127"/>
      <c r="C5780" s="127"/>
    </row>
    <row r="5781" spans="2:13">
      <c r="B5781" s="127"/>
      <c r="C5781" s="127"/>
      <c r="D5781" s="427"/>
      <c r="E5781" s="427"/>
    </row>
    <row r="5782" spans="2:13">
      <c r="B5782" s="127"/>
      <c r="C5782" s="127"/>
      <c r="E5782" s="427"/>
    </row>
    <row r="5783" spans="2:13">
      <c r="B5783" s="127"/>
      <c r="C5783" s="127"/>
      <c r="E5783" s="427"/>
    </row>
    <row r="5784" spans="2:13">
      <c r="B5784" s="127"/>
      <c r="C5784" s="127"/>
      <c r="E5784" s="427"/>
    </row>
    <row r="5785" spans="2:13">
      <c r="B5785" s="127"/>
      <c r="C5785" s="127"/>
      <c r="E5785" s="430"/>
      <c r="F5785" s="432"/>
      <c r="G5785" s="432"/>
      <c r="H5785" s="443"/>
      <c r="I5785" s="432"/>
      <c r="J5785" s="443"/>
      <c r="K5785" s="444"/>
      <c r="M5785" s="431"/>
    </row>
    <row r="5786" spans="2:13">
      <c r="B5786" s="127"/>
      <c r="C5786" s="127"/>
      <c r="D5786" s="427"/>
      <c r="E5786" s="427"/>
      <c r="F5786" s="445"/>
      <c r="G5786" s="445"/>
      <c r="H5786" s="446"/>
      <c r="I5786" s="445"/>
      <c r="J5786" s="446"/>
      <c r="K5786" s="447"/>
      <c r="M5786" s="596"/>
    </row>
    <row r="5787" spans="2:13">
      <c r="B5787" s="127"/>
      <c r="C5787" s="127"/>
      <c r="F5787" s="398"/>
      <c r="G5787" s="398"/>
      <c r="H5787" s="398"/>
      <c r="I5787" s="398"/>
      <c r="J5787" s="398"/>
      <c r="K5787" s="398"/>
    </row>
    <row r="5788" spans="2:13">
      <c r="B5788" s="127"/>
      <c r="C5788" s="127"/>
      <c r="D5788" s="427"/>
      <c r="E5788" s="427"/>
      <c r="F5788" s="445"/>
      <c r="G5788" s="445"/>
      <c r="H5788" s="446"/>
      <c r="I5788" s="445"/>
      <c r="J5788" s="446"/>
      <c r="K5788" s="447"/>
      <c r="M5788" s="596"/>
    </row>
    <row r="5789" spans="2:13">
      <c r="B5789" s="127"/>
      <c r="C5789" s="127"/>
      <c r="F5789" s="398"/>
      <c r="G5789" s="398"/>
      <c r="H5789" s="398"/>
      <c r="I5789" s="398"/>
      <c r="J5789" s="398"/>
      <c r="K5789" s="398"/>
    </row>
    <row r="5790" spans="2:13">
      <c r="B5790" s="127"/>
      <c r="C5790" s="127"/>
      <c r="D5790" s="427"/>
      <c r="E5790" s="427"/>
      <c r="F5790" s="445"/>
      <c r="G5790" s="445"/>
      <c r="H5790" s="446"/>
      <c r="I5790" s="445"/>
      <c r="J5790" s="446"/>
      <c r="K5790" s="447"/>
      <c r="M5790" s="596"/>
    </row>
    <row r="5791" spans="2:13">
      <c r="B5791" s="127"/>
      <c r="C5791" s="127"/>
      <c r="F5791" s="398"/>
      <c r="G5791" s="398"/>
      <c r="H5791" s="398"/>
      <c r="I5791" s="398"/>
      <c r="J5791" s="398"/>
      <c r="K5791" s="398"/>
    </row>
    <row r="5792" spans="2:13">
      <c r="B5792" s="127"/>
      <c r="C5792" s="127"/>
      <c r="D5792" s="427"/>
      <c r="E5792" s="427"/>
      <c r="F5792" s="445"/>
      <c r="G5792" s="445"/>
      <c r="H5792" s="446"/>
      <c r="I5792" s="445"/>
      <c r="J5792" s="446"/>
      <c r="K5792" s="447"/>
      <c r="M5792" s="596"/>
    </row>
    <row r="5793" spans="2:13">
      <c r="B5793" s="127"/>
      <c r="C5793" s="127"/>
    </row>
    <row r="5794" spans="2:13">
      <c r="B5794" s="127"/>
      <c r="C5794" s="127"/>
      <c r="D5794" s="427"/>
      <c r="E5794" s="427"/>
    </row>
    <row r="5795" spans="2:13">
      <c r="B5795" s="127"/>
      <c r="C5795" s="127"/>
      <c r="E5795" s="427"/>
    </row>
    <row r="5796" spans="2:13">
      <c r="B5796" s="127"/>
      <c r="C5796" s="127"/>
      <c r="E5796" s="427"/>
    </row>
    <row r="5797" spans="2:13">
      <c r="B5797" s="127"/>
      <c r="C5797" s="127"/>
      <c r="E5797" s="427"/>
    </row>
    <row r="5798" spans="2:13">
      <c r="B5798" s="127"/>
      <c r="C5798" s="127"/>
      <c r="E5798" s="430"/>
      <c r="F5798" s="431"/>
      <c r="G5798" s="431"/>
      <c r="H5798" s="436"/>
      <c r="I5798" s="431"/>
      <c r="J5798" s="436"/>
      <c r="K5798" s="437"/>
      <c r="M5798" s="431"/>
    </row>
    <row r="5799" spans="2:13">
      <c r="B5799" s="127"/>
      <c r="C5799" s="127"/>
      <c r="E5799" s="430"/>
      <c r="F5799" s="432"/>
      <c r="G5799" s="432"/>
      <c r="H5799" s="443"/>
      <c r="I5799" s="432"/>
      <c r="J5799" s="443"/>
      <c r="K5799" s="444"/>
      <c r="M5799" s="431"/>
    </row>
    <row r="5800" spans="2:13">
      <c r="B5800" s="127"/>
      <c r="C5800" s="127"/>
      <c r="D5800" s="427"/>
      <c r="E5800" s="427"/>
      <c r="F5800" s="445"/>
      <c r="G5800" s="445"/>
      <c r="H5800" s="446"/>
      <c r="I5800" s="445"/>
      <c r="J5800" s="446"/>
      <c r="K5800" s="447"/>
      <c r="M5800" s="596"/>
    </row>
    <row r="5801" spans="2:13">
      <c r="B5801" s="127"/>
      <c r="C5801" s="127"/>
      <c r="F5801" s="398"/>
      <c r="G5801" s="398"/>
      <c r="H5801" s="398"/>
      <c r="I5801" s="398"/>
      <c r="J5801" s="398"/>
      <c r="K5801" s="398"/>
    </row>
    <row r="5802" spans="2:13">
      <c r="B5802" s="127"/>
      <c r="C5802" s="127"/>
      <c r="D5802" s="427"/>
      <c r="E5802" s="427"/>
      <c r="F5802" s="445"/>
      <c r="G5802" s="445"/>
      <c r="H5802" s="446"/>
      <c r="I5802" s="445"/>
      <c r="J5802" s="446"/>
      <c r="K5802" s="447"/>
      <c r="M5802" s="596"/>
    </row>
    <row r="5803" spans="2:13">
      <c r="B5803" s="127"/>
      <c r="C5803" s="127"/>
      <c r="F5803" s="398"/>
      <c r="G5803" s="398"/>
      <c r="H5803" s="398"/>
      <c r="I5803" s="398"/>
      <c r="J5803" s="398"/>
      <c r="K5803" s="398"/>
    </row>
    <row r="5804" spans="2:13">
      <c r="B5804" s="127"/>
      <c r="C5804" s="127"/>
      <c r="D5804" s="427"/>
      <c r="E5804" s="427"/>
      <c r="F5804" s="445"/>
      <c r="G5804" s="445"/>
      <c r="H5804" s="446"/>
      <c r="I5804" s="445"/>
      <c r="J5804" s="446"/>
      <c r="K5804" s="447"/>
      <c r="M5804" s="596"/>
    </row>
    <row r="5805" spans="2:13">
      <c r="B5805" s="127"/>
      <c r="C5805" s="127"/>
    </row>
    <row r="5806" spans="2:13">
      <c r="B5806" s="127"/>
      <c r="C5806" s="127"/>
      <c r="E5806" s="427"/>
    </row>
    <row r="5807" spans="2:13">
      <c r="B5807" s="127"/>
      <c r="C5807" s="127"/>
      <c r="E5807" s="427"/>
    </row>
    <row r="5808" spans="2:13">
      <c r="B5808" s="127"/>
      <c r="C5808" s="127"/>
      <c r="E5808" s="427"/>
    </row>
    <row r="5809" spans="2:13">
      <c r="B5809" s="127"/>
      <c r="C5809" s="127"/>
      <c r="E5809" s="430"/>
      <c r="F5809" s="432"/>
      <c r="G5809" s="432"/>
      <c r="H5809" s="443"/>
      <c r="I5809" s="432"/>
      <c r="J5809" s="443"/>
      <c r="K5809" s="444"/>
      <c r="M5809" s="431"/>
    </row>
    <row r="5810" spans="2:13">
      <c r="B5810" s="127"/>
      <c r="C5810" s="127"/>
      <c r="D5810" s="427"/>
      <c r="E5810" s="427"/>
      <c r="F5810" s="445"/>
      <c r="G5810" s="445"/>
      <c r="H5810" s="446"/>
      <c r="I5810" s="445"/>
      <c r="J5810" s="446"/>
      <c r="K5810" s="447"/>
      <c r="M5810" s="596"/>
    </row>
    <row r="5811" spans="2:13">
      <c r="B5811" s="127"/>
      <c r="C5811" s="127"/>
      <c r="F5811" s="398"/>
      <c r="G5811" s="398"/>
      <c r="H5811" s="398"/>
      <c r="I5811" s="398"/>
      <c r="J5811" s="398"/>
      <c r="K5811" s="398"/>
    </row>
    <row r="5812" spans="2:13">
      <c r="B5812" s="127"/>
      <c r="C5812" s="127"/>
      <c r="D5812" s="427"/>
      <c r="E5812" s="427"/>
      <c r="F5812" s="445"/>
      <c r="G5812" s="445"/>
      <c r="H5812" s="446"/>
      <c r="I5812" s="445"/>
      <c r="J5812" s="446"/>
      <c r="K5812" s="447"/>
      <c r="M5812" s="596"/>
    </row>
    <row r="5813" spans="2:13">
      <c r="B5813" s="127"/>
      <c r="C5813" s="127"/>
      <c r="F5813" s="398"/>
      <c r="G5813" s="398"/>
      <c r="H5813" s="398"/>
      <c r="I5813" s="398"/>
      <c r="J5813" s="398"/>
      <c r="K5813" s="398"/>
    </row>
    <row r="5814" spans="2:13">
      <c r="B5814" s="127"/>
      <c r="C5814" s="127"/>
      <c r="D5814" s="427"/>
      <c r="E5814" s="427"/>
      <c r="F5814" s="445"/>
      <c r="G5814" s="445"/>
      <c r="H5814" s="446"/>
      <c r="I5814" s="445"/>
      <c r="J5814" s="446"/>
      <c r="K5814" s="447"/>
      <c r="M5814" s="596"/>
    </row>
    <row r="5815" spans="2:13">
      <c r="B5815" s="127"/>
      <c r="C5815" s="127"/>
      <c r="F5815" s="398"/>
      <c r="G5815" s="398"/>
      <c r="H5815" s="398"/>
      <c r="I5815" s="398"/>
      <c r="J5815" s="398"/>
      <c r="K5815" s="398"/>
    </row>
    <row r="5816" spans="2:13">
      <c r="B5816" s="127"/>
      <c r="C5816" s="127"/>
      <c r="D5816" s="427"/>
      <c r="E5816" s="427"/>
      <c r="F5816" s="445"/>
      <c r="G5816" s="445"/>
      <c r="H5816" s="446"/>
      <c r="I5816" s="445"/>
      <c r="J5816" s="446"/>
      <c r="K5816" s="447"/>
      <c r="M5816" s="596"/>
    </row>
    <row r="5817" spans="2:13">
      <c r="B5817" s="127"/>
      <c r="C5817" s="127"/>
    </row>
    <row r="5818" spans="2:13">
      <c r="B5818" s="127"/>
      <c r="C5818" s="127"/>
      <c r="D5818" s="427"/>
      <c r="E5818" s="427"/>
    </row>
    <row r="5819" spans="2:13">
      <c r="B5819" s="127"/>
      <c r="C5819" s="127"/>
      <c r="E5819" s="427"/>
    </row>
    <row r="5820" spans="2:13">
      <c r="B5820" s="127"/>
      <c r="C5820" s="127"/>
      <c r="E5820" s="427"/>
    </row>
    <row r="5821" spans="2:13">
      <c r="B5821" s="127"/>
      <c r="C5821" s="127"/>
      <c r="E5821" s="427"/>
    </row>
    <row r="5822" spans="2:13">
      <c r="B5822" s="127"/>
      <c r="C5822" s="127"/>
      <c r="E5822" s="430"/>
      <c r="F5822" s="432"/>
      <c r="G5822" s="432"/>
      <c r="H5822" s="443"/>
      <c r="I5822" s="432"/>
      <c r="J5822" s="443"/>
      <c r="K5822" s="444"/>
      <c r="M5822" s="431"/>
    </row>
    <row r="5823" spans="2:13">
      <c r="B5823" s="127"/>
      <c r="C5823" s="127"/>
      <c r="D5823" s="427"/>
      <c r="E5823" s="427"/>
      <c r="F5823" s="445"/>
      <c r="G5823" s="445"/>
      <c r="H5823" s="446"/>
      <c r="I5823" s="445"/>
      <c r="J5823" s="446"/>
      <c r="K5823" s="447"/>
      <c r="M5823" s="596"/>
    </row>
    <row r="5824" spans="2:13">
      <c r="B5824" s="127"/>
      <c r="C5824" s="127"/>
      <c r="F5824" s="398"/>
      <c r="G5824" s="398"/>
      <c r="H5824" s="398"/>
      <c r="I5824" s="398"/>
      <c r="J5824" s="398"/>
      <c r="K5824" s="398"/>
    </row>
    <row r="5825" spans="2:13">
      <c r="B5825" s="127"/>
      <c r="C5825" s="127"/>
      <c r="D5825" s="427"/>
      <c r="E5825" s="427"/>
      <c r="F5825" s="445"/>
      <c r="G5825" s="445"/>
      <c r="H5825" s="446"/>
      <c r="I5825" s="445"/>
      <c r="J5825" s="446"/>
      <c r="K5825" s="447"/>
      <c r="M5825" s="596"/>
    </row>
    <row r="5826" spans="2:13">
      <c r="B5826" s="127"/>
      <c r="C5826" s="127"/>
      <c r="F5826" s="398"/>
      <c r="G5826" s="398"/>
      <c r="H5826" s="398"/>
      <c r="I5826" s="398"/>
      <c r="J5826" s="398"/>
      <c r="K5826" s="398"/>
    </row>
    <row r="5827" spans="2:13">
      <c r="B5827" s="127"/>
      <c r="C5827" s="127"/>
      <c r="D5827" s="427"/>
      <c r="E5827" s="427"/>
      <c r="F5827" s="445"/>
      <c r="G5827" s="445"/>
      <c r="H5827" s="446"/>
      <c r="I5827" s="445"/>
      <c r="J5827" s="446"/>
      <c r="K5827" s="447"/>
      <c r="M5827" s="596"/>
    </row>
    <row r="5828" spans="2:13">
      <c r="B5828" s="127"/>
      <c r="C5828" s="127"/>
      <c r="F5828" s="398"/>
      <c r="G5828" s="398"/>
      <c r="H5828" s="398"/>
      <c r="I5828" s="398"/>
      <c r="J5828" s="398"/>
      <c r="K5828" s="398"/>
    </row>
    <row r="5829" spans="2:13">
      <c r="B5829" s="127"/>
      <c r="C5829" s="127"/>
      <c r="D5829" s="427"/>
      <c r="E5829" s="427"/>
      <c r="F5829" s="445"/>
      <c r="G5829" s="445"/>
      <c r="H5829" s="446"/>
      <c r="I5829" s="445"/>
      <c r="J5829" s="446"/>
      <c r="K5829" s="447"/>
      <c r="M5829" s="596"/>
    </row>
    <row r="5830" spans="2:13">
      <c r="B5830" s="127"/>
      <c r="C5830" s="127"/>
    </row>
    <row r="5831" spans="2:13">
      <c r="B5831" s="127"/>
      <c r="C5831" s="127"/>
      <c r="D5831" s="427"/>
      <c r="E5831" s="427"/>
    </row>
    <row r="5832" spans="2:13">
      <c r="B5832" s="127"/>
      <c r="C5832" s="127"/>
      <c r="E5832" s="427"/>
    </row>
    <row r="5833" spans="2:13">
      <c r="B5833" s="127"/>
      <c r="C5833" s="127"/>
      <c r="E5833" s="427"/>
    </row>
    <row r="5834" spans="2:13">
      <c r="B5834" s="127"/>
      <c r="C5834" s="127"/>
      <c r="E5834" s="427"/>
    </row>
    <row r="5835" spans="2:13">
      <c r="B5835" s="127"/>
      <c r="C5835" s="127"/>
      <c r="E5835" s="430"/>
      <c r="F5835" s="432"/>
      <c r="G5835" s="432"/>
      <c r="H5835" s="443"/>
      <c r="I5835" s="432"/>
      <c r="J5835" s="443"/>
      <c r="K5835" s="444"/>
      <c r="M5835" s="431"/>
    </row>
    <row r="5836" spans="2:13">
      <c r="B5836" s="127"/>
      <c r="C5836" s="127"/>
      <c r="D5836" s="427"/>
      <c r="E5836" s="427"/>
      <c r="F5836" s="445"/>
      <c r="G5836" s="445"/>
      <c r="H5836" s="446"/>
      <c r="I5836" s="445"/>
      <c r="J5836" s="446"/>
      <c r="K5836" s="447"/>
      <c r="M5836" s="596"/>
    </row>
    <row r="5837" spans="2:13">
      <c r="B5837" s="127"/>
      <c r="C5837" s="127"/>
      <c r="F5837" s="398"/>
      <c r="G5837" s="398"/>
      <c r="H5837" s="398"/>
      <c r="I5837" s="398"/>
      <c r="J5837" s="398"/>
      <c r="K5837" s="398"/>
    </row>
    <row r="5838" spans="2:13">
      <c r="B5838" s="127"/>
      <c r="C5838" s="127"/>
      <c r="D5838" s="427"/>
      <c r="E5838" s="427"/>
      <c r="F5838" s="445"/>
      <c r="G5838" s="445"/>
      <c r="H5838" s="446"/>
      <c r="I5838" s="445"/>
      <c r="J5838" s="446"/>
      <c r="K5838" s="447"/>
      <c r="M5838" s="596"/>
    </row>
    <row r="5839" spans="2:13">
      <c r="B5839" s="127"/>
      <c r="C5839" s="127"/>
      <c r="F5839" s="398"/>
      <c r="G5839" s="398"/>
      <c r="H5839" s="398"/>
      <c r="I5839" s="398"/>
      <c r="J5839" s="398"/>
      <c r="K5839" s="398"/>
    </row>
    <row r="5840" spans="2:13">
      <c r="B5840" s="127"/>
      <c r="C5840" s="127"/>
      <c r="D5840" s="427"/>
      <c r="E5840" s="427"/>
      <c r="F5840" s="445"/>
      <c r="G5840" s="445"/>
      <c r="H5840" s="446"/>
      <c r="I5840" s="445"/>
      <c r="J5840" s="446"/>
      <c r="K5840" s="447"/>
      <c r="M5840" s="596"/>
    </row>
    <row r="5841" spans="2:13">
      <c r="B5841" s="127"/>
      <c r="C5841" s="127"/>
    </row>
    <row r="5842" spans="2:13">
      <c r="B5842" s="127"/>
      <c r="C5842" s="127"/>
      <c r="E5842" s="427"/>
    </row>
    <row r="5843" spans="2:13">
      <c r="B5843" s="127"/>
      <c r="C5843" s="127"/>
      <c r="E5843" s="427"/>
    </row>
    <row r="5844" spans="2:13">
      <c r="B5844" s="127"/>
      <c r="C5844" s="127"/>
      <c r="E5844" s="427"/>
    </row>
    <row r="5845" spans="2:13">
      <c r="B5845" s="127"/>
      <c r="C5845" s="127"/>
      <c r="E5845" s="430"/>
      <c r="F5845" s="431"/>
      <c r="G5845" s="431"/>
      <c r="H5845" s="436"/>
      <c r="I5845" s="431"/>
      <c r="J5845" s="436"/>
      <c r="K5845" s="437"/>
      <c r="M5845" s="431"/>
    </row>
    <row r="5846" spans="2:13">
      <c r="B5846" s="127"/>
      <c r="C5846" s="127"/>
    </row>
    <row r="5847" spans="2:13">
      <c r="B5847" s="127"/>
      <c r="C5847" s="127"/>
      <c r="D5847" s="438"/>
      <c r="E5847" s="438"/>
      <c r="F5847" s="438"/>
      <c r="G5847" s="438"/>
      <c r="H5847" s="438"/>
      <c r="I5847" s="438"/>
      <c r="J5847" s="438"/>
      <c r="K5847" s="438"/>
      <c r="M5847" s="597"/>
    </row>
    <row r="5848" spans="2:13">
      <c r="B5848" s="127"/>
      <c r="C5848" s="127"/>
      <c r="D5848" s="454"/>
      <c r="E5848" s="454"/>
      <c r="F5848" s="399"/>
      <c r="G5848" s="399"/>
      <c r="H5848" s="399"/>
      <c r="I5848" s="399"/>
      <c r="J5848" s="454"/>
      <c r="K5848" s="454"/>
    </row>
    <row r="5849" spans="2:13">
      <c r="B5849" s="127"/>
      <c r="C5849" s="127"/>
      <c r="D5849" s="455"/>
      <c r="E5849" s="455"/>
      <c r="F5849" s="455"/>
      <c r="H5849" s="455"/>
      <c r="I5849" s="455"/>
      <c r="J5849" s="455"/>
      <c r="K5849" s="455"/>
      <c r="M5849" s="455"/>
    </row>
    <row r="5850" spans="2:13">
      <c r="B5850" s="127"/>
      <c r="C5850" s="127"/>
    </row>
    <row r="5851" spans="2:13">
      <c r="B5851" s="127"/>
      <c r="C5851" s="127"/>
      <c r="J5851" s="428"/>
    </row>
    <row r="5852" spans="2:13">
      <c r="B5852" s="127"/>
      <c r="C5852" s="127"/>
      <c r="F5852" s="428"/>
      <c r="G5852" s="428"/>
      <c r="H5852" s="428"/>
      <c r="I5852" s="428"/>
      <c r="J5852" s="428"/>
      <c r="K5852" s="428"/>
      <c r="M5852" s="428"/>
    </row>
    <row r="5853" spans="2:13">
      <c r="B5853" s="127"/>
      <c r="C5853" s="127"/>
      <c r="E5853" s="453"/>
      <c r="F5853" s="428"/>
      <c r="G5853" s="428"/>
      <c r="H5853" s="428"/>
      <c r="I5853" s="428"/>
      <c r="J5853" s="428"/>
      <c r="K5853" s="428"/>
      <c r="M5853" s="428"/>
    </row>
    <row r="5854" spans="2:13">
      <c r="B5854" s="127"/>
      <c r="C5854" s="127"/>
    </row>
    <row r="5855" spans="2:13">
      <c r="B5855" s="127"/>
      <c r="C5855" s="127"/>
      <c r="E5855" s="430"/>
      <c r="F5855" s="432"/>
      <c r="G5855" s="432"/>
      <c r="H5855" s="443"/>
      <c r="I5855" s="432"/>
      <c r="J5855" s="443"/>
      <c r="K5855" s="444"/>
      <c r="M5855" s="431"/>
    </row>
    <row r="5856" spans="2:13">
      <c r="B5856" s="127"/>
      <c r="C5856" s="127"/>
      <c r="D5856" s="427"/>
      <c r="E5856" s="427"/>
      <c r="F5856" s="445"/>
      <c r="G5856" s="445"/>
      <c r="H5856" s="446"/>
      <c r="I5856" s="445"/>
      <c r="J5856" s="446"/>
      <c r="K5856" s="447"/>
      <c r="M5856" s="596"/>
    </row>
    <row r="5857" spans="2:13">
      <c r="B5857" s="127"/>
      <c r="C5857" s="127"/>
      <c r="F5857" s="398"/>
      <c r="G5857" s="398"/>
      <c r="H5857" s="398"/>
      <c r="I5857" s="398"/>
      <c r="J5857" s="398"/>
      <c r="K5857" s="398"/>
    </row>
    <row r="5858" spans="2:13">
      <c r="B5858" s="127"/>
      <c r="C5858" s="127"/>
      <c r="D5858" s="427"/>
      <c r="E5858" s="427"/>
      <c r="F5858" s="445"/>
      <c r="G5858" s="445"/>
      <c r="H5858" s="446"/>
      <c r="I5858" s="445"/>
      <c r="J5858" s="446"/>
      <c r="K5858" s="447"/>
      <c r="M5858" s="596"/>
    </row>
    <row r="5859" spans="2:13">
      <c r="B5859" s="127"/>
      <c r="C5859" s="127"/>
      <c r="F5859" s="398"/>
      <c r="G5859" s="398"/>
      <c r="H5859" s="398"/>
      <c r="I5859" s="398"/>
      <c r="J5859" s="398"/>
      <c r="K5859" s="398"/>
    </row>
    <row r="5860" spans="2:13">
      <c r="B5860" s="127"/>
      <c r="C5860" s="127"/>
      <c r="D5860" s="427"/>
      <c r="E5860" s="427"/>
      <c r="F5860" s="445"/>
      <c r="G5860" s="445"/>
      <c r="H5860" s="446"/>
      <c r="I5860" s="445"/>
      <c r="J5860" s="446"/>
      <c r="K5860" s="447"/>
      <c r="M5860" s="596"/>
    </row>
    <row r="5861" spans="2:13">
      <c r="B5861" s="127"/>
      <c r="C5861" s="127"/>
      <c r="F5861" s="398"/>
      <c r="G5861" s="398"/>
      <c r="H5861" s="398"/>
      <c r="I5861" s="398"/>
      <c r="J5861" s="398"/>
      <c r="K5861" s="398"/>
    </row>
    <row r="5862" spans="2:13">
      <c r="B5862" s="127"/>
      <c r="C5862" s="127"/>
      <c r="D5862" s="427"/>
      <c r="E5862" s="427"/>
      <c r="F5862" s="445"/>
      <c r="G5862" s="445"/>
      <c r="H5862" s="446"/>
      <c r="I5862" s="445"/>
      <c r="J5862" s="446"/>
      <c r="K5862" s="447"/>
      <c r="M5862" s="596"/>
    </row>
    <row r="5863" spans="2:13">
      <c r="B5863" s="127"/>
      <c r="C5863" s="127"/>
    </row>
    <row r="5864" spans="2:13">
      <c r="B5864" s="127"/>
      <c r="C5864" s="127"/>
      <c r="D5864" s="427"/>
      <c r="E5864" s="427"/>
    </row>
    <row r="5865" spans="2:13">
      <c r="B5865" s="127"/>
      <c r="C5865" s="127"/>
      <c r="E5865" s="427"/>
    </row>
    <row r="5866" spans="2:13">
      <c r="B5866" s="127"/>
      <c r="C5866" s="127"/>
      <c r="E5866" s="427"/>
    </row>
    <row r="5867" spans="2:13">
      <c r="B5867" s="127"/>
      <c r="C5867" s="127"/>
      <c r="E5867" s="427"/>
    </row>
    <row r="5868" spans="2:13">
      <c r="B5868" s="127"/>
      <c r="C5868" s="127"/>
      <c r="E5868" s="430"/>
      <c r="F5868" s="432"/>
      <c r="G5868" s="432"/>
      <c r="H5868" s="443"/>
      <c r="I5868" s="432"/>
      <c r="J5868" s="443"/>
      <c r="K5868" s="444"/>
      <c r="M5868" s="431"/>
    </row>
    <row r="5869" spans="2:13">
      <c r="B5869" s="127"/>
      <c r="C5869" s="127"/>
      <c r="D5869" s="427"/>
      <c r="E5869" s="427"/>
      <c r="F5869" s="445"/>
      <c r="G5869" s="445"/>
      <c r="H5869" s="446"/>
      <c r="I5869" s="445"/>
      <c r="J5869" s="446"/>
      <c r="K5869" s="447"/>
      <c r="M5869" s="596"/>
    </row>
    <row r="5870" spans="2:13">
      <c r="B5870" s="127"/>
      <c r="C5870" s="127"/>
      <c r="F5870" s="398"/>
      <c r="G5870" s="398"/>
      <c r="H5870" s="398"/>
      <c r="I5870" s="398"/>
      <c r="J5870" s="398"/>
      <c r="K5870" s="398"/>
    </row>
    <row r="5871" spans="2:13">
      <c r="B5871" s="127"/>
      <c r="C5871" s="127"/>
      <c r="D5871" s="427"/>
      <c r="E5871" s="427"/>
      <c r="F5871" s="445"/>
      <c r="G5871" s="445"/>
      <c r="H5871" s="446"/>
      <c r="I5871" s="445"/>
      <c r="J5871" s="446"/>
      <c r="K5871" s="447"/>
      <c r="M5871" s="596"/>
    </row>
    <row r="5872" spans="2:13">
      <c r="B5872" s="127"/>
      <c r="C5872" s="127"/>
      <c r="F5872" s="398"/>
      <c r="G5872" s="398"/>
      <c r="H5872" s="398"/>
      <c r="I5872" s="398"/>
      <c r="J5872" s="398"/>
      <c r="K5872" s="398"/>
    </row>
    <row r="5873" spans="2:13">
      <c r="B5873" s="127"/>
      <c r="C5873" s="127"/>
      <c r="D5873" s="427"/>
      <c r="E5873" s="427"/>
      <c r="F5873" s="445"/>
      <c r="G5873" s="445"/>
      <c r="H5873" s="446"/>
      <c r="I5873" s="445"/>
      <c r="J5873" s="446"/>
      <c r="K5873" s="447"/>
      <c r="M5873" s="596"/>
    </row>
    <row r="5874" spans="2:13">
      <c r="B5874" s="127"/>
      <c r="C5874" s="127"/>
    </row>
    <row r="5875" spans="2:13">
      <c r="B5875" s="127"/>
      <c r="C5875" s="127"/>
      <c r="E5875" s="427"/>
    </row>
    <row r="5876" spans="2:13">
      <c r="B5876" s="127"/>
      <c r="C5876" s="127"/>
      <c r="E5876" s="427"/>
    </row>
    <row r="5877" spans="2:13">
      <c r="B5877" s="127"/>
      <c r="C5877" s="127"/>
      <c r="E5877" s="427"/>
    </row>
    <row r="5878" spans="2:13">
      <c r="B5878" s="127"/>
      <c r="C5878" s="127"/>
      <c r="E5878" s="430"/>
      <c r="F5878" s="431"/>
      <c r="G5878" s="431"/>
      <c r="H5878" s="436"/>
      <c r="I5878" s="431"/>
      <c r="J5878" s="436"/>
      <c r="K5878" s="437"/>
      <c r="M5878" s="431"/>
    </row>
    <row r="5879" spans="2:13">
      <c r="B5879" s="127"/>
      <c r="C5879" s="127"/>
      <c r="E5879" s="430"/>
      <c r="F5879" s="431"/>
      <c r="G5879" s="431"/>
      <c r="H5879" s="436"/>
      <c r="I5879" s="431"/>
      <c r="J5879" s="436"/>
      <c r="K5879" s="437"/>
      <c r="M5879" s="431"/>
    </row>
    <row r="5880" spans="2:13">
      <c r="B5880" s="127"/>
      <c r="C5880" s="127"/>
      <c r="E5880" s="430"/>
      <c r="F5880" s="431"/>
      <c r="G5880" s="431"/>
      <c r="H5880" s="436"/>
      <c r="I5880" s="431"/>
      <c r="J5880" s="436"/>
      <c r="K5880" s="437"/>
      <c r="M5880" s="431"/>
    </row>
    <row r="5881" spans="2:13">
      <c r="B5881" s="127"/>
      <c r="C5881" s="127"/>
      <c r="E5881" s="430"/>
      <c r="F5881" s="431"/>
      <c r="G5881" s="431"/>
      <c r="H5881" s="436"/>
      <c r="I5881" s="431"/>
      <c r="J5881" s="436"/>
      <c r="K5881" s="437"/>
      <c r="M5881" s="431"/>
    </row>
    <row r="5882" spans="2:13">
      <c r="B5882" s="127"/>
      <c r="C5882" s="127"/>
      <c r="E5882" s="430"/>
      <c r="F5882" s="432"/>
      <c r="G5882" s="432"/>
      <c r="H5882" s="443"/>
      <c r="I5882" s="432"/>
      <c r="J5882" s="443"/>
      <c r="K5882" s="444"/>
      <c r="M5882" s="431"/>
    </row>
    <row r="5883" spans="2:13">
      <c r="B5883" s="127"/>
      <c r="C5883" s="127"/>
      <c r="D5883" s="427"/>
      <c r="E5883" s="427"/>
      <c r="F5883" s="445"/>
      <c r="G5883" s="445"/>
      <c r="H5883" s="446"/>
      <c r="I5883" s="445"/>
      <c r="J5883" s="446"/>
      <c r="K5883" s="447"/>
      <c r="M5883" s="596"/>
    </row>
    <row r="5884" spans="2:13">
      <c r="B5884" s="127"/>
      <c r="C5884" s="127"/>
      <c r="F5884" s="398"/>
      <c r="G5884" s="398"/>
      <c r="H5884" s="398"/>
      <c r="I5884" s="398"/>
      <c r="J5884" s="398"/>
      <c r="K5884" s="398"/>
    </row>
    <row r="5885" spans="2:13">
      <c r="B5885" s="127"/>
      <c r="C5885" s="127"/>
      <c r="D5885" s="427"/>
      <c r="E5885" s="427"/>
      <c r="F5885" s="445"/>
      <c r="G5885" s="445"/>
      <c r="H5885" s="446"/>
      <c r="I5885" s="445"/>
      <c r="J5885" s="446"/>
      <c r="K5885" s="447"/>
      <c r="M5885" s="596"/>
    </row>
    <row r="5886" spans="2:13">
      <c r="B5886" s="127"/>
      <c r="C5886" s="127"/>
    </row>
    <row r="5887" spans="2:13">
      <c r="B5887" s="127"/>
      <c r="C5887" s="127"/>
      <c r="E5887" s="427"/>
    </row>
    <row r="5888" spans="2:13">
      <c r="B5888" s="127"/>
      <c r="C5888" s="127"/>
      <c r="E5888" s="427"/>
    </row>
    <row r="5889" spans="2:13">
      <c r="B5889" s="127"/>
      <c r="C5889" s="127"/>
      <c r="E5889" s="430"/>
      <c r="F5889" s="432"/>
      <c r="G5889" s="432"/>
      <c r="H5889" s="443"/>
      <c r="I5889" s="432"/>
      <c r="J5889" s="443"/>
      <c r="K5889" s="444"/>
      <c r="M5889" s="431"/>
    </row>
    <row r="5890" spans="2:13">
      <c r="B5890" s="127"/>
      <c r="C5890" s="127"/>
      <c r="D5890" s="427"/>
      <c r="E5890" s="427"/>
      <c r="F5890" s="445"/>
      <c r="G5890" s="445"/>
      <c r="H5890" s="446"/>
      <c r="I5890" s="445"/>
      <c r="J5890" s="446"/>
      <c r="K5890" s="447"/>
      <c r="M5890" s="596"/>
    </row>
    <row r="5891" spans="2:13">
      <c r="B5891" s="127"/>
      <c r="C5891" s="127"/>
    </row>
    <row r="5892" spans="2:13">
      <c r="B5892" s="127"/>
      <c r="C5892" s="127"/>
      <c r="E5892" s="427"/>
    </row>
    <row r="5893" spans="2:13">
      <c r="B5893" s="127"/>
      <c r="C5893" s="127"/>
      <c r="E5893" s="430"/>
      <c r="F5893" s="431"/>
      <c r="G5893" s="431"/>
      <c r="H5893" s="436"/>
      <c r="I5893" s="431"/>
      <c r="J5893" s="436"/>
      <c r="K5893" s="437"/>
      <c r="M5893" s="431"/>
    </row>
    <row r="5894" spans="2:13">
      <c r="B5894" s="127"/>
      <c r="C5894" s="127"/>
      <c r="E5894" s="430"/>
      <c r="F5894" s="432"/>
      <c r="G5894" s="432"/>
      <c r="H5894" s="443"/>
      <c r="I5894" s="432"/>
      <c r="J5894" s="443"/>
      <c r="K5894" s="444"/>
      <c r="M5894" s="431"/>
    </row>
    <row r="5895" spans="2:13">
      <c r="B5895" s="127"/>
      <c r="C5895" s="127"/>
      <c r="D5895" s="427"/>
      <c r="E5895" s="427"/>
      <c r="F5895" s="445"/>
      <c r="G5895" s="445"/>
      <c r="H5895" s="446"/>
      <c r="I5895" s="445"/>
      <c r="J5895" s="446"/>
      <c r="K5895" s="447"/>
      <c r="M5895" s="596"/>
    </row>
    <row r="5896" spans="2:13">
      <c r="B5896" s="127"/>
      <c r="C5896" s="127"/>
      <c r="F5896" s="398"/>
      <c r="G5896" s="398"/>
      <c r="H5896" s="398"/>
      <c r="I5896" s="398"/>
      <c r="J5896" s="398"/>
      <c r="K5896" s="398"/>
    </row>
    <row r="5897" spans="2:13">
      <c r="B5897" s="127"/>
      <c r="C5897" s="127"/>
      <c r="D5897" s="427"/>
      <c r="E5897" s="427"/>
      <c r="F5897" s="445"/>
      <c r="G5897" s="445"/>
      <c r="H5897" s="446"/>
      <c r="I5897" s="445"/>
      <c r="J5897" s="446"/>
      <c r="K5897" s="447"/>
      <c r="M5897" s="596"/>
    </row>
    <row r="5898" spans="2:13">
      <c r="B5898" s="127"/>
      <c r="C5898" s="127"/>
      <c r="F5898" s="398"/>
      <c r="G5898" s="398"/>
      <c r="H5898" s="398"/>
      <c r="I5898" s="398"/>
      <c r="J5898" s="398"/>
      <c r="K5898" s="398"/>
    </row>
    <row r="5899" spans="2:13">
      <c r="B5899" s="127"/>
      <c r="C5899" s="127"/>
      <c r="D5899" s="427"/>
      <c r="E5899" s="427"/>
      <c r="F5899" s="445"/>
      <c r="G5899" s="445"/>
      <c r="H5899" s="446"/>
      <c r="I5899" s="445"/>
      <c r="J5899" s="446"/>
      <c r="K5899" s="447"/>
      <c r="M5899" s="596"/>
    </row>
    <row r="5900" spans="2:13">
      <c r="B5900" s="127"/>
      <c r="C5900" s="127"/>
      <c r="F5900" s="398"/>
      <c r="G5900" s="398"/>
      <c r="H5900" s="398"/>
      <c r="I5900" s="398"/>
      <c r="J5900" s="398"/>
      <c r="K5900" s="398"/>
    </row>
    <row r="5901" spans="2:13">
      <c r="B5901" s="127"/>
      <c r="C5901" s="127"/>
      <c r="D5901" s="427"/>
      <c r="E5901" s="427"/>
      <c r="F5901" s="445"/>
      <c r="G5901" s="445"/>
      <c r="H5901" s="446"/>
      <c r="I5901" s="445"/>
      <c r="J5901" s="446"/>
      <c r="K5901" s="447"/>
      <c r="M5901" s="596"/>
    </row>
    <row r="5902" spans="2:13">
      <c r="B5902" s="127"/>
      <c r="C5902" s="127"/>
    </row>
    <row r="5903" spans="2:13">
      <c r="B5903" s="127"/>
      <c r="C5903" s="127"/>
      <c r="D5903" s="427"/>
      <c r="E5903" s="427"/>
    </row>
    <row r="5904" spans="2:13">
      <c r="B5904" s="127"/>
      <c r="C5904" s="127"/>
      <c r="E5904" s="427"/>
    </row>
    <row r="5905" spans="2:13">
      <c r="B5905" s="127"/>
      <c r="C5905" s="127"/>
      <c r="E5905" s="427"/>
    </row>
    <row r="5906" spans="2:13">
      <c r="B5906" s="127"/>
      <c r="C5906" s="127"/>
      <c r="E5906" s="427"/>
    </row>
    <row r="5907" spans="2:13">
      <c r="B5907" s="127"/>
      <c r="C5907" s="127"/>
      <c r="E5907" s="430"/>
      <c r="F5907" s="431"/>
      <c r="G5907" s="431"/>
      <c r="H5907" s="436"/>
      <c r="I5907" s="431"/>
      <c r="J5907" s="436"/>
      <c r="K5907" s="437"/>
      <c r="M5907" s="431"/>
    </row>
    <row r="5908" spans="2:13">
      <c r="B5908" s="127"/>
      <c r="C5908" s="127"/>
      <c r="E5908" s="430"/>
      <c r="F5908" s="432"/>
      <c r="G5908" s="432"/>
      <c r="H5908" s="443"/>
      <c r="I5908" s="432"/>
      <c r="J5908" s="443"/>
      <c r="K5908" s="444"/>
      <c r="M5908" s="431"/>
    </row>
    <row r="5909" spans="2:13">
      <c r="B5909" s="127"/>
      <c r="C5909" s="127"/>
      <c r="D5909" s="427"/>
      <c r="E5909" s="427"/>
      <c r="F5909" s="445"/>
      <c r="G5909" s="445"/>
      <c r="H5909" s="446"/>
      <c r="I5909" s="445"/>
      <c r="J5909" s="446"/>
      <c r="K5909" s="447"/>
      <c r="M5909" s="596"/>
    </row>
    <row r="5910" spans="2:13">
      <c r="B5910" s="127"/>
      <c r="C5910" s="127"/>
      <c r="F5910" s="398"/>
      <c r="G5910" s="398"/>
      <c r="H5910" s="398"/>
      <c r="I5910" s="398"/>
      <c r="J5910" s="398"/>
      <c r="K5910" s="398"/>
    </row>
    <row r="5911" spans="2:13">
      <c r="B5911" s="127"/>
      <c r="C5911" s="127"/>
      <c r="D5911" s="427"/>
      <c r="E5911" s="427"/>
      <c r="F5911" s="445"/>
      <c r="G5911" s="445"/>
      <c r="H5911" s="446"/>
      <c r="I5911" s="445"/>
      <c r="J5911" s="446"/>
      <c r="K5911" s="447"/>
      <c r="M5911" s="596"/>
    </row>
    <row r="5912" spans="2:13">
      <c r="B5912" s="127"/>
      <c r="C5912" s="127"/>
      <c r="F5912" s="398"/>
      <c r="G5912" s="398"/>
      <c r="H5912" s="398"/>
      <c r="I5912" s="398"/>
      <c r="J5912" s="398"/>
      <c r="K5912" s="398"/>
    </row>
    <row r="5913" spans="2:13">
      <c r="B5913" s="127"/>
      <c r="C5913" s="127"/>
      <c r="D5913" s="427"/>
      <c r="E5913" s="427"/>
      <c r="F5913" s="445"/>
      <c r="G5913" s="445"/>
      <c r="H5913" s="446"/>
      <c r="I5913" s="445"/>
      <c r="J5913" s="446"/>
      <c r="K5913" s="447"/>
      <c r="M5913" s="596"/>
    </row>
    <row r="5914" spans="2:13">
      <c r="B5914" s="127"/>
      <c r="C5914" s="127"/>
    </row>
    <row r="5915" spans="2:13">
      <c r="B5915" s="127"/>
      <c r="C5915" s="127"/>
      <c r="E5915" s="427"/>
    </row>
    <row r="5916" spans="2:13">
      <c r="B5916" s="127"/>
      <c r="C5916" s="127"/>
      <c r="E5916" s="427"/>
    </row>
    <row r="5917" spans="2:13">
      <c r="B5917" s="127"/>
      <c r="C5917" s="127"/>
      <c r="E5917" s="427"/>
    </row>
    <row r="5918" spans="2:13">
      <c r="B5918" s="127"/>
      <c r="C5918" s="127"/>
      <c r="E5918" s="430"/>
      <c r="F5918" s="431"/>
      <c r="G5918" s="431"/>
      <c r="H5918" s="436"/>
      <c r="I5918" s="431"/>
      <c r="J5918" s="436"/>
      <c r="K5918" s="437"/>
      <c r="M5918" s="431"/>
    </row>
    <row r="5919" spans="2:13">
      <c r="B5919" s="127"/>
      <c r="C5919" s="127"/>
      <c r="E5919" s="430"/>
      <c r="F5919" s="431"/>
      <c r="G5919" s="431"/>
      <c r="H5919" s="436"/>
      <c r="I5919" s="431"/>
      <c r="J5919" s="436"/>
      <c r="K5919" s="437"/>
      <c r="M5919" s="431"/>
    </row>
    <row r="5920" spans="2:13">
      <c r="B5920" s="127"/>
      <c r="C5920" s="127"/>
    </row>
    <row r="5921" spans="2:13">
      <c r="B5921" s="127"/>
      <c r="C5921" s="127"/>
      <c r="D5921" s="438"/>
      <c r="E5921" s="438"/>
      <c r="F5921" s="438"/>
      <c r="G5921" s="438"/>
      <c r="H5921" s="438"/>
      <c r="I5921" s="438"/>
      <c r="J5921" s="438"/>
      <c r="K5921" s="438"/>
      <c r="M5921" s="597"/>
    </row>
    <row r="5922" spans="2:13">
      <c r="B5922" s="127"/>
      <c r="C5922" s="127"/>
      <c r="D5922" s="454"/>
      <c r="E5922" s="454"/>
      <c r="F5922" s="399"/>
      <c r="G5922" s="399"/>
      <c r="H5922" s="399"/>
      <c r="I5922" s="399"/>
      <c r="J5922" s="454"/>
      <c r="K5922" s="454"/>
    </row>
    <row r="5923" spans="2:13">
      <c r="B5923" s="127"/>
      <c r="C5923" s="127"/>
      <c r="D5923" s="455"/>
      <c r="E5923" s="455"/>
      <c r="F5923" s="455"/>
      <c r="H5923" s="455"/>
      <c r="I5923" s="455"/>
      <c r="J5923" s="455"/>
      <c r="K5923" s="455"/>
      <c r="M5923" s="455"/>
    </row>
    <row r="5924" spans="2:13">
      <c r="B5924" s="127"/>
      <c r="C5924" s="127"/>
    </row>
    <row r="5925" spans="2:13">
      <c r="B5925" s="127"/>
      <c r="C5925" s="127"/>
      <c r="J5925" s="428"/>
    </row>
    <row r="5926" spans="2:13">
      <c r="B5926" s="127"/>
      <c r="C5926" s="127"/>
      <c r="F5926" s="428"/>
      <c r="G5926" s="428"/>
      <c r="H5926" s="428"/>
      <c r="I5926" s="428"/>
      <c r="J5926" s="428"/>
      <c r="K5926" s="428"/>
      <c r="M5926" s="428"/>
    </row>
    <row r="5927" spans="2:13">
      <c r="B5927" s="127"/>
      <c r="C5927" s="127"/>
      <c r="E5927" s="453"/>
      <c r="F5927" s="428"/>
      <c r="G5927" s="428"/>
      <c r="H5927" s="428"/>
      <c r="I5927" s="428"/>
      <c r="J5927" s="428"/>
      <c r="K5927" s="428"/>
      <c r="M5927" s="428"/>
    </row>
    <row r="5928" spans="2:13">
      <c r="B5928" s="127"/>
      <c r="C5928" s="127"/>
      <c r="F5928" s="398"/>
      <c r="G5928" s="398"/>
      <c r="H5928" s="398"/>
      <c r="I5928" s="398"/>
      <c r="J5928" s="398"/>
      <c r="K5928" s="398"/>
    </row>
    <row r="5929" spans="2:13">
      <c r="B5929" s="127"/>
      <c r="C5929" s="127"/>
      <c r="D5929" s="427"/>
      <c r="E5929" s="427"/>
      <c r="F5929" s="445"/>
      <c r="G5929" s="445"/>
      <c r="H5929" s="446"/>
      <c r="I5929" s="445"/>
      <c r="J5929" s="446"/>
      <c r="K5929" s="447"/>
      <c r="M5929" s="596"/>
    </row>
    <row r="5930" spans="2:13">
      <c r="B5930" s="127"/>
      <c r="C5930" s="127"/>
      <c r="F5930" s="398"/>
      <c r="G5930" s="398"/>
      <c r="H5930" s="398"/>
      <c r="I5930" s="398"/>
      <c r="J5930" s="398"/>
      <c r="K5930" s="398"/>
    </row>
    <row r="5931" spans="2:13">
      <c r="B5931" s="127"/>
      <c r="C5931" s="127"/>
      <c r="D5931" s="427"/>
      <c r="E5931" s="427"/>
      <c r="F5931" s="445"/>
      <c r="G5931" s="445"/>
      <c r="H5931" s="446"/>
      <c r="I5931" s="445"/>
      <c r="J5931" s="446"/>
      <c r="K5931" s="447"/>
      <c r="M5931" s="596"/>
    </row>
    <row r="5932" spans="2:13">
      <c r="B5932" s="127"/>
      <c r="C5932" s="127"/>
      <c r="F5932" s="398"/>
      <c r="G5932" s="398"/>
      <c r="H5932" s="398"/>
      <c r="I5932" s="398"/>
      <c r="J5932" s="398"/>
      <c r="K5932" s="398"/>
    </row>
    <row r="5933" spans="2:13">
      <c r="B5933" s="127"/>
      <c r="C5933" s="127"/>
      <c r="D5933" s="427"/>
      <c r="E5933" s="427"/>
      <c r="F5933" s="445"/>
      <c r="G5933" s="445"/>
      <c r="H5933" s="446"/>
      <c r="I5933" s="445"/>
      <c r="J5933" s="446"/>
      <c r="K5933" s="447"/>
      <c r="M5933" s="596"/>
    </row>
    <row r="5934" spans="2:13">
      <c r="B5934" s="127"/>
      <c r="C5934" s="127"/>
      <c r="F5934" s="398"/>
      <c r="G5934" s="398"/>
      <c r="H5934" s="398"/>
      <c r="I5934" s="398"/>
      <c r="J5934" s="398"/>
      <c r="K5934" s="398"/>
    </row>
    <row r="5935" spans="2:13">
      <c r="B5935" s="127"/>
      <c r="C5935" s="127"/>
      <c r="D5935" s="427"/>
      <c r="E5935" s="427"/>
      <c r="F5935" s="445"/>
      <c r="G5935" s="445"/>
      <c r="H5935" s="446"/>
      <c r="I5935" s="445"/>
      <c r="J5935" s="446"/>
      <c r="K5935" s="447"/>
      <c r="M5935" s="596"/>
    </row>
    <row r="5936" spans="2:13" ht="16.2" thickBot="1">
      <c r="B5936" s="127"/>
      <c r="C5936" s="127"/>
      <c r="F5936" s="448"/>
      <c r="G5936" s="448"/>
      <c r="H5936" s="448"/>
      <c r="I5936" s="448"/>
      <c r="J5936" s="448"/>
      <c r="K5936" s="448"/>
    </row>
    <row r="5937" spans="2:13" ht="16.2" thickTop="1">
      <c r="B5937" s="127"/>
      <c r="C5937" s="127"/>
      <c r="D5937" s="427"/>
      <c r="E5937" s="427"/>
      <c r="F5937" s="449"/>
      <c r="G5937" s="449"/>
      <c r="H5937" s="450"/>
      <c r="I5937" s="449"/>
      <c r="J5937" s="450"/>
      <c r="K5937" s="451"/>
      <c r="M5937" s="596"/>
    </row>
    <row r="5938" spans="2:13">
      <c r="B5938" s="127"/>
      <c r="C5938" s="127"/>
    </row>
    <row r="5939" spans="2:13">
      <c r="B5939" s="127"/>
      <c r="C5939" s="127"/>
    </row>
    <row r="5940" spans="2:13">
      <c r="B5940" s="127"/>
      <c r="C5940" s="127"/>
    </row>
    <row r="5941" spans="2:13">
      <c r="B5941" s="127"/>
      <c r="C5941" s="127"/>
    </row>
    <row r="5942" spans="2:13">
      <c r="B5942" s="127"/>
      <c r="C5942" s="127"/>
    </row>
    <row r="5943" spans="2:13">
      <c r="B5943" s="127"/>
      <c r="C5943" s="127"/>
    </row>
    <row r="5944" spans="2:13">
      <c r="B5944" s="127"/>
      <c r="C5944" s="127"/>
    </row>
    <row r="5945" spans="2:13">
      <c r="B5945" s="127"/>
      <c r="C5945" s="127"/>
    </row>
    <row r="5947" spans="2:13">
      <c r="D5947" s="438"/>
      <c r="E5947" s="438"/>
      <c r="F5947" s="438"/>
      <c r="G5947" s="438"/>
      <c r="H5947" s="438"/>
      <c r="I5947" s="438"/>
      <c r="J5947" s="438"/>
      <c r="K5947" s="438"/>
      <c r="M5947" s="597"/>
    </row>
    <row r="5948" spans="2:13">
      <c r="D5948" s="454"/>
      <c r="E5948" s="454"/>
      <c r="F5948" s="399"/>
      <c r="G5948" s="399"/>
      <c r="H5948" s="399"/>
      <c r="I5948" s="399"/>
      <c r="J5948" s="454"/>
      <c r="K5948" s="454"/>
    </row>
    <row r="5949" spans="2:13">
      <c r="D5949" s="455"/>
      <c r="E5949" s="455"/>
      <c r="F5949" s="455"/>
      <c r="H5949" s="455"/>
      <c r="I5949" s="455"/>
      <c r="J5949" s="455"/>
      <c r="K5949" s="455"/>
      <c r="M5949" s="455"/>
    </row>
    <row r="5951" spans="2:13" ht="18">
      <c r="H5951" s="452"/>
      <c r="I5951" s="452"/>
      <c r="J5951" s="452"/>
      <c r="K5951" s="452"/>
      <c r="M5951" s="452"/>
    </row>
    <row r="5953" spans="6:13">
      <c r="J5953" s="428"/>
    </row>
    <row r="5954" spans="6:13">
      <c r="F5954" s="428"/>
      <c r="G5954" s="428"/>
      <c r="H5954" s="428"/>
      <c r="I5954" s="428"/>
      <c r="J5954" s="428"/>
      <c r="M5954" s="428"/>
    </row>
    <row r="5955" spans="6:13">
      <c r="F5955" s="428"/>
      <c r="G5955" s="428"/>
      <c r="H5955" s="428"/>
      <c r="I5955" s="428"/>
      <c r="J5955" s="428"/>
      <c r="M5955" s="428"/>
    </row>
    <row r="5957" spans="6:13">
      <c r="F5957" s="431"/>
      <c r="G5957" s="431"/>
      <c r="H5957" s="436"/>
      <c r="I5957" s="431"/>
      <c r="J5957" s="436"/>
      <c r="M5957" s="431"/>
    </row>
    <row r="5958" spans="6:13">
      <c r="F5958" s="431"/>
      <c r="G5958" s="431"/>
      <c r="H5958" s="436"/>
      <c r="I5958" s="431"/>
      <c r="J5958" s="436"/>
      <c r="M5958" s="431"/>
    </row>
    <row r="5959" spans="6:13">
      <c r="F5959" s="431"/>
      <c r="G5959" s="431"/>
      <c r="H5959" s="436"/>
      <c r="I5959" s="431"/>
      <c r="J5959" s="436"/>
      <c r="M5959" s="431"/>
    </row>
    <row r="5960" spans="6:13">
      <c r="F5960" s="431"/>
      <c r="G5960" s="431"/>
      <c r="H5960" s="436"/>
      <c r="I5960" s="431"/>
      <c r="J5960" s="436"/>
      <c r="M5960" s="431"/>
    </row>
    <row r="5961" spans="6:13">
      <c r="F5961" s="431"/>
      <c r="G5961" s="431"/>
      <c r="H5961" s="436"/>
      <c r="I5961" s="431"/>
      <c r="J5961" s="436"/>
      <c r="M5961" s="431"/>
    </row>
    <row r="5962" spans="6:13">
      <c r="F5962" s="431"/>
      <c r="G5962" s="431"/>
      <c r="H5962" s="436"/>
      <c r="I5962" s="431"/>
      <c r="J5962" s="436"/>
      <c r="M5962" s="431"/>
    </row>
    <row r="5963" spans="6:13">
      <c r="F5963" s="431"/>
      <c r="G5963" s="431"/>
      <c r="H5963" s="436"/>
      <c r="I5963" s="431"/>
      <c r="J5963" s="436"/>
      <c r="M5963" s="431"/>
    </row>
    <row r="5964" spans="6:13">
      <c r="F5964" s="431"/>
      <c r="G5964" s="431"/>
      <c r="H5964" s="436"/>
      <c r="I5964" s="431"/>
      <c r="J5964" s="436"/>
      <c r="M5964" s="431"/>
    </row>
    <row r="5965" spans="6:13">
      <c r="F5965" s="431"/>
      <c r="G5965" s="431"/>
      <c r="H5965" s="436"/>
      <c r="I5965" s="431"/>
      <c r="J5965" s="436"/>
      <c r="M5965" s="431"/>
    </row>
    <row r="5966" spans="6:13">
      <c r="F5966" s="431"/>
      <c r="G5966" s="431"/>
      <c r="H5966" s="436"/>
      <c r="I5966" s="431"/>
      <c r="J5966" s="436"/>
      <c r="M5966" s="431"/>
    </row>
    <row r="5967" spans="6:13">
      <c r="F5967" s="431"/>
      <c r="G5967" s="431"/>
      <c r="H5967" s="436"/>
      <c r="I5967" s="431"/>
      <c r="J5967" s="436"/>
      <c r="M5967" s="431"/>
    </row>
    <row r="5968" spans="6:13">
      <c r="F5968" s="431"/>
      <c r="G5968" s="431"/>
      <c r="H5968" s="436"/>
      <c r="I5968" s="431"/>
      <c r="J5968" s="436"/>
      <c r="M5968" s="431"/>
    </row>
    <row r="5969" spans="6:13">
      <c r="F5969" s="431"/>
      <c r="G5969" s="431"/>
      <c r="H5969" s="436"/>
      <c r="I5969" s="431"/>
      <c r="J5969" s="436"/>
      <c r="M5969" s="431"/>
    </row>
    <row r="5970" spans="6:13">
      <c r="F5970" s="431"/>
      <c r="G5970" s="431"/>
      <c r="H5970" s="436"/>
      <c r="I5970" s="431"/>
      <c r="J5970" s="436"/>
      <c r="M5970" s="431"/>
    </row>
    <row r="5971" spans="6:13">
      <c r="F5971" s="431"/>
      <c r="G5971" s="431"/>
      <c r="H5971" s="436"/>
      <c r="I5971" s="431"/>
      <c r="J5971" s="436"/>
      <c r="M5971" s="431"/>
    </row>
    <row r="5972" spans="6:13">
      <c r="F5972" s="431"/>
      <c r="G5972" s="431"/>
      <c r="H5972" s="436"/>
      <c r="I5972" s="431"/>
      <c r="J5972" s="436"/>
      <c r="M5972" s="431"/>
    </row>
    <row r="5973" spans="6:13">
      <c r="F5973" s="431"/>
      <c r="G5973" s="431"/>
      <c r="H5973" s="436"/>
      <c r="I5973" s="431"/>
      <c r="J5973" s="436"/>
      <c r="M5973" s="431"/>
    </row>
    <row r="5974" spans="6:13">
      <c r="F5974" s="431"/>
      <c r="G5974" s="431"/>
      <c r="H5974" s="436"/>
      <c r="I5974" s="431"/>
      <c r="J5974" s="436"/>
      <c r="M5974" s="431"/>
    </row>
    <row r="5975" spans="6:13">
      <c r="F5975" s="431"/>
      <c r="G5975" s="431"/>
      <c r="H5975" s="436"/>
      <c r="I5975" s="431"/>
      <c r="J5975" s="436"/>
      <c r="M5975" s="431"/>
    </row>
    <row r="5976" spans="6:13">
      <c r="F5976" s="431"/>
      <c r="G5976" s="431"/>
      <c r="H5976" s="436"/>
      <c r="I5976" s="431"/>
      <c r="J5976" s="436"/>
      <c r="M5976" s="431"/>
    </row>
    <row r="5977" spans="6:13">
      <c r="F5977" s="431"/>
      <c r="G5977" s="431"/>
      <c r="H5977" s="436"/>
      <c r="I5977" s="431"/>
      <c r="J5977" s="436"/>
      <c r="M5977" s="431"/>
    </row>
    <row r="5978" spans="6:13">
      <c r="F5978" s="431"/>
      <c r="G5978" s="431"/>
      <c r="H5978" s="436"/>
      <c r="I5978" s="431"/>
      <c r="J5978" s="436"/>
      <c r="M5978" s="431"/>
    </row>
    <row r="5979" spans="6:13">
      <c r="F5979" s="431"/>
      <c r="G5979" s="431"/>
      <c r="H5979" s="436"/>
      <c r="I5979" s="431"/>
      <c r="J5979" s="436"/>
      <c r="M5979" s="431"/>
    </row>
    <row r="5980" spans="6:13">
      <c r="F5980" s="431"/>
      <c r="G5980" s="431"/>
      <c r="H5980" s="436"/>
      <c r="I5980" s="431"/>
      <c r="J5980" s="436"/>
      <c r="M5980" s="431"/>
    </row>
    <row r="5981" spans="6:13">
      <c r="F5981" s="431"/>
      <c r="G5981" s="431"/>
      <c r="H5981" s="436"/>
      <c r="I5981" s="431"/>
      <c r="J5981" s="436"/>
      <c r="M5981" s="431"/>
    </row>
    <row r="5982" spans="6:13">
      <c r="F5982" s="431"/>
      <c r="G5982" s="431"/>
      <c r="H5982" s="436"/>
      <c r="I5982" s="431"/>
      <c r="J5982" s="436"/>
      <c r="M5982" s="431"/>
    </row>
    <row r="5983" spans="6:13">
      <c r="F5983" s="431"/>
      <c r="G5983" s="431"/>
      <c r="H5983" s="436"/>
      <c r="I5983" s="431"/>
      <c r="J5983" s="436"/>
      <c r="M5983" s="431"/>
    </row>
    <row r="5984" spans="6:13">
      <c r="F5984" s="431"/>
      <c r="G5984" s="431"/>
      <c r="H5984" s="436"/>
      <c r="I5984" s="431"/>
      <c r="J5984" s="436"/>
      <c r="M5984" s="431"/>
    </row>
    <row r="5985" spans="4:13">
      <c r="F5985" s="431"/>
      <c r="G5985" s="431"/>
      <c r="H5985" s="436"/>
      <c r="I5985" s="431"/>
      <c r="J5985" s="436"/>
      <c r="M5985" s="431"/>
    </row>
    <row r="5986" spans="4:13">
      <c r="F5986" s="431"/>
      <c r="G5986" s="431"/>
      <c r="H5986" s="436"/>
      <c r="I5986" s="431"/>
      <c r="J5986" s="436"/>
      <c r="M5986" s="431"/>
    </row>
    <row r="5987" spans="4:13">
      <c r="F5987" s="431"/>
      <c r="G5987" s="431"/>
      <c r="H5987" s="436"/>
      <c r="I5987" s="431"/>
      <c r="J5987" s="436"/>
      <c r="M5987" s="431"/>
    </row>
    <row r="5988" spans="4:13">
      <c r="F5988" s="431"/>
      <c r="G5988" s="431"/>
      <c r="H5988" s="436"/>
      <c r="I5988" s="431"/>
      <c r="J5988" s="436"/>
      <c r="M5988" s="431"/>
    </row>
    <row r="5989" spans="4:13">
      <c r="F5989" s="431"/>
      <c r="G5989" s="431"/>
      <c r="H5989" s="436"/>
      <c r="I5989" s="431"/>
      <c r="J5989" s="436"/>
      <c r="M5989" s="431"/>
    </row>
    <row r="5990" spans="4:13">
      <c r="F5990" s="431"/>
      <c r="G5990" s="431"/>
      <c r="H5990" s="436"/>
      <c r="I5990" s="431"/>
      <c r="J5990" s="436"/>
      <c r="M5990" s="431"/>
    </row>
    <row r="5991" spans="4:13">
      <c r="F5991" s="431"/>
      <c r="G5991" s="431"/>
      <c r="H5991" s="436"/>
      <c r="I5991" s="431"/>
      <c r="J5991" s="436"/>
      <c r="M5991" s="431"/>
    </row>
    <row r="5992" spans="4:13">
      <c r="F5992" s="432"/>
      <c r="G5992" s="432"/>
      <c r="H5992" s="443"/>
      <c r="I5992" s="432"/>
      <c r="J5992" s="443"/>
      <c r="K5992" s="398"/>
      <c r="M5992" s="431"/>
    </row>
    <row r="5993" spans="4:13">
      <c r="D5993" s="427"/>
      <c r="E5993" s="427"/>
      <c r="F5993" s="445"/>
      <c r="G5993" s="445"/>
      <c r="H5993" s="446"/>
      <c r="I5993" s="445"/>
      <c r="J5993" s="446"/>
      <c r="K5993" s="399"/>
      <c r="M5993" s="596"/>
    </row>
  </sheetData>
  <hyperlinks>
    <hyperlink ref="D14" r:id="rId1" display="https://incode.tylerhost.net/kellertx/apps/form/?path=General Ledger/Account&amp;$filter=AccountId eq f4243941-9e6a-d49e-9828-25cfa092af55" xr:uid="{126E5E7A-EDC7-4029-924D-6C6C74708612}"/>
    <hyperlink ref="D15" r:id="rId2" display="https://incode.tylerhost.net/kellertx/apps/form/?path=General Ledger/Account&amp;$filter=AccountId eq 1dbcfd04-875e-1b31-146f-1beac8e6d667" xr:uid="{BCE89A89-CE17-4F12-B7B5-C08DBA48508B}"/>
    <hyperlink ref="D16" r:id="rId3" display="https://incode.tylerhost.net/kellertx/apps/form/?path=General Ledger/Account&amp;$filter=AccountId eq c99ebe29-cab0-f5f4-7e69-c71469f513a5" xr:uid="{E9D6EDC7-FA6A-4E5D-B72B-D5879E95F961}"/>
    <hyperlink ref="D17" r:id="rId4" display="https://incode.tylerhost.net/kellertx/apps/form/?path=General Ledger/Account&amp;$filter=AccountId eq 2b224094-7b8a-fb4d-3ec7-5a1b99610719" xr:uid="{6E37A3EF-04D1-4996-BF5F-0F4E1291540F}"/>
    <hyperlink ref="D18" r:id="rId5" display="https://incode.tylerhost.net/kellertx/apps/form/?path=General Ledger/Account&amp;$filter=AccountId eq b8e7f203-f437-603e-a369-d990436aa632" xr:uid="{798E1B68-90CC-47F6-A40C-F9030548F40D}"/>
    <hyperlink ref="D19" r:id="rId6" display="https://incode.tylerhost.net/kellertx/apps/form/?path=General Ledger/Account&amp;$filter=AccountId eq 9090a739-1475-c8a4-737c-48f2c9554bbc" xr:uid="{5C308456-37EE-445E-A064-AC41567B2596}"/>
    <hyperlink ref="D20" r:id="rId7" display="https://incode.tylerhost.net/kellertx/apps/form/?path=General Ledger/Account&amp;$filter=AccountId eq 6f53c556-772d-df80-7ece-81034faa4234" xr:uid="{2F9AC243-84AE-4304-90A7-6B422967AE5D}"/>
    <hyperlink ref="D21" r:id="rId8" display="https://incode.tylerhost.net/kellertx/apps/form/?path=General Ledger/Account&amp;$filter=AccountId eq 78180710-d967-caeb-a907-5b2407dc04be" xr:uid="{34A073B4-8A03-447D-A6F2-02488F45FEC3}"/>
    <hyperlink ref="D22" r:id="rId9" display="https://incode.tylerhost.net/kellertx/apps/form/?path=General Ledger/Account&amp;$filter=AccountId eq 8ba51a4a-712d-159e-7a27-ab464464601c" xr:uid="{D78E2FAE-4097-4A8F-B7A0-F10970E72EEE}"/>
    <hyperlink ref="D29" r:id="rId10" display="https://incode.tylerhost.net/kellertx/apps/form/?path=General Ledger/Account&amp;$filter=AccountId eq 271359d9-f747-aa20-3a54-8d9fb056f2c4" xr:uid="{11E8CE98-FAC2-4E80-A6DA-99925819E2C2}"/>
    <hyperlink ref="D30" r:id="rId11" display="https://incode.tylerhost.net/kellertx/apps/form/?path=General Ledger/Account&amp;$filter=AccountId eq cef1541b-3925-43de-58a2-5ff60e374dc6" xr:uid="{E4EC62C6-B5C4-4EAA-BF6A-C8257F2021B4}"/>
    <hyperlink ref="D31" r:id="rId12" display="https://incode.tylerhost.net/kellertx/apps/form/?path=General Ledger/Account&amp;$filter=AccountId eq ed57f67e-775f-e394-6c34-2a27eadaa1a0" xr:uid="{8077B754-78BB-4254-992C-56F622A8AD5D}"/>
    <hyperlink ref="D32" r:id="rId13" display="https://incode.tylerhost.net/kellertx/apps/form/?path=General Ledger/Account&amp;$filter=AccountId eq 01e6eb19-931b-ceec-a209-e4e86747d0cc" xr:uid="{28C33CBC-EB9B-4473-ADD2-A4B28E3E689D}"/>
    <hyperlink ref="D33" r:id="rId14" display="https://incode.tylerhost.net/kellertx/apps/form/?path=General Ledger/Account&amp;$filter=AccountId eq 155626c8-1666-743d-6592-20941d3b5d45" xr:uid="{7FCB0521-4671-4596-99AD-253C63D46D6F}"/>
    <hyperlink ref="D40" r:id="rId15" display="https://incode.tylerhost.net/kellertx/apps/form/?path=General Ledger/Account&amp;$filter=AccountId eq f01e421f-cbbd-e199-060c-04c5a4386a09" xr:uid="{2DC851F9-2497-44C2-A887-3D1CA038646D}"/>
    <hyperlink ref="D41" r:id="rId16" display="https://incode.tylerhost.net/kellertx/apps/form/?path=General Ledger/Account&amp;$filter=AccountId eq 686ae695-c8af-3184-ce13-7bdb76f8d047" xr:uid="{611D224A-BA33-4718-AD8C-D46DCC363C39}"/>
    <hyperlink ref="D42" r:id="rId17" display="https://incode.tylerhost.net/kellertx/apps/form/?path=General Ledger/Account&amp;$filter=AccountId eq 8cb1140e-ceb0-8cd3-7e15-f78c62257728" xr:uid="{AC2F800E-4C27-4DB3-ABE8-A2BED917B30D}"/>
    <hyperlink ref="D43" r:id="rId18" display="https://incode.tylerhost.net/kellertx/apps/form/?path=General Ledger/Account&amp;$filter=AccountId eq 711117b9-309f-cb34-f583-c26e161993a8" xr:uid="{73BCC857-2775-419E-84D0-5750EBB1ABA1}"/>
    <hyperlink ref="D44" r:id="rId19" display="https://incode.tylerhost.net/kellertx/apps/form/?path=General Ledger/Account&amp;$filter=AccountId eq dc4baecc-8f71-c52d-681f-954de151e452" xr:uid="{7A527C45-1AA7-45FC-A134-CA7BB5EDBF66}"/>
    <hyperlink ref="D45" r:id="rId20" display="https://incode.tylerhost.net/kellertx/apps/form/?path=General Ledger/Account&amp;$filter=AccountId eq 519bf473-d9b5-5d2d-d41f-e62db9126bb7" xr:uid="{FE2E8360-E38C-4DD6-A6D6-0FE03B3D1AF3}"/>
    <hyperlink ref="D52" r:id="rId21" display="https://incode.tylerhost.net/kellertx/apps/form/?path=General Ledger/Account&amp;$filter=AccountId eq 151d8f66-777e-4ec7-6c02-1f6a1f5fc753" xr:uid="{2ABFF70D-7D73-44D9-A31F-0F34DFC960ED}"/>
    <hyperlink ref="D53" r:id="rId22" display="https://incode.tylerhost.net/kellertx/apps/form/?path=General Ledger/Account&amp;$filter=AccountId eq 42bb5852-fad6-0370-e995-dc3a4eb1a841" xr:uid="{CD5BE34A-CC6C-4651-8B67-72621AB1FCF3}"/>
    <hyperlink ref="D54" r:id="rId23" display="https://incode.tylerhost.net/kellertx/apps/form/?path=General Ledger/Account&amp;$filter=AccountId eq 3a1074ba-b993-142e-4ca6-048621acd61b" xr:uid="{33779BDC-926B-465E-A621-1032E560A486}"/>
    <hyperlink ref="D55" r:id="rId24" display="https://incode.tylerhost.net/kellertx/apps/form/?path=General Ledger/Account&amp;$filter=AccountId eq 4c25f472-d4ac-0aba-d034-541bfad7b729" xr:uid="{43C083B1-203B-4223-B7E8-D88BFB95D7AC}"/>
    <hyperlink ref="D56" r:id="rId25" display="https://incode.tylerhost.net/kellertx/apps/form/?path=General Ledger/Account&amp;$filter=AccountId eq c5ac055c-bf64-74a8-2b67-b85c55d904fb" xr:uid="{EC4AF116-31C1-47FB-8680-26ADFD28AC82}"/>
    <hyperlink ref="D57" r:id="rId26" display="https://incode.tylerhost.net/kellertx/apps/form/?path=General Ledger/Account&amp;$filter=AccountId eq 1ee58023-bf55-b4c6-eca3-763359ff07e8" xr:uid="{3F494D6F-1157-42ED-BA9D-7F248ABE5670}"/>
    <hyperlink ref="D64" r:id="rId27" display="https://incode.tylerhost.net/kellertx/apps/form/?path=General Ledger/Account&amp;$filter=AccountId eq 3f392510-cbf6-df55-da43-f5dd0abd5ed4" xr:uid="{63C39A17-48DF-4491-9B06-936434BB52D2}"/>
    <hyperlink ref="D65" r:id="rId28" display="https://incode.tylerhost.net/kellertx/apps/form/?path=General Ledger/Account&amp;$filter=AccountId eq 07dba406-5360-7d25-0fd8-57d7047f0f00" xr:uid="{F7A8889E-25A7-47C4-B64A-9E9227707654}"/>
    <hyperlink ref="D66" r:id="rId29" display="https://incode.tylerhost.net/kellertx/apps/form/?path=General Ledger/Account&amp;$filter=AccountId eq 624ba5f7-342a-5933-ba18-fc86ced4b2fc" xr:uid="{1EF2AF8C-DA20-4B74-9FDC-7844E3361570}"/>
    <hyperlink ref="D67" r:id="rId30" display="https://incode.tylerhost.net/kellertx/apps/form/?path=General Ledger/Account&amp;$filter=AccountId eq d90ad5c1-cce5-2f72-75d5-e06f1c2f6ad9" xr:uid="{926E0FF2-B7E1-4488-8E1E-599017E6BCFA}"/>
    <hyperlink ref="D75" r:id="rId31" display="https://incode.tylerhost.net/kellertx/apps/form/?path=General Ledger/Account&amp;$filter=AccountId eq d860ee57-15ae-4b54-e660-16dc09352f14" xr:uid="{ACEE5A81-3AA3-4A0C-8ED9-8A8496B68544}"/>
    <hyperlink ref="D85" r:id="rId32" display="https://incode.tylerhost.net/kellertx/apps/form/?path=General Ledger/Account&amp;$filter=AccountId eq a978e130-3199-14f0-b69e-8fb250b0b214" xr:uid="{43E82603-E945-46C2-A07B-F12AA03AE80C}"/>
    <hyperlink ref="D86" r:id="rId33" display="https://incode.tylerhost.net/kellertx/apps/form/?path=General Ledger/Account&amp;$filter=AccountId eq 0cdab318-06df-78b8-8c9a-7bf2c9e1eb82" xr:uid="{E19AE2D9-9083-4A7D-A27F-469FC89D3154}"/>
    <hyperlink ref="D87" r:id="rId34" display="https://incode.tylerhost.net/kellertx/apps/form/?path=General Ledger/Account&amp;$filter=AccountId eq 2cc105eb-8da5-e6aa-76d1-2bd35dbbc5f7" xr:uid="{645944C3-F39D-4312-891D-0178F4838535}"/>
    <hyperlink ref="D88" r:id="rId35" display="https://incode.tylerhost.net/kellertx/apps/form/?path=General Ledger/Account&amp;$filter=AccountId eq 010c62d7-d83e-7196-c959-e7ea0559b958" xr:uid="{FA29E021-8E3C-47F4-9A08-0D8D5CE5EC35}"/>
    <hyperlink ref="D89" r:id="rId36" display="https://incode.tylerhost.net/kellertx/apps/form/?path=General Ledger/Account&amp;$filter=AccountId eq 96febc1b-495a-da30-e1ac-6e195497a7a6" xr:uid="{F7EEC164-F544-4506-BCA6-19B732F0A799}"/>
    <hyperlink ref="D90" r:id="rId37" display="https://incode.tylerhost.net/kellertx/apps/form/?path=General Ledger/Account&amp;$filter=AccountId eq 12065e1b-998f-1038-d5e2-b03c3ad77134" xr:uid="{FB5949B5-2F5E-49E1-9146-19F39E4916A2}"/>
    <hyperlink ref="D91" r:id="rId38" display="https://incode.tylerhost.net/kellertx/apps/form/?path=General Ledger/Account&amp;$filter=AccountId eq 25af7d45-9aae-dc60-8aed-36571cc0e144" xr:uid="{C8DC6BE4-CFBE-47CA-9C7D-2FDBE0AF6F28}"/>
    <hyperlink ref="D92" r:id="rId39" display="https://incode.tylerhost.net/kellertx/apps/form/?path=General Ledger/Account&amp;$filter=AccountId eq 5f9b4e2a-76e8-bd3a-8d3c-3db51c376e05" xr:uid="{C10DE340-A829-43AA-9ABA-7A6DE3020C95}"/>
    <hyperlink ref="D102" r:id="rId40" display="https://incode.tylerhost.net/kellertx/apps/form/?path=General Ledger/Account&amp;$filter=AccountId eq f6af9347-cf53-7caa-9cb5-2acbe1a156be" xr:uid="{C868A9F7-57A6-45F9-AF71-60D431B0CBB2}"/>
    <hyperlink ref="D103" r:id="rId41" display="https://incode.tylerhost.net/kellertx/apps/form/?path=General Ledger/Account&amp;$filter=AccountId eq 872d0c8a-f3b6-9170-6fa6-2c8f9f786483" xr:uid="{B613B8D1-1C7C-4DEA-AFC5-438E72ADD764}"/>
    <hyperlink ref="D104" r:id="rId42" display="https://incode.tylerhost.net/kellertx/apps/form/?path=General Ledger/Account&amp;$filter=AccountId eq c40fc5b5-4056-b3b4-53ca-fec1f76b05bc" xr:uid="{49A8C055-1518-4A07-B4D6-68DC2C66F172}"/>
    <hyperlink ref="D105" r:id="rId43" display="https://incode.tylerhost.net/kellertx/apps/form/?path=General Ledger/Account&amp;$filter=AccountId eq b5de2f90-6100-1d09-71c4-2a4f293f6e8a" xr:uid="{76549D4F-EB2C-42ED-9E8D-7114BFA81B90}"/>
    <hyperlink ref="D106" r:id="rId44" display="https://incode.tylerhost.net/kellertx/apps/form/?path=General Ledger/Account&amp;$filter=AccountId eq 6b942e78-f4ac-2864-3943-0742f0d10c62" xr:uid="{C582D36C-4D99-499E-911C-8F6CCC45A29A}"/>
    <hyperlink ref="D107" r:id="rId45" display="https://incode.tylerhost.net/kellertx/apps/form/?path=General Ledger/Account&amp;$filter=AccountId eq b7fa8f8e-ebf6-abb4-cfae-4673b41700fe" xr:uid="{61266696-7886-4708-8CF3-545A70B007FC}"/>
    <hyperlink ref="D108" r:id="rId46" display="https://incode.tylerhost.net/kellertx/apps/form/?path=General Ledger/Account&amp;$filter=AccountId eq 19c1fc5f-0ba9-8f73-b871-cd59f82d1a58" xr:uid="{804DD1D8-E0F2-4DB0-BC9F-92A6FA56958A}"/>
    <hyperlink ref="D109" r:id="rId47" display="https://incode.tylerhost.net/kellertx/apps/form/?path=General Ledger/Account&amp;$filter=AccountId eq 8347ae18-35d5-0ac0-d671-76049368d884" xr:uid="{9C8B7329-48FB-41BB-AB8B-9FAC7F4D2CEC}"/>
    <hyperlink ref="D119" r:id="rId48" display="https://incode.tylerhost.net/kellertx/apps/form/?path=General Ledger/Account&amp;$filter=AccountId eq ca1cc53e-1301-5b13-bc5f-01ed98010eed" xr:uid="{A56CC8CE-D423-4C49-9F35-4734672E3935}"/>
    <hyperlink ref="D120" r:id="rId49" display="https://incode.tylerhost.net/kellertx/apps/form/?path=General Ledger/Account&amp;$filter=AccountId eq f25a382d-6bd4-3c3d-c235-4d9ed37e58b0" xr:uid="{54406F5F-1831-4356-BCF5-2D8226A12826}"/>
    <hyperlink ref="D121" r:id="rId50" display="https://incode.tylerhost.net/kellertx/apps/form/?path=General Ledger/Account&amp;$filter=AccountId eq c2d24486-5186-a8e3-2169-c05f92609e31" xr:uid="{C46008FE-56DE-473C-936F-FF96634EFB9C}"/>
    <hyperlink ref="D122" r:id="rId51" display="https://incode.tylerhost.net/kellertx/apps/form/?path=General Ledger/Account&amp;$filter=AccountId eq 350feee3-ec9f-46de-a9df-7e9f4ddb334b" xr:uid="{40057E1A-0124-4FDC-85B3-7CB3EA4D068A}"/>
    <hyperlink ref="D123" r:id="rId52" display="https://incode.tylerhost.net/kellertx/apps/form/?path=General Ledger/Account&amp;$filter=AccountId eq dd6c0bc9-6ebe-6d0b-d50e-af16896dffe6" xr:uid="{6D7F9823-DFE7-4257-8BFC-8EA0D373C439}"/>
    <hyperlink ref="D124" r:id="rId53" display="https://incode.tylerhost.net/kellertx/apps/form/?path=General Ledger/Account&amp;$filter=AccountId eq 606db31d-713b-519a-b07c-bff4a0e69db4" xr:uid="{7016F82B-1A03-4CAC-8E8C-BFD6DE393A83}"/>
    <hyperlink ref="D125" r:id="rId54" display="https://incode.tylerhost.net/kellertx/apps/form/?path=General Ledger/Account&amp;$filter=AccountId eq 40bf8c3f-c15a-0d52-1481-449c8570f0e5" xr:uid="{B22BBA5E-DDCA-4DC2-ADFF-85E76783DB42}"/>
    <hyperlink ref="D135" r:id="rId55" display="https://incode.tylerhost.net/kellertx/apps/form/?path=General Ledger/Account&amp;$filter=AccountId eq 8f9147a9-1446-0454-824b-d0146905df98" xr:uid="{19DFEA03-2B27-40CE-AEF0-914D5F9A8FA2}"/>
    <hyperlink ref="D136" r:id="rId56" display="https://incode.tylerhost.net/kellertx/apps/form/?path=General Ledger/Account&amp;$filter=AccountId eq a5888a0f-93d8-fe66-b206-25525ae32938" xr:uid="{796B9FA8-E3C8-4A25-9B83-4A46C2BB5397}"/>
    <hyperlink ref="D137" r:id="rId57" display="https://incode.tylerhost.net/kellertx/apps/form/?path=General Ledger/Account&amp;$filter=AccountId eq 8da13182-05b6-06b5-da3f-418a49aac82d" xr:uid="{74C45819-6F6D-4DF8-B1A7-5212F14D5CD1}"/>
    <hyperlink ref="D138" r:id="rId58" display="https://incode.tylerhost.net/kellertx/apps/form/?path=General Ledger/Account&amp;$filter=AccountId eq e94cda61-02cf-8c97-38e0-dce0db6bb316" xr:uid="{29329854-9336-4ADB-AF1B-7CFEC66737F6}"/>
    <hyperlink ref="D139" r:id="rId59" display="https://incode.tylerhost.net/kellertx/apps/form/?path=General Ledger/Account&amp;$filter=AccountId eq 7b300349-7503-e8d0-c3b3-4bfe9bc947ad" xr:uid="{1DC64335-A052-463B-B4C2-5928696036C0}"/>
    <hyperlink ref="D140" r:id="rId60" display="https://incode.tylerhost.net/kellertx/apps/form/?path=General Ledger/Account&amp;$filter=AccountId eq aeb25378-f57c-b19e-74f7-20c52e42d7cf" xr:uid="{9C307B26-06B8-471D-9CE5-A8E19FF584F1}"/>
    <hyperlink ref="D149" r:id="rId61" display="https://incode.tylerhost.net/kellertx/apps/form/?path=General Ledger/Account&amp;$filter=AccountId eq 8594248e-5928-58e9-8457-82ab5c23f2ee" xr:uid="{78ACD0E5-DEF9-4E55-9A4F-7F73D7886521}"/>
    <hyperlink ref="D150" r:id="rId62" display="https://incode.tylerhost.net/kellertx/apps/form/?path=General Ledger/Account&amp;$filter=AccountId eq bd252a3e-cbe0-e6a5-49e4-7b996683674f" xr:uid="{76BCFB88-0E9B-46F9-BC80-B7D3DD0E4A92}"/>
    <hyperlink ref="D160" r:id="rId63" display="https://incode.tylerhost.net/kellertx/apps/form/?path=General Ledger/Account&amp;$filter=AccountId eq be691e7e-4584-a4b2-cbac-f65d772af22e" xr:uid="{006A2D3D-351A-48D2-AB7B-332E2DCB5B6B}"/>
    <hyperlink ref="D161" r:id="rId64" display="https://incode.tylerhost.net/kellertx/apps/form/?path=General Ledger/Account&amp;$filter=AccountId eq 81e7a699-92aa-dcb5-af2a-3a7ae0f41efb" xr:uid="{011E63C8-10C8-4286-AAB2-40856579AB4C}"/>
    <hyperlink ref="D162" r:id="rId65" display="https://incode.tylerhost.net/kellertx/apps/form/?path=General Ledger/Account&amp;$filter=AccountId eq fd6b9903-4807-cb99-f1ff-a54d52ce28d2" xr:uid="{954D29E7-9466-496A-AA18-5FA220466140}"/>
    <hyperlink ref="D163" r:id="rId66" display="https://incode.tylerhost.net/kellertx/apps/form/?path=General Ledger/Account&amp;$filter=AccountId eq 1bc61789-b3fb-abe9-215c-547742188ff9" xr:uid="{AF0EB132-0CAD-4FE3-80A1-BCA98C9508EE}"/>
    <hyperlink ref="D164" r:id="rId67" display="https://incode.tylerhost.net/kellertx/apps/form/?path=General Ledger/Account&amp;$filter=AccountId eq f06b69da-b98e-f213-6fb3-17af92a8317f" xr:uid="{95E3344E-B44E-4643-9087-852AF2DDBB72}"/>
    <hyperlink ref="D165" r:id="rId68" display="https://incode.tylerhost.net/kellertx/apps/form/?path=General Ledger/Account&amp;$filter=AccountId eq 41015ce0-351a-0a1d-548c-8892aad3796b" xr:uid="{F2D04FF4-DE43-4FF4-AC0D-F02128FDBBE6}"/>
    <hyperlink ref="D166" r:id="rId69" display="https://incode.tylerhost.net/kellertx/apps/form/?path=General Ledger/Account&amp;$filter=AccountId eq fa877fb5-a41e-f8fe-524f-b374d54987b8" xr:uid="{4141242D-8FF2-4D99-9D9B-3740BF7BD6AB}"/>
    <hyperlink ref="D167" r:id="rId70" display="https://incode.tylerhost.net/kellertx/apps/form/?path=General Ledger/Account&amp;$filter=AccountId eq ed727389-b2e2-82bb-bd09-74ff805f5ce1" xr:uid="{E15DEEAF-A454-41DF-B1EB-B57CC057529F}"/>
    <hyperlink ref="D168" r:id="rId71" display="https://incode.tylerhost.net/kellertx/apps/form/?path=General Ledger/Account&amp;$filter=AccountId eq 92851499-d409-ebe9-126f-f1449ec5deae" xr:uid="{DAB8729F-B8D4-4F53-AABA-2C43A41F4861}"/>
    <hyperlink ref="D175" r:id="rId72" display="https://incode.tylerhost.net/kellertx/apps/form/?path=General Ledger/Account&amp;$filter=AccountId eq dfe256c8-0d2d-8d96-f69a-ce57f6b0887b" xr:uid="{40E11214-71A3-4388-8A82-194D4A6EF5D6}"/>
    <hyperlink ref="D176" r:id="rId73" display="https://incode.tylerhost.net/kellertx/apps/form/?path=General Ledger/Account&amp;$filter=AccountId eq cfe0e610-9057-40f9-27d9-4b4254e09a59" xr:uid="{792AE902-BC9B-4E39-9986-1FCCFBD76F84}"/>
    <hyperlink ref="D177" r:id="rId74" display="https://incode.tylerhost.net/kellertx/apps/form/?path=General Ledger/Account&amp;$filter=AccountId eq 9ccb83e1-7841-1766-eb1b-f9d2cd1e0344" xr:uid="{F3D699D2-CB6A-44E9-85E4-FB80EB622DFB}"/>
    <hyperlink ref="D178" r:id="rId75" display="https://incode.tylerhost.net/kellertx/apps/form/?path=General Ledger/Account&amp;$filter=AccountId eq cdaf2b29-1341-b827-9f06-7ab460021195" xr:uid="{A7CAAF81-9B0C-4324-9ABB-E52D834F99E1}"/>
    <hyperlink ref="D179" r:id="rId76" display="https://incode.tylerhost.net/kellertx/apps/form/?path=General Ledger/Account&amp;$filter=AccountId eq 03d08fbc-b5e4-baa7-1304-f6ae22163c7e" xr:uid="{3AD9E506-E7BC-4F5C-9F16-D891482C5FA2}"/>
    <hyperlink ref="D180" r:id="rId77" display="https://incode.tylerhost.net/kellertx/apps/form/?path=General Ledger/Account&amp;$filter=AccountId eq 25989cd5-82bb-6028-ce53-80fb90ea16e4" xr:uid="{6661A4A7-9996-40A5-8F16-FB6E7A1E5BF9}"/>
    <hyperlink ref="D181" r:id="rId78" display="https://incode.tylerhost.net/kellertx/apps/form/?path=General Ledger/Account&amp;$filter=AccountId eq 568c7ea1-6225-14f4-c200-310db82eca48" xr:uid="{3BB3E1C4-06DF-4C6D-A49E-1AE7CEC86925}"/>
    <hyperlink ref="D182" r:id="rId79" display="https://incode.tylerhost.net/kellertx/apps/form/?path=General Ledger/Account&amp;$filter=AccountId eq 83d97a06-e1d8-ee59-08e4-cb037e89d10e" xr:uid="{1300F908-244C-437B-9248-1B4E3324EC04}"/>
    <hyperlink ref="D189" r:id="rId80" display="https://incode.tylerhost.net/kellertx/apps/form/?path=General Ledger/Account&amp;$filter=AccountId eq 6dea2de2-0610-75b4-48fb-8b6e8b4a5b1e" xr:uid="{79F37AD8-6ABF-4EC5-B363-321FB8D6C0B4}"/>
    <hyperlink ref="D190" r:id="rId81" display="https://incode.tylerhost.net/kellertx/apps/form/?path=General Ledger/Account&amp;$filter=AccountId eq 672532f6-b326-5e03-1fe3-eaab347385b2" xr:uid="{FDF4ABE7-8AB4-4FFD-8DFD-D53F08E058FA}"/>
    <hyperlink ref="D191" r:id="rId82" display="https://incode.tylerhost.net/kellertx/apps/form/?path=General Ledger/Account&amp;$filter=AccountId eq 376acd39-80ff-4464-e033-1324c6470b4d" xr:uid="{5A424384-AC8E-4B7E-A2AA-C2ADE928E4FE}"/>
    <hyperlink ref="D192" r:id="rId83" display="https://incode.tylerhost.net/kellertx/apps/form/?path=General Ledger/Account&amp;$filter=AccountId eq 261d4c9d-7107-a4ee-5b0e-75416bcc5419" xr:uid="{9CAF80EB-D927-44FF-991D-8F18A564E43B}"/>
    <hyperlink ref="D193" r:id="rId84" display="https://incode.tylerhost.net/kellertx/apps/form/?path=General Ledger/Account&amp;$filter=AccountId eq fb1259a3-aa03-578c-225d-0bd95f3d334e" xr:uid="{9E71B6AA-0E68-437A-B164-10F23CEAAF88}"/>
    <hyperlink ref="D194" r:id="rId85" display="https://incode.tylerhost.net/kellertx/apps/form/?path=General Ledger/Account&amp;$filter=AccountId eq b92538e4-fbf7-a612-50d1-54214742eadb" xr:uid="{6EC128BC-0B13-463B-9A4B-673FBD34B3F1}"/>
    <hyperlink ref="D195" r:id="rId86" display="https://incode.tylerhost.net/kellertx/apps/form/?path=General Ledger/Account&amp;$filter=AccountId eq 1b700bda-44d0-6de8-8b5a-9c9d32721aca" xr:uid="{E531D5D4-9CB2-4C37-A676-88CAF32C20F1}"/>
    <hyperlink ref="D196" r:id="rId87" display="https://incode.tylerhost.net/kellertx/apps/form/?path=General Ledger/Account&amp;$filter=AccountId eq 796d0f6c-c632-8c5a-15ac-fac069f3e322" xr:uid="{19D0B9E8-B151-482E-91E6-7AB7E12F49D3}"/>
    <hyperlink ref="D206" r:id="rId88" display="https://incode.tylerhost.net/kellertx/apps/form/?path=General Ledger/Account&amp;$filter=AccountId eq 42084487-37b0-db61-6b39-ef8136fad4e3" xr:uid="{B45F59E9-BBEC-4EB5-9836-92BF001182EA}"/>
    <hyperlink ref="D207" r:id="rId89" display="https://incode.tylerhost.net/kellertx/apps/form/?path=General Ledger/Account&amp;$filter=AccountId eq fa0471f8-1154-ea44-08e1-4b12e92a629f" xr:uid="{6E847B17-AE48-45E0-A9E6-C7CC00B00108}"/>
    <hyperlink ref="D208" r:id="rId90" display="https://incode.tylerhost.net/kellertx/apps/form/?path=General Ledger/Account&amp;$filter=AccountId eq bc9de4de-71f3-857a-f9bc-526beb5fe2d3" xr:uid="{03AB1E61-A3A0-4514-BCDD-06F4C7DD5A47}"/>
    <hyperlink ref="D209" r:id="rId91" display="https://incode.tylerhost.net/kellertx/apps/form/?path=General Ledger/Account&amp;$filter=AccountId eq a08f1816-2c20-96a4-4aed-3cb5ba7ef3c0" xr:uid="{E8D728EF-BC95-4788-91C0-E6A208BF5D14}"/>
    <hyperlink ref="D210" r:id="rId92" display="https://incode.tylerhost.net/kellertx/apps/form/?path=General Ledger/Account&amp;$filter=AccountId eq 272fe8ce-c460-0790-9855-4bfc6fd9c3b0" xr:uid="{8AC0FF47-21B8-43C7-BCF5-9FB5A08508F1}"/>
    <hyperlink ref="D211" r:id="rId93" display="https://incode.tylerhost.net/kellertx/apps/form/?path=General Ledger/Account&amp;$filter=AccountId eq c772d874-6b75-a620-00e8-6cce353a8495" xr:uid="{D241F072-E3DE-4D10-839F-9743AE24F87F}"/>
    <hyperlink ref="D212" r:id="rId94" display="https://incode.tylerhost.net/kellertx/apps/form/?path=General Ledger/Account&amp;$filter=AccountId eq 67b34b38-de2a-1015-26df-c2efeb7ee731" xr:uid="{618E0A43-4EEA-4C36-8755-E5BFEBFD6972}"/>
    <hyperlink ref="D213" r:id="rId95" display="https://incode.tylerhost.net/kellertx/apps/form/?path=General Ledger/Account&amp;$filter=AccountId eq 7d70e1be-0b4d-102f-d248-afac3c020b1a" xr:uid="{B4B04EF8-8F1D-43F5-8408-A2452475F802}"/>
    <hyperlink ref="D222" r:id="rId96" display="https://incode.tylerhost.net/kellertx/apps/form/?path=General Ledger/Account&amp;$filter=AccountId eq 7010c41f-b2d9-702b-4ffb-f6aec906f869" xr:uid="{A3BDE19B-3791-47A6-B71E-C0750D7A52BD}"/>
    <hyperlink ref="D229" r:id="rId97" display="https://incode.tylerhost.net/kellertx/apps/form/?path=General Ledger/Account&amp;$filter=AccountId eq d8cd9c6e-4589-7208-dfd7-553ffb5da674" xr:uid="{07674613-9925-4F27-A07F-F9C4AA2EC983}"/>
    <hyperlink ref="D230" r:id="rId98" display="https://incode.tylerhost.net/kellertx/apps/form/?path=General Ledger/Account&amp;$filter=AccountId eq 08186d86-bc31-ba26-5b81-a90f73912187" xr:uid="{400AA168-0FAC-43DD-BBEB-97BD04762406}"/>
    <hyperlink ref="D231" r:id="rId99" display="https://incode.tylerhost.net/kellertx/apps/form/?path=General Ledger/Account&amp;$filter=AccountId eq 06d284b7-8a8a-bdef-bbce-c9ff4a04f54e" xr:uid="{7C40B2FE-29FD-4ABF-90AE-7E21A0051A88}"/>
    <hyperlink ref="D232" r:id="rId100" display="https://incode.tylerhost.net/kellertx/apps/form/?path=General Ledger/Account&amp;$filter=AccountId eq 5108bf4d-8505-275f-c171-176085d8631f" xr:uid="{AC20A136-C4AC-417C-B504-35CFBEF883B5}"/>
    <hyperlink ref="D233" r:id="rId101" display="https://incode.tylerhost.net/kellertx/apps/form/?path=General Ledger/Account&amp;$filter=AccountId eq ac9a6f3d-baec-a6d9-718a-e4556a35c23d" xr:uid="{A11FBCD0-4E6B-4142-93E0-B0A2B96C710E}"/>
    <hyperlink ref="D234" r:id="rId102" display="https://incode.tylerhost.net/kellertx/apps/form/?path=General Ledger/Account&amp;$filter=AccountId eq e9951b44-2b79-443b-6b16-20671357d2f5" xr:uid="{62C534A7-E6F7-43E5-9D0C-18C2197545DA}"/>
    <hyperlink ref="D235" r:id="rId103" display="https://incode.tylerhost.net/kellertx/apps/form/?path=General Ledger/Account&amp;$filter=AccountId eq 0eb3f568-e383-7217-e736-442c0a997cb9" xr:uid="{5CC539E2-BFEB-442A-BBF2-46CF6E1808DC}"/>
    <hyperlink ref="D236" r:id="rId104" display="https://incode.tylerhost.net/kellertx/apps/form/?path=General Ledger/Account&amp;$filter=AccountId eq 47165068-5efe-49e1-4540-d31aa128d2ca" xr:uid="{7F829F57-091B-41B5-8E30-8EE052C943EE}"/>
    <hyperlink ref="D237" r:id="rId105" display="https://incode.tylerhost.net/kellertx/apps/form/?path=General Ledger/Account&amp;$filter=AccountId eq 60811494-c479-84ac-8fe5-fa0305238b42" xr:uid="{4893DB35-3326-451E-83F3-0E329F8EF015}"/>
    <hyperlink ref="D244" r:id="rId106" display="https://incode.tylerhost.net/kellertx/apps/form/?path=General Ledger/Account&amp;$filter=AccountId eq 5eea2325-b893-c6ad-c411-bc9a635607ac" xr:uid="{485B57AE-B758-405D-80B0-C863FE222E32}"/>
    <hyperlink ref="D245" r:id="rId107" display="https://incode.tylerhost.net/kellertx/apps/form/?path=General Ledger/Account&amp;$filter=AccountId eq 540f89e8-8fc2-64eb-4e4f-74b29e657cce" xr:uid="{87CCD29A-EA3B-4E4D-8E4F-256C5090F66E}"/>
    <hyperlink ref="D246" r:id="rId108" display="https://incode.tylerhost.net/kellertx/apps/form/?path=General Ledger/Account&amp;$filter=AccountId eq 518de355-a526-eea5-8be0-ae9da5a2275c" xr:uid="{4BC9B96F-114D-4669-AAC3-F99ECFE91114}"/>
    <hyperlink ref="D247" r:id="rId109" display="https://incode.tylerhost.net/kellertx/apps/form/?path=General Ledger/Account&amp;$filter=AccountId eq 610718a3-c497-ebcb-0e2b-8e5e47a427a0" xr:uid="{2E330BAB-DD1E-4983-8454-02CB13E3EABB}"/>
    <hyperlink ref="D248" r:id="rId110" display="https://incode.tylerhost.net/kellertx/apps/form/?path=General Ledger/Account&amp;$filter=AccountId eq 7e574bcb-cbe7-05e4-4710-879df2f020eb" xr:uid="{6EA09596-85E8-4491-8A8D-DF6F2A0ACC2C}"/>
    <hyperlink ref="D249" r:id="rId111" display="https://incode.tylerhost.net/kellertx/apps/form/?path=General Ledger/Account&amp;$filter=AccountId eq 5ed4808b-cef4-131a-49e0-62c8d5aae4ee" xr:uid="{435E2EE0-D99E-49ED-923C-AE2EA3F13255}"/>
    <hyperlink ref="D250" r:id="rId112" display="https://incode.tylerhost.net/kellertx/apps/form/?path=General Ledger/Account&amp;$filter=AccountId eq a983f8b0-de11-8024-59a4-cff683605905" xr:uid="{EF5CCE3A-BCE8-44D8-9EC1-6D89108D6C58}"/>
    <hyperlink ref="D251" r:id="rId113" display="https://incode.tylerhost.net/kellertx/apps/form/?path=General Ledger/Account&amp;$filter=AccountId eq a86b55fc-d5b4-bfdf-9c89-6a28993e14f7" xr:uid="{C014C449-11E0-4E51-BEAC-D8990A337970}"/>
    <hyperlink ref="D252" r:id="rId114" display="https://incode.tylerhost.net/kellertx/apps/form/?path=General Ledger/Account&amp;$filter=AccountId eq b065a31b-eebc-a553-9592-31497e0cfa94" xr:uid="{23FB0607-C120-4215-BE69-F2CD01053EDF}"/>
    <hyperlink ref="D259" r:id="rId115" display="https://incode.tylerhost.net/kellertx/apps/form/?path=General Ledger/Account&amp;$filter=AccountId eq d0e4594b-ece7-8724-fd2f-18fb2e13875f" xr:uid="{398E5FD8-CF16-44D8-8367-4E9381753247}"/>
    <hyperlink ref="D260" r:id="rId116" display="https://incode.tylerhost.net/kellertx/apps/form/?path=General Ledger/Account&amp;$filter=AccountId eq 071aba6d-0617-e595-8a8e-1554b6bb6f7f" xr:uid="{E4DEE5FC-A8F6-499E-85D3-AF822B9A3DC0}"/>
    <hyperlink ref="D261" r:id="rId117" display="https://incode.tylerhost.net/kellertx/apps/form/?path=General Ledger/Account&amp;$filter=AccountId eq 00e66bba-cd0f-6313-3475-8d5478fb2820" xr:uid="{41845B6E-3617-4E66-A297-D99DA03EC489}"/>
    <hyperlink ref="D262" r:id="rId118" display="https://incode.tylerhost.net/kellertx/apps/form/?path=General Ledger/Account&amp;$filter=AccountId eq ef2c8036-a43d-6a97-305d-0f90ab141064" xr:uid="{9C1CB19C-ECE4-4FB0-B5D0-CCDC8ADAA5F7}"/>
    <hyperlink ref="D263" r:id="rId119" display="https://incode.tylerhost.net/kellertx/apps/form/?path=General Ledger/Account&amp;$filter=AccountId eq 0a695c56-834e-1f27-95af-9e0d1041acf3" xr:uid="{B216509B-E169-471C-AFAA-C0E335AED023}"/>
    <hyperlink ref="D264" r:id="rId120" display="https://incode.tylerhost.net/kellertx/apps/form/?path=General Ledger/Account&amp;$filter=AccountId eq 138d55d0-6934-415b-6e36-8d65221e220d" xr:uid="{B71C6A91-AF20-4354-B997-8E8136285396}"/>
    <hyperlink ref="D265" r:id="rId121" display="https://incode.tylerhost.net/kellertx/apps/form/?path=General Ledger/Account&amp;$filter=AccountId eq 760dd92d-002b-7486-14e3-7110e208d8c6" xr:uid="{418B4B95-C270-4FE5-B2FE-48ED26101188}"/>
    <hyperlink ref="D266" r:id="rId122" display="https://incode.tylerhost.net/kellertx/apps/form/?path=General Ledger/Account&amp;$filter=AccountId eq dc4a439e-4822-f384-faf3-3a2f867b9f88" xr:uid="{66CE8354-5CF3-4DC7-92F8-F909669A7095}"/>
    <hyperlink ref="D273" r:id="rId123" display="https://incode.tylerhost.net/kellertx/apps/form/?path=General Ledger/Account&amp;$filter=AccountId eq bb23c0a0-edde-872a-462d-498276519181" xr:uid="{E4886EDA-8877-415D-A996-1F02FDFA2E06}"/>
    <hyperlink ref="D274" r:id="rId124" display="https://incode.tylerhost.net/kellertx/apps/form/?path=General Ledger/Account&amp;$filter=AccountId eq 1321cd2b-a19a-5871-1e42-2d30ad53635f" xr:uid="{3DF207D6-8CB1-47C2-A277-D09229763D4B}"/>
    <hyperlink ref="D275" r:id="rId125" display="https://incode.tylerhost.net/kellertx/apps/form/?path=General Ledger/Account&amp;$filter=AccountId eq f5e264c0-de53-c8c4-e400-a7743516941f" xr:uid="{5D724B6B-FE5B-4DBE-8F29-78CA90E68885}"/>
    <hyperlink ref="D276" r:id="rId126" display="https://incode.tylerhost.net/kellertx/apps/form/?path=General Ledger/Account&amp;$filter=AccountId eq 141369b1-ad0d-0810-08e2-5219ee6946b9" xr:uid="{84A4A579-A2C8-4D75-8AC9-D3773AB97D6F}"/>
    <hyperlink ref="D277" r:id="rId127" display="https://incode.tylerhost.net/kellertx/apps/form/?path=General Ledger/Account&amp;$filter=AccountId eq 7669e757-5255-89e9-2e7b-ffe4d1d315b7" xr:uid="{EBF380FE-EB68-47E2-A2C5-AA23127C74F6}"/>
    <hyperlink ref="D278" r:id="rId128" display="https://incode.tylerhost.net/kellertx/apps/form/?path=General Ledger/Account&amp;$filter=AccountId eq 7a649767-ba3a-9e2e-2f25-e0e0964eecd7" xr:uid="{60BEF5BD-5EC9-45E4-9ECA-8A843203693D}"/>
    <hyperlink ref="D279" r:id="rId129" display="https://incode.tylerhost.net/kellertx/apps/form/?path=General Ledger/Account&amp;$filter=AccountId eq 5cef4d05-2442-358d-f199-8affdf52384c" xr:uid="{561C3DE3-8CAB-465E-9BFC-A9391C54FC25}"/>
    <hyperlink ref="D280" r:id="rId130" display="https://incode.tylerhost.net/kellertx/apps/form/?path=General Ledger/Account&amp;$filter=AccountId eq cc2867a9-c656-32c3-4be9-e1cce4dd6790" xr:uid="{5CE635B8-512A-4E33-A4F2-FB34F8E1D52E}"/>
    <hyperlink ref="D281" r:id="rId131" display="https://incode.tylerhost.net/kellertx/apps/form/?path=General Ledger/Account&amp;$filter=AccountId eq 14bf0c36-db8f-e18c-b455-9dfa74e6b611" xr:uid="{888F77FB-B16C-4D07-99CF-53F9B93E09C1}"/>
    <hyperlink ref="D298" r:id="rId132" display="https://incode.tylerhost.net/kellertx/apps/form/?path=General Ledger/Account&amp;$filter=AccountId eq dad9b091-55dc-edfb-f124-5a1948e3b7f8" xr:uid="{276F7F3E-BCAB-4910-98B3-E85346D0F1CE}"/>
    <hyperlink ref="D299" r:id="rId133" display="https://incode.tylerhost.net/kellertx/apps/form/?path=General Ledger/Account&amp;$filter=AccountId eq 63a995b6-fd1a-a565-c84e-6a711036d03e" xr:uid="{36F7152B-A318-42EC-9166-4870B1A2A61F}"/>
    <hyperlink ref="D300" r:id="rId134" display="https://incode.tylerhost.net/kellertx/apps/form/?path=General Ledger/Account&amp;$filter=AccountId eq e562b2ce-6bc5-155c-b63e-eb0e4293d11d" xr:uid="{9583C415-F132-4BB6-AADC-310CF7654B39}"/>
    <hyperlink ref="D301" r:id="rId135" display="https://incode.tylerhost.net/kellertx/apps/form/?path=General Ledger/Account&amp;$filter=AccountId eq 0297d85b-b731-0e59-af70-1f104b4fb55c" xr:uid="{D9A2DFCF-2823-4F80-AABF-F6CD8C21B56E}"/>
    <hyperlink ref="D302" r:id="rId136" display="https://incode.tylerhost.net/kellertx/apps/form/?path=General Ledger/Account&amp;$filter=AccountId eq c4125096-70c7-0bb4-bda2-ca7cc7b075bf" xr:uid="{FC1224C9-F65A-4107-9B78-96D55B59F55E}"/>
    <hyperlink ref="D303" r:id="rId137" display="https://incode.tylerhost.net/kellertx/apps/form/?path=General Ledger/Account&amp;$filter=AccountId eq 167ac6ce-ba70-22c5-5db6-b4ad127aea58" xr:uid="{C85D1BD8-D5C6-4789-A3E9-80152205AB51}"/>
    <hyperlink ref="D304" r:id="rId138" display="https://incode.tylerhost.net/kellertx/apps/form/?path=General Ledger/Account&amp;$filter=AccountId eq 27f1c23d-a126-3ac9-247f-cc32057fa928" xr:uid="{0570594A-0810-47C2-8B07-D4280047B31A}"/>
    <hyperlink ref="D305" r:id="rId139" display="https://incode.tylerhost.net/kellertx/apps/form/?path=General Ledger/Account&amp;$filter=AccountId eq 7efcd881-ec7d-0720-193a-464ebee29add" xr:uid="{8A983475-CFD6-4D24-9560-942CE72C99CF}"/>
    <hyperlink ref="D306" r:id="rId140" display="https://incode.tylerhost.net/kellertx/apps/form/?path=General Ledger/Account&amp;$filter=AccountId eq fb1d1fae-dadf-40c9-2a77-a49a515645ae" xr:uid="{C0151FB4-1839-4712-BEC5-6A9222D239C4}"/>
    <hyperlink ref="D313" r:id="rId141" display="https://incode.tylerhost.net/kellertx/apps/form/?path=General Ledger/Account&amp;$filter=AccountId eq d8e21473-2328-1341-9e3e-2392c94c87ef" xr:uid="{9181B478-203F-49EF-8165-F0D3369C24A0}"/>
    <hyperlink ref="D314" r:id="rId142" display="https://incode.tylerhost.net/kellertx/apps/form/?path=General Ledger/Account&amp;$filter=AccountId eq 7888f494-fae4-9f84-d252-d0120361ec01" xr:uid="{FD717A81-8B21-43FC-A922-DD54B11CE104}"/>
    <hyperlink ref="D315" r:id="rId143" display="https://incode.tylerhost.net/kellertx/apps/form/?path=General Ledger/Account&amp;$filter=AccountId eq 0e05cd01-5f38-6ff6-0da1-d56c30d1777f" xr:uid="{5C27B1AF-C0E1-4376-81F2-2E30A18E2FD1}"/>
    <hyperlink ref="D316" r:id="rId144" display="https://incode.tylerhost.net/kellertx/apps/form/?path=General Ledger/Account&amp;$filter=AccountId eq 9ecd67a5-e55d-c149-294b-26caf4c70cd7" xr:uid="{8BAEB04B-F409-4152-A910-BD93AB9615D4}"/>
    <hyperlink ref="D317" r:id="rId145" display="https://incode.tylerhost.net/kellertx/apps/form/?path=General Ledger/Account&amp;$filter=AccountId eq 20cd6ba9-4be5-1a06-8e3d-5a3af438192e" xr:uid="{4036128C-F555-450F-A2E9-B5346F62017D}"/>
    <hyperlink ref="D318" r:id="rId146" display="https://incode.tylerhost.net/kellertx/apps/form/?path=General Ledger/Account&amp;$filter=AccountId eq 7ee3be1b-4749-ffc4-bdd3-78e0188c8838" xr:uid="{9F0F9847-CB98-4FA2-AA10-C239C051E2D3}"/>
    <hyperlink ref="D319" r:id="rId147" display="https://incode.tylerhost.net/kellertx/apps/form/?path=General Ledger/Account&amp;$filter=AccountId eq 4d42302b-c886-73e8-9131-89e0d37391d7" xr:uid="{A274B22F-35B8-4924-A9D8-C16546371EC2}"/>
    <hyperlink ref="D320" r:id="rId148" display="https://incode.tylerhost.net/kellertx/apps/form/?path=General Ledger/Account&amp;$filter=AccountId eq a6b014fd-3f0f-0b89-89dc-1fed8ed4f2c4" xr:uid="{0252CE1D-078E-4B0A-A989-2A26902F6B1C}"/>
    <hyperlink ref="D330" r:id="rId149" display="https://incode.tylerhost.net/kellertx/apps/form/?path=General Ledger/Account&amp;$filter=AccountId eq 921cea7d-c84c-e7b6-7cd1-5f63c4b71617" xr:uid="{F5D86B03-B688-4D50-A43E-C88482152793}"/>
    <hyperlink ref="D331" r:id="rId150" display="https://incode.tylerhost.net/kellertx/apps/form/?path=General Ledger/Account&amp;$filter=AccountId eq fd7d97f5-75c5-ffe6-6a09-b08b77967d0a" xr:uid="{BC6E3B6F-F275-42CA-B5E7-DC4E355D60F7}"/>
    <hyperlink ref="D332" r:id="rId151" display="https://incode.tylerhost.net/kellertx/apps/form/?path=General Ledger/Account&amp;$filter=AccountId eq d8149343-5290-dfe9-0799-b03147034fef" xr:uid="{5B6553CB-D8EC-46E1-94E8-060FC937761F}"/>
    <hyperlink ref="D333" r:id="rId152" display="https://incode.tylerhost.net/kellertx/apps/form/?path=General Ledger/Account&amp;$filter=AccountId eq 0eb3ed08-f13e-feb4-c6e9-2dda0ed0b9ab" xr:uid="{C4C110C4-540E-4783-8803-A67461DDA38B}"/>
    <hyperlink ref="D334" r:id="rId153" display="https://incode.tylerhost.net/kellertx/apps/form/?path=General Ledger/Account&amp;$filter=AccountId eq d8e25a06-c42b-cd93-cbbf-58e0dfa2c063" xr:uid="{B342695A-339A-4E44-93D4-DF6B39B0EA64}"/>
    <hyperlink ref="D335" r:id="rId154" display="https://incode.tylerhost.net/kellertx/apps/form/?path=General Ledger/Account&amp;$filter=AccountId eq 9f0af5ed-fd61-f2be-fd52-ac60b567fbdb" xr:uid="{79AC8A8E-615D-4E32-97A9-F7AD63F74BB1}"/>
    <hyperlink ref="D336" r:id="rId155" display="https://incode.tylerhost.net/kellertx/apps/form/?path=General Ledger/Account&amp;$filter=AccountId eq 8d4ad670-faef-e804-76c6-288ea2bea586" xr:uid="{0AE30921-A93C-4CBB-AEE3-B9911D1207D8}"/>
    <hyperlink ref="D337" r:id="rId156" display="https://incode.tylerhost.net/kellertx/apps/form/?path=General Ledger/Account&amp;$filter=AccountId eq db0f872a-1808-9dc2-51e5-110c07a0af58" xr:uid="{B4960B4D-FDDF-49B5-9952-D9356E6212FC}"/>
    <hyperlink ref="D338" r:id="rId157" display="https://incode.tylerhost.net/kellertx/apps/form/?path=General Ledger/Account&amp;$filter=AccountId eq 4f000bc1-61dc-3f3f-9212-cf515fccc9e9" xr:uid="{56CCDF23-7A59-4AF3-9482-33A93FD0A21A}"/>
    <hyperlink ref="D345" r:id="rId158" display="https://incode.tylerhost.net/kellertx/apps/form/?path=General Ledger/Account&amp;$filter=AccountId eq fd994e4e-ea29-e573-6424-bb6c407b80fe" xr:uid="{AEAB1C47-3AAE-49F2-AD00-EC0FE026EA5A}"/>
    <hyperlink ref="D346" r:id="rId159" display="https://incode.tylerhost.net/kellertx/apps/form/?path=General Ledger/Account&amp;$filter=AccountId eq 2134c16a-9f0f-c694-2d22-7aec695c35ef" xr:uid="{B046E466-27AB-47D6-B5BA-A8CD7DFD72F8}"/>
    <hyperlink ref="D347" r:id="rId160" display="https://incode.tylerhost.net/kellertx/apps/form/?path=General Ledger/Account&amp;$filter=AccountId eq 32b2ea50-82df-aa14-fcc6-fc7d804aa413" xr:uid="{AFA41332-E9FD-4509-823F-C18921C5A0AB}"/>
    <hyperlink ref="D348" r:id="rId161" display="https://incode.tylerhost.net/kellertx/apps/form/?path=General Ledger/Account&amp;$filter=AccountId eq 34e8e11f-d92b-f3cb-467f-bb04fbb1fdea" xr:uid="{B38D95B4-8BF0-49C7-9A43-3C0EDED81D66}"/>
    <hyperlink ref="D349" r:id="rId162" display="https://incode.tylerhost.net/kellertx/apps/form/?path=General Ledger/Account&amp;$filter=AccountId eq 1907713d-3c38-211c-fdf7-85a5e0969a6d" xr:uid="{81E8FD5E-15B2-4C4B-A757-5541AC286AC7}"/>
    <hyperlink ref="D350" r:id="rId163" display="https://incode.tylerhost.net/kellertx/apps/form/?path=General Ledger/Account&amp;$filter=AccountId eq 811e2a72-9ec7-a9f8-8e10-5435d09e1ce5" xr:uid="{630E1E88-15EB-48A8-8143-128C0065E64F}"/>
    <hyperlink ref="D351" r:id="rId164" display="https://incode.tylerhost.net/kellertx/apps/form/?path=General Ledger/Account&amp;$filter=AccountId eq 2db89c36-24b9-d7e6-512d-8771780d16e5" xr:uid="{9785A406-C10A-4CC7-882C-9325BCE47D2E}"/>
    <hyperlink ref="D352" r:id="rId165" display="https://incode.tylerhost.net/kellertx/apps/form/?path=General Ledger/Account&amp;$filter=AccountId eq 01bb2b2f-063c-3c87-8c97-c7d0d206195f" xr:uid="{AC23C747-26F2-4F15-AE4F-C695874A7D27}"/>
    <hyperlink ref="D353" r:id="rId166" display="https://incode.tylerhost.net/kellertx/apps/form/?path=General Ledger/Account&amp;$filter=AccountId eq a066de48-aa85-c459-5e4a-17f35ead6cbd" xr:uid="{5AEDBD72-D374-49E0-86B5-093C437F13D6}"/>
    <hyperlink ref="D368" r:id="rId167" display="https://incode.tylerhost.net/kellertx/apps/form/?path=General Ledger/Account&amp;$filter=AccountId eq c1487106-c67a-a4af-f5d0-9a9788972b4c" xr:uid="{9FCB5256-6C1E-4B3C-BF5A-9DCB3B8E2B55}"/>
    <hyperlink ref="D369" r:id="rId168" display="https://incode.tylerhost.net/kellertx/apps/form/?path=General Ledger/Account&amp;$filter=AccountId eq e1a55776-8532-86af-0eb5-447ae877ab66" xr:uid="{DC983846-62D1-40B9-9E06-AB1835CEC0F8}"/>
    <hyperlink ref="D370" r:id="rId169" display="https://incode.tylerhost.net/kellertx/apps/form/?path=General Ledger/Account&amp;$filter=AccountId eq 64e5facf-c2f9-1979-c079-2db19c14212a" xr:uid="{198F6AF6-7D61-4AC9-A775-955D8C4E2AE6}"/>
    <hyperlink ref="D371" r:id="rId170" display="https://incode.tylerhost.net/kellertx/apps/form/?path=General Ledger/Account&amp;$filter=AccountId eq 2c3b1f91-eeab-528b-907f-f1f06136d1d5" xr:uid="{F42E43D1-1576-49BD-925C-9A37DCB60AB8}"/>
    <hyperlink ref="D372" r:id="rId171" display="https://incode.tylerhost.net/kellertx/apps/form/?path=General Ledger/Account&amp;$filter=AccountId eq 0dcaefa3-af62-a268-d9ac-cb07f3a279aa" xr:uid="{FA184E53-37E5-4C41-AC36-8499AD5F984F}"/>
    <hyperlink ref="D373" r:id="rId172" display="https://incode.tylerhost.net/kellertx/apps/form/?path=General Ledger/Account&amp;$filter=AccountId eq 8ebb3067-0224-322b-148c-36729706ee45" xr:uid="{8B08345D-6574-4B1E-90AE-9580EBDF635D}"/>
    <hyperlink ref="D374" r:id="rId173" display="https://incode.tylerhost.net/kellertx/apps/form/?path=General Ledger/Account&amp;$filter=AccountId eq 98fa50d7-a567-3f32-4ae6-4a590d4c70b3" xr:uid="{69B8D5F5-1224-496F-96FB-51259DA9D03E}"/>
    <hyperlink ref="D375" r:id="rId174" display="https://incode.tylerhost.net/kellertx/apps/form/?path=General Ledger/Account&amp;$filter=AccountId eq 69627d5b-b937-8d99-41b4-98dbac11d7fa" xr:uid="{B00C9397-021C-4AF5-B3EA-E9E0AFC0CBE2}"/>
    <hyperlink ref="D385" r:id="rId175" display="https://incode.tylerhost.net/kellertx/apps/form/?path=General Ledger/Account&amp;$filter=AccountId eq 68c62cf3-bf72-100a-8e38-06966a5a5eb1" xr:uid="{73B2475E-29DF-4DB8-B8F7-75927649F255}"/>
    <hyperlink ref="D386" r:id="rId176" display="https://incode.tylerhost.net/kellertx/apps/form/?path=General Ledger/Account&amp;$filter=AccountId eq f79fcacd-c117-bf2e-256c-2b1a33565248" xr:uid="{63FCA2EE-9F36-46C5-A934-7CE6CBCA0A53}"/>
    <hyperlink ref="D387" r:id="rId177" display="https://incode.tylerhost.net/kellertx/apps/form/?path=General Ledger/Account&amp;$filter=AccountId eq 3389c4c5-0219-8c88-b9f6-5b42c283e079" xr:uid="{4BD23985-4EAF-4D19-BA94-C27188752BF6}"/>
    <hyperlink ref="D388" r:id="rId178" display="https://incode.tylerhost.net/kellertx/apps/form/?path=General Ledger/Account&amp;$filter=AccountId eq 1d0f4a77-473e-68aa-5076-731f00c40233" xr:uid="{4320139A-BD29-40E4-8590-3194E9CDA3FD}"/>
    <hyperlink ref="D389" r:id="rId179" display="https://incode.tylerhost.net/kellertx/apps/form/?path=General Ledger/Account&amp;$filter=AccountId eq fb3d5ddd-e505-d838-c0e8-9adfdc7b4ee6" xr:uid="{31ABD0EE-0E07-4411-8C32-1363504D2575}"/>
    <hyperlink ref="D390" r:id="rId180" display="https://incode.tylerhost.net/kellertx/apps/form/?path=General Ledger/Account&amp;$filter=AccountId eq 9c9c9b51-0167-662c-b932-81434041a64c" xr:uid="{6BE6A147-5988-439E-BFBE-76B41FC43B8A}"/>
    <hyperlink ref="D391" r:id="rId181" display="https://incode.tylerhost.net/kellertx/apps/form/?path=General Ledger/Account&amp;$filter=AccountId eq 51775148-ed27-d5b5-695e-6e1d6c736ea7" xr:uid="{9F36E2F2-E7AA-4B55-B75D-9E5E4F5C71BF}"/>
    <hyperlink ref="D392" r:id="rId182" display="https://incode.tylerhost.net/kellertx/apps/form/?path=General Ledger/Account&amp;$filter=AccountId eq 2b23da03-7231-047b-5ba8-d1fb1428d983" xr:uid="{CCA99721-9EA5-4F9A-A9D5-907185E35126}"/>
    <hyperlink ref="D402" r:id="rId183" display="https://incode.tylerhost.net/kellertx/apps/form/?path=General Ledger/Account&amp;$filter=AccountId eq fc61fbf4-c9b6-22ea-5247-d27ed203561c" xr:uid="{7C801BD0-0D8B-4077-8D10-2B4065FC2456}"/>
    <hyperlink ref="D403" r:id="rId184" display="https://incode.tylerhost.net/kellertx/apps/form/?path=General Ledger/Account&amp;$filter=AccountId eq 7d0f56ba-bb6a-a1b8-c184-c994e2adf887" xr:uid="{7B40AC1D-4016-43E8-8EC6-2B9A8070E0EE}"/>
    <hyperlink ref="D404" r:id="rId185" display="https://incode.tylerhost.net/kellertx/apps/form/?path=General Ledger/Account&amp;$filter=AccountId eq 76cf4213-c046-4306-1fe5-14d8a968ceed" xr:uid="{6A9EF223-662D-44B2-A898-8555277ECD61}"/>
    <hyperlink ref="D405" r:id="rId186" display="https://incode.tylerhost.net/kellertx/apps/form/?path=General Ledger/Account&amp;$filter=AccountId eq 506be636-db97-8c50-9e28-b432fb6329aa" xr:uid="{83E0F8F8-A54A-48D3-BF6C-A3A1ADB56097}"/>
    <hyperlink ref="D406" r:id="rId187" display="https://incode.tylerhost.net/kellertx/apps/form/?path=General Ledger/Account&amp;$filter=AccountId eq 417c7d7a-d49c-4ce3-6bf9-07b3cf465e5e" xr:uid="{16F83F7C-B3EE-4A05-86BA-EF97BB8CD1EC}"/>
    <hyperlink ref="D407" r:id="rId188" display="https://incode.tylerhost.net/kellertx/apps/form/?path=General Ledger/Account&amp;$filter=AccountId eq 9621686e-3bb8-9cb0-ff64-65eafc7d8c8f" xr:uid="{FF6E2442-0D2D-4EEB-BB32-925878212EF6}"/>
    <hyperlink ref="D408" r:id="rId189" display="https://incode.tylerhost.net/kellertx/apps/form/?path=General Ledger/Account&amp;$filter=AccountId eq 70baa720-8c04-fda9-719c-71a29e44c5b5" xr:uid="{A36A891C-FC26-4C67-A067-4CEBD9DDAAAF}"/>
    <hyperlink ref="D409" r:id="rId190" display="https://incode.tylerhost.net/kellertx/apps/form/?path=General Ledger/Account&amp;$filter=AccountId eq 4e8b6a7f-950f-de15-797f-bfd25238c902" xr:uid="{203E94F0-7FFB-4282-8A93-9EFE9A76C17A}"/>
    <hyperlink ref="D416" r:id="rId191" display="https://incode.tylerhost.net/kellertx/apps/form/?path=General Ledger/Account&amp;$filter=AccountId eq 31f3b8a4-c77d-4acd-be1b-4b7d6bddb83c" xr:uid="{89D66D44-67BE-46A1-9758-1737B9A8DB62}"/>
    <hyperlink ref="D417" r:id="rId192" display="https://incode.tylerhost.net/kellertx/apps/form/?path=General Ledger/Account&amp;$filter=AccountId eq 55e6120c-6934-3cca-6922-f8d102cf2146" xr:uid="{62E304DA-C7EB-45CC-999A-08F67A2F7FBA}"/>
    <hyperlink ref="D418" r:id="rId193" display="https://incode.tylerhost.net/kellertx/apps/form/?path=General Ledger/Account&amp;$filter=AccountId eq 965c6a68-17f3-1f66-2972-0ea9c870ffa9" xr:uid="{6409D18E-F070-4C02-9DF8-F79578669DB7}"/>
    <hyperlink ref="D419" r:id="rId194" display="https://incode.tylerhost.net/kellertx/apps/form/?path=General Ledger/Account&amp;$filter=AccountId eq 74eba100-92ef-a942-5477-04244a34878f" xr:uid="{EF0E8A28-1578-498B-97F3-FAEAFAAFDE6D}"/>
    <hyperlink ref="D420" r:id="rId195" display="https://incode.tylerhost.net/kellertx/apps/form/?path=General Ledger/Account&amp;$filter=AccountId eq a431465f-bd1e-40ab-9455-8871a1cdfa6c" xr:uid="{52273AF9-0BDF-4CD4-B873-CC9C0679800B}"/>
    <hyperlink ref="D421" r:id="rId196" display="https://incode.tylerhost.net/kellertx/apps/form/?path=General Ledger/Account&amp;$filter=AccountId eq 5f70500a-5813-30e0-ce94-91b3bbebb804" xr:uid="{94D1354B-94DF-4796-A3F4-A98695D7A48E}"/>
    <hyperlink ref="D422" r:id="rId197" display="https://incode.tylerhost.net/kellertx/apps/form/?path=General Ledger/Account&amp;$filter=AccountId eq 731a0120-c6e2-3df0-2f87-28368502a5ef" xr:uid="{5B09D200-5BC0-4A6E-8610-DD9E56331081}"/>
    <hyperlink ref="D429" r:id="rId198" display="https://incode.tylerhost.net/kellertx/apps/form/?path=General Ledger/Account&amp;$filter=AccountId eq 467b5ad5-ee53-89ac-baba-d3232db317a1" xr:uid="{05E73250-53EF-4FC7-80E9-6072076B8D85}"/>
    <hyperlink ref="D430" r:id="rId199" display="https://incode.tylerhost.net/kellertx/apps/form/?path=General Ledger/Account&amp;$filter=AccountId eq 88feeed6-dc21-582c-35d5-241413d082bc" xr:uid="{A41698B3-AC61-433A-9DBF-F32A5B11CB30}"/>
    <hyperlink ref="D439" r:id="rId200" display="https://incode.tylerhost.net/kellertx/apps/form/?path=General Ledger/Account&amp;$filter=AccountId eq f8f57fee-c4e9-2409-f5c1-4e9428dd6636" xr:uid="{B3FF77CC-32A2-431E-A75C-72CC7AC1EA1C}"/>
    <hyperlink ref="D440" r:id="rId201" display="https://incode.tylerhost.net/kellertx/apps/form/?path=General Ledger/Account&amp;$filter=AccountId eq 66d8f774-3944-6bdb-f3fb-9ac90fdb7d6d" xr:uid="{640041C7-96DD-4872-BA9A-AF4FD7EA8D72}"/>
    <hyperlink ref="D441" r:id="rId202" display="https://incode.tylerhost.net/kellertx/apps/form/?path=General Ledger/Account&amp;$filter=AccountId eq 9a58be72-42c4-cee0-0b15-66a092541b10" xr:uid="{92479F74-4B72-4975-884B-2B01C6209DB5}"/>
    <hyperlink ref="D442" r:id="rId203" display="https://incode.tylerhost.net/kellertx/apps/form/?path=General Ledger/Account&amp;$filter=AccountId eq cc5a5ace-4686-8451-b9e0-036101d60660" xr:uid="{176948DC-7BF0-47AE-B2A9-C201D7E9CF0E}"/>
    <hyperlink ref="D449" r:id="rId204" display="https://incode.tylerhost.net/kellertx/apps/form/?path=General Ledger/Account&amp;$filter=AccountId eq 2db9486e-a3de-c756-c257-a06c19d3abb9" xr:uid="{1D2AE83F-F057-42E7-ADC8-725E8662B401}"/>
    <hyperlink ref="D450" r:id="rId205" display="https://incode.tylerhost.net/kellertx/apps/form/?path=General Ledger/Account&amp;$filter=AccountId eq a1a24c3e-8773-9d83-4abc-24abd1f8d9c9" xr:uid="{3073EFF6-3F3E-4AFA-BCC1-2E0294923B92}"/>
    <hyperlink ref="D451" r:id="rId206" display="https://incode.tylerhost.net/kellertx/apps/form/?path=General Ledger/Account&amp;$filter=AccountId eq a9d072cf-6673-4578-7431-eea579cd5099" xr:uid="{FDEC2CB7-7EBC-4B58-8D4B-B5AAAF75C1AF}"/>
    <hyperlink ref="D452" r:id="rId207" display="https://incode.tylerhost.net/kellertx/apps/form/?path=General Ledger/Account&amp;$filter=AccountId eq 1bfe930d-b1f3-7045-4114-eab48f5e0d9b" xr:uid="{DBEBCC24-D292-4167-AC01-5B0F4F308382}"/>
    <hyperlink ref="D453" r:id="rId208" display="https://incode.tylerhost.net/kellertx/apps/form/?path=General Ledger/Account&amp;$filter=AccountId eq e6a802b3-e70f-19a9-5e66-097426eb2614" xr:uid="{2F41B4D3-3059-464B-8D55-10780D0909C0}"/>
    <hyperlink ref="D454" r:id="rId209" display="https://incode.tylerhost.net/kellertx/apps/form/?path=General Ledger/Account&amp;$filter=AccountId eq 6c846a71-6137-28e1-e4b3-cfecba799632" xr:uid="{2250480F-8EE3-4259-9653-7D4DEDDAE5C9}"/>
    <hyperlink ref="D455" r:id="rId210" display="https://incode.tylerhost.net/kellertx/apps/form/?path=General Ledger/Account&amp;$filter=AccountId eq 99bfde85-fe6c-09f1-7686-a908fdc86722" xr:uid="{8724946F-5242-4436-9D7E-4B3F0D88BE14}"/>
    <hyperlink ref="D456" r:id="rId211" display="https://incode.tylerhost.net/kellertx/apps/form/?path=General Ledger/Account&amp;$filter=AccountId eq fdd98fe6-453d-f2c2-c72f-d4834cba3e3e" xr:uid="{28F769E2-46BB-46F3-9440-9B2475CEA53F}"/>
    <hyperlink ref="D463" r:id="rId212" display="https://incode.tylerhost.net/kellertx/apps/form/?path=General Ledger/Account&amp;$filter=AccountId eq ff427c99-4237-1564-6260-b1ed8a897028" xr:uid="{CA283414-C605-4982-9F15-189683F906D4}"/>
    <hyperlink ref="D464" r:id="rId213" display="https://incode.tylerhost.net/kellertx/apps/form/?path=General Ledger/Account&amp;$filter=AccountId eq 4d87441c-eace-dd8c-39ea-bbc74141e96e" xr:uid="{91C7C6D0-AD2A-49FC-AD18-60367C74FC36}"/>
    <hyperlink ref="D465" r:id="rId214" display="https://incode.tylerhost.net/kellertx/apps/form/?path=General Ledger/Account&amp;$filter=AccountId eq 06debd8f-8ea0-0df5-4b1f-3eb5be296f17" xr:uid="{83935F0A-64B1-42FA-AE4F-9E7AA14E64E5}"/>
    <hyperlink ref="D466" r:id="rId215" display="https://incode.tylerhost.net/kellertx/apps/form/?path=General Ledger/Account&amp;$filter=AccountId eq 72099c45-61eb-6c86-39ad-5cbe9e71833c" xr:uid="{34BF28A6-6A51-47E0-85D6-3C128B828DF0}"/>
    <hyperlink ref="D467" r:id="rId216" display="https://incode.tylerhost.net/kellertx/apps/form/?path=General Ledger/Account&amp;$filter=AccountId eq 0b7c914b-4fb4-b4c4-1df2-7a0f9d4230f2" xr:uid="{C1159C66-06CB-4839-BB86-12FDAAC9E194}"/>
    <hyperlink ref="D468" r:id="rId217" display="https://incode.tylerhost.net/kellertx/apps/form/?path=General Ledger/Account&amp;$filter=AccountId eq a027ab54-3a8b-d4cb-f400-5e34d7ba5a2c" xr:uid="{E25E7CB9-4A08-4337-B3A7-E18DA5D13AB2}"/>
    <hyperlink ref="D469" r:id="rId218" display="https://incode.tylerhost.net/kellertx/apps/form/?path=General Ledger/Account&amp;$filter=AccountId eq 1f4e630c-6396-34ce-6579-539f472b92fd" xr:uid="{53A5484F-D44B-4F4A-B3EF-EB9498A7606C}"/>
    <hyperlink ref="D476" r:id="rId219" display="https://incode.tylerhost.net/kellertx/apps/form/?path=General Ledger/Account&amp;$filter=AccountId eq cd41d1b4-4cc6-3409-c0fb-ee9e1361d3ff" xr:uid="{AE7E7F42-E0FF-48FF-86B3-A34826CBE876}"/>
    <hyperlink ref="D477" r:id="rId220" display="https://incode.tylerhost.net/kellertx/apps/form/?path=General Ledger/Account&amp;$filter=AccountId eq c6b91457-3e05-0f10-34d2-0b4b7e8809d6" xr:uid="{F2952FA9-E4B2-4039-B5ED-73A0DEB38A04}"/>
    <hyperlink ref="D478" r:id="rId221" display="https://incode.tylerhost.net/kellertx/apps/form/?path=General Ledger/Account&amp;$filter=AccountId eq 81f627da-2748-63d0-de2e-03aa377476a9" xr:uid="{5B427D10-24B5-4592-995B-081DD58450BE}"/>
    <hyperlink ref="D479" r:id="rId222" display="https://incode.tylerhost.net/kellertx/apps/form/?path=General Ledger/Account&amp;$filter=AccountId eq 8a1a09ae-d244-efd3-719d-e0b47c0822a0" xr:uid="{7A96E9E1-A244-4FF4-842D-CB327EEBD476}"/>
    <hyperlink ref="D480" r:id="rId223" display="https://incode.tylerhost.net/kellertx/apps/form/?path=General Ledger/Account&amp;$filter=AccountId eq ba86132b-6e2c-3045-dac1-53954adab1b8" xr:uid="{D9841DB6-D209-4BC9-81C0-638AF92362E1}"/>
    <hyperlink ref="D481" r:id="rId224" display="https://incode.tylerhost.net/kellertx/apps/form/?path=General Ledger/Account&amp;$filter=AccountId eq 4f140237-bec7-6fa9-f1e1-42d6e8b99c3e" xr:uid="{D96C50D3-D286-457A-BD87-622B285D48A1}"/>
    <hyperlink ref="D482" r:id="rId225" display="https://incode.tylerhost.net/kellertx/apps/form/?path=General Ledger/Account&amp;$filter=AccountId eq 51994140-87fb-3db4-e0af-c33a00158d0b" xr:uid="{EF9DB7D0-9213-4720-9857-20E2FFE27A06}"/>
    <hyperlink ref="D492" r:id="rId226" display="https://incode.tylerhost.net/kellertx/apps/form/?path=General Ledger/Account&amp;$filter=AccountId eq 1372558b-e5c2-1c5e-24a6-ab0c58dafbb2" xr:uid="{1468482F-6095-460B-8783-EFD6A48789C3}"/>
    <hyperlink ref="D513" r:id="rId227" display="https://incode.tylerhost.net/kellertx/apps/form/?path=General Ledger/Account&amp;$filter=AccountId eq a1aad80c-f02f-4ea6-a980-b08300ed62f0" xr:uid="{791446D0-769D-4D8B-83E6-62DAE162B649}"/>
    <hyperlink ref="D520" r:id="rId228" display="https://incode.tylerhost.net/kellertx/apps/form/?path=General Ledger/Account&amp;$filter=AccountId eq e269ce54-e7ab-3555-0ad4-2dc4c1c4e6ab" xr:uid="{0347BC51-7EF0-4E02-84AD-250BBDAED068}"/>
    <hyperlink ref="D521" r:id="rId229" display="https://incode.tylerhost.net/kellertx/apps/form/?path=General Ledger/Account&amp;$filter=AccountId eq fe03589e-94e8-b8eb-9d8d-1b0264e46878" xr:uid="{6BEADC4A-B251-4A2B-BC3C-57249A57B1DD}"/>
    <hyperlink ref="D522" r:id="rId230" display="https://incode.tylerhost.net/kellertx/apps/form/?path=General Ledger/Account&amp;$filter=AccountId eq 0ebe85dc-3dad-c43e-7f6b-6de8b7c30076" xr:uid="{6ACF6FE0-A0D1-4C5D-AF04-2F1F07AB9316}"/>
    <hyperlink ref="D523" r:id="rId231" display="https://incode.tylerhost.net/kellertx/apps/form/?path=General Ledger/Account&amp;$filter=AccountId eq 743a7691-d471-a000-637e-cca01d964abb" xr:uid="{160E60AD-C6D2-47D6-95C9-62B8C4081FA7}"/>
    <hyperlink ref="D524" r:id="rId232" display="https://incode.tylerhost.net/kellertx/apps/form/?path=General Ledger/Account&amp;$filter=AccountId eq 9a3b7689-c793-b2a7-f261-64ef477bca62" xr:uid="{77DD1B65-1ACB-4C95-8A0E-731AF9C65B31}"/>
    <hyperlink ref="D537" r:id="rId233" display="https://incode.tylerhost.net/kellertx/apps/form/?path=General Ledger/Account&amp;$filter=AccountId eq b4443ef6-2b5f-aa4b-6361-59cd9f50bf46" xr:uid="{B66465F1-E4B1-4C96-ABB9-5706EEF93B0B}"/>
    <hyperlink ref="D538" r:id="rId234" display="https://incode.tylerhost.net/kellertx/apps/form/?path=General Ledger/Account&amp;$filter=AccountId eq ae99e9bd-a66c-1722-67b5-0df7c56632ee" xr:uid="{FAEE5C9F-2E11-4DD0-9D06-0890D03933FE}"/>
    <hyperlink ref="D539" r:id="rId235" display="https://incode.tylerhost.net/kellertx/apps/form/?path=General Ledger/Account&amp;$filter=AccountId eq ff1b701f-729a-d368-5cbb-3f052aaece2f" xr:uid="{54E16454-7B73-40F4-8DB9-D7528DCA1E80}"/>
    <hyperlink ref="D540" r:id="rId236" display="https://incode.tylerhost.net/kellertx/apps/form/?path=General Ledger/Account&amp;$filter=AccountId eq 1cda197f-8286-78b9-746a-c8fa35595c1f" xr:uid="{4BECC1A0-5A5D-42CB-B239-4E05B8CFF572}"/>
    <hyperlink ref="D541" r:id="rId237" display="https://incode.tylerhost.net/kellertx/apps/form/?path=General Ledger/Account&amp;$filter=AccountId eq e80a94b6-130a-7014-bc65-03ca9e6481d9" xr:uid="{51AF8F37-BE1D-46A4-A06B-12A1E9C7DA3F}"/>
    <hyperlink ref="D542" r:id="rId238" display="https://incode.tylerhost.net/kellertx/apps/form/?path=General Ledger/Account&amp;$filter=AccountId eq 96fa7eb6-d9cf-afe5-ba89-e15559fe7609" xr:uid="{D444F7E6-731D-489E-B151-D9775C4670E1}"/>
    <hyperlink ref="D555" r:id="rId239" display="https://incode.tylerhost.net/kellertx/apps/form/?path=General Ledger/Account&amp;$filter=AccountId eq 2ee8f870-e2df-a418-3764-f5f419175a9e" xr:uid="{63706423-2B5B-4B7D-A08B-089DF069B3BB}"/>
    <hyperlink ref="D556" r:id="rId240" display="https://incode.tylerhost.net/kellertx/apps/form/?path=General Ledger/Account&amp;$filter=AccountId eq b4037cb3-7917-8e1c-a9a4-46972d2a46eb" xr:uid="{C0E74634-F17B-4BAE-B0CA-CBDD9B9DA9C0}"/>
    <hyperlink ref="D557" r:id="rId241" display="https://incode.tylerhost.net/kellertx/apps/form/?path=General Ledger/Account&amp;$filter=AccountId eq 5a0e576f-1ee8-209f-4e2d-8a2e83bddd4b" xr:uid="{3CD99B7C-5FFC-4AAD-AC7B-54FB679E508C}"/>
    <hyperlink ref="D558" r:id="rId242" display="https://incode.tylerhost.net/kellertx/apps/form/?path=General Ledger/Account&amp;$filter=AccountId eq a29da2ab-442c-3332-caae-ae12553c1542" xr:uid="{FD8CC3AF-7B10-467F-B79C-0F01C3AE2302}"/>
    <hyperlink ref="D559" r:id="rId243" display="https://incode.tylerhost.net/kellertx/apps/form/?path=General Ledger/Account&amp;$filter=AccountId eq 14c6e9b5-6ee0-3a41-cd1f-fcf551731a57" xr:uid="{194AAB1C-A627-43A4-A504-D3E19412C4FA}"/>
    <hyperlink ref="D560" r:id="rId244" display="https://incode.tylerhost.net/kellertx/apps/form/?path=General Ledger/Account&amp;$filter=AccountId eq 08499bec-e845-f5da-2a11-b1c2c80d24a4" xr:uid="{087645D7-78A9-4BB6-9195-F3C87C569C60}"/>
    <hyperlink ref="D561" r:id="rId245" display="https://incode.tylerhost.net/kellertx/apps/form/?path=General Ledger/Account&amp;$filter=AccountId eq b7c323d2-babb-761b-22ab-03ccf4dd5159" xr:uid="{19265397-CC87-403D-845F-2B8C40FA555E}"/>
    <hyperlink ref="D562" r:id="rId246" display="https://incode.tylerhost.net/kellertx/apps/form/?path=General Ledger/Account&amp;$filter=AccountId eq 0c14835e-5f64-1b0d-b219-0b5931624c8f" xr:uid="{742E16B6-258E-4C63-B9D1-E1157FE99306}"/>
    <hyperlink ref="D563" r:id="rId247" display="https://incode.tylerhost.net/kellertx/apps/form/?path=General Ledger/Account&amp;$filter=AccountId eq 79c6b47b-1c42-c27f-6d05-90bd8fb39de4" xr:uid="{509047EC-8D02-4C06-AD95-921B9DB90AA9}"/>
    <hyperlink ref="D564" r:id="rId248" display="https://incode.tylerhost.net/kellertx/apps/form/?path=General Ledger/Account&amp;$filter=AccountId eq 65bab260-90cf-872b-b262-86e2d682abe4" xr:uid="{0D23F2A6-D424-4BD3-A3CC-AA875439F9FC}"/>
    <hyperlink ref="D571" r:id="rId249" display="https://incode.tylerhost.net/kellertx/apps/form/?path=General Ledger/Account&amp;$filter=AccountId eq 9e9b8d10-267c-9999-a0cf-25c6a7f85025" xr:uid="{A727E36B-6E74-43A1-B53F-6D0C9E58D097}"/>
    <hyperlink ref="D572" r:id="rId250" display="https://incode.tylerhost.net/kellertx/apps/form/?path=General Ledger/Account&amp;$filter=AccountId eq be97a7a3-b88d-d462-cdd5-752699398364" xr:uid="{EC6FB18B-C00F-4D7C-9F89-8B214D703E64}"/>
    <hyperlink ref="D573" r:id="rId251" display="https://incode.tylerhost.net/kellertx/apps/form/?path=General Ledger/Account&amp;$filter=AccountId eq 74c8102c-53d4-5b30-6fb3-b36c373c7915" xr:uid="{8FEFCA0F-2DEC-452F-9600-5909697716FA}"/>
    <hyperlink ref="D574" r:id="rId252" display="https://incode.tylerhost.net/kellertx/apps/form/?path=General Ledger/Account&amp;$filter=AccountId eq 12f498eb-7e8e-0c5c-c3c1-f9d2253247b3" xr:uid="{8D4F0FE2-6BA3-4C63-ADCD-04E911A4AC31}"/>
    <hyperlink ref="D583" r:id="rId253" display="https://incode.tylerhost.net/kellertx/apps/form/?path=General Ledger/Account&amp;$filter=AccountId eq 05ff09c3-7bc0-487e-7755-8856b43b1471" xr:uid="{EA6E5952-F621-42E1-8497-F99D2C6A3FA4}"/>
    <hyperlink ref="D584" r:id="rId254" display="https://incode.tylerhost.net/kellertx/apps/form/?path=General Ledger/Account&amp;$filter=AccountId eq 93315039-46ff-e421-31ae-0dabbffa6a18" xr:uid="{FCAA5C47-4F13-40A6-BDC8-A0CD3585A0C2}"/>
    <hyperlink ref="D585" r:id="rId255" display="https://incode.tylerhost.net/kellertx/apps/form/?path=General Ledger/Account&amp;$filter=AccountId eq 16e60796-c4c9-40a3-6963-26489bddf31c" xr:uid="{F43733BC-8FBE-4A0F-94A5-02CD69024991}"/>
    <hyperlink ref="D586" r:id="rId256" display="https://incode.tylerhost.net/kellertx/apps/form/?path=General Ledger/Account&amp;$filter=AccountId eq 2394930a-f784-dcd0-03fe-4aab88802f32" xr:uid="{70220B35-5095-4FBC-A562-258CB4C89A1D}"/>
    <hyperlink ref="D587" r:id="rId257" display="https://incode.tylerhost.net/kellertx/apps/form/?path=General Ledger/Account&amp;$filter=AccountId eq 4033ddb6-e3ab-67b0-613f-581073ff378c" xr:uid="{62398D47-9E54-4043-953A-D709073FD062}"/>
    <hyperlink ref="D600" r:id="rId258" display="https://incode.tylerhost.net/kellertx/apps/form/?path=General Ledger/Account&amp;$filter=AccountId eq 7b153af2-0c55-3cd2-ed4e-a44eb7b11c5f" xr:uid="{C84475B3-D3ED-4B3B-A714-F53A7716BD0A}"/>
    <hyperlink ref="D601" r:id="rId259" display="https://incode.tylerhost.net/kellertx/apps/form/?path=General Ledger/Account&amp;$filter=AccountId eq 8a8ffe91-d12d-5f25-c006-d1b7ac85848e" xr:uid="{6F2A1533-4669-4CAF-B106-1844B66F7FF2}"/>
    <hyperlink ref="D602" r:id="rId260" display="https://incode.tylerhost.net/kellertx/apps/form/?path=General Ledger/Account&amp;$filter=AccountId eq dea36b90-31f2-3ab4-745d-233f863e52a8" xr:uid="{5DCEA049-2686-4402-91D6-624ED31F04DE}"/>
    <hyperlink ref="D603" r:id="rId261" display="https://incode.tylerhost.net/kellertx/apps/form/?path=General Ledger/Account&amp;$filter=AccountId eq 17bf7453-3330-1a24-240c-7a36e0bed8e9" xr:uid="{1DC93428-F806-4E6D-B5EB-B9E155F3F7BB}"/>
    <hyperlink ref="D604" r:id="rId262" display="https://incode.tylerhost.net/kellertx/apps/form/?path=General Ledger/Account&amp;$filter=AccountId eq 058ea69b-6b03-e09c-00b7-b358b40810a7" xr:uid="{BB373910-C7BA-499E-8C9B-3D6DF97EA509}"/>
    <hyperlink ref="D605" r:id="rId263" display="https://incode.tylerhost.net/kellertx/apps/form/?path=General Ledger/Account&amp;$filter=AccountId eq a15ca24a-b0e3-bd2f-7643-608abf518a04" xr:uid="{C8B13C72-C47C-4FE6-A6B1-386E7A2D997B}"/>
    <hyperlink ref="D606" r:id="rId264" display="https://incode.tylerhost.net/kellertx/apps/form/?path=General Ledger/Account&amp;$filter=AccountId eq a8335547-7278-c62f-07b0-9842b3d08b74" xr:uid="{1D9C309E-5B37-48C3-86BC-C685C6256784}"/>
    <hyperlink ref="D607" r:id="rId265" display="https://incode.tylerhost.net/kellertx/apps/form/?path=General Ledger/Account&amp;$filter=AccountId eq f0029fbe-ac84-f5e7-e947-e96b0d5dd634" xr:uid="{8F2AD0F5-CDC8-4654-8783-BA6204C80586}"/>
    <hyperlink ref="D614" r:id="rId266" display="https://incode.tylerhost.net/kellertx/apps/form/?path=General Ledger/Account&amp;$filter=AccountId eq 50aa6c65-b121-2c96-f829-ce80e69fa3ec" xr:uid="{92AFF72F-86D6-4B50-8F82-84DF0E0E1671}"/>
    <hyperlink ref="D615" r:id="rId267" display="https://incode.tylerhost.net/kellertx/apps/form/?path=General Ledger/Account&amp;$filter=AccountId eq 57506f2e-93b7-1a27-cd64-4230d502c9ae" xr:uid="{CED58E7B-9AFA-44A9-9FB4-0EE681A8F22E}"/>
    <hyperlink ref="D616" r:id="rId268" display="https://incode.tylerhost.net/kellertx/apps/form/?path=General Ledger/Account&amp;$filter=AccountId eq 5c322a0a-579e-4471-c52e-98479e3b64c4" xr:uid="{16350661-E056-421A-A5AF-123D30A2ED71}"/>
    <hyperlink ref="D617" r:id="rId269" display="https://incode.tylerhost.net/kellertx/apps/form/?path=General Ledger/Account&amp;$filter=AccountId eq 54896579-0f59-bfb8-3f35-f636de4ae657" xr:uid="{5D9C3457-4081-4795-A63B-120E0A3BFF73}"/>
    <hyperlink ref="D618" r:id="rId270" display="https://incode.tylerhost.net/kellertx/apps/form/?path=General Ledger/Account&amp;$filter=AccountId eq f4430b82-d168-dbd6-7e46-88e45041eaec" xr:uid="{68581B66-1E23-4580-BEBB-18A784E02BBC}"/>
    <hyperlink ref="D619" r:id="rId271" display="https://incode.tylerhost.net/kellertx/apps/form/?path=General Ledger/Account&amp;$filter=AccountId eq 33a83ad2-4e6e-e4f6-9b62-71ce1014ed1b" xr:uid="{0370DE63-310A-4667-A24D-854E1B82BD4E}"/>
    <hyperlink ref="D620" r:id="rId272" display="https://incode.tylerhost.net/kellertx/apps/form/?path=General Ledger/Account&amp;$filter=AccountId eq 38d2a3c3-9746-d2fb-8e1b-a3fab2ed8cfa" xr:uid="{B65512B7-CE2A-4E6F-BACD-227DDF5A1058}"/>
    <hyperlink ref="D627" r:id="rId273" display="https://incode.tylerhost.net/kellertx/apps/form/?path=General Ledger/Account&amp;$filter=AccountId eq 9fc040cf-7a64-0ec4-0af2-cb7c0fa91dcf" xr:uid="{C84DB5DD-A6E6-4976-BC4E-D11C4ADB102A}"/>
    <hyperlink ref="D628" r:id="rId274" display="https://incode.tylerhost.net/kellertx/apps/form/?path=General Ledger/Account&amp;$filter=AccountId eq a12c8fa9-7d52-1b8c-c87c-58f17f3cd4ab" xr:uid="{A479554E-9C83-45E5-94FB-ACFA48CC9D38}"/>
    <hyperlink ref="D629" r:id="rId275" display="https://incode.tylerhost.net/kellertx/apps/form/?path=General Ledger/Account&amp;$filter=AccountId eq 092cf029-fc07-ee17-55ab-7e1eb90294d4" xr:uid="{6227954A-0DFE-460C-8B24-2A6EAC95F7AC}"/>
    <hyperlink ref="D636" r:id="rId276" display="https://incode.tylerhost.net/kellertx/apps/form/?path=General Ledger/Account&amp;$filter=AccountId eq dab609a7-fab0-dc70-c90c-08cddf96647e" xr:uid="{6666D2FF-C139-4C95-A2B2-EF2E749802E4}"/>
    <hyperlink ref="D637" r:id="rId277" display="https://incode.tylerhost.net/kellertx/apps/form/?path=General Ledger/Account&amp;$filter=AccountId eq ee7231c5-989a-4d34-d787-b112b6e65ccc" xr:uid="{19A2CBB4-14AC-4D64-AA8C-A3E3848C40B2}"/>
    <hyperlink ref="D638" r:id="rId278" display="https://incode.tylerhost.net/kellertx/apps/form/?path=General Ledger/Account&amp;$filter=AccountId eq 8196baa6-3298-38af-6c5f-7cfee2ca3fa5" xr:uid="{F1AEA02F-EFBB-4747-A70F-A5B1BBBCDC0C}"/>
    <hyperlink ref="D639" r:id="rId279" display="https://incode.tylerhost.net/kellertx/apps/form/?path=General Ledger/Account&amp;$filter=AccountId eq f30e2917-f6a5-c54d-f8da-9f540c52fd9b" xr:uid="{567966A9-F738-4559-A41B-5314E95058AC}"/>
    <hyperlink ref="D640" r:id="rId280" display="https://incode.tylerhost.net/kellertx/apps/form/?path=General Ledger/Account&amp;$filter=AccountId eq a4782820-b928-d1ce-4066-cd8210b66a46" xr:uid="{6FC66E3E-2A17-4F8A-B1EA-ECB02225855E}"/>
    <hyperlink ref="D641" r:id="rId281" display="https://incode.tylerhost.net/kellertx/apps/form/?path=General Ledger/Account&amp;$filter=AccountId eq 4e01facf-d143-bd46-836e-6e2265ad077a" xr:uid="{9E19642F-1A8A-44F3-B719-C5E747788638}"/>
    <hyperlink ref="D642" r:id="rId282" display="https://incode.tylerhost.net/kellertx/apps/form/?path=General Ledger/Account&amp;$filter=AccountId eq c836212e-1b43-7c00-6112-34ed918c8463" xr:uid="{3B504E5B-5AD1-4267-8964-4E6084486C71}"/>
    <hyperlink ref="D657" r:id="rId283" display="https://incode.tylerhost.net/kellertx/apps/form/?path=General Ledger/Account&amp;$filter=AccountId eq 429d0539-6e09-8a2e-3563-1e5f102053ec" xr:uid="{94416CC9-3B83-4C1A-A738-09ED13428FF6}"/>
    <hyperlink ref="D658" r:id="rId284" display="https://incode.tylerhost.net/kellertx/apps/form/?path=General Ledger/Account&amp;$filter=AccountId eq 354b24d1-6fc3-3030-8fde-c4b47f3fcbf4" xr:uid="{64778D80-7B4C-4E4B-AC6E-E27462FBEC0B}"/>
    <hyperlink ref="D659" r:id="rId285" display="https://incode.tylerhost.net/kellertx/apps/form/?path=General Ledger/Account&amp;$filter=AccountId eq af410654-57cf-a467-43ea-5c23071c4ce2" xr:uid="{3125406F-3C5A-4FF7-8A8C-376A011CF6C6}"/>
    <hyperlink ref="D660" r:id="rId286" display="https://incode.tylerhost.net/kellertx/apps/form/?path=General Ledger/Account&amp;$filter=AccountId eq 54945378-55e3-6b05-91a6-b465a9cf7fec" xr:uid="{F1D8111F-4FD2-45A2-B162-22EE7B964BD7}"/>
    <hyperlink ref="D661" r:id="rId287" display="https://incode.tylerhost.net/kellertx/apps/form/?path=General Ledger/Account&amp;$filter=AccountId eq f1f47d06-2222-3a81-602d-d3bc32969f12" xr:uid="{A16C0432-D391-49CF-AB17-09D55CAF4EED}"/>
    <hyperlink ref="D662" r:id="rId288" display="https://incode.tylerhost.net/kellertx/apps/form/?path=General Ledger/Account&amp;$filter=AccountId eq 5e33bc03-66c7-ba5a-9a04-30ed4d394956" xr:uid="{07464BC2-E271-4A1C-B99D-7EF02D744787}"/>
    <hyperlink ref="D669" r:id="rId289" display="https://incode.tylerhost.net/kellertx/apps/form/?path=General Ledger/Account&amp;$filter=AccountId eq 1f865091-d137-9b5a-d3d7-8eb56515a1ac" xr:uid="{1F1435F3-DBA0-4197-9ACF-3CAE04189845}"/>
    <hyperlink ref="D670" r:id="rId290" display="https://incode.tylerhost.net/kellertx/apps/form/?path=General Ledger/Account&amp;$filter=AccountId eq 511412d8-340c-53a9-bfc9-e80a51e3b5e5" xr:uid="{731E59D5-519C-4055-9A76-91BB00C77F12}"/>
    <hyperlink ref="D671" r:id="rId291" display="https://incode.tylerhost.net/kellertx/apps/form/?path=General Ledger/Account&amp;$filter=AccountId eq 980b99c4-5522-ddef-f0ef-e42468e27cc6" xr:uid="{DECD8076-8749-4AC4-A9A5-111DD20C5339}"/>
    <hyperlink ref="D672" r:id="rId292" display="https://incode.tylerhost.net/kellertx/apps/form/?path=General Ledger/Account&amp;$filter=AccountId eq f26197cd-176d-d7b2-beff-ee00adb9db36" xr:uid="{7029DF9D-A66F-4D38-B306-5AF48B005999}"/>
    <hyperlink ref="D673" r:id="rId293" display="https://incode.tylerhost.net/kellertx/apps/form/?path=General Ledger/Account&amp;$filter=AccountId eq 8568fb80-e404-baff-0abf-b3c23a39ea73" xr:uid="{1EF5DAA3-EF9C-43DF-B501-750AC8727922}"/>
    <hyperlink ref="D674" r:id="rId294" display="https://incode.tylerhost.net/kellertx/apps/form/?path=General Ledger/Account&amp;$filter=AccountId eq 549e8e4a-250d-96c5-9ebd-747f6431820a" xr:uid="{81F4CF14-14B5-4FBC-B090-D1BF006E908A}"/>
    <hyperlink ref="D675" r:id="rId295" display="https://incode.tylerhost.net/kellertx/apps/form/?path=General Ledger/Account&amp;$filter=AccountId eq cf43130f-f9c6-4440-a0bc-d314ff5859fc" xr:uid="{1154E8DF-28C4-4082-9D7C-852EE3702606}"/>
    <hyperlink ref="D688" r:id="rId296" display="https://incode.tylerhost.net/kellertx/apps/form/?path=General Ledger/Account&amp;$filter=AccountId eq f18a6dd9-4616-6cd9-9b68-b28dccd95032" xr:uid="{6E76CEB0-84BE-40EC-8F1D-DB3C73EAFCD8}"/>
    <hyperlink ref="D689" r:id="rId297" display="https://incode.tylerhost.net/kellertx/apps/form/?path=General Ledger/Account&amp;$filter=AccountId eq 79e72fdf-a55f-5f65-fa2a-9093eb57e5c8" xr:uid="{C8B70E99-7D09-44B7-9724-2D9C1E7C401E}"/>
    <hyperlink ref="D690" r:id="rId298" display="https://incode.tylerhost.net/kellertx/apps/form/?path=General Ledger/Account&amp;$filter=AccountId eq a10dea96-8686-47de-8ca1-5aa1317760a8" xr:uid="{A27676E1-A0D3-4027-969D-4959D48EE03F}"/>
    <hyperlink ref="D691" r:id="rId299" display="https://incode.tylerhost.net/kellertx/apps/form/?path=General Ledger/Account&amp;$filter=AccountId eq 7cf1ed57-dec3-b037-b7ad-9f684164d62e" xr:uid="{70547967-3B40-4AC7-8178-58957F8234AE}"/>
    <hyperlink ref="D692" r:id="rId300" display="https://incode.tylerhost.net/kellertx/apps/form/?path=General Ledger/Account&amp;$filter=AccountId eq 6284cab2-738e-11ab-0706-f729f2d32cc0" xr:uid="{5D770B01-405C-4816-9A03-A1BB3D28723D}"/>
    <hyperlink ref="D693" r:id="rId301" display="https://incode.tylerhost.net/kellertx/apps/form/?path=General Ledger/Account&amp;$filter=AccountId eq d7f65077-0747-88e8-503f-e4b13523a7d1" xr:uid="{02D393FC-1BB9-446A-8B94-1DAD4E43E111}"/>
    <hyperlink ref="D694" r:id="rId302" display="https://incode.tylerhost.net/kellertx/apps/form/?path=General Ledger/Account&amp;$filter=AccountId eq be687c12-2402-8904-e42d-6053e0391b35" xr:uid="{1FAD6239-8632-456F-BCCC-E593922F450B}"/>
    <hyperlink ref="D695" r:id="rId303" display="https://incode.tylerhost.net/kellertx/apps/form/?path=General Ledger/Account&amp;$filter=AccountId eq 3e570ec2-c44b-352a-f810-4be052466f09" xr:uid="{4C245E95-5533-4031-9D48-55CEEC01E8CA}"/>
    <hyperlink ref="D696" r:id="rId304" display="https://incode.tylerhost.net/kellertx/apps/form/?path=General Ledger/Account&amp;$filter=AccountId eq 895523db-adfa-ba8c-6925-f1831326ab52" xr:uid="{505266E5-6346-4D92-ADB7-27CE15D23CEA}"/>
    <hyperlink ref="D706" r:id="rId305" display="https://incode.tylerhost.net/kellertx/apps/form/?path=General Ledger/Account&amp;$filter=AccountId eq 017174d3-8266-7df0-68b9-fb0aeaf1f351" xr:uid="{94F6E171-7F79-43FF-9A47-4BB61B632B72}"/>
    <hyperlink ref="D707" r:id="rId306" display="https://incode.tylerhost.net/kellertx/apps/form/?path=General Ledger/Account&amp;$filter=AccountId eq d9b34808-de02-f1ee-0517-b8466f1dbc0e" xr:uid="{302C8649-B39B-44EE-90E9-20BDD18CCE1F}"/>
    <hyperlink ref="D708" r:id="rId307" display="https://incode.tylerhost.net/kellertx/apps/form/?path=General Ledger/Account&amp;$filter=AccountId eq 03aafd62-1205-d85d-cf66-d7d8908708c4" xr:uid="{E10712E6-024E-496E-B8AC-9FB0B2A415A9}"/>
    <hyperlink ref="D709" r:id="rId308" display="https://incode.tylerhost.net/kellertx/apps/form/?path=General Ledger/Account&amp;$filter=AccountId eq e6bb5aed-6945-9d5d-fb37-1a80b5f64ca6" xr:uid="{01671640-B0D0-4C48-95DB-2BEBF307F841}"/>
    <hyperlink ref="D710" r:id="rId309" display="https://incode.tylerhost.net/kellertx/apps/form/?path=General Ledger/Account&amp;$filter=AccountId eq 1ff25c78-91fd-bd0f-a508-43f7629aa974" xr:uid="{47F9912F-7783-41ED-826F-0FF9B6C3BA4A}"/>
    <hyperlink ref="D711" r:id="rId310" display="https://incode.tylerhost.net/kellertx/apps/form/?path=General Ledger/Account&amp;$filter=AccountId eq 1019da58-f9e6-ae1d-5cde-3b74c2b5dd15" xr:uid="{4CFD25A7-BB80-4A65-895F-89258FFC248F}"/>
    <hyperlink ref="D712" r:id="rId311" display="https://incode.tylerhost.net/kellertx/apps/form/?path=General Ledger/Account&amp;$filter=AccountId eq 568f56ee-62f8-d237-7860-8301ff8c6cb2" xr:uid="{23EF19CD-A936-4C19-81FC-EE8CF93A78A8}"/>
    <hyperlink ref="D713" r:id="rId312" display="https://incode.tylerhost.net/kellertx/apps/form/?path=General Ledger/Account&amp;$filter=AccountId eq d5245097-8a64-d861-4a04-a359a99db0a6" xr:uid="{B96C1A6F-509A-4063-8E3C-A74B33364FD4}"/>
    <hyperlink ref="D720" r:id="rId313" display="https://incode.tylerhost.net/kellertx/apps/form/?path=General Ledger/Account&amp;$filter=AccountId eq dc55d908-00fd-bee6-a170-8333c83a5fea" xr:uid="{4BDB5A83-B8B3-46EA-A58B-2C8958FF507C}"/>
    <hyperlink ref="D728" r:id="rId314" display="https://incode.tylerhost.net/kellertx/apps/form/?path=General Ledger/Account&amp;$filter=AccountId eq 5f90fb23-3a4f-bc81-bb16-087fefe1d094" xr:uid="{B4C23BB2-2E2A-4F47-A502-3CCDBE4399BE}"/>
    <hyperlink ref="D729" r:id="rId315" display="https://incode.tylerhost.net/kellertx/apps/form/?path=General Ledger/Account&amp;$filter=AccountId eq 1ce53d4a-f38f-13b1-a9ba-84b9f954bf0f" xr:uid="{B637EEB3-E0EF-4000-935A-19265C068860}"/>
    <hyperlink ref="D730" r:id="rId316" display="https://incode.tylerhost.net/kellertx/apps/form/?path=General Ledger/Account&amp;$filter=AccountId eq cc6e8bc1-adf8-2ce5-3317-b40ccf0ddff1" xr:uid="{78C76074-8C4B-4C80-A071-455E12508B00}"/>
    <hyperlink ref="D731" r:id="rId317" display="https://incode.tylerhost.net/kellertx/apps/form/?path=General Ledger/Account&amp;$filter=AccountId eq cf5a8fc3-d0aa-d40e-a0a2-2f096ae2675a" xr:uid="{DD590DB2-43BE-4F00-8007-5C6910DD685C}"/>
    <hyperlink ref="D732" r:id="rId318" display="https://incode.tylerhost.net/kellertx/apps/form/?path=General Ledger/Account&amp;$filter=AccountId eq f4809ceb-9cce-76c8-cb05-ff42fcb47196" xr:uid="{1F495643-6F8B-4B00-894D-8658FD74FFEF}"/>
    <hyperlink ref="D733" r:id="rId319" display="https://incode.tylerhost.net/kellertx/apps/form/?path=General Ledger/Account&amp;$filter=AccountId eq 37dcf844-2ce0-1004-9679-b33d53a2596f" xr:uid="{8EF4F94D-F394-4228-BE73-DAC02E828EA5}"/>
    <hyperlink ref="D734" r:id="rId320" display="https://incode.tylerhost.net/kellertx/apps/form/?path=General Ledger/Account&amp;$filter=AccountId eq 4c5d9557-42e8-4159-a98e-6603de2c9a09" xr:uid="{7969FA23-75A5-4E70-B640-81FE4358841F}"/>
    <hyperlink ref="D744" r:id="rId321" display="https://incode.tylerhost.net/kellertx/apps/form/?path=General Ledger/Account&amp;$filter=AccountId eq c773c464-69e4-6f0b-d794-60a5b4758467" xr:uid="{D665B66F-463A-40F4-915C-EBC76A929ECF}"/>
    <hyperlink ref="D745" r:id="rId322" display="https://incode.tylerhost.net/kellertx/apps/form/?path=General Ledger/Account&amp;$filter=AccountId eq 5046eb1e-08e1-caa2-21cc-7871073c4b79" xr:uid="{BF8250C1-196E-47E6-8A33-FB95C536615D}"/>
    <hyperlink ref="D746" r:id="rId323" display="https://incode.tylerhost.net/kellertx/apps/form/?path=General Ledger/Account&amp;$filter=AccountId eq f0c1bd2a-7e07-deac-88d4-eccdddf388a5" xr:uid="{A1486DB0-3616-431B-AA35-9E02490CA141}"/>
    <hyperlink ref="D747" r:id="rId324" display="https://incode.tylerhost.net/kellertx/apps/form/?path=General Ledger/Account&amp;$filter=AccountId eq 20bcfe08-907d-9672-2f1b-39fefdf5b18d" xr:uid="{1D939812-CB95-4EE1-8D5A-5AF12124CD81}"/>
    <hyperlink ref="D748" r:id="rId325" display="https://incode.tylerhost.net/kellertx/apps/form/?path=General Ledger/Account&amp;$filter=AccountId eq c2a3bfdd-f8f8-842a-b6bd-0c2e6462adf0" xr:uid="{69F3E201-0BE3-45C8-AA71-8B37E9C10D89}"/>
    <hyperlink ref="D749" r:id="rId326" display="https://incode.tylerhost.net/kellertx/apps/form/?path=General Ledger/Account&amp;$filter=AccountId eq 57770c79-59bb-2124-af8c-0c3deff2c060" xr:uid="{5C2CD854-A60A-45A1-98A6-8401F8622BD2}"/>
    <hyperlink ref="D750" r:id="rId327" display="https://incode.tylerhost.net/kellertx/apps/form/?path=General Ledger/Account&amp;$filter=AccountId eq 89110bb8-1678-3242-4505-88d43d6ee4e2" xr:uid="{832C3CD8-D127-434F-BCAC-492EDD3DDB2A}"/>
    <hyperlink ref="D751" r:id="rId328" display="https://incode.tylerhost.net/kellertx/apps/form/?path=General Ledger/Account&amp;$filter=AccountId eq 7b53380d-3478-599f-4931-1e98d61dc184" xr:uid="{D51729A1-FA9D-43E2-991B-812205D09E0A}"/>
    <hyperlink ref="D758" r:id="rId329" display="https://incode.tylerhost.net/kellertx/apps/form/?path=General Ledger/Account&amp;$filter=AccountId eq ec9d224f-c641-0ed3-7a50-5fdb4413a53d" xr:uid="{8F3DDFF5-B4D4-4CA0-B36A-DDDE0D849AD3}"/>
    <hyperlink ref="D759" r:id="rId330" display="https://incode.tylerhost.net/kellertx/apps/form/?path=General Ledger/Account&amp;$filter=AccountId eq 8e8395ee-b533-a573-b808-a24906d6ce86" xr:uid="{EF1B299F-59C3-4263-B3D5-2F714222C3B8}"/>
    <hyperlink ref="D760" r:id="rId331" display="https://incode.tylerhost.net/kellertx/apps/form/?path=General Ledger/Account&amp;$filter=AccountId eq 5a456d16-d1ac-c109-b2d1-704e34ff8348" xr:uid="{BB6A5FD7-13D7-4130-A27C-F33B43D010F8}"/>
    <hyperlink ref="D761" r:id="rId332" display="https://incode.tylerhost.net/kellertx/apps/form/?path=General Ledger/Account&amp;$filter=AccountId eq b64fde95-abe0-5260-47de-a1ca71ab115d" xr:uid="{828F61A4-EEE5-40B8-98B7-EC2865463096}"/>
    <hyperlink ref="D762" r:id="rId333" display="https://incode.tylerhost.net/kellertx/apps/form/?path=General Ledger/Account&amp;$filter=AccountId eq d4d4ce71-3e94-0c8e-7efc-1a0cee4b5c0c" xr:uid="{46EDCDDF-79A9-4727-AA19-B9BE64A0F029}"/>
    <hyperlink ref="D763" r:id="rId334" display="https://incode.tylerhost.net/kellertx/apps/form/?path=General Ledger/Account&amp;$filter=AccountId eq d64ea4aa-1cfb-e443-d22e-62a2fa6f2d3d" xr:uid="{F478F2BC-1188-4EAF-9F6D-B0519CC3C2CE}"/>
    <hyperlink ref="D764" r:id="rId335" display="https://incode.tylerhost.net/kellertx/apps/form/?path=General Ledger/Account&amp;$filter=AccountId eq f4bdc755-e054-5c86-da97-351ac70feae2" xr:uid="{928884E4-DF2D-44E0-B6E5-4CEB44300B79}"/>
    <hyperlink ref="D765" r:id="rId336" display="https://incode.tylerhost.net/kellertx/apps/form/?path=General Ledger/Account&amp;$filter=AccountId eq 02359b16-9d7a-21a6-fdaf-ff7ea90e6e17" xr:uid="{3A9DFD71-7F6C-4C7F-BD30-ACB08A0C2888}"/>
    <hyperlink ref="D775" r:id="rId337" display="https://incode.tylerhost.net/kellertx/apps/form/?path=General Ledger/Account&amp;$filter=AccountId eq 8ca67677-1d0e-f2d3-64d4-1f4bfbb1a27a" xr:uid="{597F775F-C50D-4C48-87C8-3558EA3125C4}"/>
    <hyperlink ref="D776" r:id="rId338" display="https://incode.tylerhost.net/kellertx/apps/form/?path=General Ledger/Account&amp;$filter=AccountId eq 121720d0-39eb-cf52-82bd-77bad1254af2" xr:uid="{9D669AF3-15B4-4E73-ABC8-0779F0E90C03}"/>
    <hyperlink ref="D777" r:id="rId339" display="https://incode.tylerhost.net/kellertx/apps/form/?path=General Ledger/Account&amp;$filter=AccountId eq 18f7aff2-5f6c-a272-d29a-be75243ac3d1" xr:uid="{7FDD6D3C-88F1-40A6-966B-0AAFD13D821E}"/>
    <hyperlink ref="D778" r:id="rId340" display="https://incode.tylerhost.net/kellertx/apps/form/?path=General Ledger/Account&amp;$filter=AccountId eq 9e782f59-ee0d-3045-cc70-2b26add27203" xr:uid="{D13E396C-2F75-4B8D-97AE-EF0C8C38ECA1}"/>
    <hyperlink ref="D779" r:id="rId341" display="https://incode.tylerhost.net/kellertx/apps/form/?path=General Ledger/Account&amp;$filter=AccountId eq fc1c1faf-65e5-5e56-d8b3-e45cdf22bb79" xr:uid="{609D2769-E93D-4EDE-A61A-D793B2F5FAB8}"/>
    <hyperlink ref="D780" r:id="rId342" display="https://incode.tylerhost.net/kellertx/apps/form/?path=General Ledger/Account&amp;$filter=AccountId eq b51478e5-b520-acb2-3def-f608b78a3aee" xr:uid="{45EFCC0F-2C96-4457-A9E6-C7B80DE678CC}"/>
    <hyperlink ref="D781" r:id="rId343" display="https://incode.tylerhost.net/kellertx/apps/form/?path=General Ledger/Account&amp;$filter=AccountId eq 7d082c9f-b641-7d9c-2b28-781800404c27" xr:uid="{AC1E3807-C312-4E39-AA40-8F0DA560FDB1}"/>
    <hyperlink ref="D782" r:id="rId344" display="https://incode.tylerhost.net/kellertx/apps/form/?path=General Ledger/Account&amp;$filter=AccountId eq 1707b3a6-3042-4cba-05e9-cc31647a84ba" xr:uid="{BAC4551D-DFAF-4284-A671-F2ADDDC62599}"/>
    <hyperlink ref="D792" r:id="rId345" display="https://incode.tylerhost.net/kellertx/apps/form/?path=General Ledger/Account&amp;$filter=AccountId eq 2a0f9158-a398-3600-c958-78afee5f16a9" xr:uid="{F68901F3-2BCA-44FA-8D00-F26A0EC5C3C8}"/>
    <hyperlink ref="D793" r:id="rId346" display="https://incode.tylerhost.net/kellertx/apps/form/?path=General Ledger/Account&amp;$filter=AccountId eq f9b47667-28c3-c318-24d1-4c5afaa23052" xr:uid="{97855EAE-51AC-4D36-98C6-22DA2905A2B1}"/>
    <hyperlink ref="D801" r:id="rId347" display="https://incode.tylerhost.net/kellertx/apps/form/?path=General Ledger/Account&amp;$filter=AccountId eq 086e62e5-38e2-607d-98ea-a3626bb72707" xr:uid="{02A98058-D691-4D7E-AAC8-62502F1539BF}"/>
    <hyperlink ref="D802" r:id="rId348" display="https://incode.tylerhost.net/kellertx/apps/form/?path=General Ledger/Account&amp;$filter=AccountId eq abcb6b39-ffd3-b90a-785c-106cef37165c" xr:uid="{5598CAD5-538C-48EE-9EE5-DBB0E61C2592}"/>
    <hyperlink ref="D803" r:id="rId349" display="https://incode.tylerhost.net/kellertx/apps/form/?path=General Ledger/Account&amp;$filter=AccountId eq 2b1df049-f590-b213-1ffb-e90d9156fdeb" xr:uid="{3E59C48B-1D81-48D0-ADB6-C2B49452A849}"/>
    <hyperlink ref="D804" r:id="rId350" display="https://incode.tylerhost.net/kellertx/apps/form/?path=General Ledger/Account&amp;$filter=AccountId eq f2bd3299-81b6-4dd4-d1f9-94da0abbd9d6" xr:uid="{EB3E187D-A33E-41F9-ACD1-871F45592DFE}"/>
    <hyperlink ref="D805" r:id="rId351" display="https://incode.tylerhost.net/kellertx/apps/form/?path=General Ledger/Account&amp;$filter=AccountId eq bb6450fe-8511-34f5-bb15-fa87980c6708" xr:uid="{E381AAA3-F717-4D3C-AAB8-5EA267800A02}"/>
    <hyperlink ref="D818" r:id="rId352" display="https://incode.tylerhost.net/kellertx/apps/form/?path=General Ledger/Account&amp;$filter=AccountId eq f37f6ebe-b059-663d-28ae-c53375123639" xr:uid="{B85E34EC-76DA-418F-A794-BAD468CD6865}"/>
    <hyperlink ref="D819" r:id="rId353" display="https://incode.tylerhost.net/kellertx/apps/form/?path=General Ledger/Account&amp;$filter=AccountId eq 4970e839-5fc0-2a92-b75a-7785970203f4" xr:uid="{E6C31F8D-B1EA-49A3-8438-39E6FF6858F6}"/>
    <hyperlink ref="D820" r:id="rId354" display="https://incode.tylerhost.net/kellertx/apps/form/?path=General Ledger/Account&amp;$filter=AccountId eq 631f37d8-c24c-f07e-d6a4-daa3a695196c" xr:uid="{A972AE7F-48E0-4D0B-B8E3-B0836B2405B6}"/>
    <hyperlink ref="D821" r:id="rId355" display="https://incode.tylerhost.net/kellertx/apps/form/?path=General Ledger/Account&amp;$filter=AccountId eq 86a4fd66-d934-a3fc-f42b-af7fbf4ddab1" xr:uid="{3702165C-5CB5-40F9-ACDF-C9044C5CCD25}"/>
    <hyperlink ref="D822" r:id="rId356" display="https://incode.tylerhost.net/kellertx/apps/form/?path=General Ledger/Account&amp;$filter=AccountId eq e272e8d3-543a-772e-f8a1-9de54dda19ec" xr:uid="{EC2CAFC8-F555-4FFC-B686-CC6103262D2F}"/>
    <hyperlink ref="D823" r:id="rId357" display="https://incode.tylerhost.net/kellertx/apps/form/?path=General Ledger/Account&amp;$filter=AccountId eq e6d4aafd-bd33-ec20-5b52-c67b0d541dc4" xr:uid="{8B719403-0F7F-45C0-AE2F-1624BC928F19}"/>
    <hyperlink ref="D824" r:id="rId358" display="https://incode.tylerhost.net/kellertx/apps/form/?path=General Ledger/Account&amp;$filter=AccountId eq 522bb744-1744-1bbc-1d97-f707552e249f" xr:uid="{F2D897CB-0F1A-4DAD-B9A5-09FFC45E65A2}"/>
  </hyperlinks>
  <printOptions gridLines="1"/>
  <pageMargins left="0.75" right="0.75" top="1" bottom="1" header="0.5" footer="0.5"/>
  <pageSetup orientation="portrait" horizontalDpi="1200" verticalDpi="1200" r:id="rId359"/>
  <drawing r:id="rId36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B1:AP473"/>
  <sheetViews>
    <sheetView zoomScaleNormal="100" workbookViewId="0">
      <pane xSplit="10" ySplit="5" topLeftCell="K54" activePane="bottomRight" state="frozen"/>
      <selection activeCell="C263" sqref="C263"/>
      <selection pane="topRight" activeCell="C263" sqref="C263"/>
      <selection pane="bottomLeft" activeCell="C263" sqref="C263"/>
      <selection pane="bottomRight" activeCell="T6" sqref="T6:T74"/>
    </sheetView>
  </sheetViews>
  <sheetFormatPr defaultColWidth="8.90625" defaultRowHeight="14.4"/>
  <cols>
    <col min="1" max="1" width="2.81640625" style="115" customWidth="1"/>
    <col min="2" max="2" width="11.90625" style="115" bestFit="1" customWidth="1"/>
    <col min="3" max="3" width="26.81640625" style="115" customWidth="1"/>
    <col min="4" max="4" width="16.36328125" style="115" customWidth="1"/>
    <col min="5" max="5" width="8.08984375" style="115" customWidth="1"/>
    <col min="6" max="6" width="7" style="115" bestFit="1" customWidth="1"/>
    <col min="7" max="7" width="7" style="115" customWidth="1"/>
    <col min="8" max="8" width="12" style="115" bestFit="1" customWidth="1"/>
    <col min="9" max="9" width="4.453125" style="115" customWidth="1"/>
    <col min="10" max="10" width="8.453125" style="115" bestFit="1" customWidth="1"/>
    <col min="11" max="11" width="11.54296875" style="116" customWidth="1"/>
    <col min="12" max="12" width="8.36328125" style="115" customWidth="1"/>
    <col min="13" max="13" width="11.1796875" style="115" customWidth="1"/>
    <col min="14" max="14" width="4.1796875" style="117" customWidth="1"/>
    <col min="15" max="15" width="7.81640625" style="115" bestFit="1" customWidth="1"/>
    <col min="16" max="17" width="7.36328125" style="115" bestFit="1" customWidth="1"/>
    <col min="18" max="18" width="8.453125" style="115" customWidth="1"/>
    <col min="19" max="19" width="7.36328125" style="115" customWidth="1"/>
    <col min="20" max="20" width="6.6328125" style="115" customWidth="1"/>
    <col min="21" max="21" width="9.36328125" style="115" bestFit="1" customWidth="1"/>
    <col min="22" max="22" width="3" style="115" customWidth="1"/>
    <col min="23" max="23" width="9.36328125" style="115" customWidth="1"/>
    <col min="24" max="24" width="9.36328125" style="117" customWidth="1"/>
    <col min="25" max="25" width="7" style="117" customWidth="1"/>
    <col min="26" max="26" width="3.54296875" style="115" customWidth="1"/>
    <col min="27" max="29" width="8.90625" style="115"/>
    <col min="30" max="30" width="8.90625" style="115" customWidth="1"/>
    <col min="31" max="31" width="2.6328125" style="115" customWidth="1"/>
    <col min="32" max="16384" width="8.90625" style="115"/>
  </cols>
  <sheetData>
    <row r="1" spans="2:42">
      <c r="M1" s="115">
        <v>12</v>
      </c>
      <c r="O1" s="644" t="s">
        <v>308</v>
      </c>
      <c r="P1" s="644"/>
      <c r="Q1" s="204"/>
      <c r="R1" s="204"/>
      <c r="S1" s="204"/>
      <c r="AA1" s="118"/>
      <c r="AB1" s="118">
        <v>26.1</v>
      </c>
      <c r="AC1" s="119" t="s">
        <v>99</v>
      </c>
      <c r="AD1" s="118"/>
      <c r="AE1" s="118"/>
      <c r="AF1" s="120"/>
      <c r="AG1" s="118">
        <v>12</v>
      </c>
      <c r="AH1" s="118">
        <v>12</v>
      </c>
      <c r="AI1" s="118">
        <v>12</v>
      </c>
      <c r="AJ1" s="118"/>
      <c r="AK1" s="118"/>
      <c r="AL1" s="118">
        <v>1</v>
      </c>
      <c r="AM1" s="118"/>
      <c r="AN1" s="118"/>
    </row>
    <row r="2" spans="2:42">
      <c r="O2" s="115" t="s">
        <v>306</v>
      </c>
      <c r="P2" s="115" t="s">
        <v>307</v>
      </c>
      <c r="Q2" s="477" t="s">
        <v>1917</v>
      </c>
      <c r="R2" s="115" t="s">
        <v>94</v>
      </c>
      <c r="S2" s="115" t="s">
        <v>95</v>
      </c>
      <c r="T2" s="115" t="s">
        <v>353</v>
      </c>
      <c r="U2" s="115" t="s">
        <v>40</v>
      </c>
      <c r="AA2" s="121">
        <v>24.92</v>
      </c>
      <c r="AB2" s="379">
        <f>AB1-AA2</f>
        <v>1.1799999999999997</v>
      </c>
      <c r="AC2" s="417"/>
      <c r="AD2" s="118"/>
      <c r="AE2" s="118"/>
      <c r="AF2" s="122">
        <v>24</v>
      </c>
      <c r="AG2" s="263">
        <f>AF2-22.8</f>
        <v>1.1999999999999993</v>
      </c>
      <c r="AH2" s="263">
        <f>AG2</f>
        <v>1.1999999999999993</v>
      </c>
      <c r="AI2" s="263">
        <f>AH2</f>
        <v>1.1999999999999993</v>
      </c>
      <c r="AJ2" s="118"/>
      <c r="AK2" s="118"/>
      <c r="AL2" s="123">
        <f>AF2-22.8</f>
        <v>1.1999999999999993</v>
      </c>
      <c r="AM2" s="123">
        <f>AL2</f>
        <v>1.1999999999999993</v>
      </c>
      <c r="AN2" s="124">
        <v>0.16669999999999999</v>
      </c>
    </row>
    <row r="3" spans="2:42">
      <c r="B3" s="115" t="s">
        <v>352</v>
      </c>
      <c r="C3" s="115" t="s">
        <v>0</v>
      </c>
      <c r="F3" s="115" t="s">
        <v>309</v>
      </c>
      <c r="H3" s="115" t="s">
        <v>31</v>
      </c>
      <c r="J3" s="115" t="s">
        <v>5</v>
      </c>
      <c r="K3" s="116" t="s">
        <v>8</v>
      </c>
      <c r="L3" s="115" t="s">
        <v>310</v>
      </c>
      <c r="M3" s="115" t="s">
        <v>310</v>
      </c>
      <c r="O3" s="115" t="s">
        <v>311</v>
      </c>
      <c r="P3" s="115" t="s">
        <v>32</v>
      </c>
      <c r="Q3" s="478" t="s">
        <v>57</v>
      </c>
      <c r="U3" s="115" t="s">
        <v>312</v>
      </c>
      <c r="AA3" s="119">
        <f>COUNTIF($J$6:$J$394,AA5)</f>
        <v>16</v>
      </c>
      <c r="AB3" s="119">
        <f>COUNTIF($J$6:$J$394,AB5)</f>
        <v>69</v>
      </c>
      <c r="AC3" s="119">
        <f>COUNTIF($J$6:$J$394,AC5)</f>
        <v>29</v>
      </c>
      <c r="AD3" s="119">
        <f>COUNTIF($J$6:$J$394,AD5)</f>
        <v>6</v>
      </c>
      <c r="AE3" s="119"/>
      <c r="AF3" s="119">
        <f>COUNTIF($J$6:$J$394,AF5)</f>
        <v>0</v>
      </c>
      <c r="AG3" s="119"/>
      <c r="AH3" s="119"/>
      <c r="AI3" s="119">
        <f>COUNTIF($J$6:$J$394,AI5)</f>
        <v>1</v>
      </c>
      <c r="AJ3" s="119"/>
      <c r="AK3" s="118" t="s">
        <v>39</v>
      </c>
      <c r="AL3" s="119" t="s">
        <v>40</v>
      </c>
      <c r="AM3" s="119" t="s">
        <v>41</v>
      </c>
      <c r="AN3" s="118" t="s">
        <v>14</v>
      </c>
    </row>
    <row r="4" spans="2:42">
      <c r="M4" s="119"/>
      <c r="AA4" s="119" t="s">
        <v>97</v>
      </c>
      <c r="AB4" s="119" t="s">
        <v>98</v>
      </c>
      <c r="AC4" s="119" t="s">
        <v>99</v>
      </c>
      <c r="AD4" s="119" t="s">
        <v>100</v>
      </c>
      <c r="AE4" s="119"/>
      <c r="AF4" s="119" t="s">
        <v>101</v>
      </c>
      <c r="AG4" s="119" t="s">
        <v>25</v>
      </c>
      <c r="AH4" s="119" t="s">
        <v>103</v>
      </c>
      <c r="AI4" s="119" t="s">
        <v>104</v>
      </c>
      <c r="AJ4" s="119" t="s">
        <v>102</v>
      </c>
      <c r="AK4" s="118"/>
      <c r="AL4" s="119"/>
      <c r="AM4" s="119"/>
      <c r="AN4" s="118"/>
    </row>
    <row r="5" spans="2:42">
      <c r="M5" s="119"/>
      <c r="AA5" s="119" t="s">
        <v>53</v>
      </c>
      <c r="AB5" s="119" t="s">
        <v>47</v>
      </c>
      <c r="AC5" s="119" t="s">
        <v>54</v>
      </c>
      <c r="AD5" s="119" t="s">
        <v>56</v>
      </c>
      <c r="AE5" s="119"/>
      <c r="AF5" s="119" t="s">
        <v>58</v>
      </c>
      <c r="AG5" s="119">
        <v>50115</v>
      </c>
      <c r="AH5" s="119" t="s">
        <v>32</v>
      </c>
      <c r="AI5" s="119" t="s">
        <v>57</v>
      </c>
      <c r="AJ5" s="119"/>
      <c r="AK5" s="119">
        <v>50610</v>
      </c>
      <c r="AL5" s="119"/>
      <c r="AM5" s="119"/>
      <c r="AN5" s="119"/>
    </row>
    <row r="6" spans="2:42">
      <c r="B6" s="20" t="s">
        <v>1536</v>
      </c>
      <c r="C6" s="115" t="str">
        <f>'Prop Budget Calc'!B6</f>
        <v>Administrative Services Manager</v>
      </c>
      <c r="D6" s="115" t="str">
        <f>'Prop Budget Calc'!C6</f>
        <v>First Name Last Name</v>
      </c>
      <c r="F6" s="115">
        <f>'Prop Budget Calc'!E6</f>
        <v>1</v>
      </c>
      <c r="H6" s="115" t="str">
        <f>'Prop Budget Calc'!G6</f>
        <v>100-10-101</v>
      </c>
      <c r="J6" s="202" t="str">
        <f>'Prop Budget Calc'!I6</f>
        <v>50101</v>
      </c>
      <c r="K6" s="115">
        <f>'Prop Budget Calc'!P6</f>
        <v>43514</v>
      </c>
      <c r="L6" s="203">
        <f>'Prop Budget Calc'!O6</f>
        <v>80110</v>
      </c>
      <c r="M6" s="115">
        <f t="shared" ref="M6:M20" si="0">L6/12</f>
        <v>6675.833333333333</v>
      </c>
      <c r="N6" s="115"/>
      <c r="O6" s="203">
        <f>'Prop Budget Calc'!AK6/12</f>
        <v>0</v>
      </c>
      <c r="P6" s="203">
        <f>'Prop Budget Calc'!AL6/24</f>
        <v>0</v>
      </c>
      <c r="Q6" s="203">
        <f>'Prop Budget Calc'!AM6/24</f>
        <v>40</v>
      </c>
      <c r="R6" s="203">
        <f>'Prop Budget Calc'!BC6/(1+Scenarios!$E$8)</f>
        <v>10226.841399999999</v>
      </c>
      <c r="S6" s="203">
        <f>'Prop Budget Calc'!BD6/(1+Scenarios!$E$11)</f>
        <v>410.15094339622641</v>
      </c>
      <c r="T6" s="203">
        <f>'Prop Budget Calc'!AZ6/(1+Scenarios!$E$11)</f>
        <v>318.63481132075469</v>
      </c>
      <c r="U6" s="203">
        <f t="shared" ref="U6:U20" si="1">SUM(R6:T6)</f>
        <v>10955.62715471698</v>
      </c>
      <c r="X6" s="126"/>
      <c r="Y6" s="126"/>
      <c r="AA6" s="125">
        <f t="shared" ref="AA6:AD12" si="2">IF($J6=AA$5,$L6/$AB$1*$AB$2,0)</f>
        <v>3621.8314176245203</v>
      </c>
      <c r="AB6" s="125">
        <f t="shared" si="2"/>
        <v>0</v>
      </c>
      <c r="AC6" s="125">
        <f t="shared" si="2"/>
        <v>0</v>
      </c>
      <c r="AD6" s="125">
        <f t="shared" si="2"/>
        <v>0</v>
      </c>
      <c r="AE6" s="125"/>
      <c r="AF6" s="125">
        <f t="shared" ref="AF6:AF20" si="3">IF($J6=AF$5,$L6/$AB$1*$AB$2,0)</f>
        <v>0</v>
      </c>
      <c r="AG6" s="125">
        <f t="shared" ref="AG6:AG20" si="4">IF(RIGHT(J6,5)="TOTAL",0,O6*$AG$2)</f>
        <v>0</v>
      </c>
      <c r="AH6" s="125">
        <f t="shared" ref="AH6:AH20" si="5">IF(RIGHT(J6,5)="TOTAL",0,P6*$AH$2)</f>
        <v>0</v>
      </c>
      <c r="AI6" s="125">
        <f t="shared" ref="AI6:AI20" si="6">IF($J6=AI$5,$L6/$AI$1*$AI$2,0)</f>
        <v>0</v>
      </c>
      <c r="AJ6" s="125">
        <f t="shared" ref="AJ6:AJ20" si="7">SUM(AA6:AI6)</f>
        <v>3621.8314176245203</v>
      </c>
      <c r="AK6" s="125">
        <f t="shared" ref="AK6:AK20" si="8">AJ6*0.0145+IF(AJ6&gt;118500/$AB$1*$AB$2,118500/$AB$1*$AB$2*0.062,AJ6*0.062)</f>
        <v>277.0701034482758</v>
      </c>
      <c r="AL6" s="205">
        <f t="shared" ref="AL6:AL20" si="9">IF(RIGHT(J6,5)="total",0,U6/24*$AL$2)</f>
        <v>547.7813577358487</v>
      </c>
      <c r="AM6" s="125">
        <f t="shared" ref="AM6:AM20" si="10">IF(RIGHT(J6,5)="total",0,V6*$AM$2)</f>
        <v>0</v>
      </c>
      <c r="AN6" s="125">
        <f t="shared" ref="AN6:AN20" si="11">IF(OR($J6="50101", $J6="50102", $J6="50109", $J6="50140"),AJ6*$AN$2,0)</f>
        <v>603.7592973180075</v>
      </c>
    </row>
    <row r="7" spans="2:42">
      <c r="B7" s="20" t="s">
        <v>1349</v>
      </c>
      <c r="C7" s="115" t="str">
        <f>'Prop Budget Calc'!B7</f>
        <v>Administrative Assistant Ii - Administration</v>
      </c>
      <c r="D7" s="115" t="str">
        <f>'Prop Budget Calc'!C7</f>
        <v>First Name Last Name</v>
      </c>
      <c r="F7" s="115">
        <f>'Prop Budget Calc'!E7</f>
        <v>1</v>
      </c>
      <c r="H7" s="115" t="str">
        <f>'Prop Budget Calc'!G7</f>
        <v>100-10-101</v>
      </c>
      <c r="J7" s="202" t="str">
        <f>'Prop Budget Calc'!I7</f>
        <v>50102</v>
      </c>
      <c r="K7" s="115">
        <f>'Prop Budget Calc'!P7</f>
        <v>39665</v>
      </c>
      <c r="L7" s="203">
        <f>'Prop Budget Calc'!O7</f>
        <v>48660</v>
      </c>
      <c r="M7" s="115">
        <f t="shared" si="0"/>
        <v>4055</v>
      </c>
      <c r="N7" s="115"/>
      <c r="O7" s="203">
        <f>'Prop Budget Calc'!AK7/12</f>
        <v>0</v>
      </c>
      <c r="P7" s="203">
        <f>'Prop Budget Calc'!AL7/24</f>
        <v>0</v>
      </c>
      <c r="Q7" s="203">
        <f>'Prop Budget Calc'!AM7/24</f>
        <v>0</v>
      </c>
      <c r="R7" s="203">
        <f>'Prop Budget Calc'!BC7/(1+Scenarios!$E$8)</f>
        <v>19093.197376</v>
      </c>
      <c r="S7" s="203">
        <f>'Prop Budget Calc'!BD7/(1+Scenarios!$E$11)</f>
        <v>795.7358490566038</v>
      </c>
      <c r="T7" s="203">
        <f>'Prop Budget Calc'!AZ7/(1+Scenarios!$E$11)</f>
        <v>188.05075471698112</v>
      </c>
      <c r="U7" s="203">
        <f t="shared" si="1"/>
        <v>20076.983979773584</v>
      </c>
      <c r="X7" s="126"/>
      <c r="Y7" s="126"/>
      <c r="AA7" s="125">
        <f t="shared" si="2"/>
        <v>0</v>
      </c>
      <c r="AB7" s="125">
        <f t="shared" si="2"/>
        <v>2199.9540229885051</v>
      </c>
      <c r="AC7" s="125">
        <f t="shared" si="2"/>
        <v>0</v>
      </c>
      <c r="AD7" s="125">
        <f t="shared" si="2"/>
        <v>0</v>
      </c>
      <c r="AE7" s="125"/>
      <c r="AF7" s="125">
        <f t="shared" si="3"/>
        <v>0</v>
      </c>
      <c r="AG7" s="125">
        <f t="shared" si="4"/>
        <v>0</v>
      </c>
      <c r="AH7" s="125">
        <f t="shared" si="5"/>
        <v>0</v>
      </c>
      <c r="AI7" s="125">
        <f t="shared" si="6"/>
        <v>0</v>
      </c>
      <c r="AJ7" s="125">
        <f t="shared" si="7"/>
        <v>2199.9540229885051</v>
      </c>
      <c r="AK7" s="125">
        <f t="shared" si="8"/>
        <v>168.29648275862064</v>
      </c>
      <c r="AL7" s="205">
        <f t="shared" si="9"/>
        <v>1003.8491989886786</v>
      </c>
      <c r="AM7" s="125">
        <f t="shared" si="10"/>
        <v>0</v>
      </c>
      <c r="AN7" s="125">
        <f t="shared" si="11"/>
        <v>366.73233563218378</v>
      </c>
    </row>
    <row r="8" spans="2:42">
      <c r="B8" s="20" t="s">
        <v>1758</v>
      </c>
      <c r="C8" s="115" t="str">
        <f>'Prop Budget Calc'!B8</f>
        <v>Assistant City Secretary</v>
      </c>
      <c r="D8" s="115" t="str">
        <f>'Prop Budget Calc'!C8</f>
        <v>First Name Last Name</v>
      </c>
      <c r="F8" s="115">
        <f>'Prop Budget Calc'!E8</f>
        <v>1</v>
      </c>
      <c r="H8" s="115" t="str">
        <f>'Prop Budget Calc'!G8</f>
        <v>100-10-103</v>
      </c>
      <c r="J8" s="202" t="str">
        <f>'Prop Budget Calc'!I8</f>
        <v>50101</v>
      </c>
      <c r="K8" s="115">
        <f>'Prop Budget Calc'!P8</f>
        <v>42093</v>
      </c>
      <c r="L8" s="203">
        <f>'Prop Budget Calc'!O8</f>
        <v>59710</v>
      </c>
      <c r="M8" s="115">
        <f t="shared" si="0"/>
        <v>4975.833333333333</v>
      </c>
      <c r="N8" s="115"/>
      <c r="O8" s="203">
        <f>'Prop Budget Calc'!AK8/12</f>
        <v>0</v>
      </c>
      <c r="P8" s="203">
        <f>'Prop Budget Calc'!AL8/24</f>
        <v>0</v>
      </c>
      <c r="Q8" s="203">
        <f>'Prop Budget Calc'!AM8/24</f>
        <v>0</v>
      </c>
      <c r="R8" s="203">
        <f>'Prop Budget Calc'!BC8/(1+Scenarios!$E$8)</f>
        <v>10297.840743999999</v>
      </c>
      <c r="S8" s="203">
        <f>'Prop Budget Calc'!BD8/(1+Scenarios!$E$11)</f>
        <v>410.15094339622641</v>
      </c>
      <c r="T8" s="203">
        <f>'Prop Budget Calc'!AZ8/(1+Scenarios!$E$11)</f>
        <v>281.25226415094335</v>
      </c>
      <c r="U8" s="203">
        <f t="shared" si="1"/>
        <v>10989.243951547169</v>
      </c>
      <c r="X8" s="126"/>
      <c r="Y8" s="126"/>
      <c r="AA8" s="125">
        <f t="shared" si="2"/>
        <v>2699.5325670498078</v>
      </c>
      <c r="AB8" s="125">
        <f t="shared" si="2"/>
        <v>0</v>
      </c>
      <c r="AC8" s="125">
        <f t="shared" si="2"/>
        <v>0</v>
      </c>
      <c r="AD8" s="125">
        <f t="shared" si="2"/>
        <v>0</v>
      </c>
      <c r="AE8" s="125"/>
      <c r="AF8" s="125">
        <f t="shared" si="3"/>
        <v>0</v>
      </c>
      <c r="AG8" s="125">
        <f t="shared" si="4"/>
        <v>0</v>
      </c>
      <c r="AH8" s="125">
        <f t="shared" si="5"/>
        <v>0</v>
      </c>
      <c r="AI8" s="125">
        <f t="shared" si="6"/>
        <v>0</v>
      </c>
      <c r="AJ8" s="125">
        <f t="shared" si="7"/>
        <v>2699.5325670498078</v>
      </c>
      <c r="AK8" s="125">
        <f t="shared" si="8"/>
        <v>206.51424137931031</v>
      </c>
      <c r="AL8" s="205">
        <f t="shared" si="9"/>
        <v>549.4621975773581</v>
      </c>
      <c r="AM8" s="125">
        <f t="shared" si="10"/>
        <v>0</v>
      </c>
      <c r="AN8" s="125">
        <f t="shared" si="11"/>
        <v>450.01207892720294</v>
      </c>
    </row>
    <row r="9" spans="2:42">
      <c r="B9" s="20" t="s">
        <v>1618</v>
      </c>
      <c r="C9" s="115" t="str">
        <f>'Prop Budget Calc'!B9</f>
        <v>Digital Communications Specialist</v>
      </c>
      <c r="D9" s="115" t="str">
        <f>'Prop Budget Calc'!C9</f>
        <v>Vacant Vacant</v>
      </c>
      <c r="F9" s="115">
        <f>'Prop Budget Calc'!E9</f>
        <v>1</v>
      </c>
      <c r="H9" s="115" t="str">
        <f>'Prop Budget Calc'!G9</f>
        <v>100-10-104</v>
      </c>
      <c r="J9" s="202" t="str">
        <f>'Prop Budget Calc'!I9</f>
        <v>50101</v>
      </c>
      <c r="K9" s="115">
        <f>'Prop Budget Calc'!P9</f>
        <v>45027</v>
      </c>
      <c r="L9" s="203">
        <f>'Prop Budget Calc'!O9</f>
        <v>66210</v>
      </c>
      <c r="M9" s="115">
        <f t="shared" si="0"/>
        <v>5517.5</v>
      </c>
      <c r="N9" s="115"/>
      <c r="O9" s="203">
        <f>'Prop Budget Calc'!AK9/12</f>
        <v>0</v>
      </c>
      <c r="P9" s="203">
        <f>'Prop Budget Calc'!AL9/24</f>
        <v>0</v>
      </c>
      <c r="Q9" s="203">
        <f>'Prop Budget Calc'!AM9/24</f>
        <v>0</v>
      </c>
      <c r="R9" s="203">
        <f>'Prop Budget Calc'!BC9/(1+Scenarios!$E$8)</f>
        <v>13938.438387310343</v>
      </c>
      <c r="S9" s="203">
        <f>'Prop Budget Calc'!BD9/(1+Scenarios!$E$11)</f>
        <v>593.09268695771937</v>
      </c>
      <c r="T9" s="203">
        <f>'Prop Budget Calc'!AZ9/(1+Scenarios!$E$11)</f>
        <v>291.90113207547171</v>
      </c>
      <c r="U9" s="203">
        <f t="shared" si="1"/>
        <v>14823.432206343536</v>
      </c>
      <c r="X9" s="126"/>
      <c r="Y9" s="126"/>
      <c r="AA9" s="125">
        <f t="shared" si="2"/>
        <v>2993.402298850574</v>
      </c>
      <c r="AB9" s="125">
        <f t="shared" si="2"/>
        <v>0</v>
      </c>
      <c r="AC9" s="125">
        <f t="shared" si="2"/>
        <v>0</v>
      </c>
      <c r="AD9" s="125">
        <f t="shared" si="2"/>
        <v>0</v>
      </c>
      <c r="AE9" s="125"/>
      <c r="AF9" s="125">
        <f t="shared" si="3"/>
        <v>0</v>
      </c>
      <c r="AG9" s="125">
        <f t="shared" si="4"/>
        <v>0</v>
      </c>
      <c r="AH9" s="125">
        <f t="shared" si="5"/>
        <v>0</v>
      </c>
      <c r="AI9" s="125">
        <f t="shared" si="6"/>
        <v>0</v>
      </c>
      <c r="AJ9" s="125">
        <f t="shared" si="7"/>
        <v>2993.402298850574</v>
      </c>
      <c r="AK9" s="125">
        <f t="shared" si="8"/>
        <v>228.99527586206892</v>
      </c>
      <c r="AL9" s="205">
        <f t="shared" si="9"/>
        <v>741.17161031717626</v>
      </c>
      <c r="AM9" s="125">
        <f t="shared" si="10"/>
        <v>0</v>
      </c>
      <c r="AN9" s="125">
        <f t="shared" si="11"/>
        <v>499.00016321839064</v>
      </c>
      <c r="AP9" s="115">
        <f>'YTD Personnel'!K77</f>
        <v>0</v>
      </c>
    </row>
    <row r="10" spans="2:42">
      <c r="B10" s="20" t="s">
        <v>1428</v>
      </c>
      <c r="C10" s="115" t="str">
        <f>'Prop Budget Calc'!B10</f>
        <v>Senior Accountant</v>
      </c>
      <c r="D10" s="115" t="str">
        <f>'Prop Budget Calc'!C10</f>
        <v>First Name Last Name</v>
      </c>
      <c r="F10" s="115">
        <f>'Prop Budget Calc'!E10</f>
        <v>1</v>
      </c>
      <c r="H10" s="115" t="str">
        <f>'Prop Budget Calc'!G10</f>
        <v>100-13-131</v>
      </c>
      <c r="J10" s="202" t="str">
        <f>'Prop Budget Calc'!I10</f>
        <v>50101</v>
      </c>
      <c r="K10" s="115">
        <f>'Prop Budget Calc'!P10</f>
        <v>39426</v>
      </c>
      <c r="L10" s="203">
        <f>'Prop Budget Calc'!O10</f>
        <v>67590</v>
      </c>
      <c r="M10" s="115">
        <f t="shared" si="0"/>
        <v>5632.5</v>
      </c>
      <c r="N10" s="115"/>
      <c r="O10" s="203">
        <f>'Prop Budget Calc'!AK10/12</f>
        <v>0</v>
      </c>
      <c r="P10" s="203">
        <f>'Prop Budget Calc'!AL10/24</f>
        <v>0</v>
      </c>
      <c r="Q10" s="203">
        <f>'Prop Budget Calc'!AM10/24</f>
        <v>0</v>
      </c>
      <c r="R10" s="203">
        <f>'Prop Budget Calc'!BC10/(1+Scenarios!$E$8)</f>
        <v>17547.240087999999</v>
      </c>
      <c r="S10" s="203">
        <f>'Prop Budget Calc'!BD10/(1+Scenarios!$E$11)</f>
        <v>795.7358490566038</v>
      </c>
      <c r="T10" s="203">
        <f>'Prop Budget Calc'!AZ10/(1+Scenarios!$E$11)</f>
        <v>295.92311320754715</v>
      </c>
      <c r="U10" s="203">
        <f t="shared" si="1"/>
        <v>18638.89905026415</v>
      </c>
      <c r="X10" s="126"/>
      <c r="Y10" s="126"/>
      <c r="AA10" s="125">
        <f t="shared" si="2"/>
        <v>3055.7931034482749</v>
      </c>
      <c r="AB10" s="125">
        <f t="shared" si="2"/>
        <v>0</v>
      </c>
      <c r="AC10" s="125">
        <f t="shared" si="2"/>
        <v>0</v>
      </c>
      <c r="AD10" s="125">
        <f t="shared" si="2"/>
        <v>0</v>
      </c>
      <c r="AE10" s="125"/>
      <c r="AF10" s="125">
        <f t="shared" si="3"/>
        <v>0</v>
      </c>
      <c r="AG10" s="125">
        <f t="shared" si="4"/>
        <v>0</v>
      </c>
      <c r="AH10" s="125">
        <f t="shared" si="5"/>
        <v>0</v>
      </c>
      <c r="AI10" s="125">
        <f t="shared" si="6"/>
        <v>0</v>
      </c>
      <c r="AJ10" s="125">
        <f t="shared" si="7"/>
        <v>3055.7931034482749</v>
      </c>
      <c r="AK10" s="125">
        <f t="shared" si="8"/>
        <v>233.76817241379305</v>
      </c>
      <c r="AL10" s="205">
        <f t="shared" si="9"/>
        <v>931.94495251320689</v>
      </c>
      <c r="AM10" s="125">
        <f t="shared" si="10"/>
        <v>0</v>
      </c>
      <c r="AN10" s="125">
        <f t="shared" si="11"/>
        <v>509.40071034482736</v>
      </c>
    </row>
    <row r="11" spans="2:42">
      <c r="B11" s="20" t="s">
        <v>1383</v>
      </c>
      <c r="C11" s="115" t="str">
        <f>'Prop Budget Calc'!B11</f>
        <v>Accounts Payable Technician</v>
      </c>
      <c r="D11" s="115" t="str">
        <f>'Prop Budget Calc'!C11</f>
        <v>First Name Last Name</v>
      </c>
      <c r="F11" s="115">
        <f>'Prop Budget Calc'!E11</f>
        <v>1</v>
      </c>
      <c r="H11" s="115" t="str">
        <f>'Prop Budget Calc'!G11</f>
        <v>100-13-131</v>
      </c>
      <c r="J11" s="202" t="str">
        <f>'Prop Budget Calc'!I11</f>
        <v>50102</v>
      </c>
      <c r="K11" s="115">
        <f>'Prop Budget Calc'!P11</f>
        <v>43682</v>
      </c>
      <c r="L11" s="203">
        <f>'Prop Budget Calc'!O11</f>
        <v>47490</v>
      </c>
      <c r="M11" s="115">
        <f t="shared" si="0"/>
        <v>3957.5</v>
      </c>
      <c r="N11" s="115"/>
      <c r="O11" s="203">
        <f>'Prop Budget Calc'!AK11/12</f>
        <v>0</v>
      </c>
      <c r="P11" s="203">
        <f>'Prop Budget Calc'!AL11/24</f>
        <v>0</v>
      </c>
      <c r="Q11" s="203">
        <f>'Prop Budget Calc'!AM11/24</f>
        <v>0</v>
      </c>
      <c r="R11" s="203">
        <f>'Prop Budget Calc'!BC11/(1+Scenarios!$E$8)</f>
        <v>19093.197376</v>
      </c>
      <c r="S11" s="203">
        <f>'Prop Budget Calc'!BD11/(1+Scenarios!$E$11)</f>
        <v>795.7358490566038</v>
      </c>
      <c r="T11" s="203">
        <f>'Prop Budget Calc'!AZ11/(1+Scenarios!$E$11)</f>
        <v>184.88632075471693</v>
      </c>
      <c r="U11" s="203">
        <f t="shared" si="1"/>
        <v>20073.819545811322</v>
      </c>
      <c r="X11" s="126"/>
      <c r="Y11" s="126"/>
      <c r="AA11" s="125">
        <f t="shared" si="2"/>
        <v>0</v>
      </c>
      <c r="AB11" s="125">
        <f t="shared" si="2"/>
        <v>2147.0574712643675</v>
      </c>
      <c r="AC11" s="125">
        <f t="shared" si="2"/>
        <v>0</v>
      </c>
      <c r="AD11" s="125">
        <f t="shared" si="2"/>
        <v>0</v>
      </c>
      <c r="AE11" s="125"/>
      <c r="AF11" s="125">
        <f t="shared" si="3"/>
        <v>0</v>
      </c>
      <c r="AG11" s="125">
        <f t="shared" si="4"/>
        <v>0</v>
      </c>
      <c r="AH11" s="125">
        <f t="shared" si="5"/>
        <v>0</v>
      </c>
      <c r="AI11" s="125">
        <f t="shared" si="6"/>
        <v>0</v>
      </c>
      <c r="AJ11" s="125">
        <f t="shared" si="7"/>
        <v>2147.0574712643675</v>
      </c>
      <c r="AK11" s="125">
        <f t="shared" si="8"/>
        <v>164.24989655172411</v>
      </c>
      <c r="AL11" s="205">
        <f t="shared" si="9"/>
        <v>1003.6909772905656</v>
      </c>
      <c r="AM11" s="125">
        <f t="shared" si="10"/>
        <v>0</v>
      </c>
      <c r="AN11" s="125">
        <f t="shared" si="11"/>
        <v>357.91448045977</v>
      </c>
    </row>
    <row r="12" spans="2:42">
      <c r="B12" s="465" t="s">
        <v>1617</v>
      </c>
      <c r="C12" s="115" t="str">
        <f>'Prop Budget Calc'!B12</f>
        <v>Accountant</v>
      </c>
      <c r="D12" s="115" t="str">
        <f>'Prop Budget Calc'!C12</f>
        <v>First Name Last Name</v>
      </c>
      <c r="F12" s="115">
        <f>'Prop Budget Calc'!E12</f>
        <v>1</v>
      </c>
      <c r="H12" s="115" t="str">
        <f>'Prop Budget Calc'!G12</f>
        <v>100-13-131</v>
      </c>
      <c r="J12" s="202" t="str">
        <f>'Prop Budget Calc'!I12</f>
        <v>50101</v>
      </c>
      <c r="K12" s="115">
        <f>'Prop Budget Calc'!P12</f>
        <v>42597</v>
      </c>
      <c r="L12" s="203">
        <f>'Prop Budget Calc'!O12</f>
        <v>63060</v>
      </c>
      <c r="M12" s="115">
        <f t="shared" si="0"/>
        <v>5255</v>
      </c>
      <c r="N12" s="115"/>
      <c r="O12" s="203">
        <f>'Prop Budget Calc'!AK12/12</f>
        <v>0</v>
      </c>
      <c r="P12" s="203">
        <f>'Prop Budget Calc'!AL12/24</f>
        <v>0</v>
      </c>
      <c r="Q12" s="203">
        <f>'Prop Budget Calc'!AM12/24</f>
        <v>0</v>
      </c>
      <c r="R12" s="203">
        <f>'Prop Budget Calc'!BC12/(1+Scenarios!$E$8)</f>
        <v>17547.240087999999</v>
      </c>
      <c r="S12" s="203">
        <f>'Prop Budget Calc'!BD12/(1+Scenarios!$E$11)</f>
        <v>795.7358490566038</v>
      </c>
      <c r="T12" s="203">
        <f>'Prop Budget Calc'!AZ12/(1+Scenarios!$E$11)</f>
        <v>287.0258490566037</v>
      </c>
      <c r="U12" s="203">
        <f t="shared" si="1"/>
        <v>18630.001786113207</v>
      </c>
      <c r="X12" s="126"/>
      <c r="Y12" s="126"/>
      <c r="AA12" s="125">
        <f t="shared" si="2"/>
        <v>2850.9885057471256</v>
      </c>
      <c r="AB12" s="125">
        <f t="shared" si="2"/>
        <v>0</v>
      </c>
      <c r="AC12" s="125">
        <f t="shared" si="2"/>
        <v>0</v>
      </c>
      <c r="AD12" s="125">
        <f t="shared" si="2"/>
        <v>0</v>
      </c>
      <c r="AE12" s="125"/>
      <c r="AF12" s="125">
        <f t="shared" si="3"/>
        <v>0</v>
      </c>
      <c r="AG12" s="125">
        <f t="shared" si="4"/>
        <v>0</v>
      </c>
      <c r="AH12" s="125">
        <f t="shared" si="5"/>
        <v>0</v>
      </c>
      <c r="AI12" s="125">
        <f t="shared" si="6"/>
        <v>0</v>
      </c>
      <c r="AJ12" s="125">
        <f t="shared" si="7"/>
        <v>2850.9885057471256</v>
      </c>
      <c r="AK12" s="125">
        <f t="shared" si="8"/>
        <v>218.1006206896551</v>
      </c>
      <c r="AL12" s="205">
        <f t="shared" si="9"/>
        <v>931.5000893056598</v>
      </c>
      <c r="AM12" s="125">
        <f t="shared" si="10"/>
        <v>0</v>
      </c>
      <c r="AN12" s="125">
        <f t="shared" si="11"/>
        <v>475.25978390804579</v>
      </c>
    </row>
    <row r="13" spans="2:42">
      <c r="B13" s="20" t="s">
        <v>1595</v>
      </c>
      <c r="C13" s="115" t="str">
        <f>'Prop Budget Calc'!B13</f>
        <v>Human Resources Specialist</v>
      </c>
      <c r="D13" s="115" t="str">
        <f>'Prop Budget Calc'!C13</f>
        <v>First Name Last Name</v>
      </c>
      <c r="F13" s="115">
        <f>'Prop Budget Calc'!E13</f>
        <v>0.48</v>
      </c>
      <c r="H13" s="115" t="str">
        <f>'Prop Budget Calc'!G13</f>
        <v>100-17-171</v>
      </c>
      <c r="J13" s="202" t="str">
        <f>'Prop Budget Calc'!I13</f>
        <v>50110</v>
      </c>
      <c r="K13" s="115">
        <f>'Prop Budget Calc'!P13</f>
        <v>44291</v>
      </c>
      <c r="L13" s="203">
        <f>'Prop Budget Calc'!O13</f>
        <v>28150</v>
      </c>
      <c r="M13" s="115">
        <f t="shared" si="0"/>
        <v>2345.8333333333335</v>
      </c>
      <c r="N13" s="115"/>
      <c r="O13" s="203">
        <f>'Prop Budget Calc'!AK13/12</f>
        <v>0</v>
      </c>
      <c r="P13" s="203">
        <f>'Prop Budget Calc'!AL13/24</f>
        <v>0</v>
      </c>
      <c r="Q13" s="203">
        <f>'Prop Budget Calc'!AM13/24</f>
        <v>0</v>
      </c>
      <c r="R13" s="203">
        <f>'Prop Budget Calc'!BC13/(1+Scenarios!$E$8)</f>
        <v>0</v>
      </c>
      <c r="S13" s="203">
        <f>'Prop Budget Calc'!BD13/(1+Scenarios!$E$11)</f>
        <v>0</v>
      </c>
      <c r="T13" s="203">
        <f>'Prop Budget Calc'!AZ13/(1+Scenarios!$E$11)</f>
        <v>49.713962264150936</v>
      </c>
      <c r="U13" s="203">
        <f t="shared" si="1"/>
        <v>49.713962264150936</v>
      </c>
      <c r="X13" s="126"/>
      <c r="Y13" s="126"/>
      <c r="AA13" s="125">
        <f t="shared" ref="AA13:AD18" si="12">IF($J13=AA$5,$L13/$AB$1*$AB$2,0)</f>
        <v>0</v>
      </c>
      <c r="AB13" s="125">
        <f t="shared" si="12"/>
        <v>0</v>
      </c>
      <c r="AC13" s="125">
        <f t="shared" si="12"/>
        <v>0</v>
      </c>
      <c r="AD13" s="125">
        <f t="shared" si="12"/>
        <v>1272.6819923371643</v>
      </c>
      <c r="AE13" s="125"/>
      <c r="AF13" s="125">
        <f t="shared" si="3"/>
        <v>0</v>
      </c>
      <c r="AG13" s="125">
        <f t="shared" si="4"/>
        <v>0</v>
      </c>
      <c r="AH13" s="125">
        <f t="shared" si="5"/>
        <v>0</v>
      </c>
      <c r="AI13" s="125">
        <f t="shared" si="6"/>
        <v>0</v>
      </c>
      <c r="AJ13" s="125">
        <f t="shared" si="7"/>
        <v>1272.6819923371643</v>
      </c>
      <c r="AK13" s="125">
        <f t="shared" si="8"/>
        <v>97.360172413793066</v>
      </c>
      <c r="AL13" s="205">
        <f t="shared" si="9"/>
        <v>2.4856981132075453</v>
      </c>
      <c r="AM13" s="125">
        <f t="shared" si="10"/>
        <v>0</v>
      </c>
      <c r="AN13" s="125">
        <f t="shared" si="11"/>
        <v>0</v>
      </c>
    </row>
    <row r="14" spans="2:42">
      <c r="B14" s="20" t="s">
        <v>1452</v>
      </c>
      <c r="C14" s="115" t="str">
        <f>'Prop Budget Calc'!B14</f>
        <v>Human Resources Assistant</v>
      </c>
      <c r="D14" s="115" t="str">
        <f>'Prop Budget Calc'!C14</f>
        <v>First Name Last Name</v>
      </c>
      <c r="F14" s="115">
        <f>'Prop Budget Calc'!E14</f>
        <v>1</v>
      </c>
      <c r="H14" s="115" t="str">
        <f>'Prop Budget Calc'!G14</f>
        <v>100-17-171</v>
      </c>
      <c r="J14" s="202" t="str">
        <f>'Prop Budget Calc'!I14</f>
        <v>50102</v>
      </c>
      <c r="K14" s="115">
        <f>'Prop Budget Calc'!P14</f>
        <v>44867</v>
      </c>
      <c r="L14" s="203">
        <f>'Prop Budget Calc'!O14</f>
        <v>41960</v>
      </c>
      <c r="M14" s="115">
        <f t="shared" si="0"/>
        <v>3496.6666666666665</v>
      </c>
      <c r="N14" s="115"/>
      <c r="O14" s="203">
        <f>'Prop Budget Calc'!AK14/12</f>
        <v>0</v>
      </c>
      <c r="P14" s="203">
        <f>'Prop Budget Calc'!AL14/24</f>
        <v>0</v>
      </c>
      <c r="Q14" s="203">
        <f>'Prop Budget Calc'!AM14/24</f>
        <v>0</v>
      </c>
      <c r="R14" s="203">
        <f>'Prop Budget Calc'!BC14/(1+Scenarios!$E$8)</f>
        <v>22485.137608000001</v>
      </c>
      <c r="S14" s="203">
        <f>'Prop Budget Calc'!BD14/(1+Scenarios!$E$11)</f>
        <v>795.7358490566038</v>
      </c>
      <c r="T14" s="203">
        <f>'Prop Budget Calc'!AZ14/(1+Scenarios!$E$11)</f>
        <v>174.97358490566035</v>
      </c>
      <c r="U14" s="203">
        <f t="shared" si="1"/>
        <v>23455.847041962264</v>
      </c>
      <c r="X14" s="126"/>
      <c r="Y14" s="126"/>
      <c r="AA14" s="125">
        <f t="shared" si="12"/>
        <v>0</v>
      </c>
      <c r="AB14" s="125">
        <f t="shared" si="12"/>
        <v>1897.0421455938692</v>
      </c>
      <c r="AC14" s="125">
        <f t="shared" si="12"/>
        <v>0</v>
      </c>
      <c r="AD14" s="125">
        <f t="shared" si="12"/>
        <v>0</v>
      </c>
      <c r="AE14" s="125"/>
      <c r="AF14" s="125">
        <f t="shared" si="3"/>
        <v>0</v>
      </c>
      <c r="AG14" s="125">
        <f t="shared" si="4"/>
        <v>0</v>
      </c>
      <c r="AH14" s="125">
        <f t="shared" si="5"/>
        <v>0</v>
      </c>
      <c r="AI14" s="125">
        <f t="shared" si="6"/>
        <v>0</v>
      </c>
      <c r="AJ14" s="125">
        <f t="shared" si="7"/>
        <v>1897.0421455938692</v>
      </c>
      <c r="AK14" s="125">
        <f t="shared" si="8"/>
        <v>145.12372413793099</v>
      </c>
      <c r="AL14" s="205">
        <f t="shared" si="9"/>
        <v>1172.7923520981126</v>
      </c>
      <c r="AM14" s="125">
        <f t="shared" si="10"/>
        <v>0</v>
      </c>
      <c r="AN14" s="125">
        <f t="shared" si="11"/>
        <v>316.23692567049795</v>
      </c>
    </row>
    <row r="15" spans="2:42">
      <c r="B15" s="467" t="s">
        <v>1781</v>
      </c>
      <c r="C15" s="115" t="str">
        <f>'Prop Budget Calc'!B15</f>
        <v>Economic Development Intern</v>
      </c>
      <c r="D15" s="115" t="str">
        <f>'Prop Budget Calc'!C15</f>
        <v>First Name Last Name</v>
      </c>
      <c r="F15" s="115">
        <f>'Prop Budget Calc'!E15</f>
        <v>0.48</v>
      </c>
      <c r="H15" s="115" t="str">
        <f>'Prop Budget Calc'!G15</f>
        <v>100-14-141</v>
      </c>
      <c r="J15" s="202" t="str">
        <f>'Prop Budget Calc'!I15</f>
        <v>50110</v>
      </c>
      <c r="K15" s="115">
        <f>'Prop Budget Calc'!P15</f>
        <v>45299</v>
      </c>
      <c r="L15" s="203">
        <f>'Prop Budget Calc'!O15</f>
        <v>11660</v>
      </c>
      <c r="M15" s="115">
        <f t="shared" si="0"/>
        <v>971.66666666666663</v>
      </c>
      <c r="N15" s="115"/>
      <c r="O15" s="203">
        <f>'Prop Budget Calc'!AK15/12</f>
        <v>0</v>
      </c>
      <c r="P15" s="203">
        <f>'Prop Budget Calc'!AL15/24</f>
        <v>0</v>
      </c>
      <c r="Q15" s="203">
        <f>'Prop Budget Calc'!AM15/24</f>
        <v>0</v>
      </c>
      <c r="R15" s="203">
        <f>'Prop Budget Calc'!BC15/(1+Scenarios!$E$8)</f>
        <v>0</v>
      </c>
      <c r="S15" s="203">
        <f>'Prop Budget Calc'!BD15/(1+Scenarios!$E$11)</f>
        <v>0</v>
      </c>
      <c r="T15" s="203">
        <f>'Prop Budget Calc'!AZ15/(1+Scenarios!$E$11)</f>
        <v>20.593018867924524</v>
      </c>
      <c r="U15" s="203">
        <f t="shared" si="1"/>
        <v>20.593018867924524</v>
      </c>
      <c r="X15" s="126"/>
      <c r="Y15" s="126"/>
      <c r="AA15" s="125">
        <f t="shared" si="12"/>
        <v>0</v>
      </c>
      <c r="AB15" s="125">
        <f t="shared" si="12"/>
        <v>0</v>
      </c>
      <c r="AC15" s="125">
        <f t="shared" si="12"/>
        <v>0</v>
      </c>
      <c r="AD15" s="125">
        <f t="shared" si="12"/>
        <v>527.15708812260527</v>
      </c>
      <c r="AE15" s="125"/>
      <c r="AF15" s="125">
        <f t="shared" si="3"/>
        <v>0</v>
      </c>
      <c r="AG15" s="125">
        <f t="shared" si="4"/>
        <v>0</v>
      </c>
      <c r="AH15" s="125">
        <f t="shared" si="5"/>
        <v>0</v>
      </c>
      <c r="AI15" s="125">
        <f t="shared" si="6"/>
        <v>0</v>
      </c>
      <c r="AJ15" s="125">
        <f t="shared" si="7"/>
        <v>527.15708812260527</v>
      </c>
      <c r="AK15" s="125">
        <f t="shared" si="8"/>
        <v>40.327517241379304</v>
      </c>
      <c r="AL15" s="205">
        <f t="shared" si="9"/>
        <v>1.0296509433962255</v>
      </c>
      <c r="AM15" s="125">
        <f t="shared" si="10"/>
        <v>0</v>
      </c>
      <c r="AN15" s="125">
        <f t="shared" si="11"/>
        <v>0</v>
      </c>
    </row>
    <row r="16" spans="2:42">
      <c r="B16" s="20" t="s">
        <v>1551</v>
      </c>
      <c r="C16" s="115" t="str">
        <f>'Prop Budget Calc'!B16</f>
        <v>Economic Development Specialist</v>
      </c>
      <c r="D16" s="115" t="str">
        <f>'Prop Budget Calc'!C16</f>
        <v>First Name Last Name</v>
      </c>
      <c r="F16" s="115">
        <f>'Prop Budget Calc'!E16</f>
        <v>1</v>
      </c>
      <c r="H16" s="115" t="str">
        <f>'Prop Budget Calc'!G16</f>
        <v>100-14-141</v>
      </c>
      <c r="J16" s="202" t="str">
        <f>'Prop Budget Calc'!I16</f>
        <v>50101</v>
      </c>
      <c r="K16" s="115">
        <f>'Prop Budget Calc'!P16</f>
        <v>44348</v>
      </c>
      <c r="L16" s="203">
        <f>'Prop Budget Calc'!O16</f>
        <v>65680</v>
      </c>
      <c r="M16" s="115">
        <f t="shared" si="0"/>
        <v>5473.333333333333</v>
      </c>
      <c r="N16" s="115"/>
      <c r="O16" s="203">
        <f>'Prop Budget Calc'!AK16/12</f>
        <v>0</v>
      </c>
      <c r="P16" s="203">
        <f>'Prop Budget Calc'!AL16/24</f>
        <v>0</v>
      </c>
      <c r="Q16" s="203">
        <f>'Prop Budget Calc'!AM16/24</f>
        <v>0</v>
      </c>
      <c r="R16" s="203">
        <f>'Prop Budget Calc'!BC16/(1+Scenarios!$E$8)</f>
        <v>19144.725327999997</v>
      </c>
      <c r="S16" s="203">
        <f>'Prop Budget Calc'!BD16/(1+Scenarios!$E$11)</f>
        <v>795.7358490566038</v>
      </c>
      <c r="T16" s="203">
        <f>'Prop Budget Calc'!AZ16/(1+Scenarios!$E$11)</f>
        <v>291.15764150943397</v>
      </c>
      <c r="U16" s="203">
        <f t="shared" si="1"/>
        <v>20231.618818566036</v>
      </c>
      <c r="X16" s="126"/>
      <c r="Y16" s="126"/>
      <c r="AA16" s="125">
        <f t="shared" si="12"/>
        <v>2969.4406130268189</v>
      </c>
      <c r="AB16" s="125">
        <f t="shared" si="12"/>
        <v>0</v>
      </c>
      <c r="AC16" s="125">
        <f t="shared" si="12"/>
        <v>0</v>
      </c>
      <c r="AD16" s="125">
        <f t="shared" si="12"/>
        <v>0</v>
      </c>
      <c r="AE16" s="125"/>
      <c r="AF16" s="125">
        <f t="shared" si="3"/>
        <v>0</v>
      </c>
      <c r="AG16" s="125">
        <f t="shared" si="4"/>
        <v>0</v>
      </c>
      <c r="AH16" s="125">
        <f t="shared" si="5"/>
        <v>0</v>
      </c>
      <c r="AI16" s="125">
        <f t="shared" si="6"/>
        <v>0</v>
      </c>
      <c r="AJ16" s="125">
        <f t="shared" si="7"/>
        <v>2969.4406130268189</v>
      </c>
      <c r="AK16" s="125">
        <f t="shared" si="8"/>
        <v>227.16220689655165</v>
      </c>
      <c r="AL16" s="205">
        <f t="shared" si="9"/>
        <v>1011.5809409283012</v>
      </c>
      <c r="AM16" s="125">
        <f t="shared" si="10"/>
        <v>0</v>
      </c>
      <c r="AN16" s="125">
        <f t="shared" si="11"/>
        <v>495.00575019157066</v>
      </c>
    </row>
    <row r="17" spans="2:40">
      <c r="B17" s="466" t="s">
        <v>1540</v>
      </c>
      <c r="C17" s="115" t="str">
        <f>'Prop Budget Calc'!B17</f>
        <v>Planning Technician</v>
      </c>
      <c r="D17" s="115" t="str">
        <f>'Prop Budget Calc'!C17</f>
        <v>First Name Last Name</v>
      </c>
      <c r="F17" s="115">
        <f>'Prop Budget Calc'!E17</f>
        <v>1</v>
      </c>
      <c r="H17" s="115" t="str">
        <f>'Prop Budget Calc'!G17</f>
        <v>100-20-201</v>
      </c>
      <c r="J17" s="202" t="str">
        <f>'Prop Budget Calc'!I17</f>
        <v>50102</v>
      </c>
      <c r="K17" s="115">
        <f>'Prop Budget Calc'!P17</f>
        <v>45236</v>
      </c>
      <c r="L17" s="203">
        <f>'Prop Budget Calc'!O17</f>
        <v>41940</v>
      </c>
      <c r="M17" s="115">
        <f t="shared" si="0"/>
        <v>3495</v>
      </c>
      <c r="N17" s="115"/>
      <c r="O17" s="203">
        <f>'Prop Budget Calc'!AK17/12</f>
        <v>0</v>
      </c>
      <c r="P17" s="203">
        <f>'Prop Budget Calc'!AL17/24</f>
        <v>0</v>
      </c>
      <c r="Q17" s="203">
        <f>'Prop Budget Calc'!AM17/24</f>
        <v>0</v>
      </c>
      <c r="R17" s="203">
        <f>'Prop Budget Calc'!BC17/(1+Scenarios!$E$8)</f>
        <v>10338.445719999998</v>
      </c>
      <c r="S17" s="203">
        <f>'Prop Budget Calc'!BD17/(1+Scenarios!$E$11)</f>
        <v>410.15094339622641</v>
      </c>
      <c r="T17" s="203">
        <f>'Prop Budget Calc'!AZ17/(1+Scenarios!$E$11)</f>
        <v>174.83349056603771</v>
      </c>
      <c r="U17" s="203">
        <f t="shared" si="1"/>
        <v>10923.430153962261</v>
      </c>
      <c r="X17" s="126"/>
      <c r="Y17" s="126"/>
      <c r="AA17" s="125">
        <f t="shared" si="12"/>
        <v>0</v>
      </c>
      <c r="AB17" s="125">
        <f t="shared" si="12"/>
        <v>1896.1379310344823</v>
      </c>
      <c r="AC17" s="125">
        <f t="shared" si="12"/>
        <v>0</v>
      </c>
      <c r="AD17" s="125">
        <f t="shared" si="12"/>
        <v>0</v>
      </c>
      <c r="AE17" s="125"/>
      <c r="AF17" s="125">
        <f t="shared" si="3"/>
        <v>0</v>
      </c>
      <c r="AG17" s="125">
        <f t="shared" si="4"/>
        <v>0</v>
      </c>
      <c r="AH17" s="125">
        <f t="shared" si="5"/>
        <v>0</v>
      </c>
      <c r="AI17" s="125">
        <f t="shared" si="6"/>
        <v>0</v>
      </c>
      <c r="AJ17" s="125">
        <f t="shared" si="7"/>
        <v>1896.1379310344823</v>
      </c>
      <c r="AK17" s="125">
        <f t="shared" si="8"/>
        <v>145.05455172413789</v>
      </c>
      <c r="AL17" s="205">
        <f t="shared" si="9"/>
        <v>546.1715076981128</v>
      </c>
      <c r="AM17" s="125">
        <f t="shared" si="10"/>
        <v>0</v>
      </c>
      <c r="AN17" s="125">
        <f t="shared" si="11"/>
        <v>316.08619310344818</v>
      </c>
    </row>
    <row r="18" spans="2:40">
      <c r="B18" s="20" t="s">
        <v>1271</v>
      </c>
      <c r="C18" s="115" t="str">
        <f>'Prop Budget Calc'!B18</f>
        <v>Code Enforcement Officer Ii</v>
      </c>
      <c r="D18" s="115" t="str">
        <f>'Prop Budget Calc'!C18</f>
        <v>First Name Last Name</v>
      </c>
      <c r="F18" s="115">
        <f>'Prop Budget Calc'!E18</f>
        <v>1</v>
      </c>
      <c r="H18" s="115" t="str">
        <f>'Prop Budget Calc'!G18</f>
        <v>100-20-208</v>
      </c>
      <c r="J18" s="202" t="str">
        <f>'Prop Budget Calc'!I18</f>
        <v>50102</v>
      </c>
      <c r="K18" s="115">
        <f>'Prop Budget Calc'!P18</f>
        <v>42079</v>
      </c>
      <c r="L18" s="203">
        <f>'Prop Budget Calc'!O18</f>
        <v>51400</v>
      </c>
      <c r="M18" s="115">
        <f t="shared" si="0"/>
        <v>4283.333333333333</v>
      </c>
      <c r="N18" s="115"/>
      <c r="O18" s="203">
        <f>'Prop Budget Calc'!AK18/12</f>
        <v>0</v>
      </c>
      <c r="P18" s="203">
        <f>'Prop Budget Calc'!AL18/24</f>
        <v>0</v>
      </c>
      <c r="Q18" s="203">
        <f>'Prop Budget Calc'!AM18/24</f>
        <v>22.5</v>
      </c>
      <c r="R18" s="203">
        <f>'Prop Budget Calc'!BC18/(1+Scenarios!$E$8)</f>
        <v>10297.840743999999</v>
      </c>
      <c r="S18" s="203">
        <f>'Prop Budget Calc'!BD18/(1+Scenarios!$E$11)</f>
        <v>410.15094339622641</v>
      </c>
      <c r="T18" s="203">
        <f>'Prop Budget Calc'!AZ18/(1+Scenarios!$E$11)</f>
        <v>193.15641509433962</v>
      </c>
      <c r="U18" s="203">
        <f t="shared" si="1"/>
        <v>10901.148102490564</v>
      </c>
      <c r="X18" s="126"/>
      <c r="Y18" s="126"/>
      <c r="AA18" s="125">
        <f t="shared" si="12"/>
        <v>0</v>
      </c>
      <c r="AB18" s="125">
        <f t="shared" si="12"/>
        <v>2323.8314176245203</v>
      </c>
      <c r="AC18" s="125">
        <f t="shared" si="12"/>
        <v>0</v>
      </c>
      <c r="AD18" s="125">
        <f t="shared" si="12"/>
        <v>0</v>
      </c>
      <c r="AE18" s="125"/>
      <c r="AF18" s="125">
        <f t="shared" si="3"/>
        <v>0</v>
      </c>
      <c r="AG18" s="125">
        <f t="shared" si="4"/>
        <v>0</v>
      </c>
      <c r="AH18" s="125">
        <f t="shared" si="5"/>
        <v>0</v>
      </c>
      <c r="AI18" s="125">
        <f t="shared" si="6"/>
        <v>0</v>
      </c>
      <c r="AJ18" s="125">
        <f t="shared" si="7"/>
        <v>2323.8314176245203</v>
      </c>
      <c r="AK18" s="125">
        <f t="shared" si="8"/>
        <v>177.77310344827578</v>
      </c>
      <c r="AL18" s="205">
        <f t="shared" si="9"/>
        <v>545.05740512452792</v>
      </c>
      <c r="AM18" s="125">
        <f t="shared" si="10"/>
        <v>0</v>
      </c>
      <c r="AN18" s="125">
        <f t="shared" si="11"/>
        <v>387.3826973180075</v>
      </c>
    </row>
    <row r="19" spans="2:40">
      <c r="B19" s="20" t="s">
        <v>1465</v>
      </c>
      <c r="C19" s="115" t="str">
        <f>'Prop Budget Calc'!B19</f>
        <v>Police Corporal</v>
      </c>
      <c r="D19" s="115" t="str">
        <f>'Prop Budget Calc'!C19</f>
        <v>First Name Last Name</v>
      </c>
      <c r="F19" s="115">
        <f>'Prop Budget Calc'!E19</f>
        <v>1</v>
      </c>
      <c r="H19" s="115" t="str">
        <f>'Prop Budget Calc'!G19</f>
        <v>100-30-302</v>
      </c>
      <c r="J19" s="202" t="str">
        <f>'Prop Budget Calc'!I19</f>
        <v>50102</v>
      </c>
      <c r="K19" s="115">
        <f>'Prop Budget Calc'!P19</f>
        <v>39951</v>
      </c>
      <c r="L19" s="203">
        <f>'Prop Budget Calc'!O19</f>
        <v>90530</v>
      </c>
      <c r="M19" s="115">
        <f t="shared" si="0"/>
        <v>7544.166666666667</v>
      </c>
      <c r="N19" s="115"/>
      <c r="O19" s="203">
        <f>'Prop Budget Calc'!AK19/12</f>
        <v>100</v>
      </c>
      <c r="P19" s="203">
        <f>'Prop Budget Calc'!AL19/24</f>
        <v>0</v>
      </c>
      <c r="Q19" s="203">
        <f>'Prop Budget Calc'!AM19/24</f>
        <v>0</v>
      </c>
      <c r="R19" s="203">
        <f>'Prop Budget Calc'!BC19/(1+Scenarios!$E$8)</f>
        <v>17421.388407999999</v>
      </c>
      <c r="S19" s="203">
        <f>'Prop Budget Calc'!BD19/(1+Scenarios!$E$11)</f>
        <v>795.7358490566038</v>
      </c>
      <c r="T19" s="203">
        <f>'Prop Budget Calc'!AZ19/(1+Scenarios!$E$11)</f>
        <v>265.38849056603772</v>
      </c>
      <c r="U19" s="203">
        <f t="shared" si="1"/>
        <v>18482.512747622641</v>
      </c>
      <c r="X19" s="126"/>
      <c r="Y19" s="126"/>
      <c r="AA19" s="125">
        <f t="shared" ref="AA19:AD20" si="13">IF($J19=AA$5,$L19/$AB$1*$AB$2,0)</f>
        <v>0</v>
      </c>
      <c r="AB19" s="125">
        <f t="shared" si="13"/>
        <v>4092.9272030651332</v>
      </c>
      <c r="AC19" s="125">
        <f t="shared" si="13"/>
        <v>0</v>
      </c>
      <c r="AD19" s="125">
        <f t="shared" si="13"/>
        <v>0</v>
      </c>
      <c r="AE19" s="125"/>
      <c r="AF19" s="125">
        <f t="shared" si="3"/>
        <v>0</v>
      </c>
      <c r="AG19" s="125">
        <f t="shared" si="4"/>
        <v>119.99999999999993</v>
      </c>
      <c r="AH19" s="125">
        <f t="shared" si="5"/>
        <v>0</v>
      </c>
      <c r="AI19" s="125">
        <f t="shared" si="6"/>
        <v>0</v>
      </c>
      <c r="AJ19" s="125">
        <f t="shared" si="7"/>
        <v>4212.9272030651327</v>
      </c>
      <c r="AK19" s="125">
        <f t="shared" si="8"/>
        <v>322.28893103448263</v>
      </c>
      <c r="AL19" s="205">
        <f t="shared" si="9"/>
        <v>924.12563738113147</v>
      </c>
      <c r="AM19" s="125">
        <f t="shared" si="10"/>
        <v>0</v>
      </c>
      <c r="AN19" s="125">
        <f t="shared" si="11"/>
        <v>702.29496475095755</v>
      </c>
    </row>
    <row r="20" spans="2:40">
      <c r="B20" s="20" t="s">
        <v>1299</v>
      </c>
      <c r="C20" s="115" t="str">
        <f>'Prop Budget Calc'!B20</f>
        <v>Police Sergeant</v>
      </c>
      <c r="D20" s="115" t="str">
        <f>'Prop Budget Calc'!C20</f>
        <v>First Name Last Name</v>
      </c>
      <c r="F20" s="115">
        <f>'Prop Budget Calc'!E20</f>
        <v>1</v>
      </c>
      <c r="H20" s="115" t="str">
        <f>'Prop Budget Calc'!G20</f>
        <v>100-30-302</v>
      </c>
      <c r="J20" s="202" t="str">
        <f>'Prop Budget Calc'!I20</f>
        <v>50102</v>
      </c>
      <c r="K20" s="115">
        <f>'Prop Budget Calc'!P20</f>
        <v>37291</v>
      </c>
      <c r="L20" s="203">
        <f>'Prop Budget Calc'!O20</f>
        <v>110370</v>
      </c>
      <c r="M20" s="115">
        <f t="shared" si="0"/>
        <v>9197.5</v>
      </c>
      <c r="N20" s="115"/>
      <c r="O20" s="203">
        <f>'Prop Budget Calc'!AK20/12</f>
        <v>100</v>
      </c>
      <c r="P20" s="203">
        <f>'Prop Budget Calc'!AL20/24</f>
        <v>0</v>
      </c>
      <c r="Q20" s="203">
        <f>'Prop Budget Calc'!AM20/24</f>
        <v>0</v>
      </c>
      <c r="R20" s="203">
        <f>'Prop Budget Calc'!BC20/(1+Scenarios!$E$8)</f>
        <v>16109.444008</v>
      </c>
      <c r="S20" s="203">
        <f>'Prop Budget Calc'!BD20/(1+Scenarios!$E$11)</f>
        <v>795.7358490566038</v>
      </c>
      <c r="T20" s="203">
        <f>'Prop Budget Calc'!AZ20/(1+Scenarios!$E$11)</f>
        <v>299.59415094339619</v>
      </c>
      <c r="U20" s="203">
        <f t="shared" si="1"/>
        <v>17204.774008</v>
      </c>
      <c r="X20" s="126"/>
      <c r="Y20" s="126"/>
      <c r="AA20" s="125">
        <f t="shared" si="13"/>
        <v>0</v>
      </c>
      <c r="AB20" s="125">
        <f t="shared" si="13"/>
        <v>4989.9080459770103</v>
      </c>
      <c r="AC20" s="125">
        <f t="shared" si="13"/>
        <v>0</v>
      </c>
      <c r="AD20" s="125">
        <f t="shared" si="13"/>
        <v>0</v>
      </c>
      <c r="AE20" s="125"/>
      <c r="AF20" s="125">
        <f t="shared" si="3"/>
        <v>0</v>
      </c>
      <c r="AG20" s="125">
        <f t="shared" si="4"/>
        <v>119.99999999999993</v>
      </c>
      <c r="AH20" s="125">
        <f t="shared" si="5"/>
        <v>0</v>
      </c>
      <c r="AI20" s="125">
        <f t="shared" si="6"/>
        <v>0</v>
      </c>
      <c r="AJ20" s="125">
        <f t="shared" si="7"/>
        <v>5109.9080459770103</v>
      </c>
      <c r="AK20" s="125">
        <f t="shared" si="8"/>
        <v>390.90796551724128</v>
      </c>
      <c r="AL20" s="205">
        <f t="shared" si="9"/>
        <v>860.23870039999952</v>
      </c>
      <c r="AM20" s="125">
        <f t="shared" si="10"/>
        <v>0</v>
      </c>
      <c r="AN20" s="125">
        <f t="shared" si="11"/>
        <v>851.82167126436752</v>
      </c>
    </row>
    <row r="21" spans="2:40">
      <c r="B21" s="20" t="s">
        <v>1570</v>
      </c>
      <c r="C21" s="115" t="str">
        <f>'Prop Budget Calc'!B21</f>
        <v>Police Officer</v>
      </c>
      <c r="D21" s="115" t="str">
        <f>'Prop Budget Calc'!C21</f>
        <v>First Name Last Name</v>
      </c>
      <c r="F21" s="115">
        <f>'Prop Budget Calc'!E21</f>
        <v>1</v>
      </c>
      <c r="H21" s="115" t="str">
        <f>'Prop Budget Calc'!G21</f>
        <v>100-30-302</v>
      </c>
      <c r="J21" s="202" t="str">
        <f>'Prop Budget Calc'!I21</f>
        <v>50102</v>
      </c>
      <c r="K21" s="115">
        <f>'Prop Budget Calc'!P21</f>
        <v>44867</v>
      </c>
      <c r="L21" s="203">
        <f>'Prop Budget Calc'!O21</f>
        <v>68580</v>
      </c>
      <c r="M21" s="115">
        <f t="shared" ref="M21:M27" si="14">L21/12</f>
        <v>5715</v>
      </c>
      <c r="N21" s="115"/>
      <c r="O21" s="203">
        <f>'Prop Budget Calc'!AK21/12</f>
        <v>0</v>
      </c>
      <c r="P21" s="203">
        <f>'Prop Budget Calc'!AL21/24</f>
        <v>0</v>
      </c>
      <c r="Q21" s="203">
        <f>'Prop Budget Calc'!AM21/24</f>
        <v>0</v>
      </c>
      <c r="R21" s="203">
        <f>'Prop Budget Calc'!BC21/(1+Scenarios!$E$8)</f>
        <v>19093.197376</v>
      </c>
      <c r="S21" s="203">
        <f>'Prop Budget Calc'!BD21/(1+Scenarios!$E$11)</f>
        <v>795.7358490566038</v>
      </c>
      <c r="T21" s="203">
        <f>'Prop Budget Calc'!AZ21/(1+Scenarios!$E$11)</f>
        <v>225.11037735849058</v>
      </c>
      <c r="U21" s="203">
        <f t="shared" ref="U21:U27" si="15">SUM(R21:T21)</f>
        <v>20114.043602415095</v>
      </c>
      <c r="X21" s="126"/>
      <c r="Y21" s="126"/>
      <c r="AA21" s="125">
        <f t="shared" ref="AA21:AC23" si="16">IF($J21=AA$5,$L21/$AB$1*$AB$2,0)</f>
        <v>0</v>
      </c>
      <c r="AB21" s="125">
        <f t="shared" si="16"/>
        <v>3100.5517241379303</v>
      </c>
      <c r="AC21" s="125">
        <f t="shared" si="16"/>
        <v>0</v>
      </c>
      <c r="AD21" s="125">
        <f t="shared" ref="AD21:AD27" si="17">IF($J21=AD$5,$L21/$AB$1*$AB$2,0)</f>
        <v>0</v>
      </c>
      <c r="AE21" s="125"/>
      <c r="AF21" s="125">
        <f t="shared" ref="AF21:AF27" si="18">IF($J21=AF$5,$L21/$AB$1*$AB$2,0)</f>
        <v>0</v>
      </c>
      <c r="AG21" s="125">
        <f t="shared" ref="AG21:AG27" si="19">IF(RIGHT(J21,5)="TOTAL",0,O21*$AG$2)</f>
        <v>0</v>
      </c>
      <c r="AH21" s="125">
        <f t="shared" ref="AH21:AH27" si="20">IF(RIGHT(J21,5)="TOTAL",0,P21*$AH$2)</f>
        <v>0</v>
      </c>
      <c r="AI21" s="125">
        <f t="shared" ref="AI21:AI27" si="21">IF($J21=AI$5,$L21/$AI$1*$AI$2,0)</f>
        <v>0</v>
      </c>
      <c r="AJ21" s="125">
        <f t="shared" ref="AJ21:AJ27" si="22">SUM(AA21:AI21)</f>
        <v>3100.5517241379303</v>
      </c>
      <c r="AK21" s="125">
        <f t="shared" ref="AK21:AK27" si="23">AJ21*0.0145+IF(AJ21&gt;118500/$AB$1*$AB$2,118500/$AB$1*$AB$2*0.062,AJ21*0.062)</f>
        <v>237.19220689655168</v>
      </c>
      <c r="AL21" s="205">
        <f t="shared" ref="AL21:AL27" si="24">IF(RIGHT(J21,5)="total",0,U21/24*$AL$2)</f>
        <v>1005.7021801207542</v>
      </c>
      <c r="AM21" s="125">
        <f t="shared" ref="AM21:AM27" si="25">IF(RIGHT(J21,5)="total",0,V21*$AM$2)</f>
        <v>0</v>
      </c>
      <c r="AN21" s="125">
        <f t="shared" ref="AN21:AN27" si="26">IF(OR($J21="50101", $J21="50102", $J21="50109", $J21="50140"),AJ21*$AN$2,0)</f>
        <v>516.86197241379296</v>
      </c>
    </row>
    <row r="22" spans="2:40">
      <c r="B22" s="456" t="s">
        <v>1761</v>
      </c>
      <c r="C22" s="115" t="str">
        <f>'Prop Budget Calc'!B22</f>
        <v>Police Officer</v>
      </c>
      <c r="D22" s="115" t="str">
        <f>'Prop Budget Calc'!C22</f>
        <v>First Name Last Name</v>
      </c>
      <c r="F22" s="115">
        <f>'Prop Budget Calc'!E22</f>
        <v>1</v>
      </c>
      <c r="H22" s="115" t="str">
        <f>'Prop Budget Calc'!G22</f>
        <v>100-30-302</v>
      </c>
      <c r="J22" s="202" t="str">
        <f>'Prop Budget Calc'!I22</f>
        <v>50102</v>
      </c>
      <c r="K22" s="115">
        <f>'Prop Budget Calc'!P22</f>
        <v>44977</v>
      </c>
      <c r="L22" s="203">
        <f>'Prop Budget Calc'!O22</f>
        <v>69960</v>
      </c>
      <c r="M22" s="115">
        <f t="shared" si="14"/>
        <v>5830</v>
      </c>
      <c r="N22" s="115"/>
      <c r="O22" s="203">
        <f>'Prop Budget Calc'!AK22/12</f>
        <v>0</v>
      </c>
      <c r="P22" s="203">
        <f>'Prop Budget Calc'!AL22/24</f>
        <v>0</v>
      </c>
      <c r="Q22" s="203">
        <f>'Prop Budget Calc'!AM22/24</f>
        <v>0</v>
      </c>
      <c r="R22" s="203">
        <f>'Prop Budget Calc'!BC22/(1+Scenarios!$E$8)</f>
        <v>10297.840743999999</v>
      </c>
      <c r="S22" s="203">
        <f>'Prop Budget Calc'!BD22/(1+Scenarios!$E$11)</f>
        <v>410.15094339622641</v>
      </c>
      <c r="T22" s="203">
        <f>'Prop Budget Calc'!AZ22/(1+Scenarios!$E$11)</f>
        <v>227.62641509433959</v>
      </c>
      <c r="U22" s="203">
        <f t="shared" si="15"/>
        <v>10935.618102490564</v>
      </c>
      <c r="X22" s="126"/>
      <c r="Y22" s="126"/>
      <c r="AA22" s="125">
        <f t="shared" si="16"/>
        <v>0</v>
      </c>
      <c r="AB22" s="125">
        <f t="shared" si="16"/>
        <v>3162.9425287356312</v>
      </c>
      <c r="AC22" s="125">
        <f t="shared" si="16"/>
        <v>0</v>
      </c>
      <c r="AD22" s="125">
        <f t="shared" si="17"/>
        <v>0</v>
      </c>
      <c r="AE22" s="125"/>
      <c r="AF22" s="125">
        <f t="shared" si="18"/>
        <v>0</v>
      </c>
      <c r="AG22" s="125">
        <f t="shared" si="19"/>
        <v>0</v>
      </c>
      <c r="AH22" s="125">
        <f t="shared" si="20"/>
        <v>0</v>
      </c>
      <c r="AI22" s="125">
        <f t="shared" si="21"/>
        <v>0</v>
      </c>
      <c r="AJ22" s="125">
        <f t="shared" si="22"/>
        <v>3162.9425287356312</v>
      </c>
      <c r="AK22" s="125">
        <f t="shared" si="23"/>
        <v>241.96510344827578</v>
      </c>
      <c r="AL22" s="205">
        <f t="shared" si="24"/>
        <v>546.78090512452786</v>
      </c>
      <c r="AM22" s="125">
        <f t="shared" si="25"/>
        <v>0</v>
      </c>
      <c r="AN22" s="125">
        <f t="shared" si="26"/>
        <v>527.26251954022973</v>
      </c>
    </row>
    <row r="23" spans="2:40">
      <c r="B23" s="20" t="s">
        <v>1472</v>
      </c>
      <c r="C23" s="115" t="str">
        <f>'Prop Budget Calc'!B23</f>
        <v>Criminal Investigator</v>
      </c>
      <c r="D23" s="115" t="str">
        <f>'Prop Budget Calc'!C23</f>
        <v>First Name Last Name</v>
      </c>
      <c r="F23" s="115">
        <f>'Prop Budget Calc'!E23</f>
        <v>1</v>
      </c>
      <c r="H23" s="115" t="str">
        <f>'Prop Budget Calc'!G23</f>
        <v>100-30-302</v>
      </c>
      <c r="J23" s="202" t="str">
        <f>'Prop Budget Calc'!I23</f>
        <v>50102</v>
      </c>
      <c r="K23" s="115">
        <f>'Prop Budget Calc'!P23</f>
        <v>39279</v>
      </c>
      <c r="L23" s="203">
        <f>'Prop Budget Calc'!O23</f>
        <v>87010</v>
      </c>
      <c r="M23" s="115">
        <f t="shared" si="14"/>
        <v>7250.833333333333</v>
      </c>
      <c r="N23" s="115"/>
      <c r="O23" s="203">
        <f>'Prop Budget Calc'!AK23/12</f>
        <v>100</v>
      </c>
      <c r="P23" s="203">
        <f>'Prop Budget Calc'!AL23/24</f>
        <v>0</v>
      </c>
      <c r="Q23" s="203">
        <f>'Prop Budget Calc'!AM23/24</f>
        <v>0</v>
      </c>
      <c r="R23" s="203">
        <f>'Prop Budget Calc'!BC23/(1+Scenarios!$E$8)</f>
        <v>16681.356784</v>
      </c>
      <c r="S23" s="203">
        <f>'Prop Budget Calc'!BD23/(1+Scenarios!$E$11)</f>
        <v>795.7358490566038</v>
      </c>
      <c r="T23" s="203">
        <f>'Prop Budget Calc'!AZ23/(1+Scenarios!$E$11)</f>
        <v>257.76735849056604</v>
      </c>
      <c r="U23" s="203">
        <f t="shared" si="15"/>
        <v>17734.859991547171</v>
      </c>
      <c r="X23" s="126"/>
      <c r="Y23" s="126"/>
      <c r="AA23" s="125">
        <f t="shared" si="16"/>
        <v>0</v>
      </c>
      <c r="AB23" s="125">
        <f t="shared" si="16"/>
        <v>3933.7854406130259</v>
      </c>
      <c r="AC23" s="125">
        <f t="shared" si="16"/>
        <v>0</v>
      </c>
      <c r="AD23" s="125">
        <f t="shared" si="17"/>
        <v>0</v>
      </c>
      <c r="AE23" s="125"/>
      <c r="AF23" s="125">
        <f t="shared" si="18"/>
        <v>0</v>
      </c>
      <c r="AG23" s="125">
        <f t="shared" si="19"/>
        <v>119.99999999999993</v>
      </c>
      <c r="AH23" s="125">
        <f t="shared" si="20"/>
        <v>0</v>
      </c>
      <c r="AI23" s="125">
        <f t="shared" si="21"/>
        <v>0</v>
      </c>
      <c r="AJ23" s="125">
        <f t="shared" si="22"/>
        <v>4053.7854406130259</v>
      </c>
      <c r="AK23" s="125">
        <f t="shared" si="23"/>
        <v>310.11458620689649</v>
      </c>
      <c r="AL23" s="205">
        <f t="shared" si="24"/>
        <v>886.74299957735809</v>
      </c>
      <c r="AM23" s="125">
        <f t="shared" si="25"/>
        <v>0</v>
      </c>
      <c r="AN23" s="125">
        <f t="shared" si="26"/>
        <v>675.7660329501914</v>
      </c>
    </row>
    <row r="24" spans="2:40">
      <c r="B24" s="419" t="s">
        <v>1886</v>
      </c>
      <c r="C24" s="115" t="str">
        <f>'Prop Budget Calc'!B24</f>
        <v>Police Officer</v>
      </c>
      <c r="D24" s="115" t="str">
        <f>'Prop Budget Calc'!C24</f>
        <v>First Name Last Name</v>
      </c>
      <c r="F24" s="115">
        <f>'Prop Budget Calc'!E24</f>
        <v>1</v>
      </c>
      <c r="H24" s="115" t="str">
        <f>'Prop Budget Calc'!G24</f>
        <v>100-30-302</v>
      </c>
      <c r="J24" s="202" t="str">
        <f>'Prop Budget Calc'!I24</f>
        <v>50102</v>
      </c>
      <c r="K24" s="115">
        <f>'Prop Budget Calc'!P24</f>
        <v>45092</v>
      </c>
      <c r="L24" s="203">
        <f>'Prop Budget Calc'!O24</f>
        <v>68580</v>
      </c>
      <c r="M24" s="115">
        <f t="shared" si="14"/>
        <v>5715</v>
      </c>
      <c r="N24" s="115"/>
      <c r="O24" s="203">
        <f>'Prop Budget Calc'!AK24/12</f>
        <v>0</v>
      </c>
      <c r="P24" s="203">
        <f>'Prop Budget Calc'!AL24/24</f>
        <v>0</v>
      </c>
      <c r="Q24" s="203">
        <f>'Prop Budget Calc'!AM24/24</f>
        <v>0</v>
      </c>
      <c r="R24" s="203">
        <f>'Prop Budget Calc'!BC24/(1+Scenarios!$E$8)</f>
        <v>10297.840743999999</v>
      </c>
      <c r="S24" s="203">
        <f>'Prop Budget Calc'!BD24/(1+Scenarios!$E$11)</f>
        <v>410.15094339622641</v>
      </c>
      <c r="T24" s="203">
        <f>'Prop Budget Calc'!AZ24/(1+Scenarios!$E$11)</f>
        <v>225.04669811320755</v>
      </c>
      <c r="U24" s="203">
        <f t="shared" si="15"/>
        <v>10933.038385509431</v>
      </c>
      <c r="X24" s="126"/>
      <c r="Y24" s="126"/>
      <c r="AA24" s="125">
        <f t="shared" ref="AA24:AC24" si="27">IF($J24=AA$5,$L24/$AB$1*$AB$2,0)</f>
        <v>0</v>
      </c>
      <c r="AB24" s="125">
        <f t="shared" si="27"/>
        <v>3100.5517241379303</v>
      </c>
      <c r="AC24" s="125">
        <f t="shared" si="27"/>
        <v>0</v>
      </c>
      <c r="AD24" s="125">
        <f t="shared" si="17"/>
        <v>0</v>
      </c>
      <c r="AE24" s="125"/>
      <c r="AF24" s="125">
        <f t="shared" si="18"/>
        <v>0</v>
      </c>
      <c r="AG24" s="125">
        <f t="shared" si="19"/>
        <v>0</v>
      </c>
      <c r="AH24" s="125">
        <f t="shared" si="20"/>
        <v>0</v>
      </c>
      <c r="AI24" s="125">
        <f t="shared" si="21"/>
        <v>0</v>
      </c>
      <c r="AJ24" s="125">
        <f t="shared" si="22"/>
        <v>3100.5517241379303</v>
      </c>
      <c r="AK24" s="125">
        <f t="shared" si="23"/>
        <v>237.19220689655168</v>
      </c>
      <c r="AL24" s="205">
        <f t="shared" si="24"/>
        <v>546.6519192754713</v>
      </c>
      <c r="AM24" s="125">
        <f t="shared" si="25"/>
        <v>0</v>
      </c>
      <c r="AN24" s="125">
        <f t="shared" si="26"/>
        <v>516.86197241379296</v>
      </c>
    </row>
    <row r="25" spans="2:40">
      <c r="B25" s="419" t="s">
        <v>1783</v>
      </c>
      <c r="C25" s="115" t="str">
        <f>'Prop Budget Calc'!B25</f>
        <v>Emergency Communications Specialist</v>
      </c>
      <c r="D25" s="115" t="str">
        <f>'Prop Budget Calc'!C25</f>
        <v>First Name Last Name</v>
      </c>
      <c r="F25" s="115">
        <f>'Prop Budget Calc'!E25</f>
        <v>1</v>
      </c>
      <c r="H25" s="115" t="str">
        <f>'Prop Budget Calc'!G25</f>
        <v>100-30-303</v>
      </c>
      <c r="J25" s="202" t="str">
        <f>'Prop Budget Calc'!I25</f>
        <v>50102</v>
      </c>
      <c r="K25" s="115">
        <f>'Prop Budget Calc'!P25</f>
        <v>45201</v>
      </c>
      <c r="L25" s="203">
        <f>'Prop Budget Calc'!O25</f>
        <v>51940</v>
      </c>
      <c r="M25" s="115">
        <f t="shared" si="14"/>
        <v>4328.333333333333</v>
      </c>
      <c r="N25" s="115"/>
      <c r="O25" s="203">
        <f>'Prop Budget Calc'!AK25/12</f>
        <v>333.34</v>
      </c>
      <c r="P25" s="203">
        <f>'Prop Budget Calc'!AL25/24</f>
        <v>0</v>
      </c>
      <c r="Q25" s="203">
        <f>'Prop Budget Calc'!AM25/24</f>
        <v>0</v>
      </c>
      <c r="R25" s="203">
        <f>'Prop Budget Calc'!BC25/(1+Scenarios!$E$8)</f>
        <v>10297.840743999999</v>
      </c>
      <c r="S25" s="203">
        <f>'Prop Budget Calc'!BD25/(1+Scenarios!$E$11)</f>
        <v>410.15094339622641</v>
      </c>
      <c r="T25" s="203">
        <f>'Prop Budget Calc'!AZ25/(1+Scenarios!$E$11)</f>
        <v>201.58202264150941</v>
      </c>
      <c r="U25" s="203">
        <f t="shared" si="15"/>
        <v>10909.573710037734</v>
      </c>
      <c r="X25" s="126"/>
      <c r="Y25" s="126"/>
      <c r="AA25" s="125">
        <f t="shared" ref="AA25:AC27" si="28">IF($J25=AA$5,$L25/$AB$1*$AB$2,0)</f>
        <v>0</v>
      </c>
      <c r="AB25" s="125">
        <f t="shared" si="28"/>
        <v>2348.2452107279687</v>
      </c>
      <c r="AC25" s="125">
        <f t="shared" si="28"/>
        <v>0</v>
      </c>
      <c r="AD25" s="125">
        <f t="shared" si="17"/>
        <v>0</v>
      </c>
      <c r="AE25" s="125"/>
      <c r="AF25" s="125">
        <f t="shared" si="18"/>
        <v>0</v>
      </c>
      <c r="AG25" s="125">
        <f t="shared" si="19"/>
        <v>400.00799999999975</v>
      </c>
      <c r="AH25" s="125">
        <f t="shared" si="20"/>
        <v>0</v>
      </c>
      <c r="AI25" s="125">
        <f t="shared" si="21"/>
        <v>0</v>
      </c>
      <c r="AJ25" s="125">
        <f t="shared" si="22"/>
        <v>2748.2532107279685</v>
      </c>
      <c r="AK25" s="125">
        <f t="shared" si="23"/>
        <v>210.24137062068959</v>
      </c>
      <c r="AL25" s="205">
        <f t="shared" si="24"/>
        <v>545.47868550188639</v>
      </c>
      <c r="AM25" s="125">
        <f t="shared" si="25"/>
        <v>0</v>
      </c>
      <c r="AN25" s="125">
        <f t="shared" si="26"/>
        <v>458.13381022835233</v>
      </c>
    </row>
    <row r="26" spans="2:40">
      <c r="B26" s="419" t="s">
        <v>1783</v>
      </c>
      <c r="C26" s="115" t="str">
        <f>'Prop Budget Calc'!B26</f>
        <v>Emergency Communications Supervisor</v>
      </c>
      <c r="D26" s="115" t="str">
        <f>'Prop Budget Calc'!C26</f>
        <v>Vacant Vacant</v>
      </c>
      <c r="F26" s="115">
        <f>'Prop Budget Calc'!E26</f>
        <v>1</v>
      </c>
      <c r="H26" s="115" t="str">
        <f>'Prop Budget Calc'!G26</f>
        <v>100-30-303</v>
      </c>
      <c r="J26" s="202" t="str">
        <f>'Prop Budget Calc'!I26</f>
        <v>50102</v>
      </c>
      <c r="K26" s="115">
        <f>'Prop Budget Calc'!P26</f>
        <v>45027</v>
      </c>
      <c r="L26" s="203">
        <f>'Prop Budget Calc'!O26</f>
        <v>70550</v>
      </c>
      <c r="M26" s="115">
        <f t="shared" si="14"/>
        <v>5879.166666666667</v>
      </c>
      <c r="N26" s="115"/>
      <c r="O26" s="203">
        <f>'Prop Budget Calc'!AK26/12</f>
        <v>0</v>
      </c>
      <c r="P26" s="203">
        <f>'Prop Budget Calc'!AL26/24</f>
        <v>0</v>
      </c>
      <c r="Q26" s="203">
        <f>'Prop Budget Calc'!AM26/24</f>
        <v>0</v>
      </c>
      <c r="R26" s="203">
        <f>'Prop Budget Calc'!BC26/(1+Scenarios!$E$8)</f>
        <v>13938.438387310343</v>
      </c>
      <c r="S26" s="203">
        <f>'Prop Budget Calc'!BD26/(1+Scenarios!$E$11)</f>
        <v>593.09268695771937</v>
      </c>
      <c r="T26" s="203">
        <f>'Prop Budget Calc'!AZ26/(1+Scenarios!$E$11)</f>
        <v>228.63113207547167</v>
      </c>
      <c r="U26" s="203">
        <f t="shared" si="15"/>
        <v>14760.162206343535</v>
      </c>
      <c r="X26" s="126"/>
      <c r="Y26" s="126"/>
      <c r="AA26" s="125">
        <f t="shared" si="28"/>
        <v>0</v>
      </c>
      <c r="AB26" s="125">
        <f t="shared" si="28"/>
        <v>3189.6168582375471</v>
      </c>
      <c r="AC26" s="125">
        <f t="shared" si="28"/>
        <v>0</v>
      </c>
      <c r="AD26" s="125">
        <f t="shared" si="17"/>
        <v>0</v>
      </c>
      <c r="AE26" s="125"/>
      <c r="AF26" s="125">
        <f t="shared" si="18"/>
        <v>0</v>
      </c>
      <c r="AG26" s="125">
        <f t="shared" si="19"/>
        <v>0</v>
      </c>
      <c r="AH26" s="125">
        <f t="shared" si="20"/>
        <v>0</v>
      </c>
      <c r="AI26" s="125">
        <f t="shared" si="21"/>
        <v>0</v>
      </c>
      <c r="AJ26" s="125">
        <f t="shared" si="22"/>
        <v>3189.6168582375471</v>
      </c>
      <c r="AK26" s="125">
        <f t="shared" si="23"/>
        <v>244.00568965517235</v>
      </c>
      <c r="AL26" s="205">
        <f t="shared" si="24"/>
        <v>738.00811031717626</v>
      </c>
      <c r="AM26" s="125">
        <f t="shared" si="25"/>
        <v>0</v>
      </c>
      <c r="AN26" s="125">
        <f t="shared" si="26"/>
        <v>531.70913026819903</v>
      </c>
    </row>
    <row r="27" spans="2:40">
      <c r="B27" s="419" t="s">
        <v>1878</v>
      </c>
      <c r="C27" s="115" t="str">
        <f>'Prop Budget Calc'!B27</f>
        <v>Animal Control Officer I</v>
      </c>
      <c r="D27" s="115" t="str">
        <f>'Prop Budget Calc'!C27</f>
        <v>First Name Last Name</v>
      </c>
      <c r="F27" s="115">
        <f>'Prop Budget Calc'!E27</f>
        <v>1</v>
      </c>
      <c r="H27" s="115" t="str">
        <f>'Prop Budget Calc'!G27</f>
        <v>100-30-304</v>
      </c>
      <c r="J27" s="202" t="str">
        <f>'Prop Budget Calc'!I27</f>
        <v>50102</v>
      </c>
      <c r="K27" s="115">
        <f>'Prop Budget Calc'!P27</f>
        <v>45124</v>
      </c>
      <c r="L27" s="203">
        <f>'Prop Budget Calc'!O27</f>
        <v>37530</v>
      </c>
      <c r="M27" s="115">
        <f t="shared" si="14"/>
        <v>3127.5</v>
      </c>
      <c r="N27" s="115"/>
      <c r="O27" s="203">
        <f>'Prop Budget Calc'!AK27/12</f>
        <v>333.34</v>
      </c>
      <c r="P27" s="203">
        <f>'Prop Budget Calc'!AL27/24</f>
        <v>0</v>
      </c>
      <c r="Q27" s="203">
        <f>'Prop Budget Calc'!AM27/24</f>
        <v>0</v>
      </c>
      <c r="R27" s="203">
        <f>'Prop Budget Calc'!BC27/(1+Scenarios!$E$8)</f>
        <v>10338.445719999998</v>
      </c>
      <c r="S27" s="203">
        <f>'Prop Budget Calc'!BD27/(1+Scenarios!$E$11)</f>
        <v>410.15094339622641</v>
      </c>
      <c r="T27" s="203">
        <f>'Prop Budget Calc'!AZ27/(1+Scenarios!$E$11)</f>
        <v>181.66796603773582</v>
      </c>
      <c r="U27" s="203">
        <f t="shared" si="15"/>
        <v>10930.264629433959</v>
      </c>
      <c r="X27" s="126"/>
      <c r="Y27" s="126"/>
      <c r="AA27" s="125">
        <f t="shared" si="28"/>
        <v>0</v>
      </c>
      <c r="AB27" s="125">
        <f t="shared" si="28"/>
        <v>1696.7586206896547</v>
      </c>
      <c r="AC27" s="125">
        <f t="shared" si="28"/>
        <v>0</v>
      </c>
      <c r="AD27" s="125">
        <f t="shared" si="17"/>
        <v>0</v>
      </c>
      <c r="AE27" s="125"/>
      <c r="AF27" s="125">
        <f t="shared" si="18"/>
        <v>0</v>
      </c>
      <c r="AG27" s="125">
        <f t="shared" si="19"/>
        <v>400.00799999999975</v>
      </c>
      <c r="AH27" s="125">
        <f t="shared" si="20"/>
        <v>0</v>
      </c>
      <c r="AI27" s="125">
        <f t="shared" si="21"/>
        <v>0</v>
      </c>
      <c r="AJ27" s="125">
        <f t="shared" si="22"/>
        <v>2096.7666206896542</v>
      </c>
      <c r="AK27" s="125">
        <f t="shared" si="23"/>
        <v>160.40264648275854</v>
      </c>
      <c r="AL27" s="205">
        <f t="shared" si="24"/>
        <v>546.51323147169762</v>
      </c>
      <c r="AM27" s="125">
        <f t="shared" si="25"/>
        <v>0</v>
      </c>
      <c r="AN27" s="125">
        <f t="shared" si="26"/>
        <v>349.53099566896532</v>
      </c>
    </row>
    <row r="28" spans="2:40">
      <c r="B28" s="20" t="s">
        <v>1560</v>
      </c>
      <c r="C28" s="115" t="str">
        <f>'Prop Budget Calc'!B28</f>
        <v>Detention Officer</v>
      </c>
      <c r="D28" s="115" t="str">
        <f>'Prop Budget Calc'!C28</f>
        <v>First Name Last Name</v>
      </c>
      <c r="F28" s="115">
        <f>'Prop Budget Calc'!E28</f>
        <v>1</v>
      </c>
      <c r="H28" s="115" t="str">
        <f>'Prop Budget Calc'!G28</f>
        <v>100-30-305</v>
      </c>
      <c r="J28" s="202" t="str">
        <f>'Prop Budget Calc'!I28</f>
        <v>50102</v>
      </c>
      <c r="K28" s="115">
        <f>'Prop Budget Calc'!P28</f>
        <v>45201</v>
      </c>
      <c r="L28" s="203">
        <f>'Prop Budget Calc'!O28</f>
        <v>42190</v>
      </c>
      <c r="M28" s="115">
        <f t="shared" ref="M28:M33" si="29">L28/12</f>
        <v>3515.8333333333335</v>
      </c>
      <c r="N28" s="115"/>
      <c r="O28" s="203">
        <f>'Prop Budget Calc'!AK28/12</f>
        <v>333.34</v>
      </c>
      <c r="P28" s="203">
        <f>'Prop Budget Calc'!AL28/24</f>
        <v>0</v>
      </c>
      <c r="Q28" s="203">
        <f>'Prop Budget Calc'!AM28/24</f>
        <v>0</v>
      </c>
      <c r="R28" s="203">
        <f>'Prop Budget Calc'!BC28/(1+Scenarios!$E$8)</f>
        <v>10338.445719999998</v>
      </c>
      <c r="S28" s="203">
        <f>'Prop Budget Calc'!BD28/(1+Scenarios!$E$11)</f>
        <v>410.15094339622641</v>
      </c>
      <c r="T28" s="203">
        <f>'Prop Budget Calc'!AZ28/(1+Scenarios!$E$11)</f>
        <v>184.60089056603772</v>
      </c>
      <c r="U28" s="203">
        <f t="shared" ref="U28:U33" si="30">SUM(R28:T28)</f>
        <v>10933.197553962262</v>
      </c>
      <c r="X28" s="126"/>
      <c r="Y28" s="126"/>
      <c r="AA28" s="125">
        <f t="shared" ref="AA28:AC28" si="31">IF($J28=AA$5,$L28/$AB$1*$AB$2,0)</f>
        <v>0</v>
      </c>
      <c r="AB28" s="125">
        <f t="shared" si="31"/>
        <v>1907.4406130268194</v>
      </c>
      <c r="AC28" s="125">
        <f t="shared" si="31"/>
        <v>0</v>
      </c>
      <c r="AD28" s="125">
        <f t="shared" ref="AD28:AD30" si="32">IF($J28=AD$5,$L28/$AB$1*$AB$2,0)</f>
        <v>0</v>
      </c>
      <c r="AE28" s="125"/>
      <c r="AF28" s="125">
        <f t="shared" ref="AF28:AF33" si="33">IF($J28=AF$5,$L28/$AB$1*$AB$2,0)</f>
        <v>0</v>
      </c>
      <c r="AG28" s="125">
        <f t="shared" ref="AG28:AG33" si="34">IF(RIGHT(J28,5)="TOTAL",0,O28*$AG$2)</f>
        <v>400.00799999999975</v>
      </c>
      <c r="AH28" s="125">
        <f t="shared" ref="AH28:AH33" si="35">IF(RIGHT(J28,5)="TOTAL",0,P28*$AH$2)</f>
        <v>0</v>
      </c>
      <c r="AI28" s="125">
        <f t="shared" ref="AI28:AI33" si="36">IF($J28=AI$5,$L28/$AI$1*$AI$2,0)</f>
        <v>0</v>
      </c>
      <c r="AJ28" s="125">
        <f t="shared" ref="AJ28:AJ33" si="37">SUM(AA28:AI28)</f>
        <v>2307.4486130268192</v>
      </c>
      <c r="AK28" s="125">
        <f t="shared" ref="AK28:AK33" si="38">AJ28*0.0145+IF(AJ28&gt;118500/$AB$1*$AB$2,118500/$AB$1*$AB$2*0.062,AJ28*0.062)</f>
        <v>176.51981889655167</v>
      </c>
      <c r="AL28" s="205">
        <f t="shared" ref="AL28:AL33" si="39">IF(RIGHT(J28,5)="total",0,U28/24*$AL$2)</f>
        <v>546.65987769811272</v>
      </c>
      <c r="AM28" s="125">
        <f t="shared" ref="AM28:AM33" si="40">IF(RIGHT(J28,5)="total",0,V28*$AM$2)</f>
        <v>0</v>
      </c>
      <c r="AN28" s="125">
        <f t="shared" ref="AN28:AN32" si="41">IF(OR($J28="50101", $J28="50102", $J28="50109", $J28="50140"),AJ28*$AN$2,0)</f>
        <v>384.65168379157075</v>
      </c>
    </row>
    <row r="29" spans="2:40">
      <c r="B29" s="465" t="s">
        <v>1597</v>
      </c>
      <c r="C29" s="115" t="str">
        <f>'Prop Budget Calc'!B29</f>
        <v>Firefighter/Paramedic Or Paramedic</v>
      </c>
      <c r="D29" s="115" t="str">
        <f>'Prop Budget Calc'!C29</f>
        <v>First Name Last Name</v>
      </c>
      <c r="F29" s="115">
        <f>'Prop Budget Calc'!E29</f>
        <v>1</v>
      </c>
      <c r="H29" s="115" t="str">
        <f>'Prop Budget Calc'!G29</f>
        <v>100-35-352</v>
      </c>
      <c r="J29" s="202" t="str">
        <f>'Prop Budget Calc'!I29</f>
        <v>50102</v>
      </c>
      <c r="K29" s="115">
        <f>'Prop Budget Calc'!P29</f>
        <v>44305</v>
      </c>
      <c r="L29" s="203">
        <f>'Prop Budget Calc'!O29</f>
        <v>71170</v>
      </c>
      <c r="M29" s="115">
        <f t="shared" si="29"/>
        <v>5930.833333333333</v>
      </c>
      <c r="N29" s="115"/>
      <c r="O29" s="203">
        <f>'Prop Budget Calc'!AK29/12</f>
        <v>0</v>
      </c>
      <c r="P29" s="203">
        <f>'Prop Budget Calc'!AL29/24</f>
        <v>0</v>
      </c>
      <c r="Q29" s="203">
        <f>'Prop Budget Calc'!AM29/24</f>
        <v>0</v>
      </c>
      <c r="R29" s="203">
        <f>'Prop Budget Calc'!BC29/(1+Scenarios!$E$8)</f>
        <v>20663.018992000001</v>
      </c>
      <c r="S29" s="203">
        <f>'Prop Budget Calc'!BD29/(1+Scenarios!$E$11)</f>
        <v>795.7358490566038</v>
      </c>
      <c r="T29" s="203">
        <f>'Prop Budget Calc'!AZ29/(1+Scenarios!$E$11)</f>
        <v>230.02415094339622</v>
      </c>
      <c r="U29" s="203">
        <f t="shared" si="30"/>
        <v>21688.778992</v>
      </c>
      <c r="X29" s="126"/>
      <c r="Y29" s="126"/>
      <c r="AA29" s="125">
        <f t="shared" ref="AA29:AC30" si="42">IF($J29=AA$5,$L29/$AB$1*$AB$2,0)</f>
        <v>0</v>
      </c>
      <c r="AB29" s="125">
        <f t="shared" si="42"/>
        <v>3217.6475095785431</v>
      </c>
      <c r="AC29" s="125">
        <f t="shared" si="42"/>
        <v>0</v>
      </c>
      <c r="AD29" s="125">
        <f t="shared" si="32"/>
        <v>0</v>
      </c>
      <c r="AE29" s="125"/>
      <c r="AF29" s="125">
        <f t="shared" si="33"/>
        <v>0</v>
      </c>
      <c r="AG29" s="125">
        <f t="shared" si="34"/>
        <v>0</v>
      </c>
      <c r="AH29" s="125">
        <f t="shared" si="35"/>
        <v>0</v>
      </c>
      <c r="AI29" s="125">
        <f t="shared" si="36"/>
        <v>0</v>
      </c>
      <c r="AJ29" s="125">
        <f t="shared" si="37"/>
        <v>3217.6475095785431</v>
      </c>
      <c r="AK29" s="125">
        <f t="shared" si="38"/>
        <v>246.15003448275854</v>
      </c>
      <c r="AL29" s="205">
        <f t="shared" si="39"/>
        <v>1084.4389495999994</v>
      </c>
      <c r="AM29" s="125">
        <f t="shared" si="40"/>
        <v>0</v>
      </c>
      <c r="AN29" s="125">
        <f t="shared" si="41"/>
        <v>536.38183984674311</v>
      </c>
    </row>
    <row r="30" spans="2:40">
      <c r="B30" s="20" t="s">
        <v>1353</v>
      </c>
      <c r="C30" s="115" t="str">
        <f>'Prop Budget Calc'!B30</f>
        <v>Fire Captain</v>
      </c>
      <c r="D30" s="115" t="str">
        <f>'Prop Budget Calc'!C30</f>
        <v>First Name Last Name</v>
      </c>
      <c r="F30" s="115">
        <f>'Prop Budget Calc'!E30</f>
        <v>1</v>
      </c>
      <c r="H30" s="115" t="str">
        <f>'Prop Budget Calc'!G30</f>
        <v>100-35-352</v>
      </c>
      <c r="J30" s="202" t="str">
        <f>'Prop Budget Calc'!I30</f>
        <v>50102</v>
      </c>
      <c r="K30" s="115">
        <f>'Prop Budget Calc'!P30</f>
        <v>40553</v>
      </c>
      <c r="L30" s="203">
        <f>'Prop Budget Calc'!O30</f>
        <v>101020</v>
      </c>
      <c r="M30" s="115">
        <f t="shared" si="29"/>
        <v>8418.3333333333339</v>
      </c>
      <c r="N30" s="115"/>
      <c r="O30" s="203">
        <f>'Prop Budget Calc'!AK30/12</f>
        <v>100</v>
      </c>
      <c r="P30" s="203">
        <f>'Prop Budget Calc'!AL30/24</f>
        <v>0</v>
      </c>
      <c r="Q30" s="203">
        <f>'Prop Budget Calc'!AM30/24</f>
        <v>22.5</v>
      </c>
      <c r="R30" s="203">
        <f>'Prop Budget Calc'!BC30/(1+Scenarios!$E$8)</f>
        <v>20663.018992000001</v>
      </c>
      <c r="S30" s="203">
        <f>'Prop Budget Calc'!BD30/(1+Scenarios!$E$11)</f>
        <v>795.7358490566038</v>
      </c>
      <c r="T30" s="203">
        <f>'Prop Budget Calc'!AZ30/(1+Scenarios!$E$11)</f>
        <v>284.77188679245285</v>
      </c>
      <c r="U30" s="203">
        <f t="shared" si="30"/>
        <v>21743.526727849057</v>
      </c>
      <c r="X30" s="126"/>
      <c r="Y30" s="126"/>
      <c r="AA30" s="125">
        <f t="shared" si="42"/>
        <v>0</v>
      </c>
      <c r="AB30" s="125">
        <f t="shared" si="42"/>
        <v>4567.1877394636003</v>
      </c>
      <c r="AC30" s="125">
        <f t="shared" si="42"/>
        <v>0</v>
      </c>
      <c r="AD30" s="125">
        <f t="shared" si="32"/>
        <v>0</v>
      </c>
      <c r="AE30" s="125"/>
      <c r="AF30" s="125">
        <f t="shared" si="33"/>
        <v>0</v>
      </c>
      <c r="AG30" s="125">
        <f t="shared" si="34"/>
        <v>119.99999999999993</v>
      </c>
      <c r="AH30" s="125">
        <f t="shared" si="35"/>
        <v>0</v>
      </c>
      <c r="AI30" s="125">
        <f t="shared" si="36"/>
        <v>0</v>
      </c>
      <c r="AJ30" s="125">
        <f t="shared" si="37"/>
        <v>4687.1877394636003</v>
      </c>
      <c r="AK30" s="125">
        <f t="shared" si="38"/>
        <v>358.56986206896539</v>
      </c>
      <c r="AL30" s="205">
        <f t="shared" si="39"/>
        <v>1087.1763363924522</v>
      </c>
      <c r="AM30" s="125">
        <f t="shared" si="40"/>
        <v>0</v>
      </c>
      <c r="AN30" s="125">
        <f t="shared" si="41"/>
        <v>781.35419616858212</v>
      </c>
    </row>
    <row r="31" spans="2:40">
      <c r="B31" s="20" t="s">
        <v>1431</v>
      </c>
      <c r="C31" s="115" t="str">
        <f>'Prop Budget Calc'!B31</f>
        <v>Driver/Engineer</v>
      </c>
      <c r="D31" s="115" t="str">
        <f>'Prop Budget Calc'!C31</f>
        <v>First Name Last Name</v>
      </c>
      <c r="F31" s="115">
        <f>'Prop Budget Calc'!E31</f>
        <v>1</v>
      </c>
      <c r="H31" s="115" t="str">
        <f>'Prop Budget Calc'!G31</f>
        <v>100-35-352</v>
      </c>
      <c r="J31" s="202" t="str">
        <f>'Prop Budget Calc'!I31</f>
        <v>50102</v>
      </c>
      <c r="K31" s="115">
        <f>'Prop Budget Calc'!P31</f>
        <v>37154</v>
      </c>
      <c r="L31" s="203">
        <f>'Prop Budget Calc'!O31</f>
        <v>97640</v>
      </c>
      <c r="M31" s="115">
        <f t="shared" si="29"/>
        <v>8136.666666666667</v>
      </c>
      <c r="N31" s="115"/>
      <c r="O31" s="203">
        <f>'Prop Budget Calc'!AK31/12</f>
        <v>75</v>
      </c>
      <c r="P31" s="203">
        <f>'Prop Budget Calc'!AL31/24</f>
        <v>0</v>
      </c>
      <c r="Q31" s="203">
        <f>'Prop Budget Calc'!AM31/24</f>
        <v>0</v>
      </c>
      <c r="R31" s="203">
        <f>'Prop Budget Calc'!BC31/(1+Scenarios!$E$8)</f>
        <v>20663.018992000001</v>
      </c>
      <c r="S31" s="203">
        <f>'Prop Budget Calc'!BD31/(1+Scenarios!$E$11)</f>
        <v>795.7358490566038</v>
      </c>
      <c r="T31" s="203">
        <f>'Prop Budget Calc'!AZ31/(1+Scenarios!$E$11)</f>
        <v>276.53858490566034</v>
      </c>
      <c r="U31" s="203">
        <f t="shared" si="30"/>
        <v>21735.293425962267</v>
      </c>
      <c r="X31" s="126"/>
      <c r="Y31" s="126"/>
      <c r="AA31" s="125">
        <f t="shared" ref="AA31:AC31" si="43">IF($J31=AA$5,$L31/$AB$1*$AB$2,0)</f>
        <v>0</v>
      </c>
      <c r="AB31" s="125">
        <f t="shared" si="43"/>
        <v>4414.3754789272016</v>
      </c>
      <c r="AC31" s="125">
        <f t="shared" si="43"/>
        <v>0</v>
      </c>
      <c r="AD31" s="125">
        <f t="shared" ref="AD31:AD33" si="44">IF($J31=AD$5,$L31/$AB$1*$AB$2,0)</f>
        <v>0</v>
      </c>
      <c r="AE31" s="125"/>
      <c r="AF31" s="125">
        <f t="shared" si="33"/>
        <v>0</v>
      </c>
      <c r="AG31" s="125">
        <f t="shared" si="34"/>
        <v>89.999999999999943</v>
      </c>
      <c r="AH31" s="125">
        <f t="shared" si="35"/>
        <v>0</v>
      </c>
      <c r="AI31" s="125">
        <f t="shared" si="36"/>
        <v>0</v>
      </c>
      <c r="AJ31" s="125">
        <f t="shared" si="37"/>
        <v>4504.3754789272016</v>
      </c>
      <c r="AK31" s="125">
        <f t="shared" si="38"/>
        <v>344.58472413793095</v>
      </c>
      <c r="AL31" s="205">
        <f t="shared" si="39"/>
        <v>1086.7646712981127</v>
      </c>
      <c r="AM31" s="125">
        <f t="shared" si="40"/>
        <v>0</v>
      </c>
      <c r="AN31" s="125">
        <f t="shared" si="41"/>
        <v>750.8793923371644</v>
      </c>
    </row>
    <row r="32" spans="2:40">
      <c r="B32" s="465" t="s">
        <v>1785</v>
      </c>
      <c r="C32" s="115" t="str">
        <f>'Prop Budget Calc'!B32</f>
        <v>Firefighter/Emt</v>
      </c>
      <c r="D32" s="115" t="str">
        <f>'Prop Budget Calc'!C32</f>
        <v>First Name Last Name</v>
      </c>
      <c r="F32" s="115">
        <f>'Prop Budget Calc'!E32</f>
        <v>1</v>
      </c>
      <c r="H32" s="115" t="str">
        <f>'Prop Budget Calc'!G32</f>
        <v>100-35-352</v>
      </c>
      <c r="J32" s="202" t="str">
        <f>'Prop Budget Calc'!I32</f>
        <v>50102</v>
      </c>
      <c r="K32" s="115">
        <f>'Prop Budget Calc'!P32</f>
        <v>45019</v>
      </c>
      <c r="L32" s="203">
        <f>'Prop Budget Calc'!O32</f>
        <v>63720</v>
      </c>
      <c r="M32" s="115">
        <f t="shared" si="29"/>
        <v>5310</v>
      </c>
      <c r="N32" s="115"/>
      <c r="O32" s="203">
        <f>'Prop Budget Calc'!AK32/12</f>
        <v>0</v>
      </c>
      <c r="P32" s="203">
        <f>'Prop Budget Calc'!AL32/24</f>
        <v>0</v>
      </c>
      <c r="Q32" s="203">
        <f>'Prop Budget Calc'!AM32/24</f>
        <v>0</v>
      </c>
      <c r="R32" s="203">
        <f>'Prop Budget Calc'!BC32/(1+Scenarios!$E$8)</f>
        <v>21751.279839999999</v>
      </c>
      <c r="S32" s="203">
        <f>'Prop Budget Calc'!BD32/(1+Scenarios!$E$11)</f>
        <v>795.7358490566038</v>
      </c>
      <c r="T32" s="203">
        <f>'Prop Budget Calc'!AZ32/(1+Scenarios!$E$11)</f>
        <v>216.23716981132071</v>
      </c>
      <c r="U32" s="203">
        <f t="shared" si="30"/>
        <v>22763.252858867923</v>
      </c>
      <c r="X32" s="126"/>
      <c r="Y32" s="126"/>
      <c r="AA32" s="125">
        <f t="shared" ref="AA32:AC37" si="45">IF($J32=AA$5,$L32/$AB$1*$AB$2,0)</f>
        <v>0</v>
      </c>
      <c r="AB32" s="125">
        <f t="shared" si="45"/>
        <v>2880.8275862068958</v>
      </c>
      <c r="AC32" s="125">
        <f t="shared" si="45"/>
        <v>0</v>
      </c>
      <c r="AD32" s="125">
        <f t="shared" si="44"/>
        <v>0</v>
      </c>
      <c r="AE32" s="125"/>
      <c r="AF32" s="125">
        <f t="shared" si="33"/>
        <v>0</v>
      </c>
      <c r="AG32" s="125">
        <f t="shared" si="34"/>
        <v>0</v>
      </c>
      <c r="AH32" s="125">
        <f t="shared" si="35"/>
        <v>0</v>
      </c>
      <c r="AI32" s="125">
        <f t="shared" si="36"/>
        <v>0</v>
      </c>
      <c r="AJ32" s="125">
        <f t="shared" si="37"/>
        <v>2880.8275862068958</v>
      </c>
      <c r="AK32" s="125">
        <f t="shared" si="38"/>
        <v>220.38331034482752</v>
      </c>
      <c r="AL32" s="205">
        <f t="shared" si="39"/>
        <v>1138.1626429433954</v>
      </c>
      <c r="AM32" s="125">
        <f t="shared" si="40"/>
        <v>0</v>
      </c>
      <c r="AN32" s="125">
        <f t="shared" si="41"/>
        <v>480.23395862068952</v>
      </c>
    </row>
    <row r="33" spans="2:40">
      <c r="B33" s="20" t="s">
        <v>1419</v>
      </c>
      <c r="C33" s="115" t="str">
        <f>'Prop Budget Calc'!B33</f>
        <v>Battalion Chief</v>
      </c>
      <c r="D33" s="115" t="str">
        <f>'Prop Budget Calc'!C33</f>
        <v>First Name Last Name</v>
      </c>
      <c r="F33" s="115">
        <f>'Prop Budget Calc'!E33</f>
        <v>1</v>
      </c>
      <c r="H33" s="115" t="str">
        <f>'Prop Budget Calc'!G33</f>
        <v>100-35-352</v>
      </c>
      <c r="J33" s="202" t="str">
        <f>'Prop Budget Calc'!I33</f>
        <v>50102</v>
      </c>
      <c r="K33" s="115">
        <f>'Prop Budget Calc'!P33</f>
        <v>32741</v>
      </c>
      <c r="L33" s="203">
        <f>'Prop Budget Calc'!O33</f>
        <v>127380</v>
      </c>
      <c r="M33" s="115">
        <f t="shared" si="29"/>
        <v>10615</v>
      </c>
      <c r="N33" s="115"/>
      <c r="O33" s="203">
        <f>'Prop Budget Calc'!AK33/12</f>
        <v>100</v>
      </c>
      <c r="P33" s="203">
        <f>'Prop Budget Calc'!AL33/24</f>
        <v>0</v>
      </c>
      <c r="Q33" s="203">
        <f>'Prop Budget Calc'!AM33/24</f>
        <v>17.5</v>
      </c>
      <c r="R33" s="203">
        <f>'Prop Budget Calc'!BC33/(1+Scenarios!$E$8)</f>
        <v>16109.444008</v>
      </c>
      <c r="S33" s="203">
        <f>'Prop Budget Calc'!BD33/(1+Scenarios!$E$11)</f>
        <v>795.7358490566038</v>
      </c>
      <c r="T33" s="203">
        <f>'Prop Budget Calc'!AZ33/(1+Scenarios!$E$11)</f>
        <v>330.33113207547171</v>
      </c>
      <c r="U33" s="203">
        <f t="shared" si="30"/>
        <v>17235.510989132075</v>
      </c>
      <c r="X33" s="126"/>
      <c r="Y33" s="126"/>
      <c r="AA33" s="125">
        <f t="shared" si="45"/>
        <v>0</v>
      </c>
      <c r="AB33" s="125">
        <f t="shared" si="45"/>
        <v>5758.9425287356307</v>
      </c>
      <c r="AC33" s="125">
        <f t="shared" si="45"/>
        <v>0</v>
      </c>
      <c r="AD33" s="125">
        <f t="shared" si="44"/>
        <v>0</v>
      </c>
      <c r="AE33" s="125"/>
      <c r="AF33" s="125">
        <f t="shared" si="33"/>
        <v>0</v>
      </c>
      <c r="AG33" s="125">
        <f t="shared" si="34"/>
        <v>119.99999999999993</v>
      </c>
      <c r="AH33" s="125">
        <f t="shared" si="35"/>
        <v>0</v>
      </c>
      <c r="AI33" s="125">
        <f t="shared" si="36"/>
        <v>0</v>
      </c>
      <c r="AJ33" s="125">
        <f t="shared" si="37"/>
        <v>5878.9425287356307</v>
      </c>
      <c r="AK33" s="125">
        <f t="shared" si="38"/>
        <v>417.40788505747111</v>
      </c>
      <c r="AL33" s="205">
        <f t="shared" si="39"/>
        <v>861.77554945660324</v>
      </c>
      <c r="AM33" s="125">
        <f t="shared" si="40"/>
        <v>0</v>
      </c>
      <c r="AN33" s="125">
        <f t="shared" ref="AN33:AN43" si="46">IF(OR($J33="50101", $J33="50102", $J33="50109", $J33="50140"),AJ33*$AN$2,0)</f>
        <v>980.01971954022952</v>
      </c>
    </row>
    <row r="34" spans="2:40">
      <c r="B34" s="20" t="s">
        <v>1557</v>
      </c>
      <c r="C34" s="115" t="str">
        <f>'Prop Budget Calc'!B34</f>
        <v>Capital Projects Manager</v>
      </c>
      <c r="D34" s="115" t="str">
        <f>'Prop Budget Calc'!C34</f>
        <v>First Name Last Name</v>
      </c>
      <c r="F34" s="115">
        <f>'Prop Budget Calc'!E34</f>
        <v>1</v>
      </c>
      <c r="H34" s="115" t="str">
        <f>'Prop Budget Calc'!G34</f>
        <v>100-50-502</v>
      </c>
      <c r="J34" s="202" t="str">
        <f>'Prop Budget Calc'!I34</f>
        <v>50101</v>
      </c>
      <c r="K34" s="115">
        <f>'Prop Budget Calc'!P34</f>
        <v>43801</v>
      </c>
      <c r="L34" s="203">
        <f>'Prop Budget Calc'!O34</f>
        <v>93760</v>
      </c>
      <c r="M34" s="115">
        <f t="shared" ref="M34:M43" si="47">L34/12</f>
        <v>7813.333333333333</v>
      </c>
      <c r="N34" s="115"/>
      <c r="O34" s="203">
        <f>'Prop Budget Calc'!AK34/12</f>
        <v>0</v>
      </c>
      <c r="P34" s="203">
        <f>'Prop Budget Calc'!AL34/24</f>
        <v>0</v>
      </c>
      <c r="Q34" s="203">
        <f>'Prop Budget Calc'!AM34/24</f>
        <v>40</v>
      </c>
      <c r="R34" s="203">
        <f>'Prop Budget Calc'!BC34/(1+Scenarios!$E$8)</f>
        <v>10226.841399999999</v>
      </c>
      <c r="S34" s="203">
        <f>'Prop Budget Calc'!BD34/(1+Scenarios!$E$11)</f>
        <v>410.15094339622641</v>
      </c>
      <c r="T34" s="203">
        <f>'Prop Budget Calc'!AZ34/(1+Scenarios!$E$11)</f>
        <v>342.65999999999997</v>
      </c>
      <c r="U34" s="203">
        <f t="shared" ref="U34:U43" si="48">SUM(R34:T34)</f>
        <v>10979.652343396225</v>
      </c>
      <c r="X34" s="126"/>
      <c r="Y34" s="126"/>
      <c r="AA34" s="125">
        <f t="shared" si="45"/>
        <v>4238.9578544061287</v>
      </c>
      <c r="AB34" s="125">
        <f t="shared" si="45"/>
        <v>0</v>
      </c>
      <c r="AC34" s="125">
        <f t="shared" si="45"/>
        <v>0</v>
      </c>
      <c r="AD34" s="125">
        <f t="shared" ref="AD34:AD43" si="49">IF($J34=AD$5,$L34/$AB$1*$AB$2,0)</f>
        <v>0</v>
      </c>
      <c r="AE34" s="125"/>
      <c r="AF34" s="125">
        <f t="shared" ref="AF34:AF43" si="50">IF($J34=AF$5,$L34/$AB$1*$AB$2,0)</f>
        <v>0</v>
      </c>
      <c r="AG34" s="125">
        <f t="shared" ref="AG34:AG43" si="51">IF(RIGHT(J34,5)="TOTAL",0,O34*$AG$2)</f>
        <v>0</v>
      </c>
      <c r="AH34" s="125">
        <f t="shared" ref="AH34:AH43" si="52">IF(RIGHT(J34,5)="TOTAL",0,P34*$AH$2)</f>
        <v>0</v>
      </c>
      <c r="AI34" s="125">
        <f t="shared" ref="AI34:AI43" si="53">IF($J34=AI$5,$L34/$AI$1*$AI$2,0)</f>
        <v>0</v>
      </c>
      <c r="AJ34" s="125">
        <f t="shared" ref="AJ34:AJ43" si="54">SUM(AA34:AI34)</f>
        <v>4238.9578544061287</v>
      </c>
      <c r="AK34" s="125">
        <f t="shared" ref="AK34:AK43" si="55">AJ34*0.0145+IF(AJ34&gt;118500/$AB$1*$AB$2,118500/$AB$1*$AB$2*0.062,AJ34*0.062)</f>
        <v>324.28027586206883</v>
      </c>
      <c r="AL34" s="205">
        <f t="shared" ref="AL34:AL43" si="56">IF(RIGHT(J34,5)="total",0,U34/24*$AL$2)</f>
        <v>548.98261716981096</v>
      </c>
      <c r="AM34" s="125">
        <f t="shared" ref="AM34:AM43" si="57">IF(RIGHT(J34,5)="total",0,V34*$AM$2)</f>
        <v>0</v>
      </c>
      <c r="AN34" s="125">
        <f t="shared" si="46"/>
        <v>706.63427432950164</v>
      </c>
    </row>
    <row r="35" spans="2:40">
      <c r="B35" s="20" t="s">
        <v>1432</v>
      </c>
      <c r="C35" s="115" t="str">
        <f>'Prop Budget Calc'!B35</f>
        <v>Engineering Technician</v>
      </c>
      <c r="D35" s="115" t="str">
        <f>'Prop Budget Calc'!C35</f>
        <v>Vacant Vacant</v>
      </c>
      <c r="F35" s="115">
        <f>'Prop Budget Calc'!E35</f>
        <v>1</v>
      </c>
      <c r="H35" s="115" t="str">
        <f>'Prop Budget Calc'!G35</f>
        <v>100-50-502</v>
      </c>
      <c r="J35" s="202" t="str">
        <f>'Prop Budget Calc'!I35</f>
        <v>50102</v>
      </c>
      <c r="K35" s="115">
        <f>'Prop Budget Calc'!P35</f>
        <v>45027</v>
      </c>
      <c r="L35" s="203">
        <f>'Prop Budget Calc'!O35</f>
        <v>57540</v>
      </c>
      <c r="M35" s="115">
        <f t="shared" si="47"/>
        <v>4795</v>
      </c>
      <c r="N35" s="115"/>
      <c r="O35" s="203">
        <f>'Prop Budget Calc'!AK35/12</f>
        <v>0</v>
      </c>
      <c r="P35" s="203">
        <f>'Prop Budget Calc'!AL35/24</f>
        <v>0</v>
      </c>
      <c r="Q35" s="203">
        <f>'Prop Budget Calc'!AM35/24</f>
        <v>0</v>
      </c>
      <c r="R35" s="203">
        <f>'Prop Budget Calc'!BC35/(1+Scenarios!$E$8)</f>
        <v>13938.438387310343</v>
      </c>
      <c r="S35" s="203">
        <f>'Prop Budget Calc'!BD35/(1+Scenarios!$E$11)</f>
        <v>593.09268695771937</v>
      </c>
      <c r="T35" s="203">
        <f>'Prop Budget Calc'!AZ35/(1+Scenarios!$E$11)</f>
        <v>201.91301886792454</v>
      </c>
      <c r="U35" s="203">
        <f t="shared" si="48"/>
        <v>14733.444093135988</v>
      </c>
      <c r="X35" s="126"/>
      <c r="Y35" s="126"/>
      <c r="AA35" s="125">
        <f t="shared" si="45"/>
        <v>0</v>
      </c>
      <c r="AB35" s="125">
        <f t="shared" si="45"/>
        <v>2601.425287356321</v>
      </c>
      <c r="AC35" s="125">
        <f t="shared" si="45"/>
        <v>0</v>
      </c>
      <c r="AD35" s="125">
        <f t="shared" si="49"/>
        <v>0</v>
      </c>
      <c r="AE35" s="125"/>
      <c r="AF35" s="125">
        <f t="shared" si="50"/>
        <v>0</v>
      </c>
      <c r="AG35" s="125">
        <f t="shared" si="51"/>
        <v>0</v>
      </c>
      <c r="AH35" s="125">
        <f t="shared" si="52"/>
        <v>0</v>
      </c>
      <c r="AI35" s="125">
        <f t="shared" si="53"/>
        <v>0</v>
      </c>
      <c r="AJ35" s="125">
        <f t="shared" si="54"/>
        <v>2601.425287356321</v>
      </c>
      <c r="AK35" s="125">
        <f t="shared" si="55"/>
        <v>199.00903448275855</v>
      </c>
      <c r="AL35" s="205">
        <f t="shared" si="56"/>
        <v>736.67220465679895</v>
      </c>
      <c r="AM35" s="125">
        <f t="shared" si="57"/>
        <v>0</v>
      </c>
      <c r="AN35" s="125">
        <f t="shared" si="46"/>
        <v>433.65759540229868</v>
      </c>
    </row>
    <row r="36" spans="2:40">
      <c r="B36" s="419" t="s">
        <v>1873</v>
      </c>
      <c r="C36" s="115" t="str">
        <f>'Prop Budget Calc'!B36</f>
        <v>Administrative Assistant Ii - Public Works</v>
      </c>
      <c r="D36" s="115" t="str">
        <f>'Prop Budget Calc'!C36</f>
        <v>First Name Last Name</v>
      </c>
      <c r="F36" s="115">
        <f>'Prop Budget Calc'!E36</f>
        <v>1</v>
      </c>
      <c r="H36" s="115" t="str">
        <f>'Prop Budget Calc'!G36</f>
        <v>100-50-502</v>
      </c>
      <c r="J36" s="202" t="str">
        <f>'Prop Budget Calc'!I36</f>
        <v>50102</v>
      </c>
      <c r="K36" s="115">
        <f>'Prop Budget Calc'!P36</f>
        <v>45364</v>
      </c>
      <c r="L36" s="203">
        <f>'Prop Budget Calc'!O36</f>
        <v>41940</v>
      </c>
      <c r="M36" s="115">
        <f t="shared" si="47"/>
        <v>3495</v>
      </c>
      <c r="N36" s="115"/>
      <c r="O36" s="203">
        <f>'Prop Budget Calc'!AK36/12</f>
        <v>0</v>
      </c>
      <c r="P36" s="203">
        <f>'Prop Budget Calc'!AL36/24</f>
        <v>0</v>
      </c>
      <c r="Q36" s="203">
        <f>'Prop Budget Calc'!AM36/24</f>
        <v>0</v>
      </c>
      <c r="R36" s="203">
        <f>'Prop Budget Calc'!BC36/(1+Scenarios!$E$8)</f>
        <v>10338.445719999998</v>
      </c>
      <c r="S36" s="203">
        <f>'Prop Budget Calc'!BD36/(1+Scenarios!$E$11)</f>
        <v>410.15094339622641</v>
      </c>
      <c r="T36" s="203">
        <f>'Prop Budget Calc'!AZ36/(1+Scenarios!$E$11)</f>
        <v>174.71433962264152</v>
      </c>
      <c r="U36" s="203">
        <f t="shared" si="48"/>
        <v>10923.311003018865</v>
      </c>
      <c r="X36" s="126"/>
      <c r="Y36" s="126"/>
      <c r="AA36" s="125">
        <f t="shared" si="45"/>
        <v>0</v>
      </c>
      <c r="AB36" s="125">
        <f t="shared" si="45"/>
        <v>1896.1379310344823</v>
      </c>
      <c r="AC36" s="125">
        <f t="shared" si="45"/>
        <v>0</v>
      </c>
      <c r="AD36" s="125">
        <f t="shared" si="49"/>
        <v>0</v>
      </c>
      <c r="AE36" s="125"/>
      <c r="AF36" s="125">
        <f t="shared" si="50"/>
        <v>0</v>
      </c>
      <c r="AG36" s="125">
        <f t="shared" si="51"/>
        <v>0</v>
      </c>
      <c r="AH36" s="125">
        <f t="shared" si="52"/>
        <v>0</v>
      </c>
      <c r="AI36" s="125">
        <f t="shared" si="53"/>
        <v>0</v>
      </c>
      <c r="AJ36" s="125">
        <f t="shared" si="54"/>
        <v>1896.1379310344823</v>
      </c>
      <c r="AK36" s="125">
        <f t="shared" si="55"/>
        <v>145.05455172413789</v>
      </c>
      <c r="AL36" s="205">
        <f t="shared" si="56"/>
        <v>546.16555015094298</v>
      </c>
      <c r="AM36" s="125">
        <f t="shared" si="57"/>
        <v>0</v>
      </c>
      <c r="AN36" s="125">
        <f t="shared" si="46"/>
        <v>316.08619310344818</v>
      </c>
    </row>
    <row r="37" spans="2:40">
      <c r="B37" s="419" t="s">
        <v>1787</v>
      </c>
      <c r="C37" s="115" t="str">
        <f>'Prop Budget Calc'!B37</f>
        <v>Street Maintenance Worker</v>
      </c>
      <c r="D37" s="115" t="str">
        <f>'Prop Budget Calc'!C37</f>
        <v>Vacant Vacant</v>
      </c>
      <c r="F37" s="115">
        <f>'Prop Budget Calc'!E37</f>
        <v>1</v>
      </c>
      <c r="H37" s="115" t="str">
        <f>'Prop Budget Calc'!G37</f>
        <v>100-50-503</v>
      </c>
      <c r="J37" s="202" t="str">
        <f>'Prop Budget Calc'!I37</f>
        <v>50102</v>
      </c>
      <c r="K37" s="115">
        <f>'Prop Budget Calc'!P37</f>
        <v>45027</v>
      </c>
      <c r="L37" s="203">
        <f>'Prop Budget Calc'!O37</f>
        <v>36070</v>
      </c>
      <c r="M37" s="115">
        <f t="shared" si="47"/>
        <v>3005.8333333333335</v>
      </c>
      <c r="N37" s="115"/>
      <c r="O37" s="203">
        <f>'Prop Budget Calc'!AK37/12</f>
        <v>0</v>
      </c>
      <c r="P37" s="203">
        <f>'Prop Budget Calc'!AL37/24</f>
        <v>0</v>
      </c>
      <c r="Q37" s="203">
        <f>'Prop Budget Calc'!AM37/24</f>
        <v>0</v>
      </c>
      <c r="R37" s="203">
        <f>'Prop Budget Calc'!BC37/(1+Scenarios!$E$8)</f>
        <v>13938.438387310343</v>
      </c>
      <c r="S37" s="203">
        <f>'Prop Budget Calc'!BD37/(1+Scenarios!$E$11)</f>
        <v>593.09268695771937</v>
      </c>
      <c r="T37" s="203">
        <f>'Prop Budget Calc'!AZ37/(1+Scenarios!$E$11)</f>
        <v>164.72603773584905</v>
      </c>
      <c r="U37" s="203">
        <f t="shared" si="48"/>
        <v>14696.257112003912</v>
      </c>
      <c r="X37" s="126"/>
      <c r="Y37" s="126"/>
      <c r="AA37" s="125">
        <f t="shared" si="45"/>
        <v>0</v>
      </c>
      <c r="AB37" s="125">
        <f t="shared" si="45"/>
        <v>1630.7509578544054</v>
      </c>
      <c r="AC37" s="125">
        <f t="shared" si="45"/>
        <v>0</v>
      </c>
      <c r="AD37" s="125">
        <f t="shared" si="49"/>
        <v>0</v>
      </c>
      <c r="AE37" s="125"/>
      <c r="AF37" s="125">
        <f t="shared" si="50"/>
        <v>0</v>
      </c>
      <c r="AG37" s="125">
        <f t="shared" si="51"/>
        <v>0</v>
      </c>
      <c r="AH37" s="125">
        <f t="shared" si="52"/>
        <v>0</v>
      </c>
      <c r="AI37" s="125">
        <f t="shared" si="53"/>
        <v>0</v>
      </c>
      <c r="AJ37" s="125">
        <f t="shared" si="54"/>
        <v>1630.7509578544054</v>
      </c>
      <c r="AK37" s="125">
        <f t="shared" si="55"/>
        <v>124.75244827586201</v>
      </c>
      <c r="AL37" s="205">
        <f t="shared" si="56"/>
        <v>734.81285560019512</v>
      </c>
      <c r="AM37" s="125">
        <f t="shared" si="57"/>
        <v>0</v>
      </c>
      <c r="AN37" s="125">
        <f t="shared" si="46"/>
        <v>271.84618467432938</v>
      </c>
    </row>
    <row r="38" spans="2:40">
      <c r="B38" s="474" t="s">
        <v>1877</v>
      </c>
      <c r="C38" s="115" t="str">
        <f>'Prop Budget Calc'!B38</f>
        <v>Supervisor - Streets</v>
      </c>
      <c r="D38" s="115" t="str">
        <f>'Prop Budget Calc'!C38</f>
        <v>First Name Last Name</v>
      </c>
      <c r="F38" s="115">
        <f>'Prop Budget Calc'!E38</f>
        <v>1</v>
      </c>
      <c r="H38" s="115" t="str">
        <f>'Prop Budget Calc'!G38</f>
        <v>100-50-503</v>
      </c>
      <c r="J38" s="202" t="str">
        <f>'Prop Budget Calc'!I38</f>
        <v>50102</v>
      </c>
      <c r="K38" s="115">
        <f>'Prop Budget Calc'!P38</f>
        <v>45089</v>
      </c>
      <c r="L38" s="203">
        <f>'Prop Budget Calc'!O38</f>
        <v>66840</v>
      </c>
      <c r="M38" s="115">
        <f t="shared" si="47"/>
        <v>5570</v>
      </c>
      <c r="N38" s="115"/>
      <c r="O38" s="203">
        <f>'Prop Budget Calc'!AK38/12</f>
        <v>0</v>
      </c>
      <c r="P38" s="203">
        <f>'Prop Budget Calc'!AL38/24</f>
        <v>0</v>
      </c>
      <c r="Q38" s="203">
        <f>'Prop Budget Calc'!AM38/24</f>
        <v>40</v>
      </c>
      <c r="R38" s="203">
        <f>'Prop Budget Calc'!BC38/(1+Scenarios!$E$8)</f>
        <v>18415.972864000003</v>
      </c>
      <c r="S38" s="203">
        <f>'Prop Budget Calc'!BD38/(1+Scenarios!$E$11)</f>
        <v>795.7358490566038</v>
      </c>
      <c r="T38" s="203">
        <f>'Prop Budget Calc'!AZ38/(1+Scenarios!$E$11)</f>
        <v>220.03641509433962</v>
      </c>
      <c r="U38" s="203">
        <f t="shared" si="48"/>
        <v>19431.745128150946</v>
      </c>
      <c r="X38" s="126"/>
      <c r="Y38" s="126"/>
      <c r="AA38" s="125">
        <f t="shared" ref="AA38:AC40" si="58">IF($J38=AA$5,$L38/$AB$1*$AB$2,0)</f>
        <v>0</v>
      </c>
      <c r="AB38" s="125">
        <f t="shared" si="58"/>
        <v>3021.8850574712637</v>
      </c>
      <c r="AC38" s="125">
        <f t="shared" si="58"/>
        <v>0</v>
      </c>
      <c r="AD38" s="125">
        <f t="shared" si="49"/>
        <v>0</v>
      </c>
      <c r="AE38" s="125"/>
      <c r="AF38" s="125">
        <f t="shared" si="50"/>
        <v>0</v>
      </c>
      <c r="AG38" s="125">
        <f t="shared" si="51"/>
        <v>0</v>
      </c>
      <c r="AH38" s="125">
        <f t="shared" si="52"/>
        <v>0</v>
      </c>
      <c r="AI38" s="125">
        <f t="shared" si="53"/>
        <v>0</v>
      </c>
      <c r="AJ38" s="125">
        <f t="shared" si="54"/>
        <v>3021.8850574712637</v>
      </c>
      <c r="AK38" s="125">
        <f t="shared" si="55"/>
        <v>231.17420689655168</v>
      </c>
      <c r="AL38" s="205">
        <f t="shared" si="56"/>
        <v>971.58725640754676</v>
      </c>
      <c r="AM38" s="125">
        <f t="shared" si="57"/>
        <v>0</v>
      </c>
      <c r="AN38" s="125">
        <f t="shared" si="46"/>
        <v>503.7482390804596</v>
      </c>
    </row>
    <row r="39" spans="2:40">
      <c r="B39" s="20" t="s">
        <v>1890</v>
      </c>
      <c r="C39" s="115" t="str">
        <f>'Prop Budget Calc'!B39</f>
        <v>Library Services Manager</v>
      </c>
      <c r="D39" s="115" t="str">
        <f>'Prop Budget Calc'!C39</f>
        <v>First Name Last Name</v>
      </c>
      <c r="F39" s="115">
        <f>'Prop Budget Calc'!E39</f>
        <v>1</v>
      </c>
      <c r="H39" s="115" t="str">
        <f>'Prop Budget Calc'!G39</f>
        <v>100-60-601</v>
      </c>
      <c r="J39" s="202" t="str">
        <f>'Prop Budget Calc'!I39</f>
        <v>50101</v>
      </c>
      <c r="K39" s="115">
        <f>'Prop Budget Calc'!P39</f>
        <v>45048</v>
      </c>
      <c r="L39" s="203">
        <f>'Prop Budget Calc'!O39</f>
        <v>69250</v>
      </c>
      <c r="M39" s="115">
        <f t="shared" si="47"/>
        <v>5770.833333333333</v>
      </c>
      <c r="N39" s="115"/>
      <c r="O39" s="203">
        <f>'Prop Budget Calc'!AK39/12</f>
        <v>0</v>
      </c>
      <c r="P39" s="203">
        <f>'Prop Budget Calc'!AL39/24</f>
        <v>0</v>
      </c>
      <c r="Q39" s="203">
        <f>'Prop Budget Calc'!AM39/24</f>
        <v>22.5</v>
      </c>
      <c r="R39" s="203">
        <f>'Prop Budget Calc'!BC39/(1+Scenarios!$E$8)</f>
        <v>17547.240087999999</v>
      </c>
      <c r="S39" s="203">
        <f>'Prop Budget Calc'!BD39/(1+Scenarios!$E$11)</f>
        <v>795.7358490566038</v>
      </c>
      <c r="T39" s="203">
        <f>'Prop Budget Calc'!AZ39/(1+Scenarios!$E$11)</f>
        <v>298.30726415094335</v>
      </c>
      <c r="U39" s="203">
        <f t="shared" si="48"/>
        <v>18641.283201207545</v>
      </c>
      <c r="X39" s="126"/>
      <c r="Y39" s="126"/>
      <c r="AA39" s="125">
        <f t="shared" si="58"/>
        <v>3130.8429118773934</v>
      </c>
      <c r="AB39" s="125">
        <f t="shared" si="58"/>
        <v>0</v>
      </c>
      <c r="AC39" s="125">
        <f t="shared" si="58"/>
        <v>0</v>
      </c>
      <c r="AD39" s="125">
        <f t="shared" si="49"/>
        <v>0</v>
      </c>
      <c r="AE39" s="125"/>
      <c r="AF39" s="125">
        <f t="shared" si="50"/>
        <v>0</v>
      </c>
      <c r="AG39" s="125">
        <f t="shared" si="51"/>
        <v>0</v>
      </c>
      <c r="AH39" s="125">
        <f t="shared" si="52"/>
        <v>0</v>
      </c>
      <c r="AI39" s="125">
        <f t="shared" si="53"/>
        <v>0</v>
      </c>
      <c r="AJ39" s="125">
        <f t="shared" si="54"/>
        <v>3130.8429118773934</v>
      </c>
      <c r="AK39" s="125">
        <f t="shared" si="55"/>
        <v>239.50948275862061</v>
      </c>
      <c r="AL39" s="205">
        <f t="shared" si="56"/>
        <v>932.06416006037671</v>
      </c>
      <c r="AM39" s="125">
        <f t="shared" si="57"/>
        <v>0</v>
      </c>
      <c r="AN39" s="125">
        <f t="shared" si="46"/>
        <v>521.91151340996146</v>
      </c>
    </row>
    <row r="40" spans="2:40">
      <c r="B40" s="20" t="s">
        <v>1639</v>
      </c>
      <c r="C40" s="115" t="str">
        <f>'Prop Budget Calc'!B40</f>
        <v>Library Technician</v>
      </c>
      <c r="D40" s="115" t="str">
        <f>'Prop Budget Calc'!C40</f>
        <v>First Name Last Name</v>
      </c>
      <c r="F40" s="115">
        <f>'Prop Budget Calc'!E40</f>
        <v>1</v>
      </c>
      <c r="H40" s="115" t="str">
        <f>'Prop Budget Calc'!G40</f>
        <v>100-60-601</v>
      </c>
      <c r="J40" s="202" t="str">
        <f>'Prop Budget Calc'!I40</f>
        <v>50102</v>
      </c>
      <c r="K40" s="115">
        <f>'Prop Budget Calc'!P40</f>
        <v>44538</v>
      </c>
      <c r="L40" s="203">
        <f>'Prop Budget Calc'!O40</f>
        <v>40980</v>
      </c>
      <c r="M40" s="115">
        <f t="shared" si="47"/>
        <v>3415</v>
      </c>
      <c r="N40" s="115"/>
      <c r="O40" s="203">
        <f>'Prop Budget Calc'!AK40/12</f>
        <v>0</v>
      </c>
      <c r="P40" s="203">
        <f>'Prop Budget Calc'!AL40/24</f>
        <v>0</v>
      </c>
      <c r="Q40" s="203">
        <f>'Prop Budget Calc'!AM40/24</f>
        <v>0</v>
      </c>
      <c r="R40" s="203">
        <f>'Prop Budget Calc'!BC40/(1+Scenarios!$E$8)</f>
        <v>10338.445719999998</v>
      </c>
      <c r="S40" s="203">
        <f>'Prop Budget Calc'!BD40/(1+Scenarios!$E$11)</f>
        <v>410.15094339622641</v>
      </c>
      <c r="T40" s="203">
        <f>'Prop Budget Calc'!AZ40/(1+Scenarios!$E$11)</f>
        <v>173.36858490566036</v>
      </c>
      <c r="U40" s="203">
        <f t="shared" si="48"/>
        <v>10921.965248301884</v>
      </c>
      <c r="X40" s="126"/>
      <c r="Y40" s="126"/>
      <c r="AA40" s="125">
        <f t="shared" si="58"/>
        <v>0</v>
      </c>
      <c r="AB40" s="125">
        <f t="shared" si="58"/>
        <v>1852.7356321839075</v>
      </c>
      <c r="AC40" s="125">
        <f t="shared" si="58"/>
        <v>0</v>
      </c>
      <c r="AD40" s="125">
        <f t="shared" si="49"/>
        <v>0</v>
      </c>
      <c r="AE40" s="125"/>
      <c r="AF40" s="125">
        <f t="shared" si="50"/>
        <v>0</v>
      </c>
      <c r="AG40" s="125">
        <f t="shared" si="51"/>
        <v>0</v>
      </c>
      <c r="AH40" s="125">
        <f t="shared" si="52"/>
        <v>0</v>
      </c>
      <c r="AI40" s="125">
        <f t="shared" si="53"/>
        <v>0</v>
      </c>
      <c r="AJ40" s="125">
        <f t="shared" si="54"/>
        <v>1852.7356321839075</v>
      </c>
      <c r="AK40" s="125">
        <f t="shared" si="55"/>
        <v>141.73427586206893</v>
      </c>
      <c r="AL40" s="205">
        <f t="shared" si="56"/>
        <v>546.09826241509381</v>
      </c>
      <c r="AM40" s="125">
        <f t="shared" si="57"/>
        <v>0</v>
      </c>
      <c r="AN40" s="125">
        <f t="shared" si="46"/>
        <v>308.85102988505736</v>
      </c>
    </row>
    <row r="41" spans="2:40">
      <c r="B41" s="456" t="s">
        <v>1775</v>
      </c>
      <c r="C41" s="115" t="str">
        <f>'Prop Budget Calc'!B41</f>
        <v>Maintenance Worker Ii (Parks)</v>
      </c>
      <c r="D41" s="115" t="str">
        <f>'Prop Budget Calc'!C41</f>
        <v>First Name Last Name</v>
      </c>
      <c r="F41" s="115">
        <f>'Prop Budget Calc'!E41</f>
        <v>1</v>
      </c>
      <c r="H41" s="115" t="str">
        <f>'Prop Budget Calc'!G41</f>
        <v>100-63-632</v>
      </c>
      <c r="J41" s="202" t="str">
        <f>'Prop Budget Calc'!I41</f>
        <v>50102</v>
      </c>
      <c r="K41" s="115">
        <f>'Prop Budget Calc'!P41</f>
        <v>39160</v>
      </c>
      <c r="L41" s="203">
        <f>'Prop Budget Calc'!O41</f>
        <v>43750</v>
      </c>
      <c r="M41" s="115">
        <f t="shared" si="47"/>
        <v>3645.8333333333335</v>
      </c>
      <c r="N41" s="115"/>
      <c r="O41" s="203">
        <f>'Prop Budget Calc'!AK41/12</f>
        <v>0</v>
      </c>
      <c r="P41" s="203">
        <f>'Prop Budget Calc'!AL41/24</f>
        <v>0</v>
      </c>
      <c r="Q41" s="203">
        <f>'Prop Budget Calc'!AM41/24</f>
        <v>0</v>
      </c>
      <c r="R41" s="203">
        <f>'Prop Budget Calc'!BC41/(1+Scenarios!$E$8)</f>
        <v>10338.445719999998</v>
      </c>
      <c r="S41" s="203">
        <f>'Prop Budget Calc'!BD41/(1+Scenarios!$E$11)</f>
        <v>410.15094339622641</v>
      </c>
      <c r="T41" s="203">
        <f>'Prop Budget Calc'!AZ41/(1+Scenarios!$E$11)</f>
        <v>179.68783018867924</v>
      </c>
      <c r="U41" s="203">
        <f t="shared" si="48"/>
        <v>10928.284493584903</v>
      </c>
      <c r="X41" s="126"/>
      <c r="Y41" s="126"/>
      <c r="AA41" s="125">
        <f t="shared" ref="AA41:AC43" si="59">IF($J41=AA$5,$L41/$AB$1*$AB$2,0)</f>
        <v>0</v>
      </c>
      <c r="AB41" s="125">
        <f t="shared" si="59"/>
        <v>1977.9693486590031</v>
      </c>
      <c r="AC41" s="125">
        <f t="shared" si="59"/>
        <v>0</v>
      </c>
      <c r="AD41" s="125">
        <f t="shared" si="49"/>
        <v>0</v>
      </c>
      <c r="AE41" s="125"/>
      <c r="AF41" s="125">
        <f t="shared" si="50"/>
        <v>0</v>
      </c>
      <c r="AG41" s="125">
        <f t="shared" si="51"/>
        <v>0</v>
      </c>
      <c r="AH41" s="125">
        <f t="shared" si="52"/>
        <v>0</v>
      </c>
      <c r="AI41" s="125">
        <f t="shared" si="53"/>
        <v>0</v>
      </c>
      <c r="AJ41" s="125">
        <f t="shared" si="54"/>
        <v>1977.9693486590031</v>
      </c>
      <c r="AK41" s="125">
        <f t="shared" si="55"/>
        <v>151.31465517241375</v>
      </c>
      <c r="AL41" s="205">
        <f t="shared" si="56"/>
        <v>546.41422467924485</v>
      </c>
      <c r="AM41" s="125">
        <f t="shared" si="57"/>
        <v>0</v>
      </c>
      <c r="AN41" s="125">
        <f t="shared" si="46"/>
        <v>329.7274904214558</v>
      </c>
    </row>
    <row r="42" spans="2:40">
      <c r="B42" s="20" t="s">
        <v>1402</v>
      </c>
      <c r="C42" s="115" t="str">
        <f>'Prop Budget Calc'!B42</f>
        <v>Recreation Supervisor - Parks/Recreation</v>
      </c>
      <c r="D42" s="115" t="str">
        <f>'Prop Budget Calc'!C42</f>
        <v>First Name Last Name</v>
      </c>
      <c r="F42" s="115">
        <f>'Prop Budget Calc'!E42</f>
        <v>1</v>
      </c>
      <c r="H42" s="115" t="str">
        <f>'Prop Budget Calc'!G42</f>
        <v>100-63-633</v>
      </c>
      <c r="J42" s="202" t="str">
        <f>'Prop Budget Calc'!I42</f>
        <v>50101</v>
      </c>
      <c r="K42" s="115">
        <f>'Prop Budget Calc'!P42</f>
        <v>42268</v>
      </c>
      <c r="L42" s="203">
        <f>'Prop Budget Calc'!O42</f>
        <v>63890</v>
      </c>
      <c r="M42" s="115">
        <f t="shared" si="47"/>
        <v>5324.166666666667</v>
      </c>
      <c r="N42" s="115"/>
      <c r="O42" s="203">
        <f>'Prop Budget Calc'!AK42/12</f>
        <v>0</v>
      </c>
      <c r="P42" s="203">
        <f>'Prop Budget Calc'!AL42/24</f>
        <v>0</v>
      </c>
      <c r="Q42" s="203">
        <f>'Prop Budget Calc'!AM42/24</f>
        <v>40</v>
      </c>
      <c r="R42" s="203">
        <f>'Prop Budget Calc'!BC42/(1+Scenarios!$E$8)</f>
        <v>10297.840743999999</v>
      </c>
      <c r="S42" s="203">
        <f>'Prop Budget Calc'!BD42/(1+Scenarios!$E$11)</f>
        <v>410.15094339622641</v>
      </c>
      <c r="T42" s="203">
        <f>'Prop Budget Calc'!AZ42/(1+Scenarios!$E$11)</f>
        <v>290.34198113207543</v>
      </c>
      <c r="U42" s="203">
        <f t="shared" si="48"/>
        <v>10998.333668528299</v>
      </c>
      <c r="X42" s="126"/>
      <c r="Y42" s="126"/>
      <c r="AA42" s="125">
        <f t="shared" si="59"/>
        <v>2888.5134099616848</v>
      </c>
      <c r="AB42" s="125">
        <f t="shared" si="59"/>
        <v>0</v>
      </c>
      <c r="AC42" s="125">
        <f t="shared" si="59"/>
        <v>0</v>
      </c>
      <c r="AD42" s="125">
        <f t="shared" si="49"/>
        <v>0</v>
      </c>
      <c r="AE42" s="125"/>
      <c r="AF42" s="125">
        <f t="shared" si="50"/>
        <v>0</v>
      </c>
      <c r="AG42" s="125">
        <f t="shared" si="51"/>
        <v>0</v>
      </c>
      <c r="AH42" s="125">
        <f t="shared" si="52"/>
        <v>0</v>
      </c>
      <c r="AI42" s="125">
        <f t="shared" si="53"/>
        <v>0</v>
      </c>
      <c r="AJ42" s="125">
        <f t="shared" si="54"/>
        <v>2888.5134099616848</v>
      </c>
      <c r="AK42" s="125">
        <f t="shared" si="55"/>
        <v>220.97127586206889</v>
      </c>
      <c r="AL42" s="205">
        <f t="shared" si="56"/>
        <v>549.91668342641469</v>
      </c>
      <c r="AM42" s="125">
        <f t="shared" si="57"/>
        <v>0</v>
      </c>
      <c r="AN42" s="125">
        <f t="shared" si="46"/>
        <v>481.51518544061281</v>
      </c>
    </row>
    <row r="43" spans="2:40">
      <c r="B43" s="20" t="s">
        <v>1399</v>
      </c>
      <c r="C43" s="115" t="str">
        <f>'Prop Budget Calc'!B43</f>
        <v>Program Manager - Ksac</v>
      </c>
      <c r="D43" s="115" t="str">
        <f>'Prop Budget Calc'!C43</f>
        <v>First Name Last Name</v>
      </c>
      <c r="F43" s="115">
        <f>'Prop Budget Calc'!E43</f>
        <v>1</v>
      </c>
      <c r="H43" s="115" t="str">
        <f>'Prop Budget Calc'!G43</f>
        <v>100-63-634</v>
      </c>
      <c r="J43" s="202" t="str">
        <f>'Prop Budget Calc'!I43</f>
        <v>50101</v>
      </c>
      <c r="K43" s="115">
        <f>'Prop Budget Calc'!P43</f>
        <v>42418</v>
      </c>
      <c r="L43" s="203">
        <f>'Prop Budget Calc'!O43</f>
        <v>70630</v>
      </c>
      <c r="M43" s="115">
        <f t="shared" si="47"/>
        <v>5885.833333333333</v>
      </c>
      <c r="N43" s="115"/>
      <c r="O43" s="203">
        <f>'Prop Budget Calc'!AK43/12</f>
        <v>0</v>
      </c>
      <c r="P43" s="203">
        <f>'Prop Budget Calc'!AL43/24</f>
        <v>0</v>
      </c>
      <c r="Q43" s="203">
        <f>'Prop Budget Calc'!AM43/24</f>
        <v>40</v>
      </c>
      <c r="R43" s="203">
        <f>'Prop Budget Calc'!BC43/(1+Scenarios!$E$8)</f>
        <v>17547.240087999999</v>
      </c>
      <c r="S43" s="203">
        <f>'Prop Budget Calc'!BD43/(1+Scenarios!$E$11)</f>
        <v>410.15094339622641</v>
      </c>
      <c r="T43" s="203">
        <f>'Prop Budget Calc'!AZ43/(1+Scenarios!$E$11)</f>
        <v>302.20330188679247</v>
      </c>
      <c r="U43" s="203">
        <f t="shared" si="48"/>
        <v>18259.594333283017</v>
      </c>
      <c r="X43" s="126"/>
      <c r="Y43" s="126"/>
      <c r="AA43" s="125">
        <f t="shared" si="59"/>
        <v>3193.2337164750948</v>
      </c>
      <c r="AB43" s="125">
        <f t="shared" si="59"/>
        <v>0</v>
      </c>
      <c r="AC43" s="125">
        <f t="shared" si="59"/>
        <v>0</v>
      </c>
      <c r="AD43" s="125">
        <f t="shared" si="49"/>
        <v>0</v>
      </c>
      <c r="AE43" s="125"/>
      <c r="AF43" s="125">
        <f t="shared" si="50"/>
        <v>0</v>
      </c>
      <c r="AG43" s="125">
        <f t="shared" si="51"/>
        <v>0</v>
      </c>
      <c r="AH43" s="125">
        <f t="shared" si="52"/>
        <v>0</v>
      </c>
      <c r="AI43" s="125">
        <f t="shared" si="53"/>
        <v>0</v>
      </c>
      <c r="AJ43" s="125">
        <f t="shared" si="54"/>
        <v>3193.2337164750948</v>
      </c>
      <c r="AK43" s="125">
        <f t="shared" si="55"/>
        <v>244.28237931034474</v>
      </c>
      <c r="AL43" s="205">
        <f t="shared" si="56"/>
        <v>912.97971666415037</v>
      </c>
      <c r="AM43" s="125">
        <f t="shared" si="57"/>
        <v>0</v>
      </c>
      <c r="AN43" s="125">
        <f t="shared" si="46"/>
        <v>532.31206053639823</v>
      </c>
    </row>
    <row r="44" spans="2:40">
      <c r="B44" s="20" t="s">
        <v>1295</v>
      </c>
      <c r="C44" s="115" t="str">
        <f>'Prop Budget Calc'!B44</f>
        <v>Application Administrator</v>
      </c>
      <c r="D44" s="115" t="str">
        <f>'Prop Budget Calc'!C44</f>
        <v>First Name Last Name</v>
      </c>
      <c r="F44" s="115">
        <f>'Prop Budget Calc'!E44</f>
        <v>1</v>
      </c>
      <c r="H44" s="115" t="str">
        <f>'Prop Budget Calc'!G44</f>
        <v>119-18-181</v>
      </c>
      <c r="J44" s="202" t="str">
        <f>'Prop Budget Calc'!I44</f>
        <v>50101</v>
      </c>
      <c r="K44" s="115">
        <f>'Prop Budget Calc'!P44</f>
        <v>38194</v>
      </c>
      <c r="L44" s="203">
        <f>'Prop Budget Calc'!O44</f>
        <v>88760</v>
      </c>
      <c r="M44" s="115">
        <f t="shared" ref="M44:M70" si="60">L44/12</f>
        <v>7396.666666666667</v>
      </c>
      <c r="N44" s="115"/>
      <c r="O44" s="203">
        <f>'Prop Budget Calc'!AK44/12</f>
        <v>125</v>
      </c>
      <c r="P44" s="203">
        <f>'Prop Budget Calc'!AL44/24</f>
        <v>0</v>
      </c>
      <c r="Q44" s="203">
        <f>'Prop Budget Calc'!AM44/24</f>
        <v>40</v>
      </c>
      <c r="R44" s="203">
        <f>'Prop Budget Calc'!BC44/(1+Scenarios!$E$8)</f>
        <v>20663.018992000001</v>
      </c>
      <c r="S44" s="203">
        <f>'Prop Budget Calc'!BD44/(1+Scenarios!$E$11)</f>
        <v>795.7358490566038</v>
      </c>
      <c r="T44" s="203">
        <f>'Prop Budget Calc'!AZ44/(1+Scenarios!$E$11)</f>
        <v>340.22405660377353</v>
      </c>
      <c r="U44" s="203">
        <f t="shared" ref="U44:U70" si="61">SUM(R44:T44)</f>
        <v>21798.978897660378</v>
      </c>
      <c r="X44" s="126"/>
      <c r="Y44" s="126"/>
      <c r="AA44" s="125">
        <f t="shared" ref="AA44:AC46" si="62">IF($J44=AA$5,$L44/$AB$1*$AB$2,0)</f>
        <v>4012.9042145593858</v>
      </c>
      <c r="AB44" s="125">
        <f t="shared" si="62"/>
        <v>0</v>
      </c>
      <c r="AC44" s="125">
        <f t="shared" si="62"/>
        <v>0</v>
      </c>
      <c r="AD44" s="125">
        <f t="shared" ref="AD44:AD51" si="63">IF($J44=AD$5,$L44/$AB$1*$AB$2,0)</f>
        <v>0</v>
      </c>
      <c r="AE44" s="125"/>
      <c r="AF44" s="125">
        <f t="shared" ref="AF44:AF64" si="64">IF($J44=AF$5,$L44/$AB$1*$AB$2,0)</f>
        <v>0</v>
      </c>
      <c r="AG44" s="125">
        <f t="shared" ref="AG44:AG64" si="65">IF(RIGHT(J44,5)="TOTAL",0,O44*$AG$2)</f>
        <v>149.99999999999991</v>
      </c>
      <c r="AH44" s="125">
        <f t="shared" ref="AH44:AH64" si="66">IF(RIGHT(J44,5)="TOTAL",0,P44*$AH$2)</f>
        <v>0</v>
      </c>
      <c r="AI44" s="125">
        <f t="shared" ref="AI44:AI64" si="67">IF($J44=AI$5,$L44/$AI$1*$AI$2,0)</f>
        <v>0</v>
      </c>
      <c r="AJ44" s="125">
        <f t="shared" ref="AJ44:AJ64" si="68">SUM(AA44:AI44)</f>
        <v>4162.9042145593858</v>
      </c>
      <c r="AK44" s="125">
        <f t="shared" ref="AK44:AK64" si="69">AJ44*0.0145+IF(AJ44&gt;118500/$AB$1*$AB$2,118500/$AB$1*$AB$2*0.062,AJ44*0.062)</f>
        <v>318.46217241379304</v>
      </c>
      <c r="AL44" s="205">
        <f t="shared" ref="AL44:AL64" si="70">IF(RIGHT(J44,5)="total",0,U44/24*$AL$2)</f>
        <v>1089.9489448830184</v>
      </c>
      <c r="AM44" s="125">
        <f t="shared" ref="AM44:AM64" si="71">IF(RIGHT(J44,5)="total",0,V44*$AM$2)</f>
        <v>0</v>
      </c>
      <c r="AN44" s="125">
        <f t="shared" ref="AN44:AN62" si="72">IF(OR($J44="50101", $J44="50102", $J44="50109", $J44="50140"),AJ44*$AN$2,0)</f>
        <v>693.95613256704951</v>
      </c>
    </row>
    <row r="45" spans="2:40">
      <c r="B45" s="20" t="s">
        <v>1629</v>
      </c>
      <c r="C45" s="115" t="str">
        <f>'Prop Budget Calc'!B45</f>
        <v>It Systems Analyst</v>
      </c>
      <c r="D45" s="115" t="str">
        <f>'Prop Budget Calc'!C45</f>
        <v>First Name Last Name</v>
      </c>
      <c r="F45" s="115">
        <f>'Prop Budget Calc'!E45</f>
        <v>1</v>
      </c>
      <c r="H45" s="115" t="str">
        <f>'Prop Budget Calc'!G45</f>
        <v>119-18-181</v>
      </c>
      <c r="J45" s="202" t="str">
        <f>'Prop Budget Calc'!I45</f>
        <v>50102</v>
      </c>
      <c r="K45" s="115">
        <f>'Prop Budget Calc'!P45</f>
        <v>44494</v>
      </c>
      <c r="L45" s="203">
        <f>'Prop Budget Calc'!O45</f>
        <v>55290</v>
      </c>
      <c r="M45" s="115">
        <f t="shared" si="60"/>
        <v>4607.5</v>
      </c>
      <c r="N45" s="115"/>
      <c r="O45" s="203">
        <f>'Prop Budget Calc'!AK45/12</f>
        <v>125</v>
      </c>
      <c r="P45" s="203">
        <f>'Prop Budget Calc'!AL45/24</f>
        <v>0</v>
      </c>
      <c r="Q45" s="203">
        <f>'Prop Budget Calc'!AM45/24</f>
        <v>40</v>
      </c>
      <c r="R45" s="203">
        <f>'Prop Budget Calc'!BC45/(1+Scenarios!$E$8)</f>
        <v>10297.840743999999</v>
      </c>
      <c r="S45" s="203">
        <f>'Prop Budget Calc'!BD45/(1+Scenarios!$E$11)</f>
        <v>410.15094339622641</v>
      </c>
      <c r="T45" s="203">
        <f>'Prop Budget Calc'!AZ45/(1+Scenarios!$E$11)</f>
        <v>203.88084905660375</v>
      </c>
      <c r="U45" s="203">
        <f t="shared" si="61"/>
        <v>10911.872536452829</v>
      </c>
      <c r="X45" s="126"/>
      <c r="Y45" s="126"/>
      <c r="AA45" s="125">
        <f t="shared" si="62"/>
        <v>0</v>
      </c>
      <c r="AB45" s="125">
        <f t="shared" si="62"/>
        <v>2499.7011494252865</v>
      </c>
      <c r="AC45" s="125">
        <f t="shared" si="62"/>
        <v>0</v>
      </c>
      <c r="AD45" s="125">
        <f t="shared" si="63"/>
        <v>0</v>
      </c>
      <c r="AE45" s="125"/>
      <c r="AF45" s="125">
        <f t="shared" si="64"/>
        <v>0</v>
      </c>
      <c r="AG45" s="125">
        <f t="shared" si="65"/>
        <v>149.99999999999991</v>
      </c>
      <c r="AH45" s="125">
        <f t="shared" si="66"/>
        <v>0</v>
      </c>
      <c r="AI45" s="125">
        <f t="shared" si="67"/>
        <v>0</v>
      </c>
      <c r="AJ45" s="125">
        <f t="shared" si="68"/>
        <v>2649.7011494252865</v>
      </c>
      <c r="AK45" s="125">
        <f t="shared" si="69"/>
        <v>202.7021379310344</v>
      </c>
      <c r="AL45" s="205">
        <f t="shared" si="70"/>
        <v>545.59362682264111</v>
      </c>
      <c r="AM45" s="125">
        <f t="shared" si="71"/>
        <v>0</v>
      </c>
      <c r="AN45" s="125">
        <f t="shared" si="72"/>
        <v>441.70518160919522</v>
      </c>
    </row>
    <row r="46" spans="2:40">
      <c r="B46" s="20" t="s">
        <v>1362</v>
      </c>
      <c r="C46" s="115" t="str">
        <f>'Prop Budget Calc'!B46</f>
        <v>Gis Manager</v>
      </c>
      <c r="D46" s="115" t="str">
        <f>'Prop Budget Calc'!C46</f>
        <v>First Name Last Name</v>
      </c>
      <c r="F46" s="115">
        <f>'Prop Budget Calc'!E46</f>
        <v>1</v>
      </c>
      <c r="H46" s="115" t="str">
        <f>'Prop Budget Calc'!G46</f>
        <v>119-18-183</v>
      </c>
      <c r="J46" s="202" t="str">
        <f>'Prop Budget Calc'!I46</f>
        <v>50101</v>
      </c>
      <c r="K46" s="115">
        <f>'Prop Budget Calc'!P46</f>
        <v>38474</v>
      </c>
      <c r="L46" s="203">
        <f>'Prop Budget Calc'!O46</f>
        <v>94570</v>
      </c>
      <c r="M46" s="115">
        <f t="shared" si="60"/>
        <v>7880.833333333333</v>
      </c>
      <c r="N46" s="115"/>
      <c r="O46" s="203">
        <f>'Prop Budget Calc'!AK46/12</f>
        <v>125</v>
      </c>
      <c r="P46" s="203">
        <f>'Prop Budget Calc'!AL46/24</f>
        <v>0</v>
      </c>
      <c r="Q46" s="203">
        <f>'Prop Budget Calc'!AM46/24</f>
        <v>40</v>
      </c>
      <c r="R46" s="203">
        <f>'Prop Budget Calc'!BC46/(1+Scenarios!$E$8)</f>
        <v>10226.841399999999</v>
      </c>
      <c r="S46" s="203">
        <f>'Prop Budget Calc'!BD46/(1+Scenarios!$E$11)</f>
        <v>410.15094339622641</v>
      </c>
      <c r="T46" s="203">
        <f>'Prop Budget Calc'!AZ46/(1+Scenarios!$E$11)</f>
        <v>350.55424528301882</v>
      </c>
      <c r="U46" s="203">
        <f t="shared" si="61"/>
        <v>10987.546588679244</v>
      </c>
      <c r="X46" s="126"/>
      <c r="Y46" s="126"/>
      <c r="AA46" s="125">
        <f t="shared" si="62"/>
        <v>4275.5785440613017</v>
      </c>
      <c r="AB46" s="125">
        <f t="shared" si="62"/>
        <v>0</v>
      </c>
      <c r="AC46" s="125">
        <f t="shared" si="62"/>
        <v>0</v>
      </c>
      <c r="AD46" s="125">
        <f t="shared" si="63"/>
        <v>0</v>
      </c>
      <c r="AE46" s="125"/>
      <c r="AF46" s="125">
        <f t="shared" si="64"/>
        <v>0</v>
      </c>
      <c r="AG46" s="125">
        <f t="shared" si="65"/>
        <v>149.99999999999991</v>
      </c>
      <c r="AH46" s="125">
        <f t="shared" si="66"/>
        <v>0</v>
      </c>
      <c r="AI46" s="125">
        <f t="shared" si="67"/>
        <v>0</v>
      </c>
      <c r="AJ46" s="125">
        <f t="shared" si="68"/>
        <v>4425.5785440613017</v>
      </c>
      <c r="AK46" s="125">
        <f t="shared" si="69"/>
        <v>338.55675862068961</v>
      </c>
      <c r="AL46" s="205">
        <f t="shared" si="70"/>
        <v>549.3773294339619</v>
      </c>
      <c r="AM46" s="125">
        <f t="shared" si="71"/>
        <v>0</v>
      </c>
      <c r="AN46" s="125">
        <f t="shared" si="72"/>
        <v>737.74394329501899</v>
      </c>
    </row>
    <row r="47" spans="2:40">
      <c r="B47" s="20" t="s">
        <v>1483</v>
      </c>
      <c r="C47" s="115" t="str">
        <f>'Prop Budget Calc'!B47</f>
        <v>Aquatics Supervisor</v>
      </c>
      <c r="D47" s="115" t="str">
        <f>'Prop Budget Calc'!C47</f>
        <v>First Name Last Name</v>
      </c>
      <c r="F47" s="115">
        <f>'Prop Budget Calc'!E47</f>
        <v>1</v>
      </c>
      <c r="H47" s="115" t="str">
        <f>'Prop Budget Calc'!G47</f>
        <v>125-65-652</v>
      </c>
      <c r="J47" s="202" t="str">
        <f>'Prop Budget Calc'!I47</f>
        <v>50101</v>
      </c>
      <c r="K47" s="115">
        <f>'Prop Budget Calc'!P47</f>
        <v>43239</v>
      </c>
      <c r="L47" s="203">
        <f>'Prop Budget Calc'!O47</f>
        <v>62720</v>
      </c>
      <c r="M47" s="115">
        <f t="shared" si="60"/>
        <v>5226.666666666667</v>
      </c>
      <c r="N47" s="115"/>
      <c r="O47" s="203">
        <f>'Prop Budget Calc'!AK47/12</f>
        <v>0</v>
      </c>
      <c r="P47" s="203">
        <f>'Prop Budget Calc'!AL47/24</f>
        <v>0</v>
      </c>
      <c r="Q47" s="203">
        <f>'Prop Budget Calc'!AM47/24</f>
        <v>30</v>
      </c>
      <c r="R47" s="203">
        <f>'Prop Budget Calc'!BC47/(1+Scenarios!$E$8)</f>
        <v>0</v>
      </c>
      <c r="S47" s="203">
        <f>'Prop Budget Calc'!BD47/(1+Scenarios!$E$11)</f>
        <v>0</v>
      </c>
      <c r="T47" s="203">
        <f>'Prop Budget Calc'!AZ47/(1+Scenarios!$E$11)</f>
        <v>287.59301886792457</v>
      </c>
      <c r="U47" s="203">
        <f t="shared" si="61"/>
        <v>287.59301886792457</v>
      </c>
      <c r="X47" s="126"/>
      <c r="Y47" s="126"/>
      <c r="AA47" s="125">
        <f t="shared" ref="AA47:AC52" si="73">IF($J47=AA$5,$L47/$AB$1*$AB$2,0)</f>
        <v>2835.6168582375471</v>
      </c>
      <c r="AB47" s="125">
        <f t="shared" si="73"/>
        <v>0</v>
      </c>
      <c r="AC47" s="125">
        <f t="shared" si="73"/>
        <v>0</v>
      </c>
      <c r="AD47" s="125">
        <f t="shared" si="63"/>
        <v>0</v>
      </c>
      <c r="AE47" s="125"/>
      <c r="AF47" s="125">
        <f t="shared" si="64"/>
        <v>0</v>
      </c>
      <c r="AG47" s="125">
        <f t="shared" si="65"/>
        <v>0</v>
      </c>
      <c r="AH47" s="125">
        <f t="shared" si="66"/>
        <v>0</v>
      </c>
      <c r="AI47" s="125">
        <f t="shared" si="67"/>
        <v>0</v>
      </c>
      <c r="AJ47" s="125">
        <f t="shared" si="68"/>
        <v>2835.6168582375471</v>
      </c>
      <c r="AK47" s="125">
        <f t="shared" si="69"/>
        <v>216.92468965517236</v>
      </c>
      <c r="AL47" s="205">
        <f t="shared" si="70"/>
        <v>14.37965094339622</v>
      </c>
      <c r="AM47" s="125">
        <f t="shared" si="71"/>
        <v>0</v>
      </c>
      <c r="AN47" s="125">
        <f t="shared" si="72"/>
        <v>472.6973302681991</v>
      </c>
    </row>
    <row r="48" spans="2:40">
      <c r="B48" s="456" t="s">
        <v>1725</v>
      </c>
      <c r="C48" s="115" t="str">
        <f>'Prop Budget Calc'!B48</f>
        <v>Aquatics Specialist</v>
      </c>
      <c r="D48" s="115" t="str">
        <f>'Prop Budget Calc'!C48</f>
        <v>First Name Last Name</v>
      </c>
      <c r="F48" s="115">
        <f>'Prop Budget Calc'!E48</f>
        <v>1</v>
      </c>
      <c r="H48" s="115" t="str">
        <f>'Prop Budget Calc'!G48</f>
        <v>125-65-652</v>
      </c>
      <c r="J48" s="202" t="str">
        <f>'Prop Budget Calc'!I48</f>
        <v>50101</v>
      </c>
      <c r="K48" s="115">
        <f>'Prop Budget Calc'!P48</f>
        <v>45264</v>
      </c>
      <c r="L48" s="203">
        <f>'Prop Budget Calc'!O48</f>
        <v>55190</v>
      </c>
      <c r="M48" s="115">
        <f t="shared" si="60"/>
        <v>4599.166666666667</v>
      </c>
      <c r="N48" s="115"/>
      <c r="O48" s="203">
        <f>'Prop Budget Calc'!AK48/12</f>
        <v>0</v>
      </c>
      <c r="P48" s="203">
        <f>'Prop Budget Calc'!AL48/24</f>
        <v>0</v>
      </c>
      <c r="Q48" s="203">
        <f>'Prop Budget Calc'!AM48/24</f>
        <v>22.5</v>
      </c>
      <c r="R48" s="203">
        <f>'Prop Budget Calc'!BC48/(1+Scenarios!$E$8)</f>
        <v>17547.240087999999</v>
      </c>
      <c r="S48" s="203">
        <f>'Prop Budget Calc'!BD48/(1+Scenarios!$E$11)</f>
        <v>795.7358490566038</v>
      </c>
      <c r="T48" s="203">
        <f>'Prop Budget Calc'!AZ48/(1+Scenarios!$E$11)</f>
        <v>273.53688679245278</v>
      </c>
      <c r="U48" s="203">
        <f t="shared" si="61"/>
        <v>18616.512823849054</v>
      </c>
      <c r="X48" s="126"/>
      <c r="Y48" s="126"/>
      <c r="AA48" s="125">
        <f t="shared" si="73"/>
        <v>2495.1800766283518</v>
      </c>
      <c r="AB48" s="125">
        <f t="shared" si="73"/>
        <v>0</v>
      </c>
      <c r="AC48" s="125">
        <f t="shared" si="73"/>
        <v>0</v>
      </c>
      <c r="AD48" s="125">
        <f t="shared" si="63"/>
        <v>0</v>
      </c>
      <c r="AE48" s="125"/>
      <c r="AF48" s="125">
        <f t="shared" si="64"/>
        <v>0</v>
      </c>
      <c r="AG48" s="125">
        <f t="shared" si="65"/>
        <v>0</v>
      </c>
      <c r="AH48" s="125">
        <f t="shared" si="66"/>
        <v>0</v>
      </c>
      <c r="AI48" s="125">
        <f t="shared" si="67"/>
        <v>0</v>
      </c>
      <c r="AJ48" s="125">
        <f t="shared" si="68"/>
        <v>2495.1800766283518</v>
      </c>
      <c r="AK48" s="125">
        <f t="shared" si="69"/>
        <v>190.88127586206892</v>
      </c>
      <c r="AL48" s="205">
        <f t="shared" si="70"/>
        <v>930.82564119245217</v>
      </c>
      <c r="AM48" s="125">
        <f t="shared" si="71"/>
        <v>0</v>
      </c>
      <c r="AN48" s="125">
        <f t="shared" si="72"/>
        <v>415.9465187739462</v>
      </c>
    </row>
    <row r="49" spans="2:40">
      <c r="B49" s="20" t="s">
        <v>1788</v>
      </c>
      <c r="C49" s="115" t="str">
        <f>'Prop Budget Calc'!B49</f>
        <v>Aquatics - Part-Time</v>
      </c>
      <c r="D49" s="115" t="str">
        <f>'Prop Budget Calc'!C49</f>
        <v>Aquatics - Part-Time Aquatics - Part-Time</v>
      </c>
      <c r="F49" s="115">
        <f>'Prop Budget Calc'!E49</f>
        <v>0.48</v>
      </c>
      <c r="H49" s="115" t="str">
        <f>'Prop Budget Calc'!G49</f>
        <v>125-65-652</v>
      </c>
      <c r="J49" s="202" t="str">
        <f>'Prop Budget Calc'!I49</f>
        <v>50110</v>
      </c>
      <c r="K49" s="115">
        <f>'Prop Budget Calc'!P49</f>
        <v>45027</v>
      </c>
      <c r="L49" s="203">
        <f>'Prop Budget Calc'!O49</f>
        <v>157070</v>
      </c>
      <c r="M49" s="115">
        <f t="shared" si="60"/>
        <v>13089.166666666666</v>
      </c>
      <c r="N49" s="115"/>
      <c r="O49" s="203">
        <f>'Prop Budget Calc'!AK49/12</f>
        <v>0</v>
      </c>
      <c r="P49" s="203">
        <f>'Prop Budget Calc'!AL49/24</f>
        <v>0</v>
      </c>
      <c r="Q49" s="203">
        <f>'Prop Budget Calc'!AM49/24</f>
        <v>0</v>
      </c>
      <c r="R49" s="203">
        <f>'Prop Budget Calc'!BC49/(1+Scenarios!$E$8)</f>
        <v>0</v>
      </c>
      <c r="S49" s="203">
        <f>'Prop Budget Calc'!BD49/(1+Scenarios!$E$11)</f>
        <v>0</v>
      </c>
      <c r="T49" s="203">
        <f>'Prop Budget Calc'!AZ49/(1+Scenarios!$E$11)</f>
        <v>277.39188679245279</v>
      </c>
      <c r="U49" s="203">
        <f t="shared" si="61"/>
        <v>277.39188679245279</v>
      </c>
      <c r="X49" s="126"/>
      <c r="Y49" s="126"/>
      <c r="AA49" s="125">
        <f t="shared" si="73"/>
        <v>0</v>
      </c>
      <c r="AB49" s="125">
        <f t="shared" si="73"/>
        <v>0</v>
      </c>
      <c r="AC49" s="125">
        <f t="shared" si="73"/>
        <v>0</v>
      </c>
      <c r="AD49" s="125">
        <f t="shared" si="63"/>
        <v>7101.2490421455923</v>
      </c>
      <c r="AE49" s="125"/>
      <c r="AF49" s="125">
        <f t="shared" si="64"/>
        <v>0</v>
      </c>
      <c r="AG49" s="125">
        <f t="shared" si="65"/>
        <v>0</v>
      </c>
      <c r="AH49" s="125">
        <f t="shared" si="66"/>
        <v>0</v>
      </c>
      <c r="AI49" s="125">
        <f t="shared" si="67"/>
        <v>0</v>
      </c>
      <c r="AJ49" s="125">
        <f t="shared" si="68"/>
        <v>7101.2490421455923</v>
      </c>
      <c r="AK49" s="125">
        <f t="shared" si="69"/>
        <v>435.13132950191556</v>
      </c>
      <c r="AL49" s="205">
        <f t="shared" si="70"/>
        <v>13.869594339622632</v>
      </c>
      <c r="AM49" s="125">
        <f t="shared" si="71"/>
        <v>0</v>
      </c>
      <c r="AN49" s="125">
        <f t="shared" si="72"/>
        <v>0</v>
      </c>
    </row>
    <row r="50" spans="2:40">
      <c r="B50" s="20" t="s">
        <v>1789</v>
      </c>
      <c r="C50" s="115" t="str">
        <f>'Prop Budget Calc'!B50</f>
        <v>Aquatics - Part-Time</v>
      </c>
      <c r="D50" s="115" t="str">
        <f>'Prop Budget Calc'!C50</f>
        <v>Aquatics - Seasonal Aquatics - Seasonal</v>
      </c>
      <c r="F50" s="115">
        <f>'Prop Budget Calc'!E50</f>
        <v>0.48</v>
      </c>
      <c r="H50" s="115" t="str">
        <f>'Prop Budget Calc'!G50</f>
        <v>125-65-652</v>
      </c>
      <c r="J50" s="202" t="str">
        <f>'Prop Budget Calc'!I50</f>
        <v>50110</v>
      </c>
      <c r="K50" s="115">
        <f>'Prop Budget Calc'!P50</f>
        <v>45027</v>
      </c>
      <c r="L50" s="203">
        <f>'Prop Budget Calc'!O50</f>
        <v>119980</v>
      </c>
      <c r="M50" s="115">
        <f t="shared" si="60"/>
        <v>9998.3333333333339</v>
      </c>
      <c r="N50" s="115"/>
      <c r="O50" s="203">
        <f>'Prop Budget Calc'!AK50/12</f>
        <v>0</v>
      </c>
      <c r="P50" s="203">
        <f>'Prop Budget Calc'!AL50/24</f>
        <v>0</v>
      </c>
      <c r="Q50" s="203">
        <f>'Prop Budget Calc'!AM50/24</f>
        <v>0</v>
      </c>
      <c r="R50" s="203">
        <f>'Prop Budget Calc'!BC50/(1+Scenarios!$E$8)</f>
        <v>0</v>
      </c>
      <c r="S50" s="203">
        <f>'Prop Budget Calc'!BD50/(1+Scenarios!$E$11)</f>
        <v>0</v>
      </c>
      <c r="T50" s="203">
        <f>'Prop Budget Calc'!AZ50/(1+Scenarios!$E$11)</f>
        <v>211.89056603773582</v>
      </c>
      <c r="U50" s="203">
        <f t="shared" si="61"/>
        <v>211.89056603773582</v>
      </c>
      <c r="X50" s="126"/>
      <c r="Y50" s="126"/>
      <c r="AA50" s="125">
        <f t="shared" si="73"/>
        <v>0</v>
      </c>
      <c r="AB50" s="125">
        <f t="shared" si="73"/>
        <v>0</v>
      </c>
      <c r="AC50" s="125">
        <f t="shared" si="73"/>
        <v>0</v>
      </c>
      <c r="AD50" s="125">
        <f t="shared" si="63"/>
        <v>5424.3831417624506</v>
      </c>
      <c r="AE50" s="125"/>
      <c r="AF50" s="125">
        <f t="shared" si="64"/>
        <v>0</v>
      </c>
      <c r="AG50" s="125">
        <f t="shared" si="65"/>
        <v>0</v>
      </c>
      <c r="AH50" s="125">
        <f t="shared" si="66"/>
        <v>0</v>
      </c>
      <c r="AI50" s="125">
        <f t="shared" si="67"/>
        <v>0</v>
      </c>
      <c r="AJ50" s="125">
        <f t="shared" si="68"/>
        <v>5424.3831417624506</v>
      </c>
      <c r="AK50" s="125">
        <f t="shared" si="69"/>
        <v>410.81677394636</v>
      </c>
      <c r="AL50" s="205">
        <f t="shared" si="70"/>
        <v>10.594528301886786</v>
      </c>
      <c r="AM50" s="125">
        <f t="shared" si="71"/>
        <v>0</v>
      </c>
      <c r="AN50" s="125">
        <f t="shared" si="72"/>
        <v>0</v>
      </c>
    </row>
    <row r="51" spans="2:40">
      <c r="B51" s="20" t="s">
        <v>1794</v>
      </c>
      <c r="C51" s="115" t="str">
        <f>'Prop Budget Calc'!B51</f>
        <v>Cust Svc - Seasonal</v>
      </c>
      <c r="D51" s="115" t="str">
        <f>'Prop Budget Calc'!C51</f>
        <v>Cust Svc - Seasonal Cust Svc - Seasonal</v>
      </c>
      <c r="F51" s="115">
        <f>'Prop Budget Calc'!E51</f>
        <v>0.48</v>
      </c>
      <c r="H51" s="115" t="str">
        <f>'Prop Budget Calc'!G51</f>
        <v>125-65-656</v>
      </c>
      <c r="J51" s="202" t="str">
        <f>'Prop Budget Calc'!I51</f>
        <v>50110</v>
      </c>
      <c r="K51" s="115">
        <f>'Prop Budget Calc'!P51</f>
        <v>45027</v>
      </c>
      <c r="L51" s="203">
        <f>'Prop Budget Calc'!O51</f>
        <v>44570</v>
      </c>
      <c r="M51" s="115">
        <f t="shared" si="60"/>
        <v>3714.1666666666665</v>
      </c>
      <c r="N51" s="115"/>
      <c r="O51" s="203">
        <f>'Prop Budget Calc'!AK51/12</f>
        <v>0</v>
      </c>
      <c r="P51" s="203">
        <f>'Prop Budget Calc'!AL51/24</f>
        <v>0</v>
      </c>
      <c r="Q51" s="203">
        <f>'Prop Budget Calc'!AM51/24</f>
        <v>0</v>
      </c>
      <c r="R51" s="203">
        <f>'Prop Budget Calc'!BC51/(1+Scenarios!$E$8)</f>
        <v>0</v>
      </c>
      <c r="S51" s="203">
        <f>'Prop Budget Calc'!BD51/(1+Scenarios!$E$11)</f>
        <v>0</v>
      </c>
      <c r="T51" s="203">
        <f>'Prop Budget Calc'!AZ51/(1+Scenarios!$E$11)</f>
        <v>78.712641509433965</v>
      </c>
      <c r="U51" s="203">
        <f t="shared" si="61"/>
        <v>78.712641509433965</v>
      </c>
      <c r="X51" s="126"/>
      <c r="Y51" s="126"/>
      <c r="AA51" s="125">
        <f t="shared" si="73"/>
        <v>0</v>
      </c>
      <c r="AB51" s="125">
        <f t="shared" si="73"/>
        <v>0</v>
      </c>
      <c r="AC51" s="125">
        <f t="shared" si="73"/>
        <v>0</v>
      </c>
      <c r="AD51" s="125">
        <f t="shared" si="63"/>
        <v>2015.042145593869</v>
      </c>
      <c r="AE51" s="125"/>
      <c r="AF51" s="125">
        <f t="shared" si="64"/>
        <v>0</v>
      </c>
      <c r="AG51" s="125">
        <f t="shared" si="65"/>
        <v>0</v>
      </c>
      <c r="AH51" s="125">
        <f t="shared" si="66"/>
        <v>0</v>
      </c>
      <c r="AI51" s="125">
        <f t="shared" si="67"/>
        <v>0</v>
      </c>
      <c r="AJ51" s="125">
        <f t="shared" si="68"/>
        <v>2015.042145593869</v>
      </c>
      <c r="AK51" s="125">
        <f t="shared" si="69"/>
        <v>154.15072413793098</v>
      </c>
      <c r="AL51" s="205">
        <f t="shared" si="70"/>
        <v>3.935632075471696</v>
      </c>
      <c r="AM51" s="125">
        <f t="shared" si="71"/>
        <v>0</v>
      </c>
      <c r="AN51" s="125">
        <f t="shared" si="72"/>
        <v>0</v>
      </c>
    </row>
    <row r="52" spans="2:40">
      <c r="B52" s="20" t="s">
        <v>1393</v>
      </c>
      <c r="C52" s="115" t="str">
        <f>'Prop Budget Calc'!B52</f>
        <v>Support Services Manager</v>
      </c>
      <c r="D52" s="115" t="str">
        <f>'Prop Budget Calc'!C52</f>
        <v>First Name Last Name</v>
      </c>
      <c r="F52" s="115">
        <f>'Prop Budget Calc'!E52</f>
        <v>1</v>
      </c>
      <c r="H52" s="115" t="str">
        <f>'Prop Budget Calc'!G52</f>
        <v>200-70-701</v>
      </c>
      <c r="J52" s="202" t="str">
        <f>'Prop Budget Calc'!I52</f>
        <v>50101</v>
      </c>
      <c r="K52" s="115">
        <f>'Prop Budget Calc'!P52</f>
        <v>41058</v>
      </c>
      <c r="L52" s="203">
        <f>'Prop Budget Calc'!O52</f>
        <v>80500</v>
      </c>
      <c r="M52" s="115">
        <f t="shared" si="60"/>
        <v>6708.333333333333</v>
      </c>
      <c r="N52" s="115"/>
      <c r="O52" s="203">
        <f>'Prop Budget Calc'!AK52/12</f>
        <v>0</v>
      </c>
      <c r="P52" s="203">
        <f>'Prop Budget Calc'!AL52/24</f>
        <v>0</v>
      </c>
      <c r="Q52" s="203">
        <f>'Prop Budget Calc'!AM52/24</f>
        <v>22.5</v>
      </c>
      <c r="R52" s="203">
        <f>'Prop Budget Calc'!BC52/(1+Scenarios!$E$8)</f>
        <v>10226.841399999999</v>
      </c>
      <c r="S52" s="203">
        <f>'Prop Budget Calc'!BD52/(1+Scenarios!$E$11)</f>
        <v>410.15094339622641</v>
      </c>
      <c r="T52" s="203">
        <f>'Prop Budget Calc'!AZ52/(1+Scenarios!$E$11)</f>
        <v>319.30443396226411</v>
      </c>
      <c r="U52" s="203">
        <f t="shared" si="61"/>
        <v>10956.29677735849</v>
      </c>
      <c r="X52" s="126"/>
      <c r="Y52" s="126"/>
      <c r="AA52" s="125">
        <f t="shared" si="73"/>
        <v>3639.4636015325659</v>
      </c>
      <c r="AB52" s="125">
        <f t="shared" si="73"/>
        <v>0</v>
      </c>
      <c r="AC52" s="125">
        <f t="shared" si="73"/>
        <v>0</v>
      </c>
      <c r="AD52" s="125">
        <f t="shared" ref="AD52:AD63" si="74">IF($J52=AD$5,$L52/$AB$1*$AB$2,0)</f>
        <v>0</v>
      </c>
      <c r="AE52" s="125"/>
      <c r="AF52" s="125">
        <f t="shared" si="64"/>
        <v>0</v>
      </c>
      <c r="AG52" s="125">
        <f t="shared" si="65"/>
        <v>0</v>
      </c>
      <c r="AH52" s="125">
        <f t="shared" si="66"/>
        <v>0</v>
      </c>
      <c r="AI52" s="125">
        <f t="shared" si="67"/>
        <v>0</v>
      </c>
      <c r="AJ52" s="125">
        <f t="shared" si="68"/>
        <v>3639.4636015325659</v>
      </c>
      <c r="AK52" s="125">
        <f t="shared" si="69"/>
        <v>278.4189655172413</v>
      </c>
      <c r="AL52" s="205">
        <f t="shared" si="70"/>
        <v>547.81483886792421</v>
      </c>
      <c r="AM52" s="125">
        <f t="shared" si="71"/>
        <v>0</v>
      </c>
      <c r="AN52" s="125">
        <f t="shared" si="72"/>
        <v>606.69858237547874</v>
      </c>
    </row>
    <row r="53" spans="2:40">
      <c r="B53" s="456" t="s">
        <v>1693</v>
      </c>
      <c r="C53" s="115" t="str">
        <f>'Prop Budget Calc'!B53</f>
        <v>Environmental Specialist</v>
      </c>
      <c r="D53" s="115" t="str">
        <f>'Prop Budget Calc'!C53</f>
        <v>First Name Last Name</v>
      </c>
      <c r="F53" s="115">
        <f>'Prop Budget Calc'!E53</f>
        <v>1</v>
      </c>
      <c r="H53" s="115" t="str">
        <f>'Prop Budget Calc'!G53</f>
        <v>200-70-701</v>
      </c>
      <c r="J53" s="202" t="str">
        <f>'Prop Budget Calc'!I53</f>
        <v>50102</v>
      </c>
      <c r="K53" s="115">
        <f>'Prop Budget Calc'!P53</f>
        <v>45243</v>
      </c>
      <c r="L53" s="203">
        <f>'Prop Budget Calc'!O53</f>
        <v>46370</v>
      </c>
      <c r="M53" s="115">
        <f t="shared" si="60"/>
        <v>3864.1666666666665</v>
      </c>
      <c r="N53" s="115"/>
      <c r="O53" s="203">
        <f>'Prop Budget Calc'!AK53/12</f>
        <v>0</v>
      </c>
      <c r="P53" s="203">
        <f>'Prop Budget Calc'!AL53/24</f>
        <v>0</v>
      </c>
      <c r="Q53" s="203">
        <f>'Prop Budget Calc'!AM53/24</f>
        <v>40</v>
      </c>
      <c r="R53" s="203">
        <f>'Prop Budget Calc'!BC53/(1+Scenarios!$E$8)</f>
        <v>10338.445719999998</v>
      </c>
      <c r="S53" s="203">
        <f>'Prop Budget Calc'!BD53/(1+Scenarios!$E$11)</f>
        <v>410.15094339622641</v>
      </c>
      <c r="T53" s="203">
        <f>'Prop Budget Calc'!AZ53/(1+Scenarios!$E$11)</f>
        <v>184.26283018867923</v>
      </c>
      <c r="U53" s="203">
        <f t="shared" si="61"/>
        <v>10932.859493584903</v>
      </c>
      <c r="X53" s="126"/>
      <c r="Y53" s="126"/>
      <c r="AA53" s="125">
        <f t="shared" ref="AA53:AC61" si="75">IF($J53=AA$5,$L53/$AB$1*$AB$2,0)</f>
        <v>0</v>
      </c>
      <c r="AB53" s="125">
        <f t="shared" si="75"/>
        <v>2096.4214559386965</v>
      </c>
      <c r="AC53" s="125">
        <f t="shared" si="75"/>
        <v>0</v>
      </c>
      <c r="AD53" s="125">
        <f t="shared" si="74"/>
        <v>0</v>
      </c>
      <c r="AE53" s="125"/>
      <c r="AF53" s="125">
        <f t="shared" si="64"/>
        <v>0</v>
      </c>
      <c r="AG53" s="125">
        <f t="shared" si="65"/>
        <v>0</v>
      </c>
      <c r="AH53" s="125">
        <f t="shared" si="66"/>
        <v>0</v>
      </c>
      <c r="AI53" s="125">
        <f t="shared" si="67"/>
        <v>0</v>
      </c>
      <c r="AJ53" s="125">
        <f t="shared" si="68"/>
        <v>2096.4214559386965</v>
      </c>
      <c r="AK53" s="125">
        <f t="shared" si="69"/>
        <v>160.37624137931027</v>
      </c>
      <c r="AL53" s="205">
        <f t="shared" si="70"/>
        <v>546.64297467924484</v>
      </c>
      <c r="AM53" s="125">
        <f t="shared" si="71"/>
        <v>0</v>
      </c>
      <c r="AN53" s="125">
        <f t="shared" si="72"/>
        <v>349.47345670498066</v>
      </c>
    </row>
    <row r="54" spans="2:40">
      <c r="B54" s="20" t="s">
        <v>1503</v>
      </c>
      <c r="C54" s="115" t="str">
        <f>'Prop Budget Calc'!B54</f>
        <v>Utility Billing Administrator</v>
      </c>
      <c r="D54" s="115" t="str">
        <f>'Prop Budget Calc'!C54</f>
        <v>First Name Last Name</v>
      </c>
      <c r="F54" s="115">
        <f>'Prop Budget Calc'!E54</f>
        <v>1</v>
      </c>
      <c r="H54" s="115" t="str">
        <f>'Prop Budget Calc'!G54</f>
        <v>200-71-711</v>
      </c>
      <c r="J54" s="202" t="str">
        <f>'Prop Budget Calc'!I54</f>
        <v>50101</v>
      </c>
      <c r="K54" s="115">
        <f>'Prop Budget Calc'!P54</f>
        <v>43171</v>
      </c>
      <c r="L54" s="203">
        <f>'Prop Budget Calc'!O54</f>
        <v>55290</v>
      </c>
      <c r="M54" s="115">
        <f t="shared" si="60"/>
        <v>4607.5</v>
      </c>
      <c r="N54" s="115"/>
      <c r="O54" s="203">
        <f>'Prop Budget Calc'!AK54/12</f>
        <v>0</v>
      </c>
      <c r="P54" s="203">
        <f>'Prop Budget Calc'!AL54/24</f>
        <v>0</v>
      </c>
      <c r="Q54" s="203">
        <f>'Prop Budget Calc'!AM54/24</f>
        <v>0</v>
      </c>
      <c r="R54" s="203">
        <f>'Prop Budget Calc'!BC54/(1+Scenarios!$E$8)</f>
        <v>17547.240087999999</v>
      </c>
      <c r="S54" s="203">
        <f>'Prop Budget Calc'!BD54/(1+Scenarios!$E$11)</f>
        <v>410.15094339622641</v>
      </c>
      <c r="T54" s="203">
        <f>'Prop Budget Calc'!AZ54/(1+Scenarios!$E$11)</f>
        <v>273.25811320754713</v>
      </c>
      <c r="U54" s="203">
        <f t="shared" si="61"/>
        <v>18230.649144603773</v>
      </c>
      <c r="X54" s="126"/>
      <c r="Y54" s="126"/>
      <c r="AA54" s="125">
        <f t="shared" si="75"/>
        <v>2499.7011494252865</v>
      </c>
      <c r="AB54" s="125">
        <f t="shared" si="75"/>
        <v>0</v>
      </c>
      <c r="AC54" s="125">
        <f t="shared" si="75"/>
        <v>0</v>
      </c>
      <c r="AD54" s="125">
        <f t="shared" si="74"/>
        <v>0</v>
      </c>
      <c r="AE54" s="125"/>
      <c r="AF54" s="125">
        <f t="shared" si="64"/>
        <v>0</v>
      </c>
      <c r="AG54" s="125">
        <f t="shared" si="65"/>
        <v>0</v>
      </c>
      <c r="AH54" s="125">
        <f t="shared" si="66"/>
        <v>0</v>
      </c>
      <c r="AI54" s="125">
        <f t="shared" si="67"/>
        <v>0</v>
      </c>
      <c r="AJ54" s="125">
        <f t="shared" si="68"/>
        <v>2499.7011494252865</v>
      </c>
      <c r="AK54" s="125">
        <f t="shared" si="69"/>
        <v>191.22713793103443</v>
      </c>
      <c r="AL54" s="205">
        <f t="shared" si="70"/>
        <v>911.53245723018802</v>
      </c>
      <c r="AM54" s="125">
        <f t="shared" si="71"/>
        <v>0</v>
      </c>
      <c r="AN54" s="125">
        <f t="shared" si="72"/>
        <v>416.70018160919523</v>
      </c>
    </row>
    <row r="55" spans="2:40">
      <c r="B55" s="20" t="s">
        <v>1630</v>
      </c>
      <c r="C55" s="115" t="str">
        <f>'Prop Budget Calc'!B55</f>
        <v>Utility Billing Representative I</v>
      </c>
      <c r="D55" s="115" t="str">
        <f>'Prop Budget Calc'!C55</f>
        <v>First Name Last Name</v>
      </c>
      <c r="F55" s="115">
        <f>'Prop Budget Calc'!E55</f>
        <v>1</v>
      </c>
      <c r="H55" s="115" t="str">
        <f>'Prop Budget Calc'!G55</f>
        <v>200-71-711</v>
      </c>
      <c r="J55" s="202" t="str">
        <f>'Prop Budget Calc'!I55</f>
        <v>50102</v>
      </c>
      <c r="K55" s="115">
        <f>'Prop Budget Calc'!P55</f>
        <v>44494</v>
      </c>
      <c r="L55" s="203">
        <f>'Prop Budget Calc'!O55</f>
        <v>40340</v>
      </c>
      <c r="M55" s="115">
        <f t="shared" si="60"/>
        <v>3361.6666666666665</v>
      </c>
      <c r="N55" s="115"/>
      <c r="O55" s="203">
        <f>'Prop Budget Calc'!AK55/12</f>
        <v>0</v>
      </c>
      <c r="P55" s="203">
        <f>'Prop Budget Calc'!AL55/24</f>
        <v>0</v>
      </c>
      <c r="Q55" s="203">
        <f>'Prop Budget Calc'!AM55/24</f>
        <v>0</v>
      </c>
      <c r="R55" s="203">
        <f>'Prop Budget Calc'!BC55/(1+Scenarios!$E$8)</f>
        <v>18124.495623999999</v>
      </c>
      <c r="S55" s="203">
        <f>'Prop Budget Calc'!BD55/(1+Scenarios!$E$11)</f>
        <v>795.7358490566038</v>
      </c>
      <c r="T55" s="203">
        <f>'Prop Budget Calc'!AZ55/(1+Scenarios!$E$11)</f>
        <v>172.27216981132074</v>
      </c>
      <c r="U55" s="203">
        <f t="shared" si="61"/>
        <v>19092.503642867923</v>
      </c>
      <c r="X55" s="126"/>
      <c r="Y55" s="126"/>
      <c r="AA55" s="125">
        <f t="shared" si="75"/>
        <v>0</v>
      </c>
      <c r="AB55" s="125">
        <f t="shared" si="75"/>
        <v>1823.8007662835244</v>
      </c>
      <c r="AC55" s="125">
        <f t="shared" si="75"/>
        <v>0</v>
      </c>
      <c r="AD55" s="125">
        <f t="shared" si="74"/>
        <v>0</v>
      </c>
      <c r="AE55" s="125"/>
      <c r="AF55" s="125">
        <f t="shared" si="64"/>
        <v>0</v>
      </c>
      <c r="AG55" s="125">
        <f t="shared" si="65"/>
        <v>0</v>
      </c>
      <c r="AH55" s="125">
        <f t="shared" si="66"/>
        <v>0</v>
      </c>
      <c r="AI55" s="125">
        <f t="shared" si="67"/>
        <v>0</v>
      </c>
      <c r="AJ55" s="125">
        <f t="shared" si="68"/>
        <v>1823.8007662835244</v>
      </c>
      <c r="AK55" s="125">
        <f t="shared" si="69"/>
        <v>139.52075862068961</v>
      </c>
      <c r="AL55" s="205">
        <f t="shared" si="70"/>
        <v>954.62518214339559</v>
      </c>
      <c r="AM55" s="125">
        <f t="shared" si="71"/>
        <v>0</v>
      </c>
      <c r="AN55" s="125">
        <f t="shared" si="72"/>
        <v>304.02758773946351</v>
      </c>
    </row>
    <row r="56" spans="2:40">
      <c r="B56" s="20" t="s">
        <v>1426</v>
      </c>
      <c r="C56" s="115" t="str">
        <f>'Prop Budget Calc'!B56</f>
        <v>Field Technician Ii</v>
      </c>
      <c r="D56" s="115" t="str">
        <f>'Prop Budget Calc'!C56</f>
        <v>First Name Last Name</v>
      </c>
      <c r="F56" s="115">
        <f>'Prop Budget Calc'!E56</f>
        <v>1</v>
      </c>
      <c r="H56" s="115" t="str">
        <f>'Prop Budget Calc'!G56</f>
        <v>200-71-712</v>
      </c>
      <c r="J56" s="202" t="str">
        <f>'Prop Budget Calc'!I56</f>
        <v>50102</v>
      </c>
      <c r="K56" s="115">
        <f>'Prop Budget Calc'!P56</f>
        <v>36493</v>
      </c>
      <c r="L56" s="203">
        <f>'Prop Budget Calc'!O56</f>
        <v>56290</v>
      </c>
      <c r="M56" s="115">
        <f t="shared" si="60"/>
        <v>4690.833333333333</v>
      </c>
      <c r="N56" s="115"/>
      <c r="O56" s="203">
        <f>'Prop Budget Calc'!AK56/12</f>
        <v>75</v>
      </c>
      <c r="P56" s="203">
        <f>'Prop Budget Calc'!AL56/24</f>
        <v>0</v>
      </c>
      <c r="Q56" s="203">
        <f>'Prop Budget Calc'!AM56/24</f>
        <v>0</v>
      </c>
      <c r="R56" s="203">
        <f>'Prop Budget Calc'!BC56/(1+Scenarios!$E$8)</f>
        <v>18415.972864000003</v>
      </c>
      <c r="S56" s="203">
        <f>'Prop Budget Calc'!BD56/(1+Scenarios!$E$11)</f>
        <v>795.7358490566038</v>
      </c>
      <c r="T56" s="203">
        <f>'Prop Budget Calc'!AZ56/(1+Scenarios!$E$11)</f>
        <v>203.64509433962263</v>
      </c>
      <c r="U56" s="203">
        <f t="shared" si="61"/>
        <v>19415.35380739623</v>
      </c>
      <c r="X56" s="126"/>
      <c r="Y56" s="126"/>
      <c r="AA56" s="125">
        <f t="shared" si="75"/>
        <v>0</v>
      </c>
      <c r="AB56" s="125">
        <f t="shared" si="75"/>
        <v>2544.9118773946357</v>
      </c>
      <c r="AC56" s="125">
        <f t="shared" si="75"/>
        <v>0</v>
      </c>
      <c r="AD56" s="125">
        <f t="shared" si="74"/>
        <v>0</v>
      </c>
      <c r="AE56" s="125"/>
      <c r="AF56" s="125">
        <f t="shared" si="64"/>
        <v>0</v>
      </c>
      <c r="AG56" s="125">
        <f t="shared" si="65"/>
        <v>89.999999999999943</v>
      </c>
      <c r="AH56" s="125">
        <f t="shared" si="66"/>
        <v>0</v>
      </c>
      <c r="AI56" s="125">
        <f t="shared" si="67"/>
        <v>0</v>
      </c>
      <c r="AJ56" s="125">
        <f t="shared" si="68"/>
        <v>2634.9118773946357</v>
      </c>
      <c r="AK56" s="125">
        <f t="shared" si="69"/>
        <v>201.57075862068962</v>
      </c>
      <c r="AL56" s="205">
        <f t="shared" si="70"/>
        <v>970.76769036981091</v>
      </c>
      <c r="AM56" s="125">
        <f t="shared" si="71"/>
        <v>0</v>
      </c>
      <c r="AN56" s="125">
        <f t="shared" si="72"/>
        <v>439.23980996168575</v>
      </c>
    </row>
    <row r="57" spans="2:40">
      <c r="B57" s="20" t="s">
        <v>1461</v>
      </c>
      <c r="C57" s="115" t="str">
        <f>'Prop Budget Calc'!B57</f>
        <v>Water Productions Operator</v>
      </c>
      <c r="D57" s="115" t="str">
        <f>'Prop Budget Calc'!C57</f>
        <v>First Name Last Name</v>
      </c>
      <c r="F57" s="115">
        <f>'Prop Budget Calc'!E57</f>
        <v>1</v>
      </c>
      <c r="H57" s="115" t="str">
        <f>'Prop Budget Calc'!G57</f>
        <v>200-73-734</v>
      </c>
      <c r="J57" s="202" t="str">
        <f>'Prop Budget Calc'!I57</f>
        <v>50102</v>
      </c>
      <c r="K57" s="115">
        <f>'Prop Budget Calc'!P57</f>
        <v>37361</v>
      </c>
      <c r="L57" s="203">
        <f>'Prop Budget Calc'!O57</f>
        <v>60450</v>
      </c>
      <c r="M57" s="115">
        <f t="shared" si="60"/>
        <v>5037.5</v>
      </c>
      <c r="N57" s="115"/>
      <c r="O57" s="203">
        <f>'Prop Budget Calc'!AK57/12</f>
        <v>100</v>
      </c>
      <c r="P57" s="203">
        <f>'Prop Budget Calc'!AL57/24</f>
        <v>0</v>
      </c>
      <c r="Q57" s="203">
        <f>'Prop Budget Calc'!AM57/24</f>
        <v>0</v>
      </c>
      <c r="R57" s="203">
        <f>'Prop Budget Calc'!BC57/(1+Scenarios!$E$8)</f>
        <v>10297.840743999999</v>
      </c>
      <c r="S57" s="203">
        <f>'Prop Budget Calc'!BD57/(1+Scenarios!$E$11)</f>
        <v>410.15094339622641</v>
      </c>
      <c r="T57" s="203">
        <f>'Prop Budget Calc'!AZ57/(1+Scenarios!$E$11)</f>
        <v>211.21811320754716</v>
      </c>
      <c r="U57" s="203">
        <f t="shared" si="61"/>
        <v>10919.209800603772</v>
      </c>
      <c r="X57" s="126"/>
      <c r="Y57" s="126"/>
      <c r="AA57" s="125">
        <f t="shared" si="75"/>
        <v>0</v>
      </c>
      <c r="AB57" s="125">
        <f t="shared" si="75"/>
        <v>2732.9885057471256</v>
      </c>
      <c r="AC57" s="125">
        <f t="shared" si="75"/>
        <v>0</v>
      </c>
      <c r="AD57" s="125">
        <f t="shared" si="74"/>
        <v>0</v>
      </c>
      <c r="AE57" s="125"/>
      <c r="AF57" s="125">
        <f t="shared" si="64"/>
        <v>0</v>
      </c>
      <c r="AG57" s="125">
        <f t="shared" si="65"/>
        <v>119.99999999999993</v>
      </c>
      <c r="AH57" s="125">
        <f t="shared" si="66"/>
        <v>0</v>
      </c>
      <c r="AI57" s="125">
        <f t="shared" si="67"/>
        <v>0</v>
      </c>
      <c r="AJ57" s="125">
        <f t="shared" si="68"/>
        <v>2852.9885057471256</v>
      </c>
      <c r="AK57" s="125">
        <f t="shared" si="69"/>
        <v>218.25362068965512</v>
      </c>
      <c r="AL57" s="205">
        <f t="shared" si="70"/>
        <v>545.96049003018823</v>
      </c>
      <c r="AM57" s="125">
        <f t="shared" si="71"/>
        <v>0</v>
      </c>
      <c r="AN57" s="125">
        <f t="shared" si="72"/>
        <v>475.59318390804577</v>
      </c>
    </row>
    <row r="58" spans="2:40">
      <c r="B58" s="20" t="s">
        <v>1372</v>
      </c>
      <c r="C58" s="115" t="str">
        <f>'Prop Budget Calc'!B58</f>
        <v>Scada Operator</v>
      </c>
      <c r="D58" s="115" t="str">
        <f>'Prop Budget Calc'!C58</f>
        <v>First Name Last Name</v>
      </c>
      <c r="F58" s="115">
        <f>'Prop Budget Calc'!E58</f>
        <v>1</v>
      </c>
      <c r="H58" s="115" t="str">
        <f>'Prop Budget Calc'!G58</f>
        <v>200-73-734</v>
      </c>
      <c r="J58" s="202" t="str">
        <f>'Prop Budget Calc'!I58</f>
        <v>50102</v>
      </c>
      <c r="K58" s="115">
        <f>'Prop Budget Calc'!P58</f>
        <v>39034</v>
      </c>
      <c r="L58" s="203">
        <f>'Prop Budget Calc'!O58</f>
        <v>55640</v>
      </c>
      <c r="M58" s="115">
        <f t="shared" si="60"/>
        <v>4636.666666666667</v>
      </c>
      <c r="N58" s="115"/>
      <c r="O58" s="203">
        <f>'Prop Budget Calc'!AK58/12</f>
        <v>75</v>
      </c>
      <c r="P58" s="203">
        <f>'Prop Budget Calc'!AL58/24</f>
        <v>0</v>
      </c>
      <c r="Q58" s="203">
        <f>'Prop Budget Calc'!AM58/24</f>
        <v>0</v>
      </c>
      <c r="R58" s="203">
        <f>'Prop Budget Calc'!BC58/(1+Scenarios!$E$8)</f>
        <v>21751.279839999999</v>
      </c>
      <c r="S58" s="203">
        <f>'Prop Budget Calc'!BD58/(1+Scenarios!$E$11)</f>
        <v>795.7358490566038</v>
      </c>
      <c r="T58" s="203">
        <f>'Prop Budget Calc'!AZ58/(1+Scenarios!$E$11)</f>
        <v>201.84650943396227</v>
      </c>
      <c r="U58" s="203">
        <f t="shared" si="61"/>
        <v>22748.862198490566</v>
      </c>
      <c r="X58" s="126"/>
      <c r="Y58" s="126"/>
      <c r="AA58" s="125">
        <f t="shared" si="75"/>
        <v>0</v>
      </c>
      <c r="AB58" s="125">
        <f t="shared" si="75"/>
        <v>2515.5249042145588</v>
      </c>
      <c r="AC58" s="125">
        <f t="shared" si="75"/>
        <v>0</v>
      </c>
      <c r="AD58" s="125">
        <f t="shared" si="74"/>
        <v>0</v>
      </c>
      <c r="AE58" s="125"/>
      <c r="AF58" s="125">
        <f t="shared" si="64"/>
        <v>0</v>
      </c>
      <c r="AG58" s="125">
        <f t="shared" si="65"/>
        <v>89.999999999999943</v>
      </c>
      <c r="AH58" s="125">
        <f t="shared" si="66"/>
        <v>0</v>
      </c>
      <c r="AI58" s="125">
        <f t="shared" si="67"/>
        <v>0</v>
      </c>
      <c r="AJ58" s="125">
        <f t="shared" si="68"/>
        <v>2605.5249042145588</v>
      </c>
      <c r="AK58" s="125">
        <f t="shared" si="69"/>
        <v>199.32265517241373</v>
      </c>
      <c r="AL58" s="205">
        <f t="shared" si="70"/>
        <v>1137.4431099245276</v>
      </c>
      <c r="AM58" s="125">
        <f t="shared" si="71"/>
        <v>0</v>
      </c>
      <c r="AN58" s="125">
        <f t="shared" si="72"/>
        <v>434.34100153256691</v>
      </c>
    </row>
    <row r="59" spans="2:40">
      <c r="B59" s="20" t="s">
        <v>1479</v>
      </c>
      <c r="C59" s="115" t="str">
        <f>'Prop Budget Calc'!B59</f>
        <v>Water Production Supervisor</v>
      </c>
      <c r="D59" s="115" t="str">
        <f>'Prop Budget Calc'!C59</f>
        <v>First Name Last Name</v>
      </c>
      <c r="F59" s="115">
        <f>'Prop Budget Calc'!E59</f>
        <v>1</v>
      </c>
      <c r="H59" s="115" t="str">
        <f>'Prop Budget Calc'!G59</f>
        <v>200-73-734</v>
      </c>
      <c r="J59" s="202" t="str">
        <f>'Prop Budget Calc'!I59</f>
        <v>50102</v>
      </c>
      <c r="K59" s="115">
        <f>'Prop Budget Calc'!P59</f>
        <v>37235</v>
      </c>
      <c r="L59" s="203">
        <f>'Prop Budget Calc'!O59</f>
        <v>72880</v>
      </c>
      <c r="M59" s="115">
        <f t="shared" si="60"/>
        <v>6073.333333333333</v>
      </c>
      <c r="N59" s="115"/>
      <c r="O59" s="203">
        <f>'Prop Budget Calc'!AK59/12</f>
        <v>100</v>
      </c>
      <c r="P59" s="203">
        <f>'Prop Budget Calc'!AL59/24</f>
        <v>0</v>
      </c>
      <c r="Q59" s="203">
        <f>'Prop Budget Calc'!AM59/24</f>
        <v>40</v>
      </c>
      <c r="R59" s="203">
        <f>'Prop Budget Calc'!BC59/(1+Scenarios!$E$8)</f>
        <v>20663.018992000001</v>
      </c>
      <c r="S59" s="203">
        <f>'Prop Budget Calc'!BD59/(1+Scenarios!$E$11)</f>
        <v>795.7358490566038</v>
      </c>
      <c r="T59" s="203">
        <f>'Prop Budget Calc'!AZ59/(1+Scenarios!$E$11)</f>
        <v>234.96452830188682</v>
      </c>
      <c r="U59" s="203">
        <f t="shared" si="61"/>
        <v>21693.719369358492</v>
      </c>
      <c r="X59" s="126"/>
      <c r="Y59" s="126"/>
      <c r="AA59" s="125">
        <f t="shared" si="75"/>
        <v>0</v>
      </c>
      <c r="AB59" s="125">
        <f t="shared" si="75"/>
        <v>3294.9578544061292</v>
      </c>
      <c r="AC59" s="125">
        <f t="shared" si="75"/>
        <v>0</v>
      </c>
      <c r="AD59" s="125">
        <f t="shared" si="74"/>
        <v>0</v>
      </c>
      <c r="AE59" s="125"/>
      <c r="AF59" s="125">
        <f t="shared" si="64"/>
        <v>0</v>
      </c>
      <c r="AG59" s="125">
        <f t="shared" si="65"/>
        <v>119.99999999999993</v>
      </c>
      <c r="AH59" s="125">
        <f t="shared" si="66"/>
        <v>0</v>
      </c>
      <c r="AI59" s="125">
        <f t="shared" si="67"/>
        <v>0</v>
      </c>
      <c r="AJ59" s="125">
        <f t="shared" si="68"/>
        <v>3414.9578544061292</v>
      </c>
      <c r="AK59" s="125">
        <f t="shared" si="69"/>
        <v>261.24427586206889</v>
      </c>
      <c r="AL59" s="205">
        <f t="shared" si="70"/>
        <v>1084.6859684679239</v>
      </c>
      <c r="AM59" s="125">
        <f t="shared" si="71"/>
        <v>0</v>
      </c>
      <c r="AN59" s="125">
        <f t="shared" si="72"/>
        <v>569.27347432950171</v>
      </c>
    </row>
    <row r="60" spans="2:40">
      <c r="B60" s="20" t="s">
        <v>1287</v>
      </c>
      <c r="C60" s="115" t="str">
        <f>'Prop Budget Calc'!B60</f>
        <v>Supervisor - Water</v>
      </c>
      <c r="D60" s="115" t="str">
        <f>'Prop Budget Calc'!C60</f>
        <v>First Name Last Name</v>
      </c>
      <c r="F60" s="115">
        <f>'Prop Budget Calc'!E60</f>
        <v>1</v>
      </c>
      <c r="H60" s="115" t="str">
        <f>'Prop Budget Calc'!G60</f>
        <v>200-73-735</v>
      </c>
      <c r="J60" s="202" t="str">
        <f>'Prop Budget Calc'!I60</f>
        <v>50102</v>
      </c>
      <c r="K60" s="115">
        <f>'Prop Budget Calc'!P60</f>
        <v>40771</v>
      </c>
      <c r="L60" s="203">
        <f>'Prop Budget Calc'!O60</f>
        <v>73990</v>
      </c>
      <c r="M60" s="115">
        <f t="shared" si="60"/>
        <v>6165.833333333333</v>
      </c>
      <c r="N60" s="115"/>
      <c r="O60" s="203">
        <f>'Prop Budget Calc'!AK60/12</f>
        <v>37.5</v>
      </c>
      <c r="P60" s="203">
        <f>'Prop Budget Calc'!AL60/24</f>
        <v>0</v>
      </c>
      <c r="Q60" s="203">
        <f>'Prop Budget Calc'!AM60/24</f>
        <v>40</v>
      </c>
      <c r="R60" s="203">
        <f>'Prop Budget Calc'!BC60/(1+Scenarios!$E$8)</f>
        <v>20663.018992000001</v>
      </c>
      <c r="S60" s="203">
        <f>'Prop Budget Calc'!BD60/(1+Scenarios!$E$11)</f>
        <v>795.7358490566038</v>
      </c>
      <c r="T60" s="203">
        <f>'Prop Budget Calc'!AZ60/(1+Scenarios!$E$11)</f>
        <v>234.64981132075468</v>
      </c>
      <c r="U60" s="203">
        <f t="shared" si="61"/>
        <v>21693.404652377361</v>
      </c>
      <c r="X60" s="126"/>
      <c r="Y60" s="126"/>
      <c r="AA60" s="125">
        <f t="shared" si="75"/>
        <v>0</v>
      </c>
      <c r="AB60" s="125">
        <f t="shared" si="75"/>
        <v>3345.1417624521064</v>
      </c>
      <c r="AC60" s="125">
        <f t="shared" si="75"/>
        <v>0</v>
      </c>
      <c r="AD60" s="125">
        <f t="shared" si="74"/>
        <v>0</v>
      </c>
      <c r="AE60" s="125"/>
      <c r="AF60" s="125">
        <f t="shared" si="64"/>
        <v>0</v>
      </c>
      <c r="AG60" s="125">
        <f t="shared" si="65"/>
        <v>44.999999999999972</v>
      </c>
      <c r="AH60" s="125">
        <f t="shared" si="66"/>
        <v>0</v>
      </c>
      <c r="AI60" s="125">
        <f t="shared" si="67"/>
        <v>0</v>
      </c>
      <c r="AJ60" s="125">
        <f t="shared" si="68"/>
        <v>3390.1417624521064</v>
      </c>
      <c r="AK60" s="125">
        <f t="shared" si="69"/>
        <v>259.34584482758612</v>
      </c>
      <c r="AL60" s="205">
        <f t="shared" si="70"/>
        <v>1084.6702326188674</v>
      </c>
      <c r="AM60" s="125">
        <f t="shared" si="71"/>
        <v>0</v>
      </c>
      <c r="AN60" s="125">
        <f t="shared" si="72"/>
        <v>565.13663180076605</v>
      </c>
    </row>
    <row r="61" spans="2:40">
      <c r="B61" s="20" t="s">
        <v>1659</v>
      </c>
      <c r="C61" s="115" t="str">
        <f>'Prop Budget Calc'!B61</f>
        <v>Maintenance Worker Ii - (W &amp; Ww)</v>
      </c>
      <c r="D61" s="115" t="str">
        <f>'Prop Budget Calc'!C61</f>
        <v>First Name Last Name</v>
      </c>
      <c r="F61" s="115">
        <f>'Prop Budget Calc'!E61</f>
        <v>1</v>
      </c>
      <c r="H61" s="115" t="str">
        <f>'Prop Budget Calc'!G61</f>
        <v>200-73-735</v>
      </c>
      <c r="J61" s="202" t="str">
        <f>'Prop Budget Calc'!I61</f>
        <v>50102</v>
      </c>
      <c r="K61" s="115">
        <f>'Prop Budget Calc'!P61</f>
        <v>44599</v>
      </c>
      <c r="L61" s="203">
        <f>'Prop Budget Calc'!O61</f>
        <v>39050</v>
      </c>
      <c r="M61" s="115">
        <f t="shared" si="60"/>
        <v>3254.1666666666665</v>
      </c>
      <c r="N61" s="115"/>
      <c r="O61" s="203">
        <f>'Prop Budget Calc'!AK61/12</f>
        <v>0</v>
      </c>
      <c r="P61" s="203">
        <f>'Prop Budget Calc'!AL61/24</f>
        <v>0</v>
      </c>
      <c r="Q61" s="203">
        <f>'Prop Budget Calc'!AM61/24</f>
        <v>0</v>
      </c>
      <c r="R61" s="203">
        <f>'Prop Budget Calc'!BC61/(1+Scenarios!$E$8)</f>
        <v>10338.445719999998</v>
      </c>
      <c r="S61" s="203">
        <f>'Prop Budget Calc'!BD61/(1+Scenarios!$E$11)</f>
        <v>410.15094339622641</v>
      </c>
      <c r="T61" s="203">
        <f>'Prop Budget Calc'!AZ61/(1+Scenarios!$E$11)</f>
        <v>170.00773584905659</v>
      </c>
      <c r="U61" s="203">
        <f t="shared" si="61"/>
        <v>10918.60439924528</v>
      </c>
      <c r="X61" s="126"/>
      <c r="Y61" s="126"/>
      <c r="AA61" s="125">
        <f t="shared" si="75"/>
        <v>0</v>
      </c>
      <c r="AB61" s="125">
        <f t="shared" si="75"/>
        <v>1765.4789272030646</v>
      </c>
      <c r="AC61" s="125">
        <f t="shared" si="75"/>
        <v>0</v>
      </c>
      <c r="AD61" s="125">
        <f t="shared" si="74"/>
        <v>0</v>
      </c>
      <c r="AE61" s="125"/>
      <c r="AF61" s="125">
        <f t="shared" si="64"/>
        <v>0</v>
      </c>
      <c r="AG61" s="125">
        <f t="shared" si="65"/>
        <v>0</v>
      </c>
      <c r="AH61" s="125">
        <f t="shared" si="66"/>
        <v>0</v>
      </c>
      <c r="AI61" s="125">
        <f t="shared" si="67"/>
        <v>0</v>
      </c>
      <c r="AJ61" s="125">
        <f t="shared" si="68"/>
        <v>1765.4789272030646</v>
      </c>
      <c r="AK61" s="125">
        <f t="shared" si="69"/>
        <v>135.05913793103443</v>
      </c>
      <c r="AL61" s="205">
        <f t="shared" si="70"/>
        <v>545.93021996226366</v>
      </c>
      <c r="AM61" s="125">
        <f t="shared" si="71"/>
        <v>0</v>
      </c>
      <c r="AN61" s="125">
        <f t="shared" si="72"/>
        <v>294.30533716475082</v>
      </c>
    </row>
    <row r="62" spans="2:40">
      <c r="B62" s="20" t="s">
        <v>1660</v>
      </c>
      <c r="C62" s="115" t="str">
        <f>'Prop Budget Calc'!B62</f>
        <v>Water/Sewer Maintenance Worker</v>
      </c>
      <c r="D62" s="115" t="str">
        <f>'Prop Budget Calc'!C62</f>
        <v>Vacant Vacant</v>
      </c>
      <c r="F62" s="115">
        <f>'Prop Budget Calc'!E62</f>
        <v>1</v>
      </c>
      <c r="H62" s="115" t="str">
        <f>'Prop Budget Calc'!G62</f>
        <v>200-73-735</v>
      </c>
      <c r="J62" s="202" t="str">
        <f>'Prop Budget Calc'!I62</f>
        <v>50102</v>
      </c>
      <c r="K62" s="115">
        <f>'Prop Budget Calc'!P62</f>
        <v>45027</v>
      </c>
      <c r="L62" s="203">
        <f>'Prop Budget Calc'!O62</f>
        <v>36070</v>
      </c>
      <c r="M62" s="115">
        <f t="shared" si="60"/>
        <v>3005.8333333333335</v>
      </c>
      <c r="N62" s="115"/>
      <c r="O62" s="203">
        <f>'Prop Budget Calc'!AK62/12</f>
        <v>0</v>
      </c>
      <c r="P62" s="203">
        <f>'Prop Budget Calc'!AL62/24</f>
        <v>0</v>
      </c>
      <c r="Q62" s="203">
        <f>'Prop Budget Calc'!AM62/24</f>
        <v>0</v>
      </c>
      <c r="R62" s="203">
        <f>'Prop Budget Calc'!BC62/(1+Scenarios!$E$8)</f>
        <v>13938.438387310343</v>
      </c>
      <c r="S62" s="203">
        <f>'Prop Budget Calc'!BD62/(1+Scenarios!$E$11)</f>
        <v>593.09268695771937</v>
      </c>
      <c r="T62" s="203">
        <f>'Prop Budget Calc'!AZ62/(1+Scenarios!$E$11)</f>
        <v>164.72603773584905</v>
      </c>
      <c r="U62" s="203">
        <f t="shared" si="61"/>
        <v>14696.257112003912</v>
      </c>
      <c r="X62" s="126"/>
      <c r="Y62" s="126"/>
      <c r="AA62" s="125">
        <f t="shared" ref="AA62:AC71" si="76">IF($J62=AA$5,$L62/$AB$1*$AB$2,0)</f>
        <v>0</v>
      </c>
      <c r="AB62" s="125">
        <f t="shared" si="76"/>
        <v>1630.7509578544054</v>
      </c>
      <c r="AC62" s="125">
        <f t="shared" si="76"/>
        <v>0</v>
      </c>
      <c r="AD62" s="125">
        <f t="shared" si="74"/>
        <v>0</v>
      </c>
      <c r="AE62" s="125"/>
      <c r="AF62" s="125">
        <f t="shared" si="64"/>
        <v>0</v>
      </c>
      <c r="AG62" s="125">
        <f t="shared" si="65"/>
        <v>0</v>
      </c>
      <c r="AH62" s="125">
        <f t="shared" si="66"/>
        <v>0</v>
      </c>
      <c r="AI62" s="125">
        <f t="shared" si="67"/>
        <v>0</v>
      </c>
      <c r="AJ62" s="125">
        <f t="shared" si="68"/>
        <v>1630.7509578544054</v>
      </c>
      <c r="AK62" s="125">
        <f t="shared" si="69"/>
        <v>124.75244827586201</v>
      </c>
      <c r="AL62" s="205">
        <f t="shared" si="70"/>
        <v>734.81285560019512</v>
      </c>
      <c r="AM62" s="125">
        <f t="shared" si="71"/>
        <v>0</v>
      </c>
      <c r="AN62" s="125">
        <f t="shared" si="72"/>
        <v>271.84618467432938</v>
      </c>
    </row>
    <row r="63" spans="2:40">
      <c r="B63" s="20" t="s">
        <v>1576</v>
      </c>
      <c r="C63" s="115" t="str">
        <f>'Prop Budget Calc'!B63</f>
        <v>Crew Leader - W &amp; Ww Maintenance</v>
      </c>
      <c r="D63" s="115" t="str">
        <f>'Prop Budget Calc'!C63</f>
        <v>First Name Last Name</v>
      </c>
      <c r="F63" s="115">
        <f>'Prop Budget Calc'!E63</f>
        <v>1</v>
      </c>
      <c r="H63" s="115" t="str">
        <f>'Prop Budget Calc'!G63</f>
        <v>200-73-735</v>
      </c>
      <c r="J63" s="202" t="str">
        <f>'Prop Budget Calc'!I63</f>
        <v>50102</v>
      </c>
      <c r="K63" s="115">
        <f>'Prop Budget Calc'!P63</f>
        <v>44004</v>
      </c>
      <c r="L63" s="203">
        <f>'Prop Budget Calc'!O63</f>
        <v>51480</v>
      </c>
      <c r="M63" s="115">
        <f t="shared" si="60"/>
        <v>4290</v>
      </c>
      <c r="N63" s="115"/>
      <c r="O63" s="203">
        <f>'Prop Budget Calc'!AK63/12</f>
        <v>75</v>
      </c>
      <c r="P63" s="203">
        <f>'Prop Budget Calc'!AL63/24</f>
        <v>0</v>
      </c>
      <c r="Q63" s="203">
        <f>'Prop Budget Calc'!AM63/24</f>
        <v>0</v>
      </c>
      <c r="R63" s="203">
        <f>'Prop Budget Calc'!BC63/(1+Scenarios!$E$8)</f>
        <v>21751.279839999999</v>
      </c>
      <c r="S63" s="203">
        <f>'Prop Budget Calc'!BD63/(1+Scenarios!$E$11)</f>
        <v>795.7358490566038</v>
      </c>
      <c r="T63" s="203">
        <f>'Prop Budget Calc'!AZ63/(1+Scenarios!$E$11)</f>
        <v>193.23481132075469</v>
      </c>
      <c r="U63" s="203">
        <f t="shared" si="61"/>
        <v>22740.250500377359</v>
      </c>
      <c r="X63" s="126"/>
      <c r="Y63" s="126"/>
      <c r="AA63" s="125">
        <f t="shared" si="76"/>
        <v>0</v>
      </c>
      <c r="AB63" s="125">
        <f t="shared" si="76"/>
        <v>2327.4482758620684</v>
      </c>
      <c r="AC63" s="125">
        <f t="shared" si="76"/>
        <v>0</v>
      </c>
      <c r="AD63" s="125">
        <f t="shared" si="74"/>
        <v>0</v>
      </c>
      <c r="AE63" s="125"/>
      <c r="AF63" s="125">
        <f t="shared" si="64"/>
        <v>0</v>
      </c>
      <c r="AG63" s="125">
        <f t="shared" si="65"/>
        <v>89.999999999999943</v>
      </c>
      <c r="AH63" s="125">
        <f t="shared" si="66"/>
        <v>0</v>
      </c>
      <c r="AI63" s="125">
        <f t="shared" si="67"/>
        <v>0</v>
      </c>
      <c r="AJ63" s="125">
        <f t="shared" si="68"/>
        <v>2417.4482758620684</v>
      </c>
      <c r="AK63" s="125">
        <f t="shared" si="69"/>
        <v>184.93479310344824</v>
      </c>
      <c r="AL63" s="205">
        <f t="shared" si="70"/>
        <v>1137.0125250188673</v>
      </c>
      <c r="AM63" s="125">
        <f t="shared" si="71"/>
        <v>0</v>
      </c>
      <c r="AN63" s="125">
        <f t="shared" ref="AN63:AN74" si="77">IF(OR($J63="50101", $J63="50102", $J63="50109", $J63="50140"),AJ63*$AN$2,0)</f>
        <v>402.98862758620675</v>
      </c>
    </row>
    <row r="64" spans="2:40">
      <c r="B64" s="20" t="s">
        <v>1796</v>
      </c>
      <c r="C64" s="115" t="str">
        <f>'Prop Budget Calc'!B64</f>
        <v>Maintenance Worker I - (W &amp; Ww)</v>
      </c>
      <c r="D64" s="115" t="str">
        <f>'Prop Budget Calc'!C64</f>
        <v>First Name Last Name</v>
      </c>
      <c r="F64" s="115">
        <f>'Prop Budget Calc'!E64</f>
        <v>1</v>
      </c>
      <c r="H64" s="115" t="str">
        <f>'Prop Budget Calc'!G64</f>
        <v>200-75-752</v>
      </c>
      <c r="J64" s="202" t="str">
        <f>'Prop Budget Calc'!I64</f>
        <v>50102</v>
      </c>
      <c r="K64" s="115">
        <f>'Prop Budget Calc'!P64</f>
        <v>45327</v>
      </c>
      <c r="L64" s="203">
        <f>'Prop Budget Calc'!O64</f>
        <v>34230</v>
      </c>
      <c r="M64" s="115">
        <f t="shared" si="60"/>
        <v>2852.5</v>
      </c>
      <c r="N64" s="115"/>
      <c r="O64" s="203">
        <f>'Prop Budget Calc'!AK64/12</f>
        <v>0</v>
      </c>
      <c r="P64" s="203">
        <f>'Prop Budget Calc'!AL64/24</f>
        <v>0</v>
      </c>
      <c r="Q64" s="203">
        <f>'Prop Budget Calc'!AM64/24</f>
        <v>0</v>
      </c>
      <c r="R64" s="203">
        <f>'Prop Budget Calc'!BC64/(1+Scenarios!$E$8)</f>
        <v>18124.495623999999</v>
      </c>
      <c r="S64" s="203">
        <f>'Prop Budget Calc'!BD64/(1+Scenarios!$E$11)</f>
        <v>410.15094339622641</v>
      </c>
      <c r="T64" s="203">
        <f>'Prop Budget Calc'!AZ64/(1+Scenarios!$E$11)</f>
        <v>161.36037735849055</v>
      </c>
      <c r="U64" s="203">
        <f t="shared" si="61"/>
        <v>18696.006944754718</v>
      </c>
      <c r="X64" s="126"/>
      <c r="Y64" s="126"/>
      <c r="AA64" s="125">
        <f t="shared" si="76"/>
        <v>0</v>
      </c>
      <c r="AB64" s="125">
        <f t="shared" si="76"/>
        <v>1547.5632183908042</v>
      </c>
      <c r="AC64" s="125">
        <f t="shared" si="76"/>
        <v>0</v>
      </c>
      <c r="AD64" s="125">
        <f t="shared" ref="AD64:AD113" si="78">IF($J64=AD$5,$L64/$AB$1*$AB$2,0)</f>
        <v>0</v>
      </c>
      <c r="AE64" s="125"/>
      <c r="AF64" s="125">
        <f t="shared" si="64"/>
        <v>0</v>
      </c>
      <c r="AG64" s="125">
        <f t="shared" si="65"/>
        <v>0</v>
      </c>
      <c r="AH64" s="125">
        <f t="shared" si="66"/>
        <v>0</v>
      </c>
      <c r="AI64" s="125">
        <f t="shared" si="67"/>
        <v>0</v>
      </c>
      <c r="AJ64" s="125">
        <f t="shared" si="68"/>
        <v>1547.5632183908042</v>
      </c>
      <c r="AK64" s="125">
        <f t="shared" si="69"/>
        <v>118.38858620689652</v>
      </c>
      <c r="AL64" s="205">
        <f t="shared" si="70"/>
        <v>934.80034723773531</v>
      </c>
      <c r="AM64" s="125">
        <f t="shared" si="71"/>
        <v>0</v>
      </c>
      <c r="AN64" s="125">
        <f t="shared" si="77"/>
        <v>257.97878850574705</v>
      </c>
    </row>
    <row r="65" spans="2:40">
      <c r="B65" s="20" t="s">
        <v>1512</v>
      </c>
      <c r="C65" s="115" t="str">
        <f>'Prop Budget Calc'!B65</f>
        <v>Crew Leader - W &amp; Ww Maintenance</v>
      </c>
      <c r="D65" s="115" t="str">
        <f>'Prop Budget Calc'!C65</f>
        <v>First Name Last Name</v>
      </c>
      <c r="F65" s="115">
        <f>'Prop Budget Calc'!E65</f>
        <v>1</v>
      </c>
      <c r="H65" s="115" t="str">
        <f>'Prop Budget Calc'!G65</f>
        <v>200-75-752</v>
      </c>
      <c r="J65" s="202" t="str">
        <f>'Prop Budget Calc'!I65</f>
        <v>50102</v>
      </c>
      <c r="K65" s="115">
        <f>'Prop Budget Calc'!P65</f>
        <v>45384</v>
      </c>
      <c r="L65" s="203">
        <f>'Prop Budget Calc'!O65</f>
        <v>46360</v>
      </c>
      <c r="M65" s="115">
        <f t="shared" si="60"/>
        <v>3863.3333333333335</v>
      </c>
      <c r="N65" s="115"/>
      <c r="O65" s="203">
        <f>'Prop Budget Calc'!AK65/12</f>
        <v>0</v>
      </c>
      <c r="P65" s="203">
        <f>'Prop Budget Calc'!AL65/24</f>
        <v>0</v>
      </c>
      <c r="Q65" s="203">
        <f>'Prop Budget Calc'!AM65/24</f>
        <v>0</v>
      </c>
      <c r="R65" s="203">
        <f>'Prop Budget Calc'!BC65/(1+Scenarios!$E$8)</f>
        <v>22485.137608000001</v>
      </c>
      <c r="S65" s="203">
        <f>'Prop Budget Calc'!BD65/(1+Scenarios!$E$11)</f>
        <v>795.7358490566038</v>
      </c>
      <c r="T65" s="203">
        <f>'Prop Budget Calc'!AZ65/(1+Scenarios!$E$11)</f>
        <v>182.37113207547168</v>
      </c>
      <c r="U65" s="203">
        <f t="shared" si="61"/>
        <v>23463.244589132075</v>
      </c>
      <c r="X65" s="126"/>
      <c r="Y65" s="126"/>
      <c r="AA65" s="125">
        <f t="shared" si="76"/>
        <v>0</v>
      </c>
      <c r="AB65" s="125">
        <f t="shared" si="76"/>
        <v>2095.9693486590031</v>
      </c>
      <c r="AC65" s="125">
        <f t="shared" si="76"/>
        <v>0</v>
      </c>
      <c r="AD65" s="125">
        <f t="shared" si="78"/>
        <v>0</v>
      </c>
      <c r="AE65" s="125"/>
      <c r="AF65" s="125">
        <f t="shared" ref="AF65:AF114" si="79">IF($J65=AF$5,$L65/$AB$1*$AB$2,0)</f>
        <v>0</v>
      </c>
      <c r="AG65" s="125">
        <f t="shared" ref="AG65:AG114" si="80">IF(RIGHT(J65,5)="TOTAL",0,O65*$AG$2)</f>
        <v>0</v>
      </c>
      <c r="AH65" s="125">
        <f t="shared" ref="AH65:AH114" si="81">IF(RIGHT(J65,5)="TOTAL",0,P65*$AH$2)</f>
        <v>0</v>
      </c>
      <c r="AI65" s="125">
        <f t="shared" ref="AI65:AI114" si="82">IF($J65=AI$5,$L65/$AI$1*$AI$2,0)</f>
        <v>0</v>
      </c>
      <c r="AJ65" s="125">
        <f t="shared" ref="AJ65:AJ114" si="83">SUM(AA65:AI65)</f>
        <v>2095.9693486590031</v>
      </c>
      <c r="AK65" s="125">
        <f t="shared" ref="AK65:AK114" si="84">AJ65*0.0145+IF(AJ65&gt;118500/$AB$1*$AB$2,118500/$AB$1*$AB$2*0.062,AJ65*0.062)</f>
        <v>160.34165517241374</v>
      </c>
      <c r="AL65" s="205">
        <f t="shared" ref="AL65:AL114" si="85">IF(RIGHT(J65,5)="total",0,U65/24*$AL$2)</f>
        <v>1173.1622294566032</v>
      </c>
      <c r="AM65" s="125">
        <f t="shared" ref="AM65:AM114" si="86">IF(RIGHT(J65,5)="total",0,V65*$AM$2)</f>
        <v>0</v>
      </c>
      <c r="AN65" s="125">
        <f t="shared" si="77"/>
        <v>349.39809042145578</v>
      </c>
    </row>
    <row r="66" spans="2:40">
      <c r="B66" s="20" t="s">
        <v>1797</v>
      </c>
      <c r="C66" s="115" t="str">
        <f>'Prop Budget Calc'!B66</f>
        <v>Supervisor - Wastewater</v>
      </c>
      <c r="D66" s="115" t="str">
        <f>'Prop Budget Calc'!C66</f>
        <v>First Name Last Name</v>
      </c>
      <c r="F66" s="115">
        <f>'Prop Budget Calc'!E66</f>
        <v>1</v>
      </c>
      <c r="H66" s="115" t="str">
        <f>'Prop Budget Calc'!G66</f>
        <v>200-75-752</v>
      </c>
      <c r="J66" s="202" t="str">
        <f>'Prop Budget Calc'!I66</f>
        <v>50102</v>
      </c>
      <c r="K66" s="115">
        <f>'Prop Budget Calc'!P66</f>
        <v>37305</v>
      </c>
      <c r="L66" s="203">
        <f>'Prop Budget Calc'!O66</f>
        <v>73370</v>
      </c>
      <c r="M66" s="115">
        <f t="shared" si="60"/>
        <v>6114.166666666667</v>
      </c>
      <c r="N66" s="115"/>
      <c r="O66" s="203">
        <f>'Prop Budget Calc'!AK66/12</f>
        <v>37.5</v>
      </c>
      <c r="P66" s="203">
        <f>'Prop Budget Calc'!AL66/24</f>
        <v>0</v>
      </c>
      <c r="Q66" s="203">
        <f>'Prop Budget Calc'!AM66/24</f>
        <v>40</v>
      </c>
      <c r="R66" s="203">
        <f>'Prop Budget Calc'!BC66/(1+Scenarios!$E$8)</f>
        <v>10226.841399999999</v>
      </c>
      <c r="S66" s="203">
        <f>'Prop Budget Calc'!BD66/(1+Scenarios!$E$11)</f>
        <v>795.7358490566038</v>
      </c>
      <c r="T66" s="203">
        <f>'Prop Budget Calc'!AZ66/(1+Scenarios!$E$11)</f>
        <v>234.53547169811318</v>
      </c>
      <c r="U66" s="203">
        <f t="shared" si="61"/>
        <v>11257.112720754716</v>
      </c>
      <c r="X66" s="126"/>
      <c r="Y66" s="126"/>
      <c r="AA66" s="125">
        <f t="shared" si="76"/>
        <v>0</v>
      </c>
      <c r="AB66" s="125">
        <f t="shared" si="76"/>
        <v>3317.1111111111099</v>
      </c>
      <c r="AC66" s="125">
        <f t="shared" si="76"/>
        <v>0</v>
      </c>
      <c r="AD66" s="125">
        <f t="shared" si="78"/>
        <v>0</v>
      </c>
      <c r="AE66" s="125"/>
      <c r="AF66" s="125">
        <f t="shared" si="79"/>
        <v>0</v>
      </c>
      <c r="AG66" s="125">
        <f t="shared" si="80"/>
        <v>44.999999999999972</v>
      </c>
      <c r="AH66" s="125">
        <f t="shared" si="81"/>
        <v>0</v>
      </c>
      <c r="AI66" s="125">
        <f t="shared" si="82"/>
        <v>0</v>
      </c>
      <c r="AJ66" s="125">
        <f t="shared" si="83"/>
        <v>3362.1111111111099</v>
      </c>
      <c r="AK66" s="125">
        <f t="shared" si="84"/>
        <v>257.2014999999999</v>
      </c>
      <c r="AL66" s="205">
        <f t="shared" si="85"/>
        <v>562.85563603773551</v>
      </c>
      <c r="AM66" s="125">
        <f t="shared" si="86"/>
        <v>0</v>
      </c>
      <c r="AN66" s="125">
        <f t="shared" si="77"/>
        <v>560.46392222222198</v>
      </c>
    </row>
    <row r="67" spans="2:40">
      <c r="B67" s="20" t="s">
        <v>1481</v>
      </c>
      <c r="C67" s="115" t="str">
        <f>'Prop Budget Calc'!B67</f>
        <v>Crew Leader - Pipeline Inspections</v>
      </c>
      <c r="D67" s="115" t="str">
        <f>'Prop Budget Calc'!C67</f>
        <v>First Name Last Name</v>
      </c>
      <c r="F67" s="115">
        <f>'Prop Budget Calc'!E67</f>
        <v>1</v>
      </c>
      <c r="H67" s="115" t="str">
        <f>'Prop Budget Calc'!G67</f>
        <v>200-75-752</v>
      </c>
      <c r="J67" s="202" t="str">
        <f>'Prop Budget Calc'!I67</f>
        <v>50102</v>
      </c>
      <c r="K67" s="115">
        <f>'Prop Budget Calc'!P67</f>
        <v>39034</v>
      </c>
      <c r="L67" s="203">
        <f>'Prop Budget Calc'!O67</f>
        <v>52160</v>
      </c>
      <c r="M67" s="115">
        <f t="shared" si="60"/>
        <v>4346.666666666667</v>
      </c>
      <c r="N67" s="115"/>
      <c r="O67" s="203">
        <f>'Prop Budget Calc'!AK67/12</f>
        <v>37.5</v>
      </c>
      <c r="P67" s="203">
        <f>'Prop Budget Calc'!AL67/24</f>
        <v>0</v>
      </c>
      <c r="Q67" s="203">
        <f>'Prop Budget Calc'!AM67/24</f>
        <v>0</v>
      </c>
      <c r="R67" s="203">
        <f>'Prop Budget Calc'!BC67/(1+Scenarios!$E$8)</f>
        <v>43502.559679999998</v>
      </c>
      <c r="S67" s="203">
        <f>'Prop Budget Calc'!BD67/(1+Scenarios!$E$11)</f>
        <v>1591.4716981132076</v>
      </c>
      <c r="T67" s="203">
        <f>'Prop Budget Calc'!AZ67/(1+Scenarios!$E$11)</f>
        <v>195.05575471698111</v>
      </c>
      <c r="U67" s="203">
        <f t="shared" si="61"/>
        <v>45289.087132830187</v>
      </c>
      <c r="X67" s="126"/>
      <c r="Y67" s="126"/>
      <c r="AA67" s="125">
        <f t="shared" si="76"/>
        <v>0</v>
      </c>
      <c r="AB67" s="125">
        <f t="shared" si="76"/>
        <v>2358.1915708812253</v>
      </c>
      <c r="AC67" s="125">
        <f t="shared" si="76"/>
        <v>0</v>
      </c>
      <c r="AD67" s="125">
        <f t="shared" si="78"/>
        <v>0</v>
      </c>
      <c r="AE67" s="125"/>
      <c r="AF67" s="125">
        <f t="shared" si="79"/>
        <v>0</v>
      </c>
      <c r="AG67" s="125">
        <f t="shared" si="80"/>
        <v>44.999999999999972</v>
      </c>
      <c r="AH67" s="125">
        <f t="shared" si="81"/>
        <v>0</v>
      </c>
      <c r="AI67" s="125">
        <f t="shared" si="82"/>
        <v>0</v>
      </c>
      <c r="AJ67" s="125">
        <f t="shared" si="83"/>
        <v>2403.1915708812253</v>
      </c>
      <c r="AK67" s="125">
        <f t="shared" si="84"/>
        <v>183.84415517241374</v>
      </c>
      <c r="AL67" s="205">
        <f t="shared" si="85"/>
        <v>2264.4543566415082</v>
      </c>
      <c r="AM67" s="125">
        <f t="shared" si="86"/>
        <v>0</v>
      </c>
      <c r="AN67" s="125">
        <f t="shared" si="77"/>
        <v>400.61203486590023</v>
      </c>
    </row>
    <row r="68" spans="2:40">
      <c r="B68" s="456" t="s">
        <v>1573</v>
      </c>
      <c r="C68" s="115" t="str">
        <f>'Prop Budget Calc'!B68</f>
        <v>Maintenance Worker Ii - (W &amp; Ww)</v>
      </c>
      <c r="D68" s="115" t="str">
        <f>'Prop Budget Calc'!C68</f>
        <v>First Name Last Name</v>
      </c>
      <c r="F68" s="115">
        <f>'Prop Budget Calc'!E68</f>
        <v>1</v>
      </c>
      <c r="H68" s="115" t="str">
        <f>'Prop Budget Calc'!G68</f>
        <v>200-75-752</v>
      </c>
      <c r="J68" s="202" t="str">
        <f>'Prop Budget Calc'!I68</f>
        <v>50102</v>
      </c>
      <c r="K68" s="115">
        <f>'Prop Budget Calc'!P68</f>
        <v>43983</v>
      </c>
      <c r="L68" s="203">
        <f>'Prop Budget Calc'!O68</f>
        <v>40220</v>
      </c>
      <c r="M68" s="115">
        <f t="shared" si="60"/>
        <v>3351.6666666666665</v>
      </c>
      <c r="N68" s="115"/>
      <c r="O68" s="203">
        <f>'Prop Budget Calc'!AK68/12</f>
        <v>0</v>
      </c>
      <c r="P68" s="203">
        <f>'Prop Budget Calc'!AL68/24</f>
        <v>0</v>
      </c>
      <c r="Q68" s="203">
        <f>'Prop Budget Calc'!AM68/24</f>
        <v>0</v>
      </c>
      <c r="R68" s="203">
        <f>'Prop Budget Calc'!BC68/(1+Scenarios!$E$8)</f>
        <v>19093.197376</v>
      </c>
      <c r="S68" s="203">
        <f>'Prop Budget Calc'!BD68/(1+Scenarios!$E$11)</f>
        <v>795.7358490566038</v>
      </c>
      <c r="T68" s="203">
        <f>'Prop Budget Calc'!AZ68/(1+Scenarios!$E$11)</f>
        <v>172.20962264150941</v>
      </c>
      <c r="U68" s="203">
        <f t="shared" si="61"/>
        <v>20061.142847698113</v>
      </c>
      <c r="X68" s="126"/>
      <c r="Y68" s="126"/>
      <c r="AA68" s="125">
        <f t="shared" si="76"/>
        <v>0</v>
      </c>
      <c r="AB68" s="125">
        <f t="shared" si="76"/>
        <v>1818.3754789272027</v>
      </c>
      <c r="AC68" s="125">
        <f t="shared" si="76"/>
        <v>0</v>
      </c>
      <c r="AD68" s="125">
        <f t="shared" si="78"/>
        <v>0</v>
      </c>
      <c r="AE68" s="125"/>
      <c r="AF68" s="125">
        <f t="shared" si="79"/>
        <v>0</v>
      </c>
      <c r="AG68" s="125">
        <f t="shared" si="80"/>
        <v>0</v>
      </c>
      <c r="AH68" s="125">
        <f t="shared" si="81"/>
        <v>0</v>
      </c>
      <c r="AI68" s="125">
        <f t="shared" si="82"/>
        <v>0</v>
      </c>
      <c r="AJ68" s="125">
        <f t="shared" si="83"/>
        <v>1818.3754789272027</v>
      </c>
      <c r="AK68" s="125">
        <f t="shared" si="84"/>
        <v>139.10572413793102</v>
      </c>
      <c r="AL68" s="205">
        <f t="shared" si="85"/>
        <v>1003.057142384905</v>
      </c>
      <c r="AM68" s="125">
        <f t="shared" si="86"/>
        <v>0</v>
      </c>
      <c r="AN68" s="125">
        <f t="shared" si="77"/>
        <v>303.12319233716465</v>
      </c>
    </row>
    <row r="69" spans="2:40">
      <c r="B69" s="20" t="s">
        <v>1441</v>
      </c>
      <c r="C69" s="115" t="str">
        <f>'Prop Budget Calc'!B69</f>
        <v>Logistics Coordinator</v>
      </c>
      <c r="D69" s="115" t="str">
        <f>'Prop Budget Calc'!C69</f>
        <v>First Name Last Name</v>
      </c>
      <c r="F69" s="115">
        <f>'Prop Budget Calc'!E69</f>
        <v>1</v>
      </c>
      <c r="H69" s="115" t="str">
        <f>'Prop Budget Calc'!G69</f>
        <v>200-77-772</v>
      </c>
      <c r="J69" s="202" t="str">
        <f>'Prop Budget Calc'!I69</f>
        <v>50102</v>
      </c>
      <c r="K69" s="115">
        <f>'Prop Budget Calc'!P69</f>
        <v>35009</v>
      </c>
      <c r="L69" s="203">
        <f>'Prop Budget Calc'!O69</f>
        <v>69790</v>
      </c>
      <c r="M69" s="115">
        <f t="shared" si="60"/>
        <v>5815.833333333333</v>
      </c>
      <c r="N69" s="115"/>
      <c r="O69" s="203">
        <f>'Prop Budget Calc'!AK69/12</f>
        <v>0</v>
      </c>
      <c r="P69" s="203">
        <f>'Prop Budget Calc'!AL69/24</f>
        <v>0</v>
      </c>
      <c r="Q69" s="203">
        <f>'Prop Budget Calc'!AM69/24</f>
        <v>22.5</v>
      </c>
      <c r="R69" s="203">
        <f>'Prop Budget Calc'!BC69/(1+Scenarios!$E$8)</f>
        <v>18415.972864000003</v>
      </c>
      <c r="S69" s="203">
        <f>'Prop Budget Calc'!BD69/(1+Scenarios!$E$11)</f>
        <v>795.7358490566038</v>
      </c>
      <c r="T69" s="203">
        <f>'Prop Budget Calc'!AZ69/(1+Scenarios!$E$11)</f>
        <v>226.91943396226415</v>
      </c>
      <c r="U69" s="203">
        <f t="shared" si="61"/>
        <v>19438.62814701887</v>
      </c>
      <c r="X69" s="126"/>
      <c r="Y69" s="126"/>
      <c r="AA69" s="125">
        <f t="shared" si="76"/>
        <v>0</v>
      </c>
      <c r="AB69" s="125">
        <f t="shared" si="76"/>
        <v>3155.2567049808422</v>
      </c>
      <c r="AC69" s="125">
        <f t="shared" si="76"/>
        <v>0</v>
      </c>
      <c r="AD69" s="125">
        <f t="shared" si="78"/>
        <v>0</v>
      </c>
      <c r="AE69" s="125"/>
      <c r="AF69" s="125">
        <f t="shared" si="79"/>
        <v>0</v>
      </c>
      <c r="AG69" s="125">
        <f t="shared" si="80"/>
        <v>0</v>
      </c>
      <c r="AH69" s="125">
        <f t="shared" si="81"/>
        <v>0</v>
      </c>
      <c r="AI69" s="125">
        <f t="shared" si="82"/>
        <v>0</v>
      </c>
      <c r="AJ69" s="125">
        <f t="shared" si="83"/>
        <v>3155.2567049808422</v>
      </c>
      <c r="AK69" s="125">
        <f t="shared" si="84"/>
        <v>241.37713793103444</v>
      </c>
      <c r="AL69" s="205">
        <f t="shared" si="85"/>
        <v>971.93140735094289</v>
      </c>
      <c r="AM69" s="125">
        <f t="shared" si="86"/>
        <v>0</v>
      </c>
      <c r="AN69" s="125">
        <f t="shared" si="77"/>
        <v>525.98129272030633</v>
      </c>
    </row>
    <row r="70" spans="2:40">
      <c r="B70" s="20" t="s">
        <v>1663</v>
      </c>
      <c r="C70" s="115" t="str">
        <f>'Prop Budget Calc'!B70</f>
        <v>Public Works Technician</v>
      </c>
      <c r="D70" s="115" t="str">
        <f>'Prop Budget Calc'!C70</f>
        <v>First Name Last Name</v>
      </c>
      <c r="F70" s="115">
        <f>'Prop Budget Calc'!E70</f>
        <v>1</v>
      </c>
      <c r="H70" s="115" t="str">
        <f>'Prop Budget Calc'!G70</f>
        <v>200-77-772</v>
      </c>
      <c r="J70" s="202" t="str">
        <f>'Prop Budget Calc'!I70</f>
        <v>50102</v>
      </c>
      <c r="K70" s="115">
        <f>'Prop Budget Calc'!P70</f>
        <v>44608</v>
      </c>
      <c r="L70" s="203">
        <f>'Prop Budget Calc'!O70</f>
        <v>34430</v>
      </c>
      <c r="M70" s="115">
        <f t="shared" si="60"/>
        <v>2869.1666666666665</v>
      </c>
      <c r="N70" s="115"/>
      <c r="O70" s="203">
        <f>'Prop Budget Calc'!AK70/12</f>
        <v>0</v>
      </c>
      <c r="P70" s="203">
        <f>'Prop Budget Calc'!AL70/24</f>
        <v>0</v>
      </c>
      <c r="Q70" s="203">
        <f>'Prop Budget Calc'!AM70/24</f>
        <v>0</v>
      </c>
      <c r="R70" s="203">
        <f>'Prop Budget Calc'!BC70/(1+Scenarios!$E$8)</f>
        <v>0</v>
      </c>
      <c r="S70" s="203">
        <f>'Prop Budget Calc'!BD70/(1+Scenarios!$E$11)</f>
        <v>410.15094339622641</v>
      </c>
      <c r="T70" s="203">
        <f>'Prop Budget Calc'!AZ70/(1+Scenarios!$E$11)</f>
        <v>162.00367924528302</v>
      </c>
      <c r="U70" s="203">
        <f t="shared" si="61"/>
        <v>572.15462264150938</v>
      </c>
      <c r="X70" s="126"/>
      <c r="Y70" s="126"/>
      <c r="AA70" s="125">
        <f t="shared" si="76"/>
        <v>0</v>
      </c>
      <c r="AB70" s="125">
        <f t="shared" si="76"/>
        <v>1556.6053639846739</v>
      </c>
      <c r="AC70" s="125">
        <f t="shared" si="76"/>
        <v>0</v>
      </c>
      <c r="AD70" s="125">
        <f t="shared" si="78"/>
        <v>0</v>
      </c>
      <c r="AE70" s="125"/>
      <c r="AF70" s="125">
        <f t="shared" si="79"/>
        <v>0</v>
      </c>
      <c r="AG70" s="125">
        <f t="shared" si="80"/>
        <v>0</v>
      </c>
      <c r="AH70" s="125">
        <f t="shared" si="81"/>
        <v>0</v>
      </c>
      <c r="AI70" s="125">
        <f t="shared" si="82"/>
        <v>0</v>
      </c>
      <c r="AJ70" s="125">
        <f t="shared" si="83"/>
        <v>1556.6053639846739</v>
      </c>
      <c r="AK70" s="125">
        <f t="shared" si="84"/>
        <v>119.08031034482755</v>
      </c>
      <c r="AL70" s="205">
        <f t="shared" si="85"/>
        <v>28.60773113207545</v>
      </c>
      <c r="AM70" s="125">
        <f t="shared" si="86"/>
        <v>0</v>
      </c>
      <c r="AN70" s="125">
        <f t="shared" si="77"/>
        <v>259.48611417624511</v>
      </c>
    </row>
    <row r="71" spans="2:40">
      <c r="B71" s="20" t="s">
        <v>1474</v>
      </c>
      <c r="C71" s="115" t="str">
        <f>'Prop Budget Calc'!B71</f>
        <v>Construction Inspector</v>
      </c>
      <c r="D71" s="115" t="str">
        <f>'Prop Budget Calc'!C71</f>
        <v>First Name Last Name</v>
      </c>
      <c r="F71" s="115">
        <f>'Prop Budget Calc'!E71</f>
        <v>1</v>
      </c>
      <c r="H71" s="115" t="str">
        <f>'Prop Budget Calc'!G71</f>
        <v>400-81-815</v>
      </c>
      <c r="J71" s="202" t="str">
        <f>'Prop Budget Calc'!I71</f>
        <v>50102</v>
      </c>
      <c r="K71" s="115">
        <f>'Prop Budget Calc'!P71</f>
        <v>38775</v>
      </c>
      <c r="L71" s="203">
        <f>'Prop Budget Calc'!O71</f>
        <v>69540</v>
      </c>
      <c r="M71" s="115">
        <f t="shared" ref="M71:M73" si="87">L71/12</f>
        <v>5795</v>
      </c>
      <c r="N71" s="115"/>
      <c r="O71" s="203">
        <f>'Prop Budget Calc'!AK71/12</f>
        <v>0</v>
      </c>
      <c r="P71" s="203">
        <f>'Prop Budget Calc'!AL71/24</f>
        <v>0</v>
      </c>
      <c r="Q71" s="203">
        <f>'Prop Budget Calc'!AM71/24</f>
        <v>47.5</v>
      </c>
      <c r="R71" s="203">
        <f>'Prop Budget Calc'!BC71/(1+Scenarios!$E$8)</f>
        <v>10297.840743999999</v>
      </c>
      <c r="S71" s="203">
        <f>'Prop Budget Calc'!BD71/(1+Scenarios!$E$11)</f>
        <v>410.15094339622641</v>
      </c>
      <c r="T71" s="203">
        <f>'Prop Budget Calc'!AZ71/(1+Scenarios!$E$11)</f>
        <v>226.89735849056601</v>
      </c>
      <c r="U71" s="203">
        <f t="shared" ref="U71:U73" si="88">SUM(R71:T71)</f>
        <v>10934.88904588679</v>
      </c>
      <c r="X71" s="126"/>
      <c r="Y71" s="126"/>
      <c r="AA71" s="125">
        <f t="shared" si="76"/>
        <v>0</v>
      </c>
      <c r="AB71" s="125">
        <f t="shared" si="76"/>
        <v>3143.9540229885051</v>
      </c>
      <c r="AC71" s="125">
        <f t="shared" si="76"/>
        <v>0</v>
      </c>
      <c r="AD71" s="125">
        <f t="shared" si="78"/>
        <v>0</v>
      </c>
      <c r="AE71" s="125"/>
      <c r="AF71" s="125">
        <f t="shared" si="79"/>
        <v>0</v>
      </c>
      <c r="AG71" s="125">
        <f t="shared" si="80"/>
        <v>0</v>
      </c>
      <c r="AH71" s="125">
        <f t="shared" si="81"/>
        <v>0</v>
      </c>
      <c r="AI71" s="125">
        <f t="shared" si="82"/>
        <v>0</v>
      </c>
      <c r="AJ71" s="125">
        <f t="shared" si="83"/>
        <v>3143.9540229885051</v>
      </c>
      <c r="AK71" s="125">
        <f t="shared" si="84"/>
        <v>240.51248275862065</v>
      </c>
      <c r="AL71" s="205">
        <f t="shared" si="85"/>
        <v>546.74445229433911</v>
      </c>
      <c r="AM71" s="125">
        <f t="shared" si="86"/>
        <v>0</v>
      </c>
      <c r="AN71" s="125">
        <f t="shared" si="77"/>
        <v>524.09713563218372</v>
      </c>
    </row>
    <row r="72" spans="2:40">
      <c r="B72" s="20" t="s">
        <v>1385</v>
      </c>
      <c r="C72" s="115" t="str">
        <f>'Prop Budget Calc'!B72</f>
        <v>Heavy Equipment Operator</v>
      </c>
      <c r="D72" s="115" t="str">
        <f>'Prop Budget Calc'!C72</f>
        <v>First Name Last Name</v>
      </c>
      <c r="F72" s="115">
        <f>'Prop Budget Calc'!E72</f>
        <v>1</v>
      </c>
      <c r="H72" s="115" t="str">
        <f>'Prop Budget Calc'!G72</f>
        <v>400-81-815</v>
      </c>
      <c r="J72" s="202" t="str">
        <f>'Prop Budget Calc'!I72</f>
        <v>50102</v>
      </c>
      <c r="K72" s="115">
        <f>'Prop Budget Calc'!P72</f>
        <v>37004</v>
      </c>
      <c r="L72" s="203">
        <f>'Prop Budget Calc'!O72</f>
        <v>57210</v>
      </c>
      <c r="M72" s="115">
        <f t="shared" si="87"/>
        <v>4767.5</v>
      </c>
      <c r="N72" s="115"/>
      <c r="O72" s="203">
        <f>'Prop Budget Calc'!AK72/12</f>
        <v>0</v>
      </c>
      <c r="P72" s="203">
        <f>'Prop Budget Calc'!AL72/24</f>
        <v>0</v>
      </c>
      <c r="Q72" s="203">
        <f>'Prop Budget Calc'!AM72/24</f>
        <v>0</v>
      </c>
      <c r="R72" s="203">
        <f>'Prop Budget Calc'!BC72/(1+Scenarios!$E$8)</f>
        <v>17547.240087999999</v>
      </c>
      <c r="S72" s="203">
        <f>'Prop Budget Calc'!BD72/(1+Scenarios!$E$11)</f>
        <v>795.7358490566038</v>
      </c>
      <c r="T72" s="203">
        <f>'Prop Budget Calc'!AZ72/(1+Scenarios!$E$11)</f>
        <v>203.61311320754717</v>
      </c>
      <c r="U72" s="203">
        <f t="shared" si="88"/>
        <v>18546.589050264149</v>
      </c>
      <c r="X72" s="126"/>
      <c r="Y72" s="126"/>
      <c r="AA72" s="125">
        <f t="shared" ref="AA72:AC73" si="89">IF($J72=AA$5,$L72/$AB$1*$AB$2,0)</f>
        <v>0</v>
      </c>
      <c r="AB72" s="125">
        <f t="shared" si="89"/>
        <v>2586.5057471264358</v>
      </c>
      <c r="AC72" s="125">
        <f t="shared" si="89"/>
        <v>0</v>
      </c>
      <c r="AD72" s="125">
        <f t="shared" si="78"/>
        <v>0</v>
      </c>
      <c r="AE72" s="125"/>
      <c r="AF72" s="125">
        <f t="shared" si="79"/>
        <v>0</v>
      </c>
      <c r="AG72" s="125">
        <f t="shared" ref="AG72:AG73" si="90">IF(RIGHT(J72,5)="TOTAL",0,O72*$AG$2)</f>
        <v>0</v>
      </c>
      <c r="AH72" s="125">
        <f t="shared" ref="AH72:AH73" si="91">IF(RIGHT(J72,5)="TOTAL",0,P72*$AH$2)</f>
        <v>0</v>
      </c>
      <c r="AI72" s="125">
        <f t="shared" si="82"/>
        <v>0</v>
      </c>
      <c r="AJ72" s="125">
        <f t="shared" ref="AJ72:AJ73" si="92">SUM(AA72:AI72)</f>
        <v>2586.5057471264358</v>
      </c>
      <c r="AK72" s="125">
        <f t="shared" ref="AK72:AK73" si="93">AJ72*0.0145+IF(AJ72&gt;118500/$AB$1*$AB$2,118500/$AB$1*$AB$2*0.062,AJ72*0.062)</f>
        <v>197.86768965517234</v>
      </c>
      <c r="AL72" s="205">
        <f t="shared" ref="AL72:AL73" si="94">IF(RIGHT(J72,5)="total",0,U72/24*$AL$2)</f>
        <v>927.32945251320689</v>
      </c>
      <c r="AM72" s="125">
        <f t="shared" ref="AM72:AM73" si="95">IF(RIGHT(J72,5)="total",0,V72*$AM$2)</f>
        <v>0</v>
      </c>
      <c r="AN72" s="125">
        <f t="shared" ref="AN72:AN73" si="96">IF(OR($J72="50101", $J72="50102", $J72="50109", $J72="50140"),AJ72*$AN$2,0)</f>
        <v>431.17050804597682</v>
      </c>
    </row>
    <row r="73" spans="2:40">
      <c r="B73" s="456" t="s">
        <v>1754</v>
      </c>
      <c r="C73" s="115" t="str">
        <f>'Prop Budget Calc'!B73</f>
        <v>Maintenance Worker Ii (Streets/Storm Drainage</v>
      </c>
      <c r="D73" s="115" t="str">
        <f>'Prop Budget Calc'!C73</f>
        <v>First Name Last Name</v>
      </c>
      <c r="F73" s="115">
        <f>'Prop Budget Calc'!E73</f>
        <v>1</v>
      </c>
      <c r="H73" s="115" t="str">
        <f>'Prop Budget Calc'!G73</f>
        <v>400-81-815</v>
      </c>
      <c r="J73" s="202" t="str">
        <f>'Prop Budget Calc'!I73</f>
        <v>50102</v>
      </c>
      <c r="K73" s="115">
        <f>'Prop Budget Calc'!P73</f>
        <v>45049</v>
      </c>
      <c r="L73" s="203">
        <f>'Prop Budget Calc'!O73</f>
        <v>38190</v>
      </c>
      <c r="M73" s="115">
        <f t="shared" si="87"/>
        <v>3182.5</v>
      </c>
      <c r="N73" s="115"/>
      <c r="O73" s="203">
        <f>'Prop Budget Calc'!AK73/12</f>
        <v>0</v>
      </c>
      <c r="P73" s="203">
        <f>'Prop Budget Calc'!AL73/24</f>
        <v>0</v>
      </c>
      <c r="Q73" s="203">
        <f>'Prop Budget Calc'!AM73/24</f>
        <v>0</v>
      </c>
      <c r="R73" s="203">
        <f>'Prop Budget Calc'!BC73/(1+Scenarios!$E$8)</f>
        <v>10338.445719999998</v>
      </c>
      <c r="S73" s="203">
        <f>'Prop Budget Calc'!BD73/(1+Scenarios!$E$11)</f>
        <v>410.15094339622641</v>
      </c>
      <c r="T73" s="203">
        <f>'Prop Budget Calc'!AZ73/(1+Scenarios!$E$11)</f>
        <v>168.39113207547169</v>
      </c>
      <c r="U73" s="203">
        <f t="shared" si="88"/>
        <v>10916.987795471696</v>
      </c>
      <c r="X73" s="126"/>
      <c r="Y73" s="126"/>
      <c r="AA73" s="125">
        <f t="shared" si="89"/>
        <v>0</v>
      </c>
      <c r="AB73" s="125">
        <f t="shared" si="89"/>
        <v>1726.5977011494249</v>
      </c>
      <c r="AC73" s="125">
        <f t="shared" si="89"/>
        <v>0</v>
      </c>
      <c r="AD73" s="125">
        <f t="shared" si="78"/>
        <v>0</v>
      </c>
      <c r="AE73" s="125"/>
      <c r="AF73" s="125">
        <f t="shared" si="79"/>
        <v>0</v>
      </c>
      <c r="AG73" s="125">
        <f t="shared" si="90"/>
        <v>0</v>
      </c>
      <c r="AH73" s="125">
        <f t="shared" si="91"/>
        <v>0</v>
      </c>
      <c r="AI73" s="125">
        <f t="shared" si="82"/>
        <v>0</v>
      </c>
      <c r="AJ73" s="125">
        <f t="shared" si="92"/>
        <v>1726.5977011494249</v>
      </c>
      <c r="AK73" s="125">
        <f t="shared" si="93"/>
        <v>132.084724137931</v>
      </c>
      <c r="AL73" s="205">
        <f t="shared" si="94"/>
        <v>545.84938977358445</v>
      </c>
      <c r="AM73" s="125">
        <f t="shared" si="95"/>
        <v>0</v>
      </c>
      <c r="AN73" s="125">
        <f t="shared" si="96"/>
        <v>287.82383678160909</v>
      </c>
    </row>
    <row r="74" spans="2:40">
      <c r="B74" s="115">
        <f>'Prop Budget Calc'!A74</f>
        <v>0</v>
      </c>
      <c r="C74" s="115">
        <f>'Prop Budget Calc'!B74</f>
        <v>0</v>
      </c>
      <c r="D74" s="115">
        <f>'Prop Budget Calc'!C74</f>
        <v>0</v>
      </c>
      <c r="F74" s="115">
        <f>'Prop Budget Calc'!E74</f>
        <v>65.399999999999991</v>
      </c>
      <c r="H74" s="115">
        <f>'Prop Budget Calc'!G74</f>
        <v>0</v>
      </c>
      <c r="J74" s="202">
        <f>'Prop Budget Calc'!I74</f>
        <v>0</v>
      </c>
      <c r="K74" s="115">
        <f>'Prop Budget Calc'!P74</f>
        <v>0</v>
      </c>
      <c r="L74" s="115">
        <f>'Prop Budget Calc'!N74</f>
        <v>0</v>
      </c>
      <c r="M74" s="115">
        <f t="shared" ref="M74" si="97">L74/12</f>
        <v>0</v>
      </c>
      <c r="N74" s="115"/>
      <c r="O74" s="203">
        <f>'Prop Budget Calc'!AK74/12</f>
        <v>2487.52</v>
      </c>
      <c r="P74" s="203">
        <f>'Prop Budget Calc'!AL74/12</f>
        <v>0</v>
      </c>
      <c r="Q74" s="203">
        <f>'Prop Budget Calc'!AM74/12</f>
        <v>1420</v>
      </c>
      <c r="R74" s="203">
        <f>'Prop Budget Calc'!BC74/(1+Scenarios!$E$8)</f>
        <v>960424.50397655182</v>
      </c>
      <c r="S74" s="203">
        <f>'Prop Budget Calc'!BD74/(1+Scenarios!$E$11)</f>
        <v>39092.935132901803</v>
      </c>
      <c r="T74" s="203">
        <f>'Prop Budget Calc'!AZ74/(1+Scenarios!$E$11)</f>
        <v>15255.510973584904</v>
      </c>
      <c r="U74" s="203">
        <f t="shared" ref="U74" si="98">SUM(R74:T74)</f>
        <v>1014772.9500830385</v>
      </c>
      <c r="X74" s="126"/>
      <c r="Y74" s="126"/>
      <c r="AA74" s="125">
        <f>IF($J74=AA$5,$L74/$AB$1*$AB$2,0)</f>
        <v>0</v>
      </c>
      <c r="AB74" s="125">
        <f>IF($J74=AB$5,$L74/$AB$1*$AB$2,0)</f>
        <v>0</v>
      </c>
      <c r="AC74" s="125">
        <f>IF($J74=AC$5,$L74/$AB$1*$AB$2,0)</f>
        <v>0</v>
      </c>
      <c r="AD74" s="125">
        <f t="shared" si="78"/>
        <v>0</v>
      </c>
      <c r="AE74" s="125"/>
      <c r="AF74" s="125">
        <f t="shared" si="79"/>
        <v>0</v>
      </c>
      <c r="AG74" s="125">
        <f t="shared" si="80"/>
        <v>2985.0239999999981</v>
      </c>
      <c r="AH74" s="125">
        <f t="shared" si="81"/>
        <v>0</v>
      </c>
      <c r="AI74" s="125">
        <f t="shared" si="82"/>
        <v>0</v>
      </c>
      <c r="AJ74" s="125">
        <f t="shared" si="83"/>
        <v>2985.0239999999981</v>
      </c>
      <c r="AK74" s="125">
        <f t="shared" si="84"/>
        <v>228.35433599999985</v>
      </c>
      <c r="AL74" s="205">
        <f t="shared" si="85"/>
        <v>50738.647504151893</v>
      </c>
      <c r="AM74" s="125">
        <f t="shared" si="86"/>
        <v>0</v>
      </c>
      <c r="AN74" s="125">
        <f t="shared" si="77"/>
        <v>0</v>
      </c>
    </row>
    <row r="75" spans="2:40">
      <c r="J75" s="202"/>
      <c r="K75" s="115"/>
      <c r="N75" s="115"/>
      <c r="O75" s="203"/>
      <c r="P75" s="203"/>
      <c r="Q75" s="203"/>
      <c r="R75" s="203"/>
      <c r="S75" s="203"/>
      <c r="U75" s="203"/>
      <c r="X75" s="126"/>
      <c r="Y75" s="126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205"/>
      <c r="AM75" s="125"/>
      <c r="AN75" s="125"/>
    </row>
    <row r="76" spans="2:40">
      <c r="B76" s="115">
        <f>'Prop Budget Calc'!A75</f>
        <v>0</v>
      </c>
      <c r="C76" s="115" t="str">
        <f>'Prop Budget Calc'!B75</f>
        <v>Certification Pay Contingency</v>
      </c>
      <c r="D76" s="115" t="str">
        <f>'Prop Budget Calc'!C75</f>
        <v>Regional Pay Contingency</v>
      </c>
      <c r="F76" s="115">
        <f>'Prop Budget Calc'!E75</f>
        <v>0</v>
      </c>
      <c r="H76" s="115" t="str">
        <f>'Prop Budget Calc'!G75</f>
        <v>100-30-303</v>
      </c>
      <c r="J76" s="202" t="str">
        <f>'Prop Budget Calc'!I75</f>
        <v>50102</v>
      </c>
      <c r="K76" s="115">
        <f>'Prop Budget Calc'!P75</f>
        <v>0</v>
      </c>
      <c r="L76" s="115">
        <f>'Prop Budget Calc'!N75</f>
        <v>0</v>
      </c>
      <c r="M76" s="115">
        <f t="shared" ref="M76:M114" si="99">L76/12</f>
        <v>0</v>
      </c>
      <c r="N76" s="115"/>
      <c r="O76" s="203">
        <f>'Prop Budget Calc'!AK75/12</f>
        <v>175</v>
      </c>
      <c r="P76" s="203">
        <f>'Prop Budget Calc'!AL75/12</f>
        <v>0</v>
      </c>
      <c r="Q76" s="203">
        <f>'Prop Budget Calc'!AM75/12</f>
        <v>0</v>
      </c>
      <c r="R76" s="203">
        <f>IF(AND($D76="vacant",$F76=1),'Prop Budget Calc'!#REF!,IF(OR($B76=0,$F76&lt;&gt;1),0,SUMIFS(#REF!,#REF!,'Prop Budget Calc'!#REF!,#REF!,$B76)*'Prop Budget Calc'!#REF!))+IF(AND($D76="vacant",$F76=1),'Prop Budget Calc'!#REF!,IF(OR($B76=0,$F76&lt;&gt;1),0,SUMIFS(#REF!,#REF!,'Prop Budget Calc'!#REF!,#REF!,$B76)*'Prop Budget Calc'!#REF!))+IF(AND($D76="vacant",$F76=1),'Prop Budget Calc'!$BA$1,IF(OR($B76=0,$F76&lt;&gt;1),0,SUMIFS(#REF!,#REF!,'Prop Budget Calc'!BA$4,#REF!,$B76)*'Prop Budget Calc'!$BA$3))+IF(AND($D76="vacant",$F76=1),'Prop Budget Calc'!$BB$1,IF(OR($B76=0,$F76&lt;&gt;1),0,SUMIFS(#REF!,#REF!,'Prop Budget Calc'!BB$4,#REF!,$B76)*'Prop Budget Calc'!$BB$3))</f>
        <v>0</v>
      </c>
      <c r="S76" s="203">
        <f>IF(AND($D76="vacant",$F76=1),'Prop Budget Calc'!#REF!,IF(OR($B76=0,$F76&lt;&gt;1),0,SUMIFS(#REF!,#REF!,'Prop Budget Calc'!#REF!,#REF!,$B76)*'Prop Budget Calc'!#REF!))+IF(AND($D76="vacant",$F76=1),'Prop Budget Calc'!#REF!,IF(OR($B76=0,$F76&lt;&gt;1),0,SUMIFS(#REF!,#REF!,'Prop Budget Calc'!#REF!,#REF!,$B76)*'Prop Budget Calc'!#REF!))</f>
        <v>0</v>
      </c>
      <c r="T76" s="115">
        <f>$L76*'Prop Budget Calc'!$AV$2+IF(AND($J76&lt;&gt;"50101", $J76&lt;&gt;"50102"),0,IF($J76="50101",IF(($L76/52*'Prop Budget Calc'!$AW$3)&gt;'Prop Budget Calc'!$AV$1,'Prop Budget Calc'!$AV$1,$L76/52*'Prop Budget Calc'!$AW$3),IF(($L76/52*'Prop Budget Calc'!$AW$3)&gt;'Prop Budget Calc'!$AW$1,'Prop Budget Calc'!$AW$1,$L76/52*'Prop Budget Calc'!$AW$3)))*F76+IF(AND($D76="vacant",$F76=1),'Prop Budget Calc'!$AX$1,IF(OR($B76=0,$F76&lt;&gt;1),0,SUMIFS(#REF!,#REF!,'Prop Budget Calc'!AX$4,#REF!,$B76)*'Prop Budget Calc'!$AX$3))+IF(AND($D76="vacant",$F76=1),'Prop Budget Calc'!$AY$1,IF(OR($B76=0,$F76&lt;&gt;1),0,SUMIFS(#REF!,#REF!,'Prop Budget Calc'!AY$4,#REF!,$B76))*'Prop Budget Calc'!$AY$3)</f>
        <v>0</v>
      </c>
      <c r="U76" s="203">
        <f t="shared" ref="U76:U114" si="100">SUM(R76:T76)</f>
        <v>0</v>
      </c>
      <c r="X76" s="126"/>
      <c r="Y76" s="126"/>
      <c r="AA76" s="125">
        <f t="shared" ref="AA76:AC94" si="101">IF($J76=AA$5,$L76/$AB$1*$AB$2,0)</f>
        <v>0</v>
      </c>
      <c r="AB76" s="125">
        <f t="shared" si="101"/>
        <v>0</v>
      </c>
      <c r="AC76" s="125">
        <f t="shared" si="101"/>
        <v>0</v>
      </c>
      <c r="AD76" s="125">
        <f t="shared" si="78"/>
        <v>0</v>
      </c>
      <c r="AE76" s="125"/>
      <c r="AF76" s="125">
        <f t="shared" si="79"/>
        <v>0</v>
      </c>
      <c r="AG76" s="125">
        <f t="shared" si="80"/>
        <v>209.99999999999989</v>
      </c>
      <c r="AH76" s="125">
        <f t="shared" si="81"/>
        <v>0</v>
      </c>
      <c r="AI76" s="125">
        <f t="shared" si="82"/>
        <v>0</v>
      </c>
      <c r="AJ76" s="125">
        <f t="shared" si="83"/>
        <v>209.99999999999989</v>
      </c>
      <c r="AK76" s="125">
        <f t="shared" si="84"/>
        <v>16.064999999999991</v>
      </c>
      <c r="AL76" s="205">
        <f t="shared" si="85"/>
        <v>0</v>
      </c>
      <c r="AM76" s="125">
        <f t="shared" si="86"/>
        <v>0</v>
      </c>
      <c r="AN76" s="125">
        <f t="shared" ref="AN76:AN126" si="102">IF(OR($J76="50101", $J76="50102", $J76="50109", $J76="50140"),AJ76*$AN$2,0)</f>
        <v>35.006999999999977</v>
      </c>
    </row>
    <row r="77" spans="2:40">
      <c r="B77" s="115">
        <f>'Prop Budget Calc'!A76</f>
        <v>0</v>
      </c>
      <c r="C77" s="115" t="str">
        <f>'Prop Budget Calc'!B76</f>
        <v>Certification Pay Contingency</v>
      </c>
      <c r="D77" s="115" t="str">
        <f>'Prop Budget Calc'!C76</f>
        <v>Regional Pay Contingency</v>
      </c>
      <c r="F77" s="115">
        <f>'Prop Budget Calc'!E76</f>
        <v>0</v>
      </c>
      <c r="H77" s="115" t="str">
        <f>'Prop Budget Calc'!G76</f>
        <v>100-30-302</v>
      </c>
      <c r="J77" s="202" t="str">
        <f>'Prop Budget Calc'!I76</f>
        <v>50102</v>
      </c>
      <c r="K77" s="115">
        <f>'Prop Budget Calc'!P76</f>
        <v>0</v>
      </c>
      <c r="L77" s="115">
        <f>'Prop Budget Calc'!N76</f>
        <v>0</v>
      </c>
      <c r="M77" s="115">
        <f t="shared" si="99"/>
        <v>0</v>
      </c>
      <c r="N77" s="115"/>
      <c r="O77" s="203">
        <f>'Prop Budget Calc'!AK76/12</f>
        <v>325</v>
      </c>
      <c r="P77" s="203">
        <f>'Prop Budget Calc'!AL76/12</f>
        <v>0</v>
      </c>
      <c r="Q77" s="203">
        <f>'Prop Budget Calc'!AM76/12</f>
        <v>0</v>
      </c>
      <c r="R77" s="203">
        <f>IF(AND($D77="vacant",$F77=1),'Prop Budget Calc'!#REF!,IF(OR($B77=0,$F77&lt;&gt;1),0,SUMIFS(#REF!,#REF!,'Prop Budget Calc'!#REF!,#REF!,$B77)*'Prop Budget Calc'!#REF!))+IF(AND($D77="vacant",$F77=1),'Prop Budget Calc'!#REF!,IF(OR($B77=0,$F77&lt;&gt;1),0,SUMIFS(#REF!,#REF!,'Prop Budget Calc'!#REF!,#REF!,$B77)*'Prop Budget Calc'!#REF!))+IF(AND($D77="vacant",$F77=1),'Prop Budget Calc'!$BA$1,IF(OR($B77=0,$F77&lt;&gt;1),0,SUMIFS(#REF!,#REF!,'Prop Budget Calc'!BA$4,#REF!,$B77)*'Prop Budget Calc'!$BA$3))+IF(AND($D77="vacant",$F77=1),'Prop Budget Calc'!$BB$1,IF(OR($B77=0,$F77&lt;&gt;1),0,SUMIFS(#REF!,#REF!,'Prop Budget Calc'!BB$4,#REF!,$B77)*'Prop Budget Calc'!$BB$3))</f>
        <v>0</v>
      </c>
      <c r="S77" s="203">
        <f>IF(AND($D77="vacant",$F77=1),'Prop Budget Calc'!#REF!,IF(OR($B77=0,$F77&lt;&gt;1),0,SUMIFS(#REF!,#REF!,'Prop Budget Calc'!#REF!,#REF!,$B77)*'Prop Budget Calc'!#REF!))+IF(AND($D77="vacant",$F77=1),'Prop Budget Calc'!#REF!,IF(OR($B77=0,$F77&lt;&gt;1),0,SUMIFS(#REF!,#REF!,'Prop Budget Calc'!#REF!,#REF!,$B77)*'Prop Budget Calc'!#REF!))</f>
        <v>0</v>
      </c>
      <c r="T77" s="115">
        <f>$L77*'Prop Budget Calc'!$AV$2+IF(AND($J77&lt;&gt;"50101", $J77&lt;&gt;"50102"),0,IF($J77="50101",IF(($L77/52*'Prop Budget Calc'!$AW$3)&gt;'Prop Budget Calc'!$AV$1,'Prop Budget Calc'!$AV$1,$L77/52*'Prop Budget Calc'!$AW$3),IF(($L77/52*'Prop Budget Calc'!$AW$3)&gt;'Prop Budget Calc'!$AW$1,'Prop Budget Calc'!$AW$1,$L77/52*'Prop Budget Calc'!$AW$3)))*F77+IF(AND($D77="vacant",$F77=1),'Prop Budget Calc'!$AX$1,IF(OR($B77=0,$F77&lt;&gt;1),0,SUMIFS(#REF!,#REF!,'Prop Budget Calc'!AX$4,#REF!,$B77)*'Prop Budget Calc'!$AX$3))+IF(AND($D77="vacant",$F77=1),'Prop Budget Calc'!$AY$1,IF(OR($B77=0,$F77&lt;&gt;1),0,SUMIFS(#REF!,#REF!,'Prop Budget Calc'!AY$4,#REF!,$B77))*'Prop Budget Calc'!$AY$3)</f>
        <v>0</v>
      </c>
      <c r="U77" s="203">
        <f t="shared" si="100"/>
        <v>0</v>
      </c>
      <c r="X77" s="126"/>
      <c r="Y77" s="126"/>
      <c r="AA77" s="125">
        <f t="shared" si="101"/>
        <v>0</v>
      </c>
      <c r="AB77" s="125">
        <f t="shared" si="101"/>
        <v>0</v>
      </c>
      <c r="AC77" s="125">
        <f t="shared" si="101"/>
        <v>0</v>
      </c>
      <c r="AD77" s="125">
        <f t="shared" si="78"/>
        <v>0</v>
      </c>
      <c r="AE77" s="125"/>
      <c r="AF77" s="125">
        <f t="shared" si="79"/>
        <v>0</v>
      </c>
      <c r="AG77" s="125">
        <f t="shared" si="80"/>
        <v>389.99999999999977</v>
      </c>
      <c r="AH77" s="125">
        <f t="shared" si="81"/>
        <v>0</v>
      </c>
      <c r="AI77" s="125">
        <f t="shared" si="82"/>
        <v>0</v>
      </c>
      <c r="AJ77" s="125">
        <f t="shared" si="83"/>
        <v>389.99999999999977</v>
      </c>
      <c r="AK77" s="125">
        <f t="shared" si="84"/>
        <v>29.834999999999983</v>
      </c>
      <c r="AL77" s="205">
        <f t="shared" si="85"/>
        <v>0</v>
      </c>
      <c r="AM77" s="125">
        <f t="shared" si="86"/>
        <v>0</v>
      </c>
      <c r="AN77" s="125">
        <f t="shared" si="102"/>
        <v>65.012999999999963</v>
      </c>
    </row>
    <row r="78" spans="2:40">
      <c r="B78" s="115">
        <f>'Prop Budget Calc'!A77</f>
        <v>0</v>
      </c>
      <c r="C78" s="115" t="str">
        <f>'Prop Budget Calc'!B77</f>
        <v>Roanoke Pay - Jail</v>
      </c>
      <c r="D78" s="115" t="str">
        <f>'Prop Budget Calc'!C77</f>
        <v>Roanoke Pay - Jail</v>
      </c>
      <c r="F78" s="115">
        <f>'Prop Budget Calc'!E77</f>
        <v>0</v>
      </c>
      <c r="H78" s="115" t="str">
        <f>'Prop Budget Calc'!G77</f>
        <v>100-30-305</v>
      </c>
      <c r="J78" s="202" t="str">
        <f>'Prop Budget Calc'!I77</f>
        <v>50102</v>
      </c>
      <c r="K78" s="115">
        <f>'Prop Budget Calc'!P77</f>
        <v>0</v>
      </c>
      <c r="L78" s="115">
        <f>'Prop Budget Calc'!N77</f>
        <v>0</v>
      </c>
      <c r="M78" s="115">
        <f t="shared" si="99"/>
        <v>0</v>
      </c>
      <c r="N78" s="115"/>
      <c r="O78" s="203">
        <f>'Prop Budget Calc'!AK77/12</f>
        <v>333.33333333333331</v>
      </c>
      <c r="P78" s="203">
        <f>'Prop Budget Calc'!AL77/12</f>
        <v>0</v>
      </c>
      <c r="Q78" s="203">
        <f>'Prop Budget Calc'!AM77/12</f>
        <v>0</v>
      </c>
      <c r="R78" s="203">
        <f>IF(AND($D78="vacant",$F78=1),'Prop Budget Calc'!#REF!,IF(OR($B78=0,$F78&lt;&gt;1),0,SUMIFS(#REF!,#REF!,'Prop Budget Calc'!#REF!,#REF!,$B78)*'Prop Budget Calc'!#REF!))+IF(AND($D78="vacant",$F78=1),'Prop Budget Calc'!#REF!,IF(OR($B78=0,$F78&lt;&gt;1),0,SUMIFS(#REF!,#REF!,'Prop Budget Calc'!#REF!,#REF!,$B78)*'Prop Budget Calc'!#REF!))+IF(AND($D78="vacant",$F78=1),'Prop Budget Calc'!$BA$1,IF(OR($B78=0,$F78&lt;&gt;1),0,SUMIFS(#REF!,#REF!,'Prop Budget Calc'!BA$4,#REF!,$B78)*'Prop Budget Calc'!$BA$3))+IF(AND($D78="vacant",$F78=1),'Prop Budget Calc'!$BB$1,IF(OR($B78=0,$F78&lt;&gt;1),0,SUMIFS(#REF!,#REF!,'Prop Budget Calc'!BB$4,#REF!,$B78)*'Prop Budget Calc'!$BB$3))</f>
        <v>0</v>
      </c>
      <c r="S78" s="203">
        <f>IF(AND($D78="vacant",$F78=1),'Prop Budget Calc'!#REF!,IF(OR($B78=0,$F78&lt;&gt;1),0,SUMIFS(#REF!,#REF!,'Prop Budget Calc'!#REF!,#REF!,$B78)*'Prop Budget Calc'!#REF!))+IF(AND($D78="vacant",$F78=1),'Prop Budget Calc'!#REF!,IF(OR($B78=0,$F78&lt;&gt;1),0,SUMIFS(#REF!,#REF!,'Prop Budget Calc'!#REF!,#REF!,$B78)*'Prop Budget Calc'!#REF!))</f>
        <v>0</v>
      </c>
      <c r="T78" s="115">
        <f>$L78*'Prop Budget Calc'!$AV$2+IF(AND($J78&lt;&gt;"50101", $J78&lt;&gt;"50102"),0,IF($J78="50101",IF(($L78/52*'Prop Budget Calc'!$AW$3)&gt;'Prop Budget Calc'!$AV$1,'Prop Budget Calc'!$AV$1,$L78/52*'Prop Budget Calc'!$AW$3),IF(($L78/52*'Prop Budget Calc'!$AW$3)&gt;'Prop Budget Calc'!$AW$1,'Prop Budget Calc'!$AW$1,$L78/52*'Prop Budget Calc'!$AW$3)))*F78+IF(AND($D78="vacant",$F78=1),'Prop Budget Calc'!$AX$1,IF(OR($B78=0,$F78&lt;&gt;1),0,SUMIFS(#REF!,#REF!,'Prop Budget Calc'!AX$4,#REF!,$B78)*'Prop Budget Calc'!$AX$3))+IF(AND($D78="vacant",$F78=1),'Prop Budget Calc'!$AY$1,IF(OR($B78=0,$F78&lt;&gt;1),0,SUMIFS(#REF!,#REF!,'Prop Budget Calc'!AY$4,#REF!,$B78))*'Prop Budget Calc'!$AY$3)</f>
        <v>0</v>
      </c>
      <c r="U78" s="203">
        <f t="shared" si="100"/>
        <v>0</v>
      </c>
      <c r="X78" s="126"/>
      <c r="Y78" s="126"/>
      <c r="AA78" s="125">
        <f t="shared" si="101"/>
        <v>0</v>
      </c>
      <c r="AB78" s="125">
        <f t="shared" si="101"/>
        <v>0</v>
      </c>
      <c r="AC78" s="125">
        <f t="shared" si="101"/>
        <v>0</v>
      </c>
      <c r="AD78" s="125">
        <f t="shared" si="78"/>
        <v>0</v>
      </c>
      <c r="AE78" s="125"/>
      <c r="AF78" s="125">
        <f t="shared" si="79"/>
        <v>0</v>
      </c>
      <c r="AG78" s="125">
        <f t="shared" si="80"/>
        <v>399.99999999999972</v>
      </c>
      <c r="AH78" s="125">
        <f t="shared" si="81"/>
        <v>0</v>
      </c>
      <c r="AI78" s="125">
        <f t="shared" si="82"/>
        <v>0</v>
      </c>
      <c r="AJ78" s="125">
        <f t="shared" si="83"/>
        <v>399.99999999999972</v>
      </c>
      <c r="AK78" s="125">
        <f t="shared" si="84"/>
        <v>30.59999999999998</v>
      </c>
      <c r="AL78" s="205">
        <f t="shared" si="85"/>
        <v>0</v>
      </c>
      <c r="AM78" s="125">
        <f t="shared" si="86"/>
        <v>0</v>
      </c>
      <c r="AN78" s="125">
        <f t="shared" si="102"/>
        <v>66.67999999999995</v>
      </c>
    </row>
    <row r="79" spans="2:40">
      <c r="B79" s="115">
        <f>'Prop Budget Calc'!A78</f>
        <v>0</v>
      </c>
      <c r="C79" s="115" t="str">
        <f>'Prop Budget Calc'!B78</f>
        <v>OFFICER IN CHARGE PAY CONTINGENCY</v>
      </c>
      <c r="D79" s="115" t="str">
        <f>'Prop Budget Calc'!C78</f>
        <v>OFFICER IN CHARGE CONTINGENCY</v>
      </c>
      <c r="F79" s="115">
        <f>'Prop Budget Calc'!E78</f>
        <v>0</v>
      </c>
      <c r="H79" s="115" t="str">
        <f>'Prop Budget Calc'!G78</f>
        <v>100-30-302</v>
      </c>
      <c r="J79" s="202" t="str">
        <f>'Prop Budget Calc'!I78</f>
        <v>50102</v>
      </c>
      <c r="K79" s="115">
        <f>'Prop Budget Calc'!P78</f>
        <v>0</v>
      </c>
      <c r="L79" s="115">
        <f>'Prop Budget Calc'!N78</f>
        <v>6000</v>
      </c>
      <c r="M79" s="115">
        <f t="shared" si="99"/>
        <v>500</v>
      </c>
      <c r="N79" s="115"/>
      <c r="O79" s="203">
        <f>'Prop Budget Calc'!AK78/12</f>
        <v>0</v>
      </c>
      <c r="P79" s="203">
        <f>'Prop Budget Calc'!AL78/12</f>
        <v>0</v>
      </c>
      <c r="Q79" s="203">
        <f>'Prop Budget Calc'!AM78/12</f>
        <v>0</v>
      </c>
      <c r="R79" s="203">
        <f>IF(AND($D79="vacant",$F79=1),'Prop Budget Calc'!#REF!,IF(OR($B79=0,$F79&lt;&gt;1),0,SUMIFS(#REF!,#REF!,'Prop Budget Calc'!#REF!,#REF!,$B79)*'Prop Budget Calc'!#REF!))+IF(AND($D79="vacant",$F79=1),'Prop Budget Calc'!#REF!,IF(OR($B79=0,$F79&lt;&gt;1),0,SUMIFS(#REF!,#REF!,'Prop Budget Calc'!#REF!,#REF!,$B79)*'Prop Budget Calc'!#REF!))+IF(AND($D79="vacant",$F79=1),'Prop Budget Calc'!$BA$1,IF(OR($B79=0,$F79&lt;&gt;1),0,SUMIFS(#REF!,#REF!,'Prop Budget Calc'!BA$4,#REF!,$B79)*'Prop Budget Calc'!$BA$3))+IF(AND($D79="vacant",$F79=1),'Prop Budget Calc'!$BB$1,IF(OR($B79=0,$F79&lt;&gt;1),0,SUMIFS(#REF!,#REF!,'Prop Budget Calc'!BB$4,#REF!,$B79)*'Prop Budget Calc'!$BB$3))</f>
        <v>0</v>
      </c>
      <c r="S79" s="203">
        <f>IF(AND($D79="vacant",$F79=1),'Prop Budget Calc'!#REF!,IF(OR($B79=0,$F79&lt;&gt;1),0,SUMIFS(#REF!,#REF!,'Prop Budget Calc'!#REF!,#REF!,$B79)*'Prop Budget Calc'!#REF!))+IF(AND($D79="vacant",$F79=1),'Prop Budget Calc'!#REF!,IF(OR($B79=0,$F79&lt;&gt;1),0,SUMIFS(#REF!,#REF!,'Prop Budget Calc'!#REF!,#REF!,$B79)*'Prop Budget Calc'!#REF!))</f>
        <v>0</v>
      </c>
      <c r="T79" s="115">
        <f>$L79*'Prop Budget Calc'!$AV$2+IF(AND($J79&lt;&gt;"50101", $J79&lt;&gt;"50102"),0,IF($J79="50101",IF(($L79/52*'Prop Budget Calc'!$AW$3)&gt;'Prop Budget Calc'!$AV$1,'Prop Budget Calc'!$AV$1,$L79/52*'Prop Budget Calc'!$AW$3),IF(($L79/52*'Prop Budget Calc'!$AW$3)&gt;'Prop Budget Calc'!$AW$1,'Prop Budget Calc'!$AW$1,$L79/52*'Prop Budget Calc'!$AW$3)))*F79+IF(AND($D79="vacant",$F79=1),'Prop Budget Calc'!$AX$1,IF(OR($B79=0,$F79&lt;&gt;1),0,SUMIFS(#REF!,#REF!,'Prop Budget Calc'!AX$4,#REF!,$B79)*'Prop Budget Calc'!$AX$3))+IF(AND($D79="vacant",$F79=1),'Prop Budget Calc'!$AY$1,IF(OR($B79=0,$F79&lt;&gt;1),0,SUMIFS(#REF!,#REF!,'Prop Budget Calc'!AY$4,#REF!,$B79))*'Prop Budget Calc'!$AY$3)</f>
        <v>10.799999999999999</v>
      </c>
      <c r="U79" s="203">
        <f t="shared" si="100"/>
        <v>10.799999999999999</v>
      </c>
      <c r="X79" s="126"/>
      <c r="Y79" s="126"/>
      <c r="AA79" s="125">
        <f t="shared" si="101"/>
        <v>0</v>
      </c>
      <c r="AB79" s="125">
        <f t="shared" si="101"/>
        <v>271.26436781609186</v>
      </c>
      <c r="AC79" s="125">
        <f t="shared" si="101"/>
        <v>0</v>
      </c>
      <c r="AD79" s="125">
        <f t="shared" si="78"/>
        <v>0</v>
      </c>
      <c r="AE79" s="125"/>
      <c r="AF79" s="125">
        <f t="shared" si="79"/>
        <v>0</v>
      </c>
      <c r="AG79" s="125">
        <f t="shared" si="80"/>
        <v>0</v>
      </c>
      <c r="AH79" s="125">
        <f t="shared" si="81"/>
        <v>0</v>
      </c>
      <c r="AI79" s="125">
        <f t="shared" si="82"/>
        <v>0</v>
      </c>
      <c r="AJ79" s="125">
        <f t="shared" si="83"/>
        <v>271.26436781609186</v>
      </c>
      <c r="AK79" s="125">
        <f t="shared" si="84"/>
        <v>20.751724137931028</v>
      </c>
      <c r="AL79" s="205">
        <f t="shared" si="85"/>
        <v>0.53999999999999959</v>
      </c>
      <c r="AM79" s="125">
        <f t="shared" si="86"/>
        <v>0</v>
      </c>
      <c r="AN79" s="125">
        <f t="shared" si="102"/>
        <v>45.219770114942513</v>
      </c>
    </row>
    <row r="80" spans="2:40">
      <c r="B80" s="115">
        <f>'Prop Budget Calc'!A79</f>
        <v>0</v>
      </c>
      <c r="C80" s="115" t="str">
        <f>'Prop Budget Calc'!B79</f>
        <v>ON CALL PAY CONTINGENCY</v>
      </c>
      <c r="D80" s="115" t="str">
        <f>'Prop Budget Calc'!C79</f>
        <v>ON CALL PAY CONTINGENCY</v>
      </c>
      <c r="F80" s="115">
        <f>'Prop Budget Calc'!E79</f>
        <v>0</v>
      </c>
      <c r="H80" s="115" t="str">
        <f>'Prop Budget Calc'!G79</f>
        <v>100-30-302</v>
      </c>
      <c r="J80" s="202" t="str">
        <f>'Prop Budget Calc'!I79</f>
        <v>50102</v>
      </c>
      <c r="K80" s="115">
        <f>'Prop Budget Calc'!P79</f>
        <v>0</v>
      </c>
      <c r="L80" s="115">
        <f>'Prop Budget Calc'!N79</f>
        <v>5200</v>
      </c>
      <c r="M80" s="115">
        <f t="shared" si="99"/>
        <v>433.33333333333331</v>
      </c>
      <c r="N80" s="115"/>
      <c r="O80" s="203">
        <f>'Prop Budget Calc'!AK79/12</f>
        <v>0</v>
      </c>
      <c r="P80" s="203">
        <f>'Prop Budget Calc'!AL79/12</f>
        <v>0</v>
      </c>
      <c r="Q80" s="203">
        <f>'Prop Budget Calc'!AM79/12</f>
        <v>0</v>
      </c>
      <c r="R80" s="203">
        <f>IF(AND($D80="vacant",$F80=1),'Prop Budget Calc'!#REF!,IF(OR($B80=0,$F80&lt;&gt;1),0,SUMIFS(#REF!,#REF!,'Prop Budget Calc'!#REF!,#REF!,$B80)*'Prop Budget Calc'!#REF!))+IF(AND($D80="vacant",$F80=1),'Prop Budget Calc'!#REF!,IF(OR($B80=0,$F80&lt;&gt;1),0,SUMIFS(#REF!,#REF!,'Prop Budget Calc'!#REF!,#REF!,$B80)*'Prop Budget Calc'!#REF!))+IF(AND($D80="vacant",$F80=1),'Prop Budget Calc'!$BA$1,IF(OR($B80=0,$F80&lt;&gt;1),0,SUMIFS(#REF!,#REF!,'Prop Budget Calc'!BA$4,#REF!,$B80)*'Prop Budget Calc'!$BA$3))+IF(AND($D80="vacant",$F80=1),'Prop Budget Calc'!$BB$1,IF(OR($B80=0,$F80&lt;&gt;1),0,SUMIFS(#REF!,#REF!,'Prop Budget Calc'!BB$4,#REF!,$B80)*'Prop Budget Calc'!$BB$3))</f>
        <v>0</v>
      </c>
      <c r="S80" s="203">
        <f>IF(AND($D80="vacant",$F80=1),'Prop Budget Calc'!#REF!,IF(OR($B80=0,$F80&lt;&gt;1),0,SUMIFS(#REF!,#REF!,'Prop Budget Calc'!#REF!,#REF!,$B80)*'Prop Budget Calc'!#REF!))+IF(AND($D80="vacant",$F80=1),'Prop Budget Calc'!#REF!,IF(OR($B80=0,$F80&lt;&gt;1),0,SUMIFS(#REF!,#REF!,'Prop Budget Calc'!#REF!,#REF!,$B80)*'Prop Budget Calc'!#REF!))</f>
        <v>0</v>
      </c>
      <c r="T80" s="115">
        <f>$L80*'Prop Budget Calc'!$AV$2+IF(AND($J80&lt;&gt;"50101", $J80&lt;&gt;"50102"),0,IF($J80="50101",IF(($L80/52*'Prop Budget Calc'!$AW$3)&gt;'Prop Budget Calc'!$AV$1,'Prop Budget Calc'!$AV$1,$L80/52*'Prop Budget Calc'!$AW$3),IF(($L80/52*'Prop Budget Calc'!$AW$3)&gt;'Prop Budget Calc'!$AW$1,'Prop Budget Calc'!$AW$1,$L80/52*'Prop Budget Calc'!$AW$3)))*F80+IF(AND($D80="vacant",$F80=1),'Prop Budget Calc'!$AX$1,IF(OR($B80=0,$F80&lt;&gt;1),0,SUMIFS(#REF!,#REF!,'Prop Budget Calc'!AX$4,#REF!,$B80)*'Prop Budget Calc'!$AX$3))+IF(AND($D80="vacant",$F80=1),'Prop Budget Calc'!$AY$1,IF(OR($B80=0,$F80&lt;&gt;1),0,SUMIFS(#REF!,#REF!,'Prop Budget Calc'!AY$4,#REF!,$B80))*'Prop Budget Calc'!$AY$3)</f>
        <v>9.36</v>
      </c>
      <c r="U80" s="203">
        <f t="shared" si="100"/>
        <v>9.36</v>
      </c>
      <c r="X80" s="126"/>
      <c r="Y80" s="126"/>
      <c r="AA80" s="125">
        <f t="shared" si="101"/>
        <v>0</v>
      </c>
      <c r="AB80" s="125">
        <f t="shared" si="101"/>
        <v>235.09578544061296</v>
      </c>
      <c r="AC80" s="125">
        <f t="shared" si="101"/>
        <v>0</v>
      </c>
      <c r="AD80" s="125">
        <f t="shared" si="78"/>
        <v>0</v>
      </c>
      <c r="AE80" s="125"/>
      <c r="AF80" s="125">
        <f t="shared" si="79"/>
        <v>0</v>
      </c>
      <c r="AG80" s="125">
        <f t="shared" si="80"/>
        <v>0</v>
      </c>
      <c r="AH80" s="125">
        <f t="shared" si="81"/>
        <v>0</v>
      </c>
      <c r="AI80" s="125">
        <f t="shared" si="82"/>
        <v>0</v>
      </c>
      <c r="AJ80" s="125">
        <f t="shared" si="83"/>
        <v>235.09578544061296</v>
      </c>
      <c r="AK80" s="125">
        <f t="shared" si="84"/>
        <v>17.98482758620689</v>
      </c>
      <c r="AL80" s="205">
        <f t="shared" si="85"/>
        <v>0.46799999999999969</v>
      </c>
      <c r="AM80" s="125">
        <f t="shared" si="86"/>
        <v>0</v>
      </c>
      <c r="AN80" s="125">
        <f t="shared" si="102"/>
        <v>39.190467432950179</v>
      </c>
    </row>
    <row r="81" spans="2:40">
      <c r="B81" s="115">
        <f>'Prop Budget Calc'!A80</f>
        <v>0</v>
      </c>
      <c r="C81" s="115" t="str">
        <f>'Prop Budget Calc'!B80</f>
        <v>Shift Differential</v>
      </c>
      <c r="D81" s="115" t="str">
        <f>'Prop Budget Calc'!C80</f>
        <v>Shift Differential</v>
      </c>
      <c r="F81" s="115">
        <f>'Prop Budget Calc'!E80</f>
        <v>0</v>
      </c>
      <c r="H81" s="115" t="str">
        <f>'Prop Budget Calc'!G80</f>
        <v>100-30-302</v>
      </c>
      <c r="J81" s="202" t="str">
        <f>'Prop Budget Calc'!I80</f>
        <v>50102</v>
      </c>
      <c r="K81" s="115">
        <f>'Prop Budget Calc'!P80</f>
        <v>0</v>
      </c>
      <c r="L81" s="115">
        <f>'Prop Budget Calc'!N80</f>
        <v>18844</v>
      </c>
      <c r="M81" s="115">
        <f t="shared" si="99"/>
        <v>1570.3333333333333</v>
      </c>
      <c r="N81" s="115"/>
      <c r="O81" s="203">
        <f>'Prop Budget Calc'!AK80/12</f>
        <v>0</v>
      </c>
      <c r="P81" s="203">
        <f>'Prop Budget Calc'!AL80/12</f>
        <v>0</v>
      </c>
      <c r="Q81" s="203">
        <f>'Prop Budget Calc'!AM80/12</f>
        <v>0</v>
      </c>
      <c r="R81" s="203">
        <f>IF(AND($D81="vacant",$F81=1),'Prop Budget Calc'!#REF!,IF(OR($B81=0,$F81&lt;&gt;1),0,SUMIFS(#REF!,#REF!,'Prop Budget Calc'!#REF!,#REF!,$B81)*'Prop Budget Calc'!#REF!))+IF(AND($D81="vacant",$F81=1),'Prop Budget Calc'!#REF!,IF(OR($B81=0,$F81&lt;&gt;1),0,SUMIFS(#REF!,#REF!,'Prop Budget Calc'!#REF!,#REF!,$B81)*'Prop Budget Calc'!#REF!))+IF(AND($D81="vacant",$F81=1),'Prop Budget Calc'!$BA$1,IF(OR($B81=0,$F81&lt;&gt;1),0,SUMIFS(#REF!,#REF!,'Prop Budget Calc'!BA$4,#REF!,$B81)*'Prop Budget Calc'!$BA$3))+IF(AND($D81="vacant",$F81=1),'Prop Budget Calc'!$BB$1,IF(OR($B81=0,$F81&lt;&gt;1),0,SUMIFS(#REF!,#REF!,'Prop Budget Calc'!BB$4,#REF!,$B81)*'Prop Budget Calc'!$BB$3))</f>
        <v>0</v>
      </c>
      <c r="S81" s="203">
        <f>IF(AND($D81="vacant",$F81=1),'Prop Budget Calc'!#REF!,IF(OR($B81=0,$F81&lt;&gt;1),0,SUMIFS(#REF!,#REF!,'Prop Budget Calc'!#REF!,#REF!,$B81)*'Prop Budget Calc'!#REF!))+IF(AND($D81="vacant",$F81=1),'Prop Budget Calc'!#REF!,IF(OR($B81=0,$F81&lt;&gt;1),0,SUMIFS(#REF!,#REF!,'Prop Budget Calc'!#REF!,#REF!,$B81)*'Prop Budget Calc'!#REF!))</f>
        <v>0</v>
      </c>
      <c r="T81" s="115">
        <f>$L81*'Prop Budget Calc'!$AV$2+IF(AND($J81&lt;&gt;"50101", $J81&lt;&gt;"50102"),0,IF($J81="50101",IF(($L81/52*'Prop Budget Calc'!$AW$3)&gt;'Prop Budget Calc'!$AV$1,'Prop Budget Calc'!$AV$1,$L81/52*'Prop Budget Calc'!$AW$3),IF(($L81/52*'Prop Budget Calc'!$AW$3)&gt;'Prop Budget Calc'!$AW$1,'Prop Budget Calc'!$AW$1,$L81/52*'Prop Budget Calc'!$AW$3)))*F81+IF(AND($D81="vacant",$F81=1),'Prop Budget Calc'!$AX$1,IF(OR($B81=0,$F81&lt;&gt;1),0,SUMIFS(#REF!,#REF!,'Prop Budget Calc'!AX$4,#REF!,$B81)*'Prop Budget Calc'!$AX$3))+IF(AND($D81="vacant",$F81=1),'Prop Budget Calc'!$AY$1,IF(OR($B81=0,$F81&lt;&gt;1),0,SUMIFS(#REF!,#REF!,'Prop Budget Calc'!AY$4,#REF!,$B81))*'Prop Budget Calc'!$AY$3)</f>
        <v>33.919199999999996</v>
      </c>
      <c r="U81" s="203">
        <f t="shared" si="100"/>
        <v>33.919199999999996</v>
      </c>
      <c r="X81" s="126"/>
      <c r="Y81" s="126"/>
      <c r="AA81" s="125">
        <f t="shared" si="101"/>
        <v>0</v>
      </c>
      <c r="AB81" s="125">
        <f t="shared" si="101"/>
        <v>851.95095785440583</v>
      </c>
      <c r="AC81" s="125">
        <f t="shared" si="101"/>
        <v>0</v>
      </c>
      <c r="AD81" s="125">
        <f t="shared" si="78"/>
        <v>0</v>
      </c>
      <c r="AE81" s="125"/>
      <c r="AF81" s="125">
        <f t="shared" si="79"/>
        <v>0</v>
      </c>
      <c r="AG81" s="125">
        <f t="shared" si="80"/>
        <v>0</v>
      </c>
      <c r="AH81" s="125">
        <f t="shared" si="81"/>
        <v>0</v>
      </c>
      <c r="AI81" s="125">
        <f t="shared" si="82"/>
        <v>0</v>
      </c>
      <c r="AJ81" s="125">
        <f t="shared" si="83"/>
        <v>851.95095785440583</v>
      </c>
      <c r="AK81" s="125">
        <f t="shared" si="84"/>
        <v>65.174248275862041</v>
      </c>
      <c r="AL81" s="205">
        <f t="shared" si="85"/>
        <v>1.6959599999999988</v>
      </c>
      <c r="AM81" s="125">
        <f t="shared" si="86"/>
        <v>0</v>
      </c>
      <c r="AN81" s="125">
        <f t="shared" si="102"/>
        <v>142.02022467432943</v>
      </c>
    </row>
    <row r="82" spans="2:40">
      <c r="B82" s="115">
        <f>'Prop Budget Calc'!A81</f>
        <v>0</v>
      </c>
      <c r="C82" s="115" t="str">
        <f>'Prop Budget Calc'!B81</f>
        <v>Certification Pay Contingency</v>
      </c>
      <c r="D82" s="115" t="str">
        <f>'Prop Budget Calc'!C81</f>
        <v>Regional Pay Contingency</v>
      </c>
      <c r="F82" s="115">
        <f>'Prop Budget Calc'!E81</f>
        <v>0</v>
      </c>
      <c r="H82" s="115" t="str">
        <f>'Prop Budget Calc'!G81</f>
        <v>100-30-303</v>
      </c>
      <c r="J82" s="202" t="str">
        <f>'Prop Budget Calc'!I81</f>
        <v>50102</v>
      </c>
      <c r="K82" s="115">
        <f>'Prop Budget Calc'!P81</f>
        <v>0</v>
      </c>
      <c r="L82" s="115">
        <f>'Prop Budget Calc'!N81</f>
        <v>0</v>
      </c>
      <c r="M82" s="115">
        <f t="shared" si="99"/>
        <v>0</v>
      </c>
      <c r="N82" s="115"/>
      <c r="O82" s="203">
        <f>'Prop Budget Calc'!AK81/12</f>
        <v>1250</v>
      </c>
      <c r="P82" s="203">
        <f>'Prop Budget Calc'!AL81/12</f>
        <v>0</v>
      </c>
      <c r="Q82" s="203">
        <f>'Prop Budget Calc'!AM81/12</f>
        <v>0</v>
      </c>
      <c r="R82" s="203">
        <f>IF(AND($D82="vacant",$F82=1),'Prop Budget Calc'!#REF!,IF(OR($B82=0,$F82&lt;&gt;1),0,SUMIFS(#REF!,#REF!,'Prop Budget Calc'!#REF!,#REF!,$B82)*'Prop Budget Calc'!#REF!))+IF(AND($D82="vacant",$F82=1),'Prop Budget Calc'!#REF!,IF(OR($B82=0,$F82&lt;&gt;1),0,SUMIFS(#REF!,#REF!,'Prop Budget Calc'!#REF!,#REF!,$B82)*'Prop Budget Calc'!#REF!))+IF(AND($D82="vacant",$F82=1),'Prop Budget Calc'!$BA$1,IF(OR($B82=0,$F82&lt;&gt;1),0,SUMIFS(#REF!,#REF!,'Prop Budget Calc'!BA$4,#REF!,$B82)*'Prop Budget Calc'!$BA$3))+IF(AND($D82="vacant",$F82=1),'Prop Budget Calc'!$BB$1,IF(OR($B82=0,$F82&lt;&gt;1),0,SUMIFS(#REF!,#REF!,'Prop Budget Calc'!BB$4,#REF!,$B82)*'Prop Budget Calc'!$BB$3))</f>
        <v>0</v>
      </c>
      <c r="S82" s="203">
        <f>IF(AND($D82="vacant",$F82=1),'Prop Budget Calc'!#REF!,IF(OR($B82=0,$F82&lt;&gt;1),0,SUMIFS(#REF!,#REF!,'Prop Budget Calc'!#REF!,#REF!,$B82)*'Prop Budget Calc'!#REF!))+IF(AND($D82="vacant",$F82=1),'Prop Budget Calc'!#REF!,IF(OR($B82=0,$F82&lt;&gt;1),0,SUMIFS(#REF!,#REF!,'Prop Budget Calc'!#REF!,#REF!,$B82)*'Prop Budget Calc'!#REF!))</f>
        <v>0</v>
      </c>
      <c r="T82" s="115">
        <f>$L82*'Prop Budget Calc'!$AV$2+IF(AND($J82&lt;&gt;"50101", $J82&lt;&gt;"50102"),0,IF($J82="50101",IF(($L82/52*'Prop Budget Calc'!$AW$3)&gt;'Prop Budget Calc'!$AV$1,'Prop Budget Calc'!$AV$1,$L82/52*'Prop Budget Calc'!$AW$3),IF(($L82/52*'Prop Budget Calc'!$AW$3)&gt;'Prop Budget Calc'!$AW$1,'Prop Budget Calc'!$AW$1,$L82/52*'Prop Budget Calc'!$AW$3)))*F82+IF(AND($D82="vacant",$F82=1),'Prop Budget Calc'!$AX$1,IF(OR($B82=0,$F82&lt;&gt;1),0,SUMIFS(#REF!,#REF!,'Prop Budget Calc'!AX$4,#REF!,$B82)*'Prop Budget Calc'!$AX$3))+IF(AND($D82="vacant",$F82=1),'Prop Budget Calc'!$AY$1,IF(OR($B82=0,$F82&lt;&gt;1),0,SUMIFS(#REF!,#REF!,'Prop Budget Calc'!AY$4,#REF!,$B82))*'Prop Budget Calc'!$AY$3)</f>
        <v>0</v>
      </c>
      <c r="U82" s="203">
        <f t="shared" si="100"/>
        <v>0</v>
      </c>
      <c r="X82" s="126"/>
      <c r="Y82" s="126"/>
      <c r="AA82" s="125">
        <f t="shared" si="101"/>
        <v>0</v>
      </c>
      <c r="AB82" s="125">
        <f t="shared" si="101"/>
        <v>0</v>
      </c>
      <c r="AC82" s="125">
        <f t="shared" si="101"/>
        <v>0</v>
      </c>
      <c r="AD82" s="125">
        <f t="shared" si="78"/>
        <v>0</v>
      </c>
      <c r="AE82" s="125"/>
      <c r="AF82" s="125">
        <f t="shared" si="79"/>
        <v>0</v>
      </c>
      <c r="AG82" s="125">
        <f t="shared" si="80"/>
        <v>1499.9999999999991</v>
      </c>
      <c r="AH82" s="125">
        <f t="shared" si="81"/>
        <v>0</v>
      </c>
      <c r="AI82" s="125">
        <f t="shared" si="82"/>
        <v>0</v>
      </c>
      <c r="AJ82" s="125">
        <f t="shared" si="83"/>
        <v>1499.9999999999991</v>
      </c>
      <c r="AK82" s="125">
        <f t="shared" si="84"/>
        <v>114.74999999999993</v>
      </c>
      <c r="AL82" s="205">
        <f t="shared" si="85"/>
        <v>0</v>
      </c>
      <c r="AM82" s="125">
        <f t="shared" si="86"/>
        <v>0</v>
      </c>
      <c r="AN82" s="125">
        <f t="shared" si="102"/>
        <v>250.04999999999984</v>
      </c>
    </row>
    <row r="83" spans="2:40">
      <c r="B83" s="115">
        <f>'Prop Budget Calc'!A82</f>
        <v>0</v>
      </c>
      <c r="C83" s="115" t="str">
        <f>'Prop Budget Calc'!B82</f>
        <v>Out of Class Pay</v>
      </c>
      <c r="D83" s="115" t="str">
        <f>'Prop Budget Calc'!C82</f>
        <v>OUT OF CLASS PAY</v>
      </c>
      <c r="F83" s="115">
        <f>'Prop Budget Calc'!E82</f>
        <v>0</v>
      </c>
      <c r="H83" s="115" t="str">
        <f>'Prop Budget Calc'!G82</f>
        <v>100-30-303</v>
      </c>
      <c r="J83" s="202" t="str">
        <f>'Prop Budget Calc'!I82</f>
        <v>50102</v>
      </c>
      <c r="K83" s="115">
        <f>'Prop Budget Calc'!P82</f>
        <v>0</v>
      </c>
      <c r="L83" s="115">
        <f>'Prop Budget Calc'!N82</f>
        <v>5500</v>
      </c>
      <c r="M83" s="115">
        <f t="shared" si="99"/>
        <v>458.33333333333331</v>
      </c>
      <c r="N83" s="115"/>
      <c r="O83" s="203">
        <f>'Prop Budget Calc'!AK82/12</f>
        <v>0</v>
      </c>
      <c r="P83" s="203">
        <f>'Prop Budget Calc'!AL82/12</f>
        <v>0</v>
      </c>
      <c r="Q83" s="203">
        <f>'Prop Budget Calc'!AM82/12</f>
        <v>0</v>
      </c>
      <c r="R83" s="203">
        <f>IF(AND($D83="vacant",$F83=1),'Prop Budget Calc'!#REF!,IF(OR($B83=0,$F83&lt;&gt;1),0,SUMIFS(#REF!,#REF!,'Prop Budget Calc'!#REF!,#REF!,$B83)*'Prop Budget Calc'!#REF!))+IF(AND($D83="vacant",$F83=1),'Prop Budget Calc'!#REF!,IF(OR($B83=0,$F83&lt;&gt;1),0,SUMIFS(#REF!,#REF!,'Prop Budget Calc'!#REF!,#REF!,$B83)*'Prop Budget Calc'!#REF!))+IF(AND($D83="vacant",$F83=1),'Prop Budget Calc'!$BA$1,IF(OR($B83=0,$F83&lt;&gt;1),0,SUMIFS(#REF!,#REF!,'Prop Budget Calc'!BA$4,#REF!,$B83)*'Prop Budget Calc'!$BA$3))+IF(AND($D83="vacant",$F83=1),'Prop Budget Calc'!$BB$1,IF(OR($B83=0,$F83&lt;&gt;1),0,SUMIFS(#REF!,#REF!,'Prop Budget Calc'!BB$4,#REF!,$B83)*'Prop Budget Calc'!$BB$3))</f>
        <v>0</v>
      </c>
      <c r="S83" s="203">
        <f>IF(AND($D83="vacant",$F83=1),'Prop Budget Calc'!#REF!,IF(OR($B83=0,$F83&lt;&gt;1),0,SUMIFS(#REF!,#REF!,'Prop Budget Calc'!#REF!,#REF!,$B83)*'Prop Budget Calc'!#REF!))+IF(AND($D83="vacant",$F83=1),'Prop Budget Calc'!#REF!,IF(OR($B83=0,$F83&lt;&gt;1),0,SUMIFS(#REF!,#REF!,'Prop Budget Calc'!#REF!,#REF!,$B83)*'Prop Budget Calc'!#REF!))</f>
        <v>0</v>
      </c>
      <c r="T83" s="115">
        <f>$L83*'Prop Budget Calc'!$AV$2+IF(AND($J83&lt;&gt;"50101", $J83&lt;&gt;"50102"),0,IF($J83="50101",IF(($L83/52*'Prop Budget Calc'!$AW$3)&gt;'Prop Budget Calc'!$AV$1,'Prop Budget Calc'!$AV$1,$L83/52*'Prop Budget Calc'!$AW$3),IF(($L83/52*'Prop Budget Calc'!$AW$3)&gt;'Prop Budget Calc'!$AW$1,'Prop Budget Calc'!$AW$1,$L83/52*'Prop Budget Calc'!$AW$3)))*F83+IF(AND($D83="vacant",$F83=1),'Prop Budget Calc'!$AX$1,IF(OR($B83=0,$F83&lt;&gt;1),0,SUMIFS(#REF!,#REF!,'Prop Budget Calc'!AX$4,#REF!,$B83)*'Prop Budget Calc'!$AX$3))+IF(AND($D83="vacant",$F83=1),'Prop Budget Calc'!$AY$1,IF(OR($B83=0,$F83&lt;&gt;1),0,SUMIFS(#REF!,#REF!,'Prop Budget Calc'!AY$4,#REF!,$B83))*'Prop Budget Calc'!$AY$3)</f>
        <v>9.9</v>
      </c>
      <c r="U83" s="203">
        <f t="shared" si="100"/>
        <v>9.9</v>
      </c>
      <c r="X83" s="126"/>
      <c r="Y83" s="126"/>
      <c r="AA83" s="125">
        <f t="shared" si="101"/>
        <v>0</v>
      </c>
      <c r="AB83" s="125">
        <f t="shared" si="101"/>
        <v>248.65900383141755</v>
      </c>
      <c r="AC83" s="125">
        <f t="shared" si="101"/>
        <v>0</v>
      </c>
      <c r="AD83" s="125">
        <f t="shared" si="78"/>
        <v>0</v>
      </c>
      <c r="AE83" s="125"/>
      <c r="AF83" s="125">
        <f t="shared" si="79"/>
        <v>0</v>
      </c>
      <c r="AG83" s="125">
        <f t="shared" si="80"/>
        <v>0</v>
      </c>
      <c r="AH83" s="125">
        <f t="shared" si="81"/>
        <v>0</v>
      </c>
      <c r="AI83" s="125">
        <f t="shared" si="82"/>
        <v>0</v>
      </c>
      <c r="AJ83" s="125">
        <f t="shared" si="83"/>
        <v>248.65900383141755</v>
      </c>
      <c r="AK83" s="125">
        <f t="shared" si="84"/>
        <v>19.022413793103443</v>
      </c>
      <c r="AL83" s="205">
        <f t="shared" si="85"/>
        <v>0.49499999999999977</v>
      </c>
      <c r="AM83" s="125">
        <f t="shared" si="86"/>
        <v>0</v>
      </c>
      <c r="AN83" s="125">
        <f t="shared" si="102"/>
        <v>41.4514559386973</v>
      </c>
    </row>
    <row r="84" spans="2:40">
      <c r="B84" s="115">
        <f>'Prop Budget Calc'!A83</f>
        <v>0</v>
      </c>
      <c r="C84" s="115" t="str">
        <f>'Prop Budget Calc'!B83</f>
        <v>Shift Differential</v>
      </c>
      <c r="D84" s="115" t="str">
        <f>'Prop Budget Calc'!C83</f>
        <v>Shift Differential</v>
      </c>
      <c r="F84" s="115">
        <f>'Prop Budget Calc'!E83</f>
        <v>0</v>
      </c>
      <c r="H84" s="115" t="str">
        <f>'Prop Budget Calc'!G83</f>
        <v>100-30-303</v>
      </c>
      <c r="J84" s="202" t="str">
        <f>'Prop Budget Calc'!I83</f>
        <v>50102</v>
      </c>
      <c r="K84" s="115">
        <f>'Prop Budget Calc'!P83</f>
        <v>0</v>
      </c>
      <c r="L84" s="115">
        <f>'Prop Budget Calc'!N83</f>
        <v>6550</v>
      </c>
      <c r="M84" s="115">
        <f t="shared" si="99"/>
        <v>545.83333333333337</v>
      </c>
      <c r="N84" s="115"/>
      <c r="O84" s="203">
        <f>'Prop Budget Calc'!AK83/12</f>
        <v>0</v>
      </c>
      <c r="P84" s="203">
        <f>'Prop Budget Calc'!AL83/12</f>
        <v>0</v>
      </c>
      <c r="Q84" s="203">
        <f>'Prop Budget Calc'!AM83/12</f>
        <v>0</v>
      </c>
      <c r="R84" s="203">
        <f>IF(AND($D84="vacant",$F84=1),'Prop Budget Calc'!#REF!,IF(OR($B84=0,$F84&lt;&gt;1),0,SUMIFS(#REF!,#REF!,'Prop Budget Calc'!#REF!,#REF!,$B84)*'Prop Budget Calc'!#REF!))+IF(AND($D84="vacant",$F84=1),'Prop Budget Calc'!#REF!,IF(OR($B84=0,$F84&lt;&gt;1),0,SUMIFS(#REF!,#REF!,'Prop Budget Calc'!#REF!,#REF!,$B84)*'Prop Budget Calc'!#REF!))+IF(AND($D84="vacant",$F84=1),'Prop Budget Calc'!$BA$1,IF(OR($B84=0,$F84&lt;&gt;1),0,SUMIFS(#REF!,#REF!,'Prop Budget Calc'!BA$4,#REF!,$B84)*'Prop Budget Calc'!$BA$3))+IF(AND($D84="vacant",$F84=1),'Prop Budget Calc'!$BB$1,IF(OR($B84=0,$F84&lt;&gt;1),0,SUMIFS(#REF!,#REF!,'Prop Budget Calc'!BB$4,#REF!,$B84)*'Prop Budget Calc'!$BB$3))</f>
        <v>0</v>
      </c>
      <c r="S84" s="203">
        <f>IF(AND($D84="vacant",$F84=1),'Prop Budget Calc'!#REF!,IF(OR($B84=0,$F84&lt;&gt;1),0,SUMIFS(#REF!,#REF!,'Prop Budget Calc'!#REF!,#REF!,$B84)*'Prop Budget Calc'!#REF!))+IF(AND($D84="vacant",$F84=1),'Prop Budget Calc'!#REF!,IF(OR($B84=0,$F84&lt;&gt;1),0,SUMIFS(#REF!,#REF!,'Prop Budget Calc'!#REF!,#REF!,$B84)*'Prop Budget Calc'!#REF!))</f>
        <v>0</v>
      </c>
      <c r="T84" s="115">
        <f>$L84*'Prop Budget Calc'!$AV$2+IF(AND($J84&lt;&gt;"50101", $J84&lt;&gt;"50102"),0,IF($J84="50101",IF(($L84/52*'Prop Budget Calc'!$AW$3)&gt;'Prop Budget Calc'!$AV$1,'Prop Budget Calc'!$AV$1,$L84/52*'Prop Budget Calc'!$AW$3),IF(($L84/52*'Prop Budget Calc'!$AW$3)&gt;'Prop Budget Calc'!$AW$1,'Prop Budget Calc'!$AW$1,$L84/52*'Prop Budget Calc'!$AW$3)))*F84+IF(AND($D84="vacant",$F84=1),'Prop Budget Calc'!$AX$1,IF(OR($B84=0,$F84&lt;&gt;1),0,SUMIFS(#REF!,#REF!,'Prop Budget Calc'!AX$4,#REF!,$B84)*'Prop Budget Calc'!$AX$3))+IF(AND($D84="vacant",$F84=1),'Prop Budget Calc'!$AY$1,IF(OR($B84=0,$F84&lt;&gt;1),0,SUMIFS(#REF!,#REF!,'Prop Budget Calc'!AY$4,#REF!,$B84))*'Prop Budget Calc'!$AY$3)</f>
        <v>11.79</v>
      </c>
      <c r="U84" s="203">
        <f t="shared" si="100"/>
        <v>11.79</v>
      </c>
      <c r="X84" s="126"/>
      <c r="Y84" s="126"/>
      <c r="AA84" s="125">
        <f t="shared" si="101"/>
        <v>0</v>
      </c>
      <c r="AB84" s="125">
        <f t="shared" si="101"/>
        <v>296.13026819923363</v>
      </c>
      <c r="AC84" s="125">
        <f t="shared" si="101"/>
        <v>0</v>
      </c>
      <c r="AD84" s="125">
        <f t="shared" si="78"/>
        <v>0</v>
      </c>
      <c r="AE84" s="125"/>
      <c r="AF84" s="125">
        <f t="shared" si="79"/>
        <v>0</v>
      </c>
      <c r="AG84" s="125">
        <f t="shared" si="80"/>
        <v>0</v>
      </c>
      <c r="AH84" s="125">
        <f t="shared" si="81"/>
        <v>0</v>
      </c>
      <c r="AI84" s="125">
        <f t="shared" si="82"/>
        <v>0</v>
      </c>
      <c r="AJ84" s="125">
        <f t="shared" si="83"/>
        <v>296.13026819923363</v>
      </c>
      <c r="AK84" s="125">
        <f t="shared" si="84"/>
        <v>22.653965517241371</v>
      </c>
      <c r="AL84" s="205">
        <f t="shared" si="85"/>
        <v>0.58949999999999958</v>
      </c>
      <c r="AM84" s="125">
        <f t="shared" si="86"/>
        <v>0</v>
      </c>
      <c r="AN84" s="125">
        <f t="shared" si="102"/>
        <v>49.364915708812241</v>
      </c>
    </row>
    <row r="85" spans="2:40">
      <c r="B85" s="115">
        <f>'Prop Budget Calc'!A84</f>
        <v>0</v>
      </c>
      <c r="C85" s="115" t="str">
        <f>'Prop Budget Calc'!B84</f>
        <v>Shift Differential</v>
      </c>
      <c r="D85" s="115" t="str">
        <f>'Prop Budget Calc'!C84</f>
        <v>Shift Differential</v>
      </c>
      <c r="F85" s="115">
        <f>'Prop Budget Calc'!E84</f>
        <v>0</v>
      </c>
      <c r="H85" s="115" t="str">
        <f>'Prop Budget Calc'!G84</f>
        <v>100-30-305</v>
      </c>
      <c r="J85" s="202" t="str">
        <f>'Prop Budget Calc'!I84</f>
        <v>50102</v>
      </c>
      <c r="K85" s="115">
        <f>'Prop Budget Calc'!P84</f>
        <v>0</v>
      </c>
      <c r="L85" s="115">
        <f>'Prop Budget Calc'!N84</f>
        <v>1250</v>
      </c>
      <c r="M85" s="115">
        <f t="shared" si="99"/>
        <v>104.16666666666667</v>
      </c>
      <c r="N85" s="115"/>
      <c r="O85" s="203">
        <f>'Prop Budget Calc'!AK84/12</f>
        <v>0</v>
      </c>
      <c r="P85" s="203">
        <f>'Prop Budget Calc'!AL84/12</f>
        <v>0</v>
      </c>
      <c r="Q85" s="203">
        <f>'Prop Budget Calc'!AM84/12</f>
        <v>0</v>
      </c>
      <c r="R85" s="203">
        <f>IF(AND($D85="vacant",$F85=1),'Prop Budget Calc'!#REF!,IF(OR($B85=0,$F85&lt;&gt;1),0,SUMIFS(#REF!,#REF!,'Prop Budget Calc'!#REF!,#REF!,$B85)*'Prop Budget Calc'!#REF!))+IF(AND($D85="vacant",$F85=1),'Prop Budget Calc'!#REF!,IF(OR($B85=0,$F85&lt;&gt;1),0,SUMIFS(#REF!,#REF!,'Prop Budget Calc'!#REF!,#REF!,$B85)*'Prop Budget Calc'!#REF!))+IF(AND($D85="vacant",$F85=1),'Prop Budget Calc'!$BA$1,IF(OR($B85=0,$F85&lt;&gt;1),0,SUMIFS(#REF!,#REF!,'Prop Budget Calc'!BA$4,#REF!,$B85)*'Prop Budget Calc'!$BA$3))+IF(AND($D85="vacant",$F85=1),'Prop Budget Calc'!$BB$1,IF(OR($B85=0,$F85&lt;&gt;1),0,SUMIFS(#REF!,#REF!,'Prop Budget Calc'!BB$4,#REF!,$B85)*'Prop Budget Calc'!$BB$3))</f>
        <v>0</v>
      </c>
      <c r="S85" s="203">
        <f>IF(AND($D85="vacant",$F85=1),'Prop Budget Calc'!#REF!,IF(OR($B85=0,$F85&lt;&gt;1),0,SUMIFS(#REF!,#REF!,'Prop Budget Calc'!#REF!,#REF!,$B85)*'Prop Budget Calc'!#REF!))+IF(AND($D85="vacant",$F85=1),'Prop Budget Calc'!#REF!,IF(OR($B85=0,$F85&lt;&gt;1),0,SUMIFS(#REF!,#REF!,'Prop Budget Calc'!#REF!,#REF!,$B85)*'Prop Budget Calc'!#REF!))</f>
        <v>0</v>
      </c>
      <c r="T85" s="115">
        <f>$L85*'Prop Budget Calc'!$AV$2+IF(AND($J85&lt;&gt;"50101", $J85&lt;&gt;"50102"),0,IF($J85="50101",IF(($L85/52*'Prop Budget Calc'!$AW$3)&gt;'Prop Budget Calc'!$AV$1,'Prop Budget Calc'!$AV$1,$L85/52*'Prop Budget Calc'!$AW$3),IF(($L85/52*'Prop Budget Calc'!$AW$3)&gt;'Prop Budget Calc'!$AW$1,'Prop Budget Calc'!$AW$1,$L85/52*'Prop Budget Calc'!$AW$3)))*F85+IF(AND($D85="vacant",$F85=1),'Prop Budget Calc'!$AX$1,IF(OR($B85=0,$F85&lt;&gt;1),0,SUMIFS(#REF!,#REF!,'Prop Budget Calc'!AX$4,#REF!,$B85)*'Prop Budget Calc'!$AX$3))+IF(AND($D85="vacant",$F85=1),'Prop Budget Calc'!$AY$1,IF(OR($B85=0,$F85&lt;&gt;1),0,SUMIFS(#REF!,#REF!,'Prop Budget Calc'!AY$4,#REF!,$B85))*'Prop Budget Calc'!$AY$3)</f>
        <v>2.25</v>
      </c>
      <c r="U85" s="203">
        <f t="shared" si="100"/>
        <v>2.25</v>
      </c>
      <c r="X85" s="126"/>
      <c r="Y85" s="126"/>
      <c r="AA85" s="125">
        <f t="shared" si="101"/>
        <v>0</v>
      </c>
      <c r="AB85" s="125">
        <f t="shared" si="101"/>
        <v>56.513409961685809</v>
      </c>
      <c r="AC85" s="125">
        <f t="shared" si="101"/>
        <v>0</v>
      </c>
      <c r="AD85" s="125">
        <f t="shared" si="78"/>
        <v>0</v>
      </c>
      <c r="AE85" s="125"/>
      <c r="AF85" s="125">
        <f t="shared" si="79"/>
        <v>0</v>
      </c>
      <c r="AG85" s="125">
        <f t="shared" si="80"/>
        <v>0</v>
      </c>
      <c r="AH85" s="125">
        <f t="shared" si="81"/>
        <v>0</v>
      </c>
      <c r="AI85" s="125">
        <f t="shared" si="82"/>
        <v>0</v>
      </c>
      <c r="AJ85" s="125">
        <f t="shared" si="83"/>
        <v>56.513409961685809</v>
      </c>
      <c r="AK85" s="125">
        <f t="shared" si="84"/>
        <v>4.3232758620689644</v>
      </c>
      <c r="AL85" s="205">
        <f t="shared" si="85"/>
        <v>0.11249999999999993</v>
      </c>
      <c r="AM85" s="125">
        <f t="shared" si="86"/>
        <v>0</v>
      </c>
      <c r="AN85" s="125">
        <f t="shared" si="102"/>
        <v>9.4207854406130238</v>
      </c>
    </row>
    <row r="86" spans="2:40">
      <c r="B86" s="115">
        <f>'Prop Budget Calc'!A85</f>
        <v>0</v>
      </c>
      <c r="C86" s="115" t="str">
        <f>'Prop Budget Calc'!B85</f>
        <v>COMMUNICATION ALLOWANCE</v>
      </c>
      <c r="D86" s="115" t="str">
        <f>'Prop Budget Calc'!C85</f>
        <v>Communication Allowance</v>
      </c>
      <c r="F86" s="115">
        <f>'Prop Budget Calc'!E85</f>
        <v>0</v>
      </c>
      <c r="H86" s="115" t="str">
        <f>'Prop Budget Calc'!G85</f>
        <v>119-18-181</v>
      </c>
      <c r="J86" s="202" t="str">
        <f>'Prop Budget Calc'!I85</f>
        <v>50140</v>
      </c>
      <c r="K86" s="115">
        <f>'Prop Budget Calc'!P85</f>
        <v>0</v>
      </c>
      <c r="L86" s="115">
        <f>'Prop Budget Calc'!N85</f>
        <v>27615</v>
      </c>
      <c r="M86" s="115">
        <f t="shared" si="99"/>
        <v>2301.25</v>
      </c>
      <c r="N86" s="115"/>
      <c r="O86" s="203">
        <f>'Prop Budget Calc'!AK85/12</f>
        <v>0</v>
      </c>
      <c r="P86" s="203">
        <f>'Prop Budget Calc'!AL85/12</f>
        <v>0</v>
      </c>
      <c r="Q86" s="203">
        <f>'Prop Budget Calc'!AM85/12</f>
        <v>0</v>
      </c>
      <c r="R86" s="203">
        <f>IF(AND($D86="vacant",$F86=1),'Prop Budget Calc'!#REF!,IF(OR($B86=0,$F86&lt;&gt;1),0,SUMIFS(#REF!,#REF!,'Prop Budget Calc'!#REF!,#REF!,$B86)*'Prop Budget Calc'!#REF!))+IF(AND($D86="vacant",$F86=1),'Prop Budget Calc'!#REF!,IF(OR($B86=0,$F86&lt;&gt;1),0,SUMIFS(#REF!,#REF!,'Prop Budget Calc'!#REF!,#REF!,$B86)*'Prop Budget Calc'!#REF!))+IF(AND($D86="vacant",$F86=1),'Prop Budget Calc'!$BA$1,IF(OR($B86=0,$F86&lt;&gt;1),0,SUMIFS(#REF!,#REF!,'Prop Budget Calc'!BA$4,#REF!,$B86)*'Prop Budget Calc'!$BA$3))+IF(AND($D86="vacant",$F86=1),'Prop Budget Calc'!$BB$1,IF(OR($B86=0,$F86&lt;&gt;1),0,SUMIFS(#REF!,#REF!,'Prop Budget Calc'!BB$4,#REF!,$B86)*'Prop Budget Calc'!$BB$3))</f>
        <v>0</v>
      </c>
      <c r="S86" s="203">
        <f>IF(AND($D86="vacant",$F86=1),'Prop Budget Calc'!#REF!,IF(OR($B86=0,$F86&lt;&gt;1),0,SUMIFS(#REF!,#REF!,'Prop Budget Calc'!#REF!,#REF!,$B86)*'Prop Budget Calc'!#REF!))+IF(AND($D86="vacant",$F86=1),'Prop Budget Calc'!#REF!,IF(OR($B86=0,$F86&lt;&gt;1),0,SUMIFS(#REF!,#REF!,'Prop Budget Calc'!#REF!,#REF!,$B86)*'Prop Budget Calc'!#REF!))</f>
        <v>0</v>
      </c>
      <c r="T86" s="115">
        <f>$L86*'Prop Budget Calc'!$AV$2+IF(AND($J86&lt;&gt;"50101", $J86&lt;&gt;"50102"),0,IF($J86="50101",IF(($L86/52*'Prop Budget Calc'!$AW$3)&gt;'Prop Budget Calc'!$AV$1,'Prop Budget Calc'!$AV$1,$L86/52*'Prop Budget Calc'!$AW$3),IF(($L86/52*'Prop Budget Calc'!$AW$3)&gt;'Prop Budget Calc'!$AW$1,'Prop Budget Calc'!$AW$1,$L86/52*'Prop Budget Calc'!$AW$3)))*F86+IF(AND($D86="vacant",$F86=1),'Prop Budget Calc'!$AX$1,IF(OR($B86=0,$F86&lt;&gt;1),0,SUMIFS(#REF!,#REF!,'Prop Budget Calc'!AX$4,#REF!,$B86)*'Prop Budget Calc'!$AX$3))+IF(AND($D86="vacant",$F86=1),'Prop Budget Calc'!$AY$1,IF(OR($B86=0,$F86&lt;&gt;1),0,SUMIFS(#REF!,#REF!,'Prop Budget Calc'!AY$4,#REF!,$B86))*'Prop Budget Calc'!$AY$3)</f>
        <v>49.707000000000001</v>
      </c>
      <c r="U86" s="203">
        <f t="shared" si="100"/>
        <v>49.707000000000001</v>
      </c>
      <c r="X86" s="126"/>
      <c r="Y86" s="126"/>
      <c r="AA86" s="125">
        <f t="shared" si="101"/>
        <v>0</v>
      </c>
      <c r="AB86" s="125">
        <f t="shared" si="101"/>
        <v>0</v>
      </c>
      <c r="AC86" s="125">
        <f t="shared" si="101"/>
        <v>0</v>
      </c>
      <c r="AD86" s="125">
        <f t="shared" si="78"/>
        <v>0</v>
      </c>
      <c r="AE86" s="125"/>
      <c r="AF86" s="125">
        <f t="shared" si="79"/>
        <v>0</v>
      </c>
      <c r="AG86" s="125">
        <f t="shared" si="80"/>
        <v>0</v>
      </c>
      <c r="AH86" s="125">
        <f t="shared" si="81"/>
        <v>0</v>
      </c>
      <c r="AI86" s="125">
        <f>IF($J86=AI$5,$L86/$AB$1*$AI$2,0)</f>
        <v>1269.6551724137923</v>
      </c>
      <c r="AJ86" s="125">
        <f t="shared" si="83"/>
        <v>1269.6551724137923</v>
      </c>
      <c r="AK86" s="125">
        <f t="shared" si="84"/>
        <v>97.128620689655122</v>
      </c>
      <c r="AL86" s="205">
        <f t="shared" si="85"/>
        <v>2.4853499999999982</v>
      </c>
      <c r="AM86" s="125">
        <f t="shared" si="86"/>
        <v>0</v>
      </c>
      <c r="AN86" s="125">
        <f t="shared" si="102"/>
        <v>211.65151724137917</v>
      </c>
    </row>
    <row r="87" spans="2:40">
      <c r="B87" s="115">
        <f>'Prop Budget Calc'!A86</f>
        <v>0</v>
      </c>
      <c r="C87" s="115" t="str">
        <f>'Prop Budget Calc'!B86</f>
        <v>Certification Pay Contingency</v>
      </c>
      <c r="D87" s="115" t="str">
        <f>'Prop Budget Calc'!C86</f>
        <v>Regional Pay Contingency</v>
      </c>
      <c r="F87" s="115">
        <f>'Prop Budget Calc'!E86</f>
        <v>0</v>
      </c>
      <c r="H87" s="115" t="str">
        <f>'Prop Budget Calc'!G86</f>
        <v>100-35-352</v>
      </c>
      <c r="J87" s="202" t="str">
        <f>'Prop Budget Calc'!I86</f>
        <v>50102</v>
      </c>
      <c r="K87" s="115">
        <f>'Prop Budget Calc'!P86</f>
        <v>0</v>
      </c>
      <c r="L87" s="115">
        <f>'Prop Budget Calc'!N86</f>
        <v>5400</v>
      </c>
      <c r="M87" s="115">
        <f t="shared" si="99"/>
        <v>450</v>
      </c>
      <c r="N87" s="115"/>
      <c r="O87" s="203">
        <f>'Prop Budget Calc'!AK86/12</f>
        <v>0</v>
      </c>
      <c r="P87" s="203">
        <f>'Prop Budget Calc'!AL86/12</f>
        <v>0</v>
      </c>
      <c r="Q87" s="203">
        <f>'Prop Budget Calc'!AM86/12</f>
        <v>0</v>
      </c>
      <c r="R87" s="203">
        <f>IF(AND($D87="vacant",$F87=1),'Prop Budget Calc'!#REF!,IF(OR($B87=0,$F87&lt;&gt;1),0,SUMIFS(#REF!,#REF!,'Prop Budget Calc'!#REF!,#REF!,$B87)*'Prop Budget Calc'!#REF!))+IF(AND($D87="vacant",$F87=1),'Prop Budget Calc'!#REF!,IF(OR($B87=0,$F87&lt;&gt;1),0,SUMIFS(#REF!,#REF!,'Prop Budget Calc'!#REF!,#REF!,$B87)*'Prop Budget Calc'!#REF!))+IF(AND($D87="vacant",$F87=1),'Prop Budget Calc'!$BA$1,IF(OR($B87=0,$F87&lt;&gt;1),0,SUMIFS(#REF!,#REF!,'Prop Budget Calc'!BA$4,#REF!,$B87)*'Prop Budget Calc'!$BA$3))+IF(AND($D87="vacant",$F87=1),'Prop Budget Calc'!$BB$1,IF(OR($B87=0,$F87&lt;&gt;1),0,SUMIFS(#REF!,#REF!,'Prop Budget Calc'!BB$4,#REF!,$B87)*'Prop Budget Calc'!$BB$3))</f>
        <v>0</v>
      </c>
      <c r="S87" s="203">
        <f>IF(AND($D87="vacant",$F87=1),'Prop Budget Calc'!#REF!,IF(OR($B87=0,$F87&lt;&gt;1),0,SUMIFS(#REF!,#REF!,'Prop Budget Calc'!#REF!,#REF!,$B87)*'Prop Budget Calc'!#REF!))+IF(AND($D87="vacant",$F87=1),'Prop Budget Calc'!#REF!,IF(OR($B87=0,$F87&lt;&gt;1),0,SUMIFS(#REF!,#REF!,'Prop Budget Calc'!#REF!,#REF!,$B87)*'Prop Budget Calc'!#REF!))</f>
        <v>0</v>
      </c>
      <c r="T87" s="115">
        <f>$L87*'Prop Budget Calc'!$AV$2+IF(AND($J87&lt;&gt;"50101", $J87&lt;&gt;"50102"),0,IF($J87="50101",IF(($L87/52*'Prop Budget Calc'!$AW$3)&gt;'Prop Budget Calc'!$AV$1,'Prop Budget Calc'!$AV$1,$L87/52*'Prop Budget Calc'!$AW$3),IF(($L87/52*'Prop Budget Calc'!$AW$3)&gt;'Prop Budget Calc'!$AW$1,'Prop Budget Calc'!$AW$1,$L87/52*'Prop Budget Calc'!$AW$3)))*F87+IF(AND($D87="vacant",$F87=1),'Prop Budget Calc'!$AX$1,IF(OR($B87=0,$F87&lt;&gt;1),0,SUMIFS(#REF!,#REF!,'Prop Budget Calc'!AX$4,#REF!,$B87)*'Prop Budget Calc'!$AX$3))+IF(AND($D87="vacant",$F87=1),'Prop Budget Calc'!$AY$1,IF(OR($B87=0,$F87&lt;&gt;1),0,SUMIFS(#REF!,#REF!,'Prop Budget Calc'!AY$4,#REF!,$B87))*'Prop Budget Calc'!$AY$3)</f>
        <v>9.7199999999999989</v>
      </c>
      <c r="U87" s="203">
        <f t="shared" si="100"/>
        <v>9.7199999999999989</v>
      </c>
      <c r="X87" s="126"/>
      <c r="Y87" s="126"/>
      <c r="AA87" s="125">
        <f t="shared" si="101"/>
        <v>0</v>
      </c>
      <c r="AB87" s="125">
        <f t="shared" si="101"/>
        <v>244.13793103448268</v>
      </c>
      <c r="AC87" s="125">
        <f t="shared" si="101"/>
        <v>0</v>
      </c>
      <c r="AD87" s="125">
        <f t="shared" si="78"/>
        <v>0</v>
      </c>
      <c r="AE87" s="125"/>
      <c r="AF87" s="125">
        <f t="shared" si="79"/>
        <v>0</v>
      </c>
      <c r="AG87" s="125">
        <f t="shared" si="80"/>
        <v>0</v>
      </c>
      <c r="AH87" s="125">
        <f t="shared" si="81"/>
        <v>0</v>
      </c>
      <c r="AI87" s="125">
        <f t="shared" si="82"/>
        <v>0</v>
      </c>
      <c r="AJ87" s="125">
        <f t="shared" si="83"/>
        <v>244.13793103448268</v>
      </c>
      <c r="AK87" s="125">
        <f t="shared" si="84"/>
        <v>18.676551724137923</v>
      </c>
      <c r="AL87" s="205">
        <f t="shared" si="85"/>
        <v>0.48599999999999965</v>
      </c>
      <c r="AM87" s="125">
        <f t="shared" si="86"/>
        <v>0</v>
      </c>
      <c r="AN87" s="125">
        <f t="shared" si="102"/>
        <v>40.697793103448262</v>
      </c>
    </row>
    <row r="88" spans="2:40">
      <c r="B88" s="115">
        <f>'Prop Budget Calc'!A87</f>
        <v>0</v>
      </c>
      <c r="C88" s="115" t="str">
        <f>'Prop Budget Calc'!B87</f>
        <v>Senior Services Trip - PT</v>
      </c>
      <c r="D88" s="115" t="str">
        <f>'Prop Budget Calc'!C87</f>
        <v>Senior Services Trip - PT</v>
      </c>
      <c r="F88" s="115">
        <f>'Prop Budget Calc'!E87</f>
        <v>0</v>
      </c>
      <c r="H88" s="115" t="str">
        <f>'Prop Budget Calc'!G87</f>
        <v>112-64-642</v>
      </c>
      <c r="J88" s="202" t="str">
        <f>'Prop Budget Calc'!I87</f>
        <v>50110</v>
      </c>
      <c r="K88" s="115">
        <f>'Prop Budget Calc'!P87</f>
        <v>0</v>
      </c>
      <c r="L88" s="115">
        <f>'Prop Budget Calc'!N87</f>
        <v>250</v>
      </c>
      <c r="M88" s="115">
        <f t="shared" si="99"/>
        <v>20.833333333333332</v>
      </c>
      <c r="N88" s="115"/>
      <c r="O88" s="203">
        <f>'Prop Budget Calc'!AK87/12</f>
        <v>0</v>
      </c>
      <c r="P88" s="203">
        <f>'Prop Budget Calc'!AL87/12</f>
        <v>0</v>
      </c>
      <c r="Q88" s="203">
        <f>'Prop Budget Calc'!AM87/12</f>
        <v>0</v>
      </c>
      <c r="R88" s="203">
        <f>IF(AND($D88="vacant",$F88=1),'Prop Budget Calc'!#REF!,IF(OR($B88=0,$F88&lt;&gt;1),0,SUMIFS(#REF!,#REF!,'Prop Budget Calc'!#REF!,#REF!,$B88)*'Prop Budget Calc'!#REF!))+IF(AND($D88="vacant",$F88=1),'Prop Budget Calc'!#REF!,IF(OR($B88=0,$F88&lt;&gt;1),0,SUMIFS(#REF!,#REF!,'Prop Budget Calc'!#REF!,#REF!,$B88)*'Prop Budget Calc'!#REF!))+IF(AND($D88="vacant",$F88=1),'Prop Budget Calc'!$BA$1,IF(OR($B88=0,$F88&lt;&gt;1),0,SUMIFS(#REF!,#REF!,'Prop Budget Calc'!BA$4,#REF!,$B88)*'Prop Budget Calc'!$BA$3))+IF(AND($D88="vacant",$F88=1),'Prop Budget Calc'!$BB$1,IF(OR($B88=0,$F88&lt;&gt;1),0,SUMIFS(#REF!,#REF!,'Prop Budget Calc'!BB$4,#REF!,$B88)*'Prop Budget Calc'!$BB$3))</f>
        <v>0</v>
      </c>
      <c r="S88" s="203">
        <f>IF(AND($D88="vacant",$F88=1),'Prop Budget Calc'!#REF!,IF(OR($B88=0,$F88&lt;&gt;1),0,SUMIFS(#REF!,#REF!,'Prop Budget Calc'!#REF!,#REF!,$B88)*'Prop Budget Calc'!#REF!))+IF(AND($D88="vacant",$F88=1),'Prop Budget Calc'!#REF!,IF(OR($B88=0,$F88&lt;&gt;1),0,SUMIFS(#REF!,#REF!,'Prop Budget Calc'!#REF!,#REF!,$B88)*'Prop Budget Calc'!#REF!))</f>
        <v>0</v>
      </c>
      <c r="T88" s="115">
        <f>$L88*'Prop Budget Calc'!$AV$2+IF(AND($J88&lt;&gt;"50101", $J88&lt;&gt;"50102"),0,IF($J88="50101",IF(($L88/52*'Prop Budget Calc'!$AW$3)&gt;'Prop Budget Calc'!$AV$1,'Prop Budget Calc'!$AV$1,$L88/52*'Prop Budget Calc'!$AW$3),IF(($L88/52*'Prop Budget Calc'!$AW$3)&gt;'Prop Budget Calc'!$AW$1,'Prop Budget Calc'!$AW$1,$L88/52*'Prop Budget Calc'!$AW$3)))*F88+IF(AND($D88="vacant",$F88=1),'Prop Budget Calc'!$AX$1,IF(OR($B88=0,$F88&lt;&gt;1),0,SUMIFS(#REF!,#REF!,'Prop Budget Calc'!AX$4,#REF!,$B88)*'Prop Budget Calc'!$AX$3))+IF(AND($D88="vacant",$F88=1),'Prop Budget Calc'!$AY$1,IF(OR($B88=0,$F88&lt;&gt;1),0,SUMIFS(#REF!,#REF!,'Prop Budget Calc'!AY$4,#REF!,$B88))*'Prop Budget Calc'!$AY$3)</f>
        <v>0.45</v>
      </c>
      <c r="U88" s="203">
        <f t="shared" si="100"/>
        <v>0.45</v>
      </c>
      <c r="X88" s="126"/>
      <c r="Y88" s="126"/>
      <c r="AA88" s="125">
        <f t="shared" si="101"/>
        <v>0</v>
      </c>
      <c r="AB88" s="125">
        <f t="shared" si="101"/>
        <v>0</v>
      </c>
      <c r="AC88" s="125">
        <f t="shared" si="101"/>
        <v>0</v>
      </c>
      <c r="AD88" s="125">
        <f t="shared" si="78"/>
        <v>11.302681992337162</v>
      </c>
      <c r="AE88" s="125"/>
      <c r="AF88" s="125">
        <f t="shared" si="79"/>
        <v>0</v>
      </c>
      <c r="AG88" s="125">
        <f t="shared" si="80"/>
        <v>0</v>
      </c>
      <c r="AH88" s="125">
        <f t="shared" si="81"/>
        <v>0</v>
      </c>
      <c r="AI88" s="125">
        <f t="shared" si="82"/>
        <v>0</v>
      </c>
      <c r="AJ88" s="125">
        <f t="shared" si="83"/>
        <v>11.302681992337162</v>
      </c>
      <c r="AK88" s="125">
        <f t="shared" si="84"/>
        <v>0.86465517241379286</v>
      </c>
      <c r="AL88" s="205">
        <f t="shared" si="85"/>
        <v>2.2499999999999985E-2</v>
      </c>
      <c r="AM88" s="125">
        <f t="shared" si="86"/>
        <v>0</v>
      </c>
      <c r="AN88" s="125">
        <f t="shared" si="102"/>
        <v>0</v>
      </c>
    </row>
    <row r="89" spans="2:40">
      <c r="B89" s="115">
        <f>'Prop Budget Calc'!A88</f>
        <v>0</v>
      </c>
      <c r="C89" s="115" t="str">
        <f>'Prop Budget Calc'!B88</f>
        <v>Senior Services Trip - OT</v>
      </c>
      <c r="D89" s="115" t="str">
        <f>'Prop Budget Calc'!C88</f>
        <v>Senior Services Trip - OT</v>
      </c>
      <c r="F89" s="115">
        <f>'Prop Budget Calc'!E88</f>
        <v>0</v>
      </c>
      <c r="H89" s="115" t="str">
        <f>'Prop Budget Calc'!G88</f>
        <v>112-64-642</v>
      </c>
      <c r="J89" s="202" t="str">
        <f>'Prop Budget Calc'!I88</f>
        <v>50109</v>
      </c>
      <c r="K89" s="115">
        <f>'Prop Budget Calc'!P88</f>
        <v>0</v>
      </c>
      <c r="L89" s="115">
        <f>'Prop Budget Calc'!N88</f>
        <v>750</v>
      </c>
      <c r="M89" s="115">
        <f t="shared" si="99"/>
        <v>62.5</v>
      </c>
      <c r="N89" s="115"/>
      <c r="O89" s="203">
        <f>'Prop Budget Calc'!AK88/12</f>
        <v>0</v>
      </c>
      <c r="P89" s="203">
        <f>'Prop Budget Calc'!AL88/12</f>
        <v>0</v>
      </c>
      <c r="Q89" s="203">
        <f>'Prop Budget Calc'!AM88/12</f>
        <v>0</v>
      </c>
      <c r="R89" s="203">
        <f>IF(AND($D89="vacant",$F89=1),'Prop Budget Calc'!#REF!,IF(OR($B89=0,$F89&lt;&gt;1),0,SUMIFS(#REF!,#REF!,'Prop Budget Calc'!#REF!,#REF!,$B89)*'Prop Budget Calc'!#REF!))+IF(AND($D89="vacant",$F89=1),'Prop Budget Calc'!#REF!,IF(OR($B89=0,$F89&lt;&gt;1),0,SUMIFS(#REF!,#REF!,'Prop Budget Calc'!#REF!,#REF!,$B89)*'Prop Budget Calc'!#REF!))+IF(AND($D89="vacant",$F89=1),'Prop Budget Calc'!$BA$1,IF(OR($B89=0,$F89&lt;&gt;1),0,SUMIFS(#REF!,#REF!,'Prop Budget Calc'!BA$4,#REF!,$B89)*'Prop Budget Calc'!$BA$3))+IF(AND($D89="vacant",$F89=1),'Prop Budget Calc'!$BB$1,IF(OR($B89=0,$F89&lt;&gt;1),0,SUMIFS(#REF!,#REF!,'Prop Budget Calc'!BB$4,#REF!,$B89)*'Prop Budget Calc'!$BB$3))</f>
        <v>0</v>
      </c>
      <c r="S89" s="203">
        <f>IF(AND($D89="vacant",$F89=1),'Prop Budget Calc'!#REF!,IF(OR($B89=0,$F89&lt;&gt;1),0,SUMIFS(#REF!,#REF!,'Prop Budget Calc'!#REF!,#REF!,$B89)*'Prop Budget Calc'!#REF!))+IF(AND($D89="vacant",$F89=1),'Prop Budget Calc'!#REF!,IF(OR($B89=0,$F89&lt;&gt;1),0,SUMIFS(#REF!,#REF!,'Prop Budget Calc'!#REF!,#REF!,$B89)*'Prop Budget Calc'!#REF!))</f>
        <v>0</v>
      </c>
      <c r="T89" s="115">
        <f>$L89*'Prop Budget Calc'!$AV$2+IF(AND($J89&lt;&gt;"50101", $J89&lt;&gt;"50102"),0,IF($J89="50101",IF(($L89/52*'Prop Budget Calc'!$AW$3)&gt;'Prop Budget Calc'!$AV$1,'Prop Budget Calc'!$AV$1,$L89/52*'Prop Budget Calc'!$AW$3),IF(($L89/52*'Prop Budget Calc'!$AW$3)&gt;'Prop Budget Calc'!$AW$1,'Prop Budget Calc'!$AW$1,$L89/52*'Prop Budget Calc'!$AW$3)))*F89+IF(AND($D89="vacant",$F89=1),'Prop Budget Calc'!$AX$1,IF(OR($B89=0,$F89&lt;&gt;1),0,SUMIFS(#REF!,#REF!,'Prop Budget Calc'!AX$4,#REF!,$B89)*'Prop Budget Calc'!$AX$3))+IF(AND($D89="vacant",$F89=1),'Prop Budget Calc'!$AY$1,IF(OR($B89=0,$F89&lt;&gt;1),0,SUMIFS(#REF!,#REF!,'Prop Budget Calc'!AY$4,#REF!,$B89))*'Prop Budget Calc'!$AY$3)</f>
        <v>1.3499999999999999</v>
      </c>
      <c r="U89" s="203">
        <f t="shared" si="100"/>
        <v>1.3499999999999999</v>
      </c>
      <c r="X89" s="126"/>
      <c r="Y89" s="126"/>
      <c r="AA89" s="125">
        <f t="shared" si="101"/>
        <v>0</v>
      </c>
      <c r="AB89" s="125">
        <f t="shared" si="101"/>
        <v>0</v>
      </c>
      <c r="AC89" s="125">
        <f t="shared" si="101"/>
        <v>33.908045977011483</v>
      </c>
      <c r="AD89" s="125">
        <f t="shared" si="78"/>
        <v>0</v>
      </c>
      <c r="AE89" s="125"/>
      <c r="AF89" s="125">
        <f t="shared" si="79"/>
        <v>0</v>
      </c>
      <c r="AG89" s="125">
        <f t="shared" si="80"/>
        <v>0</v>
      </c>
      <c r="AH89" s="125">
        <f t="shared" si="81"/>
        <v>0</v>
      </c>
      <c r="AI89" s="125">
        <f t="shared" si="82"/>
        <v>0</v>
      </c>
      <c r="AJ89" s="125">
        <f t="shared" si="83"/>
        <v>33.908045977011483</v>
      </c>
      <c r="AK89" s="125">
        <f t="shared" si="84"/>
        <v>2.5939655172413785</v>
      </c>
      <c r="AL89" s="205">
        <f t="shared" si="85"/>
        <v>6.7499999999999949E-2</v>
      </c>
      <c r="AM89" s="125">
        <f t="shared" si="86"/>
        <v>0</v>
      </c>
      <c r="AN89" s="125">
        <f t="shared" si="102"/>
        <v>5.6524712643678141</v>
      </c>
    </row>
    <row r="90" spans="2:40">
      <c r="B90" s="115">
        <f>'Prop Budget Calc'!A89</f>
        <v>0</v>
      </c>
      <c r="C90" s="115" t="str">
        <f>'Prop Budget Calc'!B89</f>
        <v>Holiday Option Pay</v>
      </c>
      <c r="D90" s="115" t="str">
        <f>'Prop Budget Calc'!C89</f>
        <v>Holiday Option Pay</v>
      </c>
      <c r="F90" s="115">
        <f>'Prop Budget Calc'!E89</f>
        <v>0</v>
      </c>
      <c r="H90" s="115" t="str">
        <f>'Prop Budget Calc'!G89</f>
        <v>100-35-352</v>
      </c>
      <c r="J90" s="202" t="str">
        <f>'Prop Budget Calc'!I89</f>
        <v>50102</v>
      </c>
      <c r="K90" s="115">
        <f>'Prop Budget Calc'!P89</f>
        <v>0</v>
      </c>
      <c r="L90" s="115">
        <f>'Prop Budget Calc'!N89</f>
        <v>58000</v>
      </c>
      <c r="M90" s="115">
        <f t="shared" si="99"/>
        <v>4833.333333333333</v>
      </c>
      <c r="N90" s="115"/>
      <c r="O90" s="203">
        <f>'Prop Budget Calc'!AK89/12</f>
        <v>0</v>
      </c>
      <c r="P90" s="203">
        <f>'Prop Budget Calc'!AL89/12</f>
        <v>0</v>
      </c>
      <c r="Q90" s="203">
        <f>'Prop Budget Calc'!AM89/12</f>
        <v>0</v>
      </c>
      <c r="R90" s="203">
        <f>IF(AND($D90="vacant",$F90=1),'Prop Budget Calc'!#REF!,IF(OR($B90=0,$F90&lt;&gt;1),0,SUMIFS(#REF!,#REF!,'Prop Budget Calc'!#REF!,#REF!,$B90)*'Prop Budget Calc'!#REF!))+IF(AND($D90="vacant",$F90=1),'Prop Budget Calc'!#REF!,IF(OR($B90=0,$F90&lt;&gt;1),0,SUMIFS(#REF!,#REF!,'Prop Budget Calc'!#REF!,#REF!,$B90)*'Prop Budget Calc'!#REF!))+IF(AND($D90="vacant",$F90=1),'Prop Budget Calc'!$BA$1,IF(OR($B90=0,$F90&lt;&gt;1),0,SUMIFS(#REF!,#REF!,'Prop Budget Calc'!BA$4,#REF!,$B90)*'Prop Budget Calc'!$BA$3))+IF(AND($D90="vacant",$F90=1),'Prop Budget Calc'!$BB$1,IF(OR($B90=0,$F90&lt;&gt;1),0,SUMIFS(#REF!,#REF!,'Prop Budget Calc'!BB$4,#REF!,$B90)*'Prop Budget Calc'!$BB$3))</f>
        <v>0</v>
      </c>
      <c r="S90" s="203">
        <f>IF(AND($D90="vacant",$F90=1),'Prop Budget Calc'!#REF!,IF(OR($B90=0,$F90&lt;&gt;1),0,SUMIFS(#REF!,#REF!,'Prop Budget Calc'!#REF!,#REF!,$B90)*'Prop Budget Calc'!#REF!))+IF(AND($D90="vacant",$F90=1),'Prop Budget Calc'!#REF!,IF(OR($B90=0,$F90&lt;&gt;1),0,SUMIFS(#REF!,#REF!,'Prop Budget Calc'!#REF!,#REF!,$B90)*'Prop Budget Calc'!#REF!))</f>
        <v>0</v>
      </c>
      <c r="T90" s="115">
        <f>$L90*'Prop Budget Calc'!$AV$2+IF(AND($J90&lt;&gt;"50101", $J90&lt;&gt;"50102"),0,IF($J90="50101",IF(($L90/52*'Prop Budget Calc'!$AW$3)&gt;'Prop Budget Calc'!$AV$1,'Prop Budget Calc'!$AV$1,$L90/52*'Prop Budget Calc'!$AW$3),IF(($L90/52*'Prop Budget Calc'!$AW$3)&gt;'Prop Budget Calc'!$AW$1,'Prop Budget Calc'!$AW$1,$L90/52*'Prop Budget Calc'!$AW$3)))*F90+IF(AND($D90="vacant",$F90=1),'Prop Budget Calc'!$AX$1,IF(OR($B90=0,$F90&lt;&gt;1),0,SUMIFS(#REF!,#REF!,'Prop Budget Calc'!AX$4,#REF!,$B90)*'Prop Budget Calc'!$AX$3))+IF(AND($D90="vacant",$F90=1),'Prop Budget Calc'!$AY$1,IF(OR($B90=0,$F90&lt;&gt;1),0,SUMIFS(#REF!,#REF!,'Prop Budget Calc'!AY$4,#REF!,$B90))*'Prop Budget Calc'!$AY$3)</f>
        <v>104.39999999999999</v>
      </c>
      <c r="U90" s="203">
        <f t="shared" si="100"/>
        <v>104.39999999999999</v>
      </c>
      <c r="X90" s="126"/>
      <c r="Y90" s="126"/>
      <c r="AA90" s="125">
        <f t="shared" si="101"/>
        <v>0</v>
      </c>
      <c r="AB90" s="125">
        <f t="shared" si="101"/>
        <v>2622.2222222222217</v>
      </c>
      <c r="AC90" s="125">
        <f t="shared" si="101"/>
        <v>0</v>
      </c>
      <c r="AD90" s="125">
        <f t="shared" si="78"/>
        <v>0</v>
      </c>
      <c r="AE90" s="125"/>
      <c r="AF90" s="125">
        <f t="shared" si="79"/>
        <v>0</v>
      </c>
      <c r="AG90" s="125">
        <f t="shared" si="80"/>
        <v>0</v>
      </c>
      <c r="AH90" s="125">
        <f t="shared" si="81"/>
        <v>0</v>
      </c>
      <c r="AI90" s="125">
        <f t="shared" si="82"/>
        <v>0</v>
      </c>
      <c r="AJ90" s="125">
        <f t="shared" si="83"/>
        <v>2622.2222222222217</v>
      </c>
      <c r="AK90" s="125">
        <f t="shared" si="84"/>
        <v>200.59999999999997</v>
      </c>
      <c r="AL90" s="205">
        <f t="shared" si="85"/>
        <v>5.2199999999999962</v>
      </c>
      <c r="AM90" s="125">
        <f t="shared" si="86"/>
        <v>0</v>
      </c>
      <c r="AN90" s="125">
        <f t="shared" si="102"/>
        <v>437.12444444444435</v>
      </c>
    </row>
    <row r="91" spans="2:40">
      <c r="B91" s="115">
        <f>'Prop Budget Calc'!A90</f>
        <v>0</v>
      </c>
      <c r="C91" s="115" t="str">
        <f>'Prop Budget Calc'!B90</f>
        <v>Out of Class Pay Contingency</v>
      </c>
      <c r="D91" s="115" t="str">
        <f>'Prop Budget Calc'!C90</f>
        <v>Out of Class Pay Contingency</v>
      </c>
      <c r="F91" s="115">
        <f>'Prop Budget Calc'!E90</f>
        <v>0</v>
      </c>
      <c r="H91" s="115" t="str">
        <f>'Prop Budget Calc'!G90</f>
        <v>100-35-352</v>
      </c>
      <c r="J91" s="202" t="str">
        <f>'Prop Budget Calc'!I90</f>
        <v>50102</v>
      </c>
      <c r="K91" s="115">
        <f>'Prop Budget Calc'!P90</f>
        <v>0</v>
      </c>
      <c r="L91" s="115">
        <f>'Prop Budget Calc'!N90</f>
        <v>20000</v>
      </c>
      <c r="M91" s="115">
        <f t="shared" si="99"/>
        <v>1666.6666666666667</v>
      </c>
      <c r="N91" s="115"/>
      <c r="O91" s="203">
        <f>'Prop Budget Calc'!AK90/12</f>
        <v>0</v>
      </c>
      <c r="P91" s="203">
        <f>'Prop Budget Calc'!AL90/12</f>
        <v>0</v>
      </c>
      <c r="Q91" s="203">
        <f>'Prop Budget Calc'!AM90/12</f>
        <v>0</v>
      </c>
      <c r="R91" s="203">
        <f>IF(AND($D91="vacant",$F91=1),'Prop Budget Calc'!#REF!,IF(OR($B91=0,$F91&lt;&gt;1),0,SUMIFS(#REF!,#REF!,'Prop Budget Calc'!#REF!,#REF!,$B91)*'Prop Budget Calc'!#REF!))+IF(AND($D91="vacant",$F91=1),'Prop Budget Calc'!#REF!,IF(OR($B91=0,$F91&lt;&gt;1),0,SUMIFS(#REF!,#REF!,'Prop Budget Calc'!#REF!,#REF!,$B91)*'Prop Budget Calc'!#REF!))+IF(AND($D91="vacant",$F91=1),'Prop Budget Calc'!$BA$1,IF(OR($B91=0,$F91&lt;&gt;1),0,SUMIFS(#REF!,#REF!,'Prop Budget Calc'!BA$4,#REF!,$B91)*'Prop Budget Calc'!$BA$3))+IF(AND($D91="vacant",$F91=1),'Prop Budget Calc'!$BB$1,IF(OR($B91=0,$F91&lt;&gt;1),0,SUMIFS(#REF!,#REF!,'Prop Budget Calc'!BB$4,#REF!,$B91)*'Prop Budget Calc'!$BB$3))</f>
        <v>0</v>
      </c>
      <c r="S91" s="203">
        <f>IF(AND($D91="vacant",$F91=1),'Prop Budget Calc'!#REF!,IF(OR($B91=0,$F91&lt;&gt;1),0,SUMIFS(#REF!,#REF!,'Prop Budget Calc'!#REF!,#REF!,$B91)*'Prop Budget Calc'!#REF!))+IF(AND($D91="vacant",$F91=1),'Prop Budget Calc'!#REF!,IF(OR($B91=0,$F91&lt;&gt;1),0,SUMIFS(#REF!,#REF!,'Prop Budget Calc'!#REF!,#REF!,$B91)*'Prop Budget Calc'!#REF!))</f>
        <v>0</v>
      </c>
      <c r="T91" s="115">
        <f>$L91*'Prop Budget Calc'!$AV$2+IF(AND($J91&lt;&gt;"50101", $J91&lt;&gt;"50102"),0,IF($J91="50101",IF(($L91/52*'Prop Budget Calc'!$AW$3)&gt;'Prop Budget Calc'!$AV$1,'Prop Budget Calc'!$AV$1,$L91/52*'Prop Budget Calc'!$AW$3),IF(($L91/52*'Prop Budget Calc'!$AW$3)&gt;'Prop Budget Calc'!$AW$1,'Prop Budget Calc'!$AW$1,$L91/52*'Prop Budget Calc'!$AW$3)))*F91+IF(AND($D91="vacant",$F91=1),'Prop Budget Calc'!$AX$1,IF(OR($B91=0,$F91&lt;&gt;1),0,SUMIFS(#REF!,#REF!,'Prop Budget Calc'!AX$4,#REF!,$B91)*'Prop Budget Calc'!$AX$3))+IF(AND($D91="vacant",$F91=1),'Prop Budget Calc'!$AY$1,IF(OR($B91=0,$F91&lt;&gt;1),0,SUMIFS(#REF!,#REF!,'Prop Budget Calc'!AY$4,#REF!,$B91))*'Prop Budget Calc'!$AY$3)</f>
        <v>36</v>
      </c>
      <c r="U91" s="203">
        <f t="shared" si="100"/>
        <v>36</v>
      </c>
      <c r="X91" s="126"/>
      <c r="Y91" s="126"/>
      <c r="AA91" s="125">
        <f t="shared" si="101"/>
        <v>0</v>
      </c>
      <c r="AB91" s="125">
        <f t="shared" si="101"/>
        <v>904.21455938697295</v>
      </c>
      <c r="AC91" s="125">
        <f t="shared" si="101"/>
        <v>0</v>
      </c>
      <c r="AD91" s="125">
        <f t="shared" si="78"/>
        <v>0</v>
      </c>
      <c r="AE91" s="125"/>
      <c r="AF91" s="125">
        <f t="shared" si="79"/>
        <v>0</v>
      </c>
      <c r="AG91" s="125">
        <f t="shared" si="80"/>
        <v>0</v>
      </c>
      <c r="AH91" s="125">
        <f t="shared" si="81"/>
        <v>0</v>
      </c>
      <c r="AI91" s="125">
        <f t="shared" si="82"/>
        <v>0</v>
      </c>
      <c r="AJ91" s="125">
        <f t="shared" si="83"/>
        <v>904.21455938697295</v>
      </c>
      <c r="AK91" s="125">
        <f t="shared" si="84"/>
        <v>69.172413793103431</v>
      </c>
      <c r="AL91" s="205">
        <f t="shared" si="85"/>
        <v>1.7999999999999989</v>
      </c>
      <c r="AM91" s="125">
        <f t="shared" si="86"/>
        <v>0</v>
      </c>
      <c r="AN91" s="125">
        <f t="shared" si="102"/>
        <v>150.73256704980838</v>
      </c>
    </row>
    <row r="92" spans="2:40">
      <c r="B92" s="115">
        <f>'Prop Budget Calc'!A91</f>
        <v>0</v>
      </c>
      <c r="C92" s="115" t="str">
        <f>'Prop Budget Calc'!B91</f>
        <v>Promotion Contingency (Fire)</v>
      </c>
      <c r="D92" s="115" t="str">
        <f>'Prop Budget Calc'!C91</f>
        <v>Promotion Contingency</v>
      </c>
      <c r="F92" s="115">
        <f>'Prop Budget Calc'!E91</f>
        <v>0</v>
      </c>
      <c r="H92" s="115" t="str">
        <f>'Prop Budget Calc'!G91</f>
        <v>100-35-352</v>
      </c>
      <c r="J92" s="202" t="str">
        <f>'Prop Budget Calc'!I91</f>
        <v>50102</v>
      </c>
      <c r="K92" s="115">
        <f>'Prop Budget Calc'!P91</f>
        <v>0</v>
      </c>
      <c r="L92" s="115">
        <f>'Prop Budget Calc'!N91</f>
        <v>0</v>
      </c>
      <c r="M92" s="115">
        <f t="shared" si="99"/>
        <v>0</v>
      </c>
      <c r="N92" s="115"/>
      <c r="O92" s="203">
        <f>'Prop Budget Calc'!AK91/12</f>
        <v>0</v>
      </c>
      <c r="P92" s="203">
        <f>'Prop Budget Calc'!AL91/12</f>
        <v>0</v>
      </c>
      <c r="Q92" s="203">
        <f>'Prop Budget Calc'!AM91/12</f>
        <v>0</v>
      </c>
      <c r="R92" s="203">
        <f>IF(AND($D92="vacant",$F92=1),'Prop Budget Calc'!#REF!,IF(OR($B92=0,$F92&lt;&gt;1),0,SUMIFS(#REF!,#REF!,'Prop Budget Calc'!#REF!,#REF!,$B92)*'Prop Budget Calc'!#REF!))+IF(AND($D92="vacant",$F92=1),'Prop Budget Calc'!#REF!,IF(OR($B92=0,$F92&lt;&gt;1),0,SUMIFS(#REF!,#REF!,'Prop Budget Calc'!#REF!,#REF!,$B92)*'Prop Budget Calc'!#REF!))+IF(AND($D92="vacant",$F92=1),'Prop Budget Calc'!$BA$1,IF(OR($B92=0,$F92&lt;&gt;1),0,SUMIFS(#REF!,#REF!,'Prop Budget Calc'!BA$4,#REF!,$B92)*'Prop Budget Calc'!$BA$3))+IF(AND($D92="vacant",$F92=1),'Prop Budget Calc'!$BB$1,IF(OR($B92=0,$F92&lt;&gt;1),0,SUMIFS(#REF!,#REF!,'Prop Budget Calc'!BB$4,#REF!,$B92)*'Prop Budget Calc'!$BB$3))</f>
        <v>0</v>
      </c>
      <c r="S92" s="203">
        <f>IF(AND($D92="vacant",$F92=1),'Prop Budget Calc'!#REF!,IF(OR($B92=0,$F92&lt;&gt;1),0,SUMIFS(#REF!,#REF!,'Prop Budget Calc'!#REF!,#REF!,$B92)*'Prop Budget Calc'!#REF!))+IF(AND($D92="vacant",$F92=1),'Prop Budget Calc'!#REF!,IF(OR($B92=0,$F92&lt;&gt;1),0,SUMIFS(#REF!,#REF!,'Prop Budget Calc'!#REF!,#REF!,$B92)*'Prop Budget Calc'!#REF!))</f>
        <v>0</v>
      </c>
      <c r="T92" s="115">
        <f>$L92*'Prop Budget Calc'!$AV$2+IF(AND($J92&lt;&gt;"50101", $J92&lt;&gt;"50102"),0,IF($J92="50101",IF(($L92/52*'Prop Budget Calc'!$AW$3)&gt;'Prop Budget Calc'!$AV$1,'Prop Budget Calc'!$AV$1,$L92/52*'Prop Budget Calc'!$AW$3),IF(($L92/52*'Prop Budget Calc'!$AW$3)&gt;'Prop Budget Calc'!$AW$1,'Prop Budget Calc'!$AW$1,$L92/52*'Prop Budget Calc'!$AW$3)))*F92+IF(AND($D92="vacant",$F92=1),'Prop Budget Calc'!$AX$1,IF(OR($B92=0,$F92&lt;&gt;1),0,SUMIFS(#REF!,#REF!,'Prop Budget Calc'!AX$4,#REF!,$B92)*'Prop Budget Calc'!$AX$3))+IF(AND($D92="vacant",$F92=1),'Prop Budget Calc'!$AY$1,IF(OR($B92=0,$F92&lt;&gt;1),0,SUMIFS(#REF!,#REF!,'Prop Budget Calc'!AY$4,#REF!,$B92))*'Prop Budget Calc'!$AY$3)</f>
        <v>0</v>
      </c>
      <c r="U92" s="203">
        <f t="shared" si="100"/>
        <v>0</v>
      </c>
      <c r="X92" s="126"/>
      <c r="Y92" s="126"/>
      <c r="AA92" s="125">
        <f t="shared" si="101"/>
        <v>0</v>
      </c>
      <c r="AB92" s="125">
        <f t="shared" si="101"/>
        <v>0</v>
      </c>
      <c r="AC92" s="125">
        <f t="shared" si="101"/>
        <v>0</v>
      </c>
      <c r="AD92" s="125">
        <f t="shared" si="78"/>
        <v>0</v>
      </c>
      <c r="AE92" s="125"/>
      <c r="AF92" s="125">
        <f t="shared" si="79"/>
        <v>0</v>
      </c>
      <c r="AG92" s="125">
        <f t="shared" si="80"/>
        <v>0</v>
      </c>
      <c r="AH92" s="125">
        <f t="shared" si="81"/>
        <v>0</v>
      </c>
      <c r="AI92" s="125">
        <f t="shared" si="82"/>
        <v>0</v>
      </c>
      <c r="AJ92" s="125">
        <f t="shared" si="83"/>
        <v>0</v>
      </c>
      <c r="AK92" s="125">
        <f t="shared" si="84"/>
        <v>0</v>
      </c>
      <c r="AL92" s="205">
        <f t="shared" si="85"/>
        <v>0</v>
      </c>
      <c r="AM92" s="125">
        <f t="shared" si="86"/>
        <v>0</v>
      </c>
      <c r="AN92" s="125">
        <f t="shared" si="102"/>
        <v>0</v>
      </c>
    </row>
    <row r="93" spans="2:40">
      <c r="B93" s="115">
        <f>'Prop Budget Calc'!A92</f>
        <v>0</v>
      </c>
      <c r="C93" s="115" t="str">
        <f>'Prop Budget Calc'!B92</f>
        <v>ON CALL PAY</v>
      </c>
      <c r="D93" s="115" t="str">
        <f>'Prop Budget Calc'!C92</f>
        <v>ON CALL PAY CONTINGENCY</v>
      </c>
      <c r="F93" s="115">
        <f>'Prop Budget Calc'!E92</f>
        <v>0</v>
      </c>
      <c r="H93" s="115" t="str">
        <f>'Prop Budget Calc'!G92</f>
        <v>200-71-712</v>
      </c>
      <c r="J93" s="202" t="str">
        <f>'Prop Budget Calc'!I92</f>
        <v>50102</v>
      </c>
      <c r="K93" s="115">
        <f>'Prop Budget Calc'!P92</f>
        <v>0</v>
      </c>
      <c r="L93" s="115">
        <f>'Prop Budget Calc'!N92</f>
        <v>2600</v>
      </c>
      <c r="M93" s="115">
        <f t="shared" si="99"/>
        <v>216.66666666666666</v>
      </c>
      <c r="N93" s="115"/>
      <c r="O93" s="203">
        <f>'Prop Budget Calc'!AK92/12</f>
        <v>0</v>
      </c>
      <c r="P93" s="203">
        <f>'Prop Budget Calc'!AL92/12</f>
        <v>0</v>
      </c>
      <c r="Q93" s="203">
        <f>'Prop Budget Calc'!AM92/12</f>
        <v>0</v>
      </c>
      <c r="R93" s="203">
        <f>IF(AND($D93="vacant",$F93=1),'Prop Budget Calc'!#REF!,IF(OR($B93=0,$F93&lt;&gt;1),0,SUMIFS(#REF!,#REF!,'Prop Budget Calc'!#REF!,#REF!,$B93)*'Prop Budget Calc'!#REF!))+IF(AND($D93="vacant",$F93=1),'Prop Budget Calc'!#REF!,IF(OR($B93=0,$F93&lt;&gt;1),0,SUMIFS(#REF!,#REF!,'Prop Budget Calc'!#REF!,#REF!,$B93)*'Prop Budget Calc'!#REF!))+IF(AND($D93="vacant",$F93=1),'Prop Budget Calc'!$BA$1,IF(OR($B93=0,$F93&lt;&gt;1),0,SUMIFS(#REF!,#REF!,'Prop Budget Calc'!BA$4,#REF!,$B93)*'Prop Budget Calc'!$BA$3))+IF(AND($D93="vacant",$F93=1),'Prop Budget Calc'!$BB$1,IF(OR($B93=0,$F93&lt;&gt;1),0,SUMIFS(#REF!,#REF!,'Prop Budget Calc'!BB$4,#REF!,$B93)*'Prop Budget Calc'!$BB$3))</f>
        <v>0</v>
      </c>
      <c r="S93" s="203">
        <f>IF(AND($D93="vacant",$F93=1),'Prop Budget Calc'!#REF!,IF(OR($B93=0,$F93&lt;&gt;1),0,SUMIFS(#REF!,#REF!,'Prop Budget Calc'!#REF!,#REF!,$B93)*'Prop Budget Calc'!#REF!))+IF(AND($D93="vacant",$F93=1),'Prop Budget Calc'!#REF!,IF(OR($B93=0,$F93&lt;&gt;1),0,SUMIFS(#REF!,#REF!,'Prop Budget Calc'!#REF!,#REF!,$B93)*'Prop Budget Calc'!#REF!))</f>
        <v>0</v>
      </c>
      <c r="T93" s="115">
        <f>$L93*'Prop Budget Calc'!$AV$2+IF(AND($J93&lt;&gt;"50101", $J93&lt;&gt;"50102"),0,IF($J93="50101",IF(($L93/52*'Prop Budget Calc'!$AW$3)&gt;'Prop Budget Calc'!$AV$1,'Prop Budget Calc'!$AV$1,$L93/52*'Prop Budget Calc'!$AW$3),IF(($L93/52*'Prop Budget Calc'!$AW$3)&gt;'Prop Budget Calc'!$AW$1,'Prop Budget Calc'!$AW$1,$L93/52*'Prop Budget Calc'!$AW$3)))*F93+IF(AND($D93="vacant",$F93=1),'Prop Budget Calc'!$AX$1,IF(OR($B93=0,$F93&lt;&gt;1),0,SUMIFS(#REF!,#REF!,'Prop Budget Calc'!AX$4,#REF!,$B93)*'Prop Budget Calc'!$AX$3))+IF(AND($D93="vacant",$F93=1),'Prop Budget Calc'!$AY$1,IF(OR($B93=0,$F93&lt;&gt;1),0,SUMIFS(#REF!,#REF!,'Prop Budget Calc'!AY$4,#REF!,$B93))*'Prop Budget Calc'!$AY$3)</f>
        <v>4.68</v>
      </c>
      <c r="U93" s="203">
        <f t="shared" si="100"/>
        <v>4.68</v>
      </c>
      <c r="X93" s="126"/>
      <c r="Y93" s="126"/>
      <c r="AA93" s="125">
        <f t="shared" si="101"/>
        <v>0</v>
      </c>
      <c r="AB93" s="125">
        <f t="shared" si="101"/>
        <v>117.54789272030648</v>
      </c>
      <c r="AC93" s="125">
        <f t="shared" si="101"/>
        <v>0</v>
      </c>
      <c r="AD93" s="125">
        <f t="shared" si="78"/>
        <v>0</v>
      </c>
      <c r="AE93" s="125"/>
      <c r="AF93" s="125">
        <f t="shared" si="79"/>
        <v>0</v>
      </c>
      <c r="AG93" s="125">
        <f t="shared" si="80"/>
        <v>0</v>
      </c>
      <c r="AH93" s="125">
        <f t="shared" si="81"/>
        <v>0</v>
      </c>
      <c r="AI93" s="125">
        <f t="shared" si="82"/>
        <v>0</v>
      </c>
      <c r="AJ93" s="125">
        <f t="shared" si="83"/>
        <v>117.54789272030648</v>
      </c>
      <c r="AK93" s="125">
        <f t="shared" si="84"/>
        <v>8.9924137931034451</v>
      </c>
      <c r="AL93" s="205">
        <f t="shared" si="85"/>
        <v>0.23399999999999985</v>
      </c>
      <c r="AM93" s="125">
        <f t="shared" si="86"/>
        <v>0</v>
      </c>
      <c r="AN93" s="125">
        <f t="shared" si="102"/>
        <v>19.595233716475089</v>
      </c>
    </row>
    <row r="94" spans="2:40">
      <c r="B94" s="115">
        <f>'Prop Budget Calc'!A93</f>
        <v>0</v>
      </c>
      <c r="C94" s="115" t="str">
        <f>'Prop Budget Calc'!B93</f>
        <v>ON CALL PAY</v>
      </c>
      <c r="D94" s="115" t="str">
        <f>'Prop Budget Calc'!C93</f>
        <v>ON CALL PAY</v>
      </c>
      <c r="F94" s="115">
        <f>'Prop Budget Calc'!E93</f>
        <v>0</v>
      </c>
      <c r="H94" s="115" t="str">
        <f>'Prop Budget Calc'!G93</f>
        <v>200-73-734</v>
      </c>
      <c r="J94" s="202" t="str">
        <f>'Prop Budget Calc'!I93</f>
        <v>50102</v>
      </c>
      <c r="K94" s="115">
        <f>'Prop Budget Calc'!P93</f>
        <v>0</v>
      </c>
      <c r="L94" s="115">
        <f>'Prop Budget Calc'!N93</f>
        <v>1300</v>
      </c>
      <c r="M94" s="115">
        <f t="shared" si="99"/>
        <v>108.33333333333333</v>
      </c>
      <c r="N94" s="115"/>
      <c r="O94" s="203">
        <f>'Prop Budget Calc'!AK93/12</f>
        <v>0</v>
      </c>
      <c r="P94" s="203">
        <f>'Prop Budget Calc'!AL93/12</f>
        <v>0</v>
      </c>
      <c r="Q94" s="203">
        <f>'Prop Budget Calc'!AM93/12</f>
        <v>0</v>
      </c>
      <c r="R94" s="203">
        <f>IF(AND($D94="vacant",$F94=1),'Prop Budget Calc'!#REF!,IF(OR($B94=0,$F94&lt;&gt;1),0,SUMIFS(#REF!,#REF!,'Prop Budget Calc'!#REF!,#REF!,$B94)*'Prop Budget Calc'!#REF!))+IF(AND($D94="vacant",$F94=1),'Prop Budget Calc'!#REF!,IF(OR($B94=0,$F94&lt;&gt;1),0,SUMIFS(#REF!,#REF!,'Prop Budget Calc'!#REF!,#REF!,$B94)*'Prop Budget Calc'!#REF!))+IF(AND($D94="vacant",$F94=1),'Prop Budget Calc'!$BA$1,IF(OR($B94=0,$F94&lt;&gt;1),0,SUMIFS(#REF!,#REF!,'Prop Budget Calc'!BA$4,#REF!,$B94)*'Prop Budget Calc'!$BA$3))+IF(AND($D94="vacant",$F94=1),'Prop Budget Calc'!$BB$1,IF(OR($B94=0,$F94&lt;&gt;1),0,SUMIFS(#REF!,#REF!,'Prop Budget Calc'!BB$4,#REF!,$B94)*'Prop Budget Calc'!$BB$3))</f>
        <v>0</v>
      </c>
      <c r="S94" s="203">
        <f>IF(AND($D94="vacant",$F94=1),'Prop Budget Calc'!#REF!,IF(OR($B94=0,$F94&lt;&gt;1),0,SUMIFS(#REF!,#REF!,'Prop Budget Calc'!#REF!,#REF!,$B94)*'Prop Budget Calc'!#REF!))+IF(AND($D94="vacant",$F94=1),'Prop Budget Calc'!#REF!,IF(OR($B94=0,$F94&lt;&gt;1),0,SUMIFS(#REF!,#REF!,'Prop Budget Calc'!#REF!,#REF!,$B94)*'Prop Budget Calc'!#REF!))</f>
        <v>0</v>
      </c>
      <c r="T94" s="115">
        <f>$L94*'Prop Budget Calc'!$AV$2+IF(AND($J94&lt;&gt;"50101", $J94&lt;&gt;"50102"),0,IF($J94="50101",IF(($L94/52*'Prop Budget Calc'!$AW$3)&gt;'Prop Budget Calc'!$AV$1,'Prop Budget Calc'!$AV$1,$L94/52*'Prop Budget Calc'!$AW$3),IF(($L94/52*'Prop Budget Calc'!$AW$3)&gt;'Prop Budget Calc'!$AW$1,'Prop Budget Calc'!$AW$1,$L94/52*'Prop Budget Calc'!$AW$3)))*F94+IF(AND($D94="vacant",$F94=1),'Prop Budget Calc'!$AX$1,IF(OR($B94=0,$F94&lt;&gt;1),0,SUMIFS(#REF!,#REF!,'Prop Budget Calc'!AX$4,#REF!,$B94)*'Prop Budget Calc'!$AX$3))+IF(AND($D94="vacant",$F94=1),'Prop Budget Calc'!$AY$1,IF(OR($B94=0,$F94&lt;&gt;1),0,SUMIFS(#REF!,#REF!,'Prop Budget Calc'!AY$4,#REF!,$B94))*'Prop Budget Calc'!$AY$3)</f>
        <v>2.34</v>
      </c>
      <c r="U94" s="203">
        <f t="shared" si="100"/>
        <v>2.34</v>
      </c>
      <c r="X94" s="126"/>
      <c r="Y94" s="126"/>
      <c r="AA94" s="125">
        <f t="shared" si="101"/>
        <v>0</v>
      </c>
      <c r="AB94" s="125">
        <f t="shared" si="101"/>
        <v>58.773946360153239</v>
      </c>
      <c r="AC94" s="125">
        <f t="shared" si="101"/>
        <v>0</v>
      </c>
      <c r="AD94" s="125">
        <f t="shared" si="78"/>
        <v>0</v>
      </c>
      <c r="AE94" s="125"/>
      <c r="AF94" s="125">
        <f t="shared" si="79"/>
        <v>0</v>
      </c>
      <c r="AG94" s="125">
        <f t="shared" si="80"/>
        <v>0</v>
      </c>
      <c r="AH94" s="125">
        <f t="shared" si="81"/>
        <v>0</v>
      </c>
      <c r="AI94" s="125">
        <f t="shared" si="82"/>
        <v>0</v>
      </c>
      <c r="AJ94" s="125">
        <f t="shared" si="83"/>
        <v>58.773946360153239</v>
      </c>
      <c r="AK94" s="125">
        <f t="shared" si="84"/>
        <v>4.4962068965517226</v>
      </c>
      <c r="AL94" s="205">
        <f t="shared" si="85"/>
        <v>0.11699999999999992</v>
      </c>
      <c r="AM94" s="125">
        <f t="shared" si="86"/>
        <v>0</v>
      </c>
      <c r="AN94" s="125">
        <f t="shared" si="102"/>
        <v>9.7976168582375447</v>
      </c>
    </row>
    <row r="95" spans="2:40">
      <c r="B95" s="115">
        <f>'Prop Budget Calc'!A94</f>
        <v>0</v>
      </c>
      <c r="C95" s="115" t="str">
        <f>'Prop Budget Calc'!B94</f>
        <v>ON CALL PAY</v>
      </c>
      <c r="D95" s="115" t="str">
        <f>'Prop Budget Calc'!C94</f>
        <v>ON CALL PAY</v>
      </c>
      <c r="F95" s="115">
        <f>'Prop Budget Calc'!E94</f>
        <v>0</v>
      </c>
      <c r="H95" s="115" t="str">
        <f>'Prop Budget Calc'!G94</f>
        <v>100-63-632</v>
      </c>
      <c r="J95" s="202" t="str">
        <f>'Prop Budget Calc'!I94</f>
        <v>50102</v>
      </c>
      <c r="K95" s="115">
        <f>'Prop Budget Calc'!P94</f>
        <v>0</v>
      </c>
      <c r="L95" s="115">
        <f>'Prop Budget Calc'!N94</f>
        <v>2600</v>
      </c>
      <c r="M95" s="115">
        <f t="shared" si="99"/>
        <v>216.66666666666666</v>
      </c>
      <c r="N95" s="115"/>
      <c r="O95" s="203">
        <f>'Prop Budget Calc'!AK94/12</f>
        <v>0</v>
      </c>
      <c r="P95" s="203">
        <f>'Prop Budget Calc'!AL94/12</f>
        <v>0</v>
      </c>
      <c r="Q95" s="203">
        <f>'Prop Budget Calc'!AM94/12</f>
        <v>0</v>
      </c>
      <c r="R95" s="203">
        <f>IF(AND($D95="vacant",$F95=1),'Prop Budget Calc'!#REF!,IF(OR($B95=0,$F95&lt;&gt;1),0,SUMIFS(#REF!,#REF!,'Prop Budget Calc'!#REF!,#REF!,$B95)*'Prop Budget Calc'!#REF!))+IF(AND($D95="vacant",$F95=1),'Prop Budget Calc'!#REF!,IF(OR($B95=0,$F95&lt;&gt;1),0,SUMIFS(#REF!,#REF!,'Prop Budget Calc'!#REF!,#REF!,$B95)*'Prop Budget Calc'!#REF!))+IF(AND($D95="vacant",$F95=1),'Prop Budget Calc'!$BA$1,IF(OR($B95=0,$F95&lt;&gt;1),0,SUMIFS(#REF!,#REF!,'Prop Budget Calc'!BA$4,#REF!,$B95)*'Prop Budget Calc'!$BA$3))+IF(AND($D95="vacant",$F95=1),'Prop Budget Calc'!$BB$1,IF(OR($B95=0,$F95&lt;&gt;1),0,SUMIFS(#REF!,#REF!,'Prop Budget Calc'!BB$4,#REF!,$B95)*'Prop Budget Calc'!$BB$3))</f>
        <v>0</v>
      </c>
      <c r="S95" s="203">
        <f>IF(AND($D95="vacant",$F95=1),'Prop Budget Calc'!#REF!,IF(OR($B95=0,$F95&lt;&gt;1),0,SUMIFS(#REF!,#REF!,'Prop Budget Calc'!#REF!,#REF!,$B95)*'Prop Budget Calc'!#REF!))+IF(AND($D95="vacant",$F95=1),'Prop Budget Calc'!#REF!,IF(OR($B95=0,$F95&lt;&gt;1),0,SUMIFS(#REF!,#REF!,'Prop Budget Calc'!#REF!,#REF!,$B95)*'Prop Budget Calc'!#REF!))</f>
        <v>0</v>
      </c>
      <c r="T95" s="115">
        <f>$L95*'Prop Budget Calc'!$AV$2+IF(AND($J95&lt;&gt;"50101", $J95&lt;&gt;"50102"),0,IF($J95="50101",IF(($L95/52*'Prop Budget Calc'!$AW$3)&gt;'Prop Budget Calc'!$AV$1,'Prop Budget Calc'!$AV$1,$L95/52*'Prop Budget Calc'!$AW$3),IF(($L95/52*'Prop Budget Calc'!$AW$3)&gt;'Prop Budget Calc'!$AW$1,'Prop Budget Calc'!$AW$1,$L95/52*'Prop Budget Calc'!$AW$3)))*F95+IF(AND($D95="vacant",$F95=1),'Prop Budget Calc'!$AX$1,IF(OR($B95=0,$F95&lt;&gt;1),0,SUMIFS(#REF!,#REF!,'Prop Budget Calc'!AX$4,#REF!,$B95)*'Prop Budget Calc'!$AX$3))+IF(AND($D95="vacant",$F95=1),'Prop Budget Calc'!$AY$1,IF(OR($B95=0,$F95&lt;&gt;1),0,SUMIFS(#REF!,#REF!,'Prop Budget Calc'!AY$4,#REF!,$B95))*'Prop Budget Calc'!$AY$3)</f>
        <v>4.68</v>
      </c>
      <c r="U95" s="203">
        <f t="shared" si="100"/>
        <v>4.68</v>
      </c>
      <c r="X95" s="126"/>
      <c r="Y95" s="126"/>
      <c r="AA95" s="125">
        <f t="shared" ref="AA95:AC106" si="103">IF($J95=AA$5,$L95/$AB$1*$AB$2,0)</f>
        <v>0</v>
      </c>
      <c r="AB95" s="125">
        <f t="shared" si="103"/>
        <v>117.54789272030648</v>
      </c>
      <c r="AC95" s="125">
        <f t="shared" si="103"/>
        <v>0</v>
      </c>
      <c r="AD95" s="125">
        <f t="shared" si="78"/>
        <v>0</v>
      </c>
      <c r="AE95" s="125"/>
      <c r="AF95" s="125">
        <f t="shared" si="79"/>
        <v>0</v>
      </c>
      <c r="AG95" s="125">
        <f t="shared" si="80"/>
        <v>0</v>
      </c>
      <c r="AH95" s="125">
        <f t="shared" si="81"/>
        <v>0</v>
      </c>
      <c r="AI95" s="125">
        <f t="shared" si="82"/>
        <v>0</v>
      </c>
      <c r="AJ95" s="125">
        <f t="shared" si="83"/>
        <v>117.54789272030648</v>
      </c>
      <c r="AK95" s="125">
        <f t="shared" si="84"/>
        <v>8.9924137931034451</v>
      </c>
      <c r="AL95" s="205">
        <f t="shared" si="85"/>
        <v>0.23399999999999985</v>
      </c>
      <c r="AM95" s="125">
        <f t="shared" si="86"/>
        <v>0</v>
      </c>
      <c r="AN95" s="125">
        <f t="shared" si="102"/>
        <v>19.595233716475089</v>
      </c>
    </row>
    <row r="96" spans="2:40">
      <c r="B96" s="115">
        <f>'Prop Budget Calc'!A95</f>
        <v>0</v>
      </c>
      <c r="C96" s="115" t="str">
        <f>'Prop Budget Calc'!B95</f>
        <v>Certification Pay Contingency</v>
      </c>
      <c r="D96" s="115" t="str">
        <f>'Prop Budget Calc'!C95</f>
        <v>Regional Pay Contingency</v>
      </c>
      <c r="F96" s="115">
        <f>'Prop Budget Calc'!E95</f>
        <v>0</v>
      </c>
      <c r="H96" s="115" t="str">
        <f>'Prop Budget Calc'!G95</f>
        <v>200-73-735</v>
      </c>
      <c r="J96" s="202" t="str">
        <f>'Prop Budget Calc'!I95</f>
        <v>50102</v>
      </c>
      <c r="K96" s="115">
        <f>'Prop Budget Calc'!P95</f>
        <v>0</v>
      </c>
      <c r="L96" s="115">
        <f>'Prop Budget Calc'!N95</f>
        <v>0</v>
      </c>
      <c r="M96" s="115">
        <f t="shared" si="99"/>
        <v>0</v>
      </c>
      <c r="N96" s="115"/>
      <c r="O96" s="203">
        <f>'Prop Budget Calc'!AK95/12</f>
        <v>41.666666666666664</v>
      </c>
      <c r="P96" s="203">
        <f>'Prop Budget Calc'!AL95/12</f>
        <v>0</v>
      </c>
      <c r="Q96" s="203">
        <f>'Prop Budget Calc'!AM95/12</f>
        <v>0</v>
      </c>
      <c r="R96" s="203">
        <f>IF(AND($D96="vacant",$F96=1),'Prop Budget Calc'!#REF!,IF(OR($B96=0,$F96&lt;&gt;1),0,SUMIFS(#REF!,#REF!,'Prop Budget Calc'!#REF!,#REF!,$B96)*'Prop Budget Calc'!#REF!))+IF(AND($D96="vacant",$F96=1),'Prop Budget Calc'!#REF!,IF(OR($B96=0,$F96&lt;&gt;1),0,SUMIFS(#REF!,#REF!,'Prop Budget Calc'!#REF!,#REF!,$B96)*'Prop Budget Calc'!#REF!))+IF(AND($D96="vacant",$F96=1),'Prop Budget Calc'!$BA$1,IF(OR($B96=0,$F96&lt;&gt;1),0,SUMIFS(#REF!,#REF!,'Prop Budget Calc'!BA$4,#REF!,$B96)*'Prop Budget Calc'!$BA$3))+IF(AND($D96="vacant",$F96=1),'Prop Budget Calc'!$BB$1,IF(OR($B96=0,$F96&lt;&gt;1),0,SUMIFS(#REF!,#REF!,'Prop Budget Calc'!BB$4,#REF!,$B96)*'Prop Budget Calc'!$BB$3))</f>
        <v>0</v>
      </c>
      <c r="S96" s="203">
        <f>IF(AND($D96="vacant",$F96=1),'Prop Budget Calc'!#REF!,IF(OR($B96=0,$F96&lt;&gt;1),0,SUMIFS(#REF!,#REF!,'Prop Budget Calc'!#REF!,#REF!,$B96)*'Prop Budget Calc'!#REF!))+IF(AND($D96="vacant",$F96=1),'Prop Budget Calc'!#REF!,IF(OR($B96=0,$F96&lt;&gt;1),0,SUMIFS(#REF!,#REF!,'Prop Budget Calc'!#REF!,#REF!,$B96)*'Prop Budget Calc'!#REF!))</f>
        <v>0</v>
      </c>
      <c r="T96" s="115">
        <f>$L96*'Prop Budget Calc'!$AV$2+IF(AND($J96&lt;&gt;"50101", $J96&lt;&gt;"50102"),0,IF($J96="50101",IF(($L96/52*'Prop Budget Calc'!$AW$3)&gt;'Prop Budget Calc'!$AV$1,'Prop Budget Calc'!$AV$1,$L96/52*'Prop Budget Calc'!$AW$3),IF(($L96/52*'Prop Budget Calc'!$AW$3)&gt;'Prop Budget Calc'!$AW$1,'Prop Budget Calc'!$AW$1,$L96/52*'Prop Budget Calc'!$AW$3)))*F96+IF(AND($D96="vacant",$F96=1),'Prop Budget Calc'!$AX$1,IF(OR($B96=0,$F96&lt;&gt;1),0,SUMIFS(#REF!,#REF!,'Prop Budget Calc'!AX$4,#REF!,$B96)*'Prop Budget Calc'!$AX$3))+IF(AND($D96="vacant",$F96=1),'Prop Budget Calc'!$AY$1,IF(OR($B96=0,$F96&lt;&gt;1),0,SUMIFS(#REF!,#REF!,'Prop Budget Calc'!AY$4,#REF!,$B96))*'Prop Budget Calc'!$AY$3)</f>
        <v>0</v>
      </c>
      <c r="U96" s="203">
        <f t="shared" si="100"/>
        <v>0</v>
      </c>
      <c r="X96" s="126"/>
      <c r="Y96" s="126"/>
      <c r="AA96" s="125">
        <f t="shared" si="103"/>
        <v>0</v>
      </c>
      <c r="AB96" s="125">
        <f t="shared" si="103"/>
        <v>0</v>
      </c>
      <c r="AC96" s="125">
        <f t="shared" si="103"/>
        <v>0</v>
      </c>
      <c r="AD96" s="125">
        <f t="shared" si="78"/>
        <v>0</v>
      </c>
      <c r="AE96" s="125"/>
      <c r="AF96" s="125">
        <f t="shared" si="79"/>
        <v>0</v>
      </c>
      <c r="AG96" s="125">
        <f t="shared" si="80"/>
        <v>49.999999999999964</v>
      </c>
      <c r="AH96" s="125">
        <f t="shared" si="81"/>
        <v>0</v>
      </c>
      <c r="AI96" s="125">
        <f t="shared" si="82"/>
        <v>0</v>
      </c>
      <c r="AJ96" s="125">
        <f t="shared" si="83"/>
        <v>49.999999999999964</v>
      </c>
      <c r="AK96" s="125">
        <f t="shared" si="84"/>
        <v>3.8249999999999975</v>
      </c>
      <c r="AL96" s="205">
        <f t="shared" si="85"/>
        <v>0</v>
      </c>
      <c r="AM96" s="125">
        <f t="shared" si="86"/>
        <v>0</v>
      </c>
      <c r="AN96" s="125">
        <f t="shared" si="102"/>
        <v>8.3349999999999937</v>
      </c>
    </row>
    <row r="97" spans="2:40">
      <c r="B97" s="115">
        <f>'Prop Budget Calc'!A96</f>
        <v>0</v>
      </c>
      <c r="C97" s="115" t="str">
        <f>'Prop Budget Calc'!B96</f>
        <v>ON CALL PAY</v>
      </c>
      <c r="D97" s="115" t="str">
        <f>'Prop Budget Calc'!C96</f>
        <v>ON CALL PAY</v>
      </c>
      <c r="F97" s="115">
        <f>'Prop Budget Calc'!E96</f>
        <v>0</v>
      </c>
      <c r="H97" s="115" t="str">
        <f>'Prop Budget Calc'!G96</f>
        <v>119-18-181</v>
      </c>
      <c r="J97" s="202" t="str">
        <f>'Prop Budget Calc'!I96</f>
        <v>50102</v>
      </c>
      <c r="K97" s="115">
        <f>'Prop Budget Calc'!P96</f>
        <v>0</v>
      </c>
      <c r="L97" s="115">
        <f>'Prop Budget Calc'!N96</f>
        <v>600</v>
      </c>
      <c r="M97" s="115">
        <f t="shared" si="99"/>
        <v>50</v>
      </c>
      <c r="N97" s="115"/>
      <c r="O97" s="203">
        <f>'Prop Budget Calc'!AK96/12</f>
        <v>0</v>
      </c>
      <c r="P97" s="203">
        <f>'Prop Budget Calc'!AL96/12</f>
        <v>0</v>
      </c>
      <c r="Q97" s="203">
        <f>'Prop Budget Calc'!AM96/12</f>
        <v>0</v>
      </c>
      <c r="R97" s="203">
        <f>IF(AND($D97="vacant",$F97=1),'Prop Budget Calc'!#REF!,IF(OR($B97=0,$F97&lt;&gt;1),0,SUMIFS(#REF!,#REF!,'Prop Budget Calc'!#REF!,#REF!,$B97)*'Prop Budget Calc'!#REF!))+IF(AND($D97="vacant",$F97=1),'Prop Budget Calc'!#REF!,IF(OR($B97=0,$F97&lt;&gt;1),0,SUMIFS(#REF!,#REF!,'Prop Budget Calc'!#REF!,#REF!,$B97)*'Prop Budget Calc'!#REF!))+IF(AND($D97="vacant",$F97=1),'Prop Budget Calc'!$BA$1,IF(OR($B97=0,$F97&lt;&gt;1),0,SUMIFS(#REF!,#REF!,'Prop Budget Calc'!BA$4,#REF!,$B97)*'Prop Budget Calc'!$BA$3))+IF(AND($D97="vacant",$F97=1),'Prop Budget Calc'!$BB$1,IF(OR($B97=0,$F97&lt;&gt;1),0,SUMIFS(#REF!,#REF!,'Prop Budget Calc'!BB$4,#REF!,$B97)*'Prop Budget Calc'!$BB$3))</f>
        <v>0</v>
      </c>
      <c r="S97" s="203">
        <f>IF(AND($D97="vacant",$F97=1),'Prop Budget Calc'!#REF!,IF(OR($B97=0,$F97&lt;&gt;1),0,SUMIFS(#REF!,#REF!,'Prop Budget Calc'!#REF!,#REF!,$B97)*'Prop Budget Calc'!#REF!))+IF(AND($D97="vacant",$F97=1),'Prop Budget Calc'!#REF!,IF(OR($B97=0,$F97&lt;&gt;1),0,SUMIFS(#REF!,#REF!,'Prop Budget Calc'!#REF!,#REF!,$B97)*'Prop Budget Calc'!#REF!))</f>
        <v>0</v>
      </c>
      <c r="T97" s="115">
        <f>$L97*'Prop Budget Calc'!$AV$2+IF(AND($J97&lt;&gt;"50101", $J97&lt;&gt;"50102"),0,IF($J97="50101",IF(($L97/52*'Prop Budget Calc'!$AW$3)&gt;'Prop Budget Calc'!$AV$1,'Prop Budget Calc'!$AV$1,$L97/52*'Prop Budget Calc'!$AW$3),IF(($L97/52*'Prop Budget Calc'!$AW$3)&gt;'Prop Budget Calc'!$AW$1,'Prop Budget Calc'!$AW$1,$L97/52*'Prop Budget Calc'!$AW$3)))*F97+IF(AND($D97="vacant",$F97=1),'Prop Budget Calc'!$AX$1,IF(OR($B97=0,$F97&lt;&gt;1),0,SUMIFS(#REF!,#REF!,'Prop Budget Calc'!AX$4,#REF!,$B97)*'Prop Budget Calc'!$AX$3))+IF(AND($D97="vacant",$F97=1),'Prop Budget Calc'!$AY$1,IF(OR($B97=0,$F97&lt;&gt;1),0,SUMIFS(#REF!,#REF!,'Prop Budget Calc'!AY$4,#REF!,$B97))*'Prop Budget Calc'!$AY$3)</f>
        <v>1.08</v>
      </c>
      <c r="U97" s="203">
        <f t="shared" si="100"/>
        <v>1.08</v>
      </c>
      <c r="X97" s="126"/>
      <c r="Y97" s="126"/>
      <c r="AA97" s="125">
        <f t="shared" si="103"/>
        <v>0</v>
      </c>
      <c r="AB97" s="125">
        <f t="shared" si="103"/>
        <v>27.126436781609186</v>
      </c>
      <c r="AC97" s="125">
        <f t="shared" si="103"/>
        <v>0</v>
      </c>
      <c r="AD97" s="125">
        <f t="shared" si="78"/>
        <v>0</v>
      </c>
      <c r="AE97" s="125"/>
      <c r="AF97" s="125">
        <f t="shared" si="79"/>
        <v>0</v>
      </c>
      <c r="AG97" s="125">
        <f t="shared" si="80"/>
        <v>0</v>
      </c>
      <c r="AH97" s="125">
        <f t="shared" si="81"/>
        <v>0</v>
      </c>
      <c r="AI97" s="125">
        <f t="shared" si="82"/>
        <v>0</v>
      </c>
      <c r="AJ97" s="125">
        <f t="shared" si="83"/>
        <v>27.126436781609186</v>
      </c>
      <c r="AK97" s="125">
        <f t="shared" si="84"/>
        <v>2.0751724137931027</v>
      </c>
      <c r="AL97" s="205">
        <f t="shared" si="85"/>
        <v>5.3999999999999972E-2</v>
      </c>
      <c r="AM97" s="125">
        <f t="shared" si="86"/>
        <v>0</v>
      </c>
      <c r="AN97" s="125">
        <f t="shared" si="102"/>
        <v>4.5219770114942506</v>
      </c>
    </row>
    <row r="98" spans="2:40">
      <c r="B98" s="115">
        <f>'Prop Budget Calc'!A97</f>
        <v>0</v>
      </c>
      <c r="C98" s="115" t="str">
        <f>'Prop Budget Calc'!B97</f>
        <v>ON CALL PAY</v>
      </c>
      <c r="D98" s="115" t="str">
        <f>'Prop Budget Calc'!C97</f>
        <v>ON CALL PAY</v>
      </c>
      <c r="F98" s="115">
        <f>'Prop Budget Calc'!E97</f>
        <v>0</v>
      </c>
      <c r="H98" s="115" t="str">
        <f>'Prop Budget Calc'!G97</f>
        <v>200-73-735</v>
      </c>
      <c r="J98" s="202" t="str">
        <f>'Prop Budget Calc'!I97</f>
        <v>50102</v>
      </c>
      <c r="K98" s="115">
        <f>'Prop Budget Calc'!P97</f>
        <v>0</v>
      </c>
      <c r="L98" s="115">
        <f>'Prop Budget Calc'!N97</f>
        <v>3250</v>
      </c>
      <c r="M98" s="115">
        <f t="shared" si="99"/>
        <v>270.83333333333331</v>
      </c>
      <c r="N98" s="115"/>
      <c r="O98" s="203">
        <f>'Prop Budget Calc'!AK97/12</f>
        <v>0</v>
      </c>
      <c r="P98" s="203">
        <f>'Prop Budget Calc'!AL97/12</f>
        <v>0</v>
      </c>
      <c r="Q98" s="203">
        <f>'Prop Budget Calc'!AM97/12</f>
        <v>0</v>
      </c>
      <c r="R98" s="203">
        <f>IF(AND($D98="vacant",$F98=1),'Prop Budget Calc'!#REF!,IF(OR($B98=0,$F98&lt;&gt;1),0,SUMIFS(#REF!,#REF!,'Prop Budget Calc'!#REF!,#REF!,$B98)*'Prop Budget Calc'!#REF!))+IF(AND($D98="vacant",$F98=1),'Prop Budget Calc'!#REF!,IF(OR($B98=0,$F98&lt;&gt;1),0,SUMIFS(#REF!,#REF!,'Prop Budget Calc'!#REF!,#REF!,$B98)*'Prop Budget Calc'!#REF!))+IF(AND($D98="vacant",$F98=1),'Prop Budget Calc'!$BA$1,IF(OR($B98=0,$F98&lt;&gt;1),0,SUMIFS(#REF!,#REF!,'Prop Budget Calc'!BA$4,#REF!,$B98)*'Prop Budget Calc'!$BA$3))+IF(AND($D98="vacant",$F98=1),'Prop Budget Calc'!$BB$1,IF(OR($B98=0,$F98&lt;&gt;1),0,SUMIFS(#REF!,#REF!,'Prop Budget Calc'!BB$4,#REF!,$B98)*'Prop Budget Calc'!$BB$3))</f>
        <v>0</v>
      </c>
      <c r="S98" s="203">
        <f>IF(AND($D98="vacant",$F98=1),'Prop Budget Calc'!#REF!,IF(OR($B98=0,$F98&lt;&gt;1),0,SUMIFS(#REF!,#REF!,'Prop Budget Calc'!#REF!,#REF!,$B98)*'Prop Budget Calc'!#REF!))+IF(AND($D98="vacant",$F98=1),'Prop Budget Calc'!#REF!,IF(OR($B98=0,$F98&lt;&gt;1),0,SUMIFS(#REF!,#REF!,'Prop Budget Calc'!#REF!,#REF!,$B98)*'Prop Budget Calc'!#REF!))</f>
        <v>0</v>
      </c>
      <c r="T98" s="115">
        <f>$L98*'Prop Budget Calc'!$AV$2+IF(AND($J98&lt;&gt;"50101", $J98&lt;&gt;"50102"),0,IF($J98="50101",IF(($L98/52*'Prop Budget Calc'!$AW$3)&gt;'Prop Budget Calc'!$AV$1,'Prop Budget Calc'!$AV$1,$L98/52*'Prop Budget Calc'!$AW$3),IF(($L98/52*'Prop Budget Calc'!$AW$3)&gt;'Prop Budget Calc'!$AW$1,'Prop Budget Calc'!$AW$1,$L98/52*'Prop Budget Calc'!$AW$3)))*F98+IF(AND($D98="vacant",$F98=1),'Prop Budget Calc'!$AX$1,IF(OR($B98=0,$F98&lt;&gt;1),0,SUMIFS(#REF!,#REF!,'Prop Budget Calc'!AX$4,#REF!,$B98)*'Prop Budget Calc'!$AX$3))+IF(AND($D98="vacant",$F98=1),'Prop Budget Calc'!$AY$1,IF(OR($B98=0,$F98&lt;&gt;1),0,SUMIFS(#REF!,#REF!,'Prop Budget Calc'!AY$4,#REF!,$B98))*'Prop Budget Calc'!$AY$3)</f>
        <v>5.85</v>
      </c>
      <c r="U98" s="203">
        <f t="shared" si="100"/>
        <v>5.85</v>
      </c>
      <c r="X98" s="126"/>
      <c r="Y98" s="126"/>
      <c r="AA98" s="125">
        <f t="shared" si="103"/>
        <v>0</v>
      </c>
      <c r="AB98" s="125">
        <f t="shared" si="103"/>
        <v>146.9348659003831</v>
      </c>
      <c r="AC98" s="125">
        <f t="shared" si="103"/>
        <v>0</v>
      </c>
      <c r="AD98" s="125">
        <f t="shared" si="78"/>
        <v>0</v>
      </c>
      <c r="AE98" s="125"/>
      <c r="AF98" s="125">
        <f t="shared" si="79"/>
        <v>0</v>
      </c>
      <c r="AG98" s="125">
        <f t="shared" si="80"/>
        <v>0</v>
      </c>
      <c r="AH98" s="125">
        <f t="shared" si="81"/>
        <v>0</v>
      </c>
      <c r="AI98" s="125">
        <f t="shared" si="82"/>
        <v>0</v>
      </c>
      <c r="AJ98" s="125">
        <f t="shared" si="83"/>
        <v>146.9348659003831</v>
      </c>
      <c r="AK98" s="125">
        <f t="shared" si="84"/>
        <v>11.240517241379306</v>
      </c>
      <c r="AL98" s="205">
        <f t="shared" si="85"/>
        <v>0.29249999999999982</v>
      </c>
      <c r="AM98" s="125">
        <f t="shared" si="86"/>
        <v>0</v>
      </c>
      <c r="AN98" s="125">
        <f t="shared" si="102"/>
        <v>24.494042145593863</v>
      </c>
    </row>
    <row r="99" spans="2:40">
      <c r="B99" s="115">
        <f>'Prop Budget Calc'!A98</f>
        <v>0</v>
      </c>
      <c r="C99" s="115" t="str">
        <f>'Prop Budget Calc'!B98</f>
        <v>Certification Pay Contingency</v>
      </c>
      <c r="D99" s="115" t="str">
        <f>'Prop Budget Calc'!C98</f>
        <v>Regional Pay Contingency</v>
      </c>
      <c r="F99" s="115">
        <f>'Prop Budget Calc'!E98</f>
        <v>0</v>
      </c>
      <c r="H99" s="115" t="str">
        <f>'Prop Budget Calc'!G98</f>
        <v>200-75-752</v>
      </c>
      <c r="J99" s="202" t="str">
        <f>'Prop Budget Calc'!I98</f>
        <v>50102</v>
      </c>
      <c r="K99" s="115">
        <f>'Prop Budget Calc'!P98</f>
        <v>0</v>
      </c>
      <c r="L99" s="115">
        <f>'Prop Budget Calc'!N98</f>
        <v>0</v>
      </c>
      <c r="M99" s="115">
        <f t="shared" si="99"/>
        <v>0</v>
      </c>
      <c r="N99" s="115"/>
      <c r="O99" s="203">
        <f>'Prop Budget Calc'!AK98/12</f>
        <v>41.666666666666664</v>
      </c>
      <c r="P99" s="203">
        <f>'Prop Budget Calc'!AL98/12</f>
        <v>0</v>
      </c>
      <c r="Q99" s="203">
        <f>'Prop Budget Calc'!AM98/12</f>
        <v>0</v>
      </c>
      <c r="R99" s="203">
        <f>IF(AND($D99="vacant",$F99=1),'Prop Budget Calc'!#REF!,IF(OR($B99=0,$F99&lt;&gt;1),0,SUMIFS(#REF!,#REF!,'Prop Budget Calc'!#REF!,#REF!,$B99)*'Prop Budget Calc'!#REF!))+IF(AND($D99="vacant",$F99=1),'Prop Budget Calc'!#REF!,IF(OR($B99=0,$F99&lt;&gt;1),0,SUMIFS(#REF!,#REF!,'Prop Budget Calc'!#REF!,#REF!,$B99)*'Prop Budget Calc'!#REF!))+IF(AND($D99="vacant",$F99=1),'Prop Budget Calc'!$BA$1,IF(OR($B99=0,$F99&lt;&gt;1),0,SUMIFS(#REF!,#REF!,'Prop Budget Calc'!BA$4,#REF!,$B99)*'Prop Budget Calc'!$BA$3))+IF(AND($D99="vacant",$F99=1),'Prop Budget Calc'!$BB$1,IF(OR($B99=0,$F99&lt;&gt;1),0,SUMIFS(#REF!,#REF!,'Prop Budget Calc'!BB$4,#REF!,$B99)*'Prop Budget Calc'!$BB$3))</f>
        <v>0</v>
      </c>
      <c r="S99" s="203">
        <f>IF(AND($D99="vacant",$F99=1),'Prop Budget Calc'!#REF!,IF(OR($B99=0,$F99&lt;&gt;1),0,SUMIFS(#REF!,#REF!,'Prop Budget Calc'!#REF!,#REF!,$B99)*'Prop Budget Calc'!#REF!))+IF(AND($D99="vacant",$F99=1),'Prop Budget Calc'!#REF!,IF(OR($B99=0,$F99&lt;&gt;1),0,SUMIFS(#REF!,#REF!,'Prop Budget Calc'!#REF!,#REF!,$B99)*'Prop Budget Calc'!#REF!))</f>
        <v>0</v>
      </c>
      <c r="T99" s="115">
        <f>$L99*'Prop Budget Calc'!$AV$2+IF(AND($J99&lt;&gt;"50101", $J99&lt;&gt;"50102"),0,IF($J99="50101",IF(($L99/52*'Prop Budget Calc'!$AW$3)&gt;'Prop Budget Calc'!$AV$1,'Prop Budget Calc'!$AV$1,$L99/52*'Prop Budget Calc'!$AW$3),IF(($L99/52*'Prop Budget Calc'!$AW$3)&gt;'Prop Budget Calc'!$AW$1,'Prop Budget Calc'!$AW$1,$L99/52*'Prop Budget Calc'!$AW$3)))*F99+IF(AND($D99="vacant",$F99=1),'Prop Budget Calc'!$AX$1,IF(OR($B99=0,$F99&lt;&gt;1),0,SUMIFS(#REF!,#REF!,'Prop Budget Calc'!AX$4,#REF!,$B99)*'Prop Budget Calc'!$AX$3))+IF(AND($D99="vacant",$F99=1),'Prop Budget Calc'!$AY$1,IF(OR($B99=0,$F99&lt;&gt;1),0,SUMIFS(#REF!,#REF!,'Prop Budget Calc'!AY$4,#REF!,$B99))*'Prop Budget Calc'!$AY$3)</f>
        <v>0</v>
      </c>
      <c r="U99" s="203">
        <f t="shared" si="100"/>
        <v>0</v>
      </c>
      <c r="X99" s="126"/>
      <c r="Y99" s="126"/>
      <c r="AA99" s="125">
        <f t="shared" si="103"/>
        <v>0</v>
      </c>
      <c r="AB99" s="125">
        <f t="shared" si="103"/>
        <v>0</v>
      </c>
      <c r="AC99" s="125">
        <f t="shared" si="103"/>
        <v>0</v>
      </c>
      <c r="AD99" s="125">
        <f t="shared" si="78"/>
        <v>0</v>
      </c>
      <c r="AE99" s="125"/>
      <c r="AF99" s="125">
        <f t="shared" si="79"/>
        <v>0</v>
      </c>
      <c r="AG99" s="125">
        <f t="shared" si="80"/>
        <v>49.999999999999964</v>
      </c>
      <c r="AH99" s="125">
        <f t="shared" si="81"/>
        <v>0</v>
      </c>
      <c r="AI99" s="125">
        <f t="shared" si="82"/>
        <v>0</v>
      </c>
      <c r="AJ99" s="125">
        <f t="shared" si="83"/>
        <v>49.999999999999964</v>
      </c>
      <c r="AK99" s="125">
        <f t="shared" si="84"/>
        <v>3.8249999999999975</v>
      </c>
      <c r="AL99" s="205">
        <f t="shared" si="85"/>
        <v>0</v>
      </c>
      <c r="AM99" s="125">
        <f t="shared" si="86"/>
        <v>0</v>
      </c>
      <c r="AN99" s="125">
        <f t="shared" si="102"/>
        <v>8.3349999999999937</v>
      </c>
    </row>
    <row r="100" spans="2:40">
      <c r="B100" s="115">
        <f>'Prop Budget Calc'!A99</f>
        <v>0</v>
      </c>
      <c r="C100" s="115" t="str">
        <f>'Prop Budget Calc'!B99</f>
        <v>ON CALL PAY</v>
      </c>
      <c r="D100" s="115" t="str">
        <f>'Prop Budget Calc'!C99</f>
        <v>ON CALL PAY</v>
      </c>
      <c r="F100" s="115">
        <f>'Prop Budget Calc'!E99</f>
        <v>0</v>
      </c>
      <c r="H100" s="115" t="str">
        <f>'Prop Budget Calc'!G99</f>
        <v>200-75-752</v>
      </c>
      <c r="J100" s="202" t="str">
        <f>'Prop Budget Calc'!I99</f>
        <v>50102</v>
      </c>
      <c r="K100" s="115">
        <f>'Prop Budget Calc'!P99</f>
        <v>0</v>
      </c>
      <c r="L100" s="115">
        <f>'Prop Budget Calc'!N99</f>
        <v>3250</v>
      </c>
      <c r="M100" s="115">
        <f t="shared" si="99"/>
        <v>270.83333333333331</v>
      </c>
      <c r="N100" s="115"/>
      <c r="O100" s="203">
        <f>'Prop Budget Calc'!AK99/12</f>
        <v>0</v>
      </c>
      <c r="P100" s="203">
        <f>'Prop Budget Calc'!AL99/12</f>
        <v>0</v>
      </c>
      <c r="Q100" s="203">
        <f>'Prop Budget Calc'!AM99/12</f>
        <v>0</v>
      </c>
      <c r="R100" s="203">
        <f>IF(AND($D100="vacant",$F100=1),'Prop Budget Calc'!#REF!,IF(OR($B100=0,$F100&lt;&gt;1),0,SUMIFS(#REF!,#REF!,'Prop Budget Calc'!#REF!,#REF!,$B100)*'Prop Budget Calc'!#REF!))+IF(AND($D100="vacant",$F100=1),'Prop Budget Calc'!#REF!,IF(OR($B100=0,$F100&lt;&gt;1),0,SUMIFS(#REF!,#REF!,'Prop Budget Calc'!#REF!,#REF!,$B100)*'Prop Budget Calc'!#REF!))+IF(AND($D100="vacant",$F100=1),'Prop Budget Calc'!$BA$1,IF(OR($B100=0,$F100&lt;&gt;1),0,SUMIFS(#REF!,#REF!,'Prop Budget Calc'!BA$4,#REF!,$B100)*'Prop Budget Calc'!$BA$3))+IF(AND($D100="vacant",$F100=1),'Prop Budget Calc'!$BB$1,IF(OR($B100=0,$F100&lt;&gt;1),0,SUMIFS(#REF!,#REF!,'Prop Budget Calc'!BB$4,#REF!,$B100)*'Prop Budget Calc'!$BB$3))</f>
        <v>0</v>
      </c>
      <c r="S100" s="203">
        <f>IF(AND($D100="vacant",$F100=1),'Prop Budget Calc'!#REF!,IF(OR($B100=0,$F100&lt;&gt;1),0,SUMIFS(#REF!,#REF!,'Prop Budget Calc'!#REF!,#REF!,$B100)*'Prop Budget Calc'!#REF!))+IF(AND($D100="vacant",$F100=1),'Prop Budget Calc'!#REF!,IF(OR($B100=0,$F100&lt;&gt;1),0,SUMIFS(#REF!,#REF!,'Prop Budget Calc'!#REF!,#REF!,$B100)*'Prop Budget Calc'!#REF!))</f>
        <v>0</v>
      </c>
      <c r="T100" s="115">
        <f>$L100*'Prop Budget Calc'!$AV$2+IF(AND($J100&lt;&gt;"50101", $J100&lt;&gt;"50102"),0,IF($J100="50101",IF(($L100/52*'Prop Budget Calc'!$AW$3)&gt;'Prop Budget Calc'!$AV$1,'Prop Budget Calc'!$AV$1,$L100/52*'Prop Budget Calc'!$AW$3),IF(($L100/52*'Prop Budget Calc'!$AW$3)&gt;'Prop Budget Calc'!$AW$1,'Prop Budget Calc'!$AW$1,$L100/52*'Prop Budget Calc'!$AW$3)))*F100+IF(AND($D100="vacant",$F100=1),'Prop Budget Calc'!$AX$1,IF(OR($B100=0,$F100&lt;&gt;1),0,SUMIFS(#REF!,#REF!,'Prop Budget Calc'!AX$4,#REF!,$B100)*'Prop Budget Calc'!$AX$3))+IF(AND($D100="vacant",$F100=1),'Prop Budget Calc'!$AY$1,IF(OR($B100=0,$F100&lt;&gt;1),0,SUMIFS(#REF!,#REF!,'Prop Budget Calc'!AY$4,#REF!,$B100))*'Prop Budget Calc'!$AY$3)</f>
        <v>5.85</v>
      </c>
      <c r="U100" s="203">
        <f t="shared" si="100"/>
        <v>5.85</v>
      </c>
      <c r="X100" s="126"/>
      <c r="Y100" s="126"/>
      <c r="AA100" s="125">
        <f t="shared" si="103"/>
        <v>0</v>
      </c>
      <c r="AB100" s="125">
        <f t="shared" si="103"/>
        <v>146.9348659003831</v>
      </c>
      <c r="AC100" s="125">
        <f t="shared" si="103"/>
        <v>0</v>
      </c>
      <c r="AD100" s="125">
        <f t="shared" si="78"/>
        <v>0</v>
      </c>
      <c r="AE100" s="125"/>
      <c r="AF100" s="125">
        <f t="shared" si="79"/>
        <v>0</v>
      </c>
      <c r="AG100" s="125">
        <f t="shared" si="80"/>
        <v>0</v>
      </c>
      <c r="AH100" s="125">
        <f t="shared" si="81"/>
        <v>0</v>
      </c>
      <c r="AI100" s="125">
        <f t="shared" si="82"/>
        <v>0</v>
      </c>
      <c r="AJ100" s="125">
        <f t="shared" si="83"/>
        <v>146.9348659003831</v>
      </c>
      <c r="AK100" s="125">
        <f t="shared" si="84"/>
        <v>11.240517241379306</v>
      </c>
      <c r="AL100" s="205">
        <f t="shared" si="85"/>
        <v>0.29249999999999982</v>
      </c>
      <c r="AM100" s="125">
        <f t="shared" si="86"/>
        <v>0</v>
      </c>
      <c r="AN100" s="125">
        <f t="shared" si="102"/>
        <v>24.494042145593863</v>
      </c>
    </row>
    <row r="101" spans="2:40">
      <c r="B101" s="115">
        <f>'Prop Budget Calc'!A100</f>
        <v>0</v>
      </c>
      <c r="C101" s="115" t="str">
        <f>'Prop Budget Calc'!B100</f>
        <v>OVERTIME</v>
      </c>
      <c r="D101" s="115" t="str">
        <f>'Prop Budget Calc'!C100</f>
        <v>OVERTIME</v>
      </c>
      <c r="F101" s="115">
        <f>'Prop Budget Calc'!E100</f>
        <v>0</v>
      </c>
      <c r="H101" s="115" t="str">
        <f>'Prop Budget Calc'!G100</f>
        <v>100-17-171</v>
      </c>
      <c r="J101" s="202" t="str">
        <f>'Prop Budget Calc'!I100</f>
        <v>50109</v>
      </c>
      <c r="K101" s="115">
        <f>'Prop Budget Calc'!P100</f>
        <v>0</v>
      </c>
      <c r="L101" s="115">
        <f>'Prop Budget Calc'!N100</f>
        <v>500</v>
      </c>
      <c r="M101" s="115">
        <f t="shared" si="99"/>
        <v>41.666666666666664</v>
      </c>
      <c r="N101" s="115"/>
      <c r="O101" s="203">
        <f>'Prop Budget Calc'!AK100/12</f>
        <v>0</v>
      </c>
      <c r="P101" s="203">
        <f>'Prop Budget Calc'!AL100/12</f>
        <v>0</v>
      </c>
      <c r="Q101" s="203">
        <f>'Prop Budget Calc'!AM100/12</f>
        <v>0</v>
      </c>
      <c r="R101" s="203">
        <f>IF(AND($D101="vacant",$F101=1),'Prop Budget Calc'!#REF!,IF(OR($B101=0,$F101&lt;&gt;1),0,SUMIFS(#REF!,#REF!,'Prop Budget Calc'!#REF!,#REF!,$B101)*'Prop Budget Calc'!#REF!))+IF(AND($D101="vacant",$F101=1),'Prop Budget Calc'!#REF!,IF(OR($B101=0,$F101&lt;&gt;1),0,SUMIFS(#REF!,#REF!,'Prop Budget Calc'!#REF!,#REF!,$B101)*'Prop Budget Calc'!#REF!))+IF(AND($D101="vacant",$F101=1),'Prop Budget Calc'!$BA$1,IF(OR($B101=0,$F101&lt;&gt;1),0,SUMIFS(#REF!,#REF!,'Prop Budget Calc'!BA$4,#REF!,$B101)*'Prop Budget Calc'!$BA$3))+IF(AND($D101="vacant",$F101=1),'Prop Budget Calc'!$BB$1,IF(OR($B101=0,$F101&lt;&gt;1),0,SUMIFS(#REF!,#REF!,'Prop Budget Calc'!BB$4,#REF!,$B101)*'Prop Budget Calc'!$BB$3))</f>
        <v>0</v>
      </c>
      <c r="S101" s="203">
        <f>IF(AND($D101="vacant",$F101=1),'Prop Budget Calc'!#REF!,IF(OR($B101=0,$F101&lt;&gt;1),0,SUMIFS(#REF!,#REF!,'Prop Budget Calc'!#REF!,#REF!,$B101)*'Prop Budget Calc'!#REF!))+IF(AND($D101="vacant",$F101=1),'Prop Budget Calc'!#REF!,IF(OR($B101=0,$F101&lt;&gt;1),0,SUMIFS(#REF!,#REF!,'Prop Budget Calc'!#REF!,#REF!,$B101)*'Prop Budget Calc'!#REF!))</f>
        <v>0</v>
      </c>
      <c r="T101" s="115">
        <f>$L101*'Prop Budget Calc'!$AV$2+IF(AND($J101&lt;&gt;"50101", $J101&lt;&gt;"50102"),0,IF($J101="50101",IF(($L101/52*'Prop Budget Calc'!$AW$3)&gt;'Prop Budget Calc'!$AV$1,'Prop Budget Calc'!$AV$1,$L101/52*'Prop Budget Calc'!$AW$3),IF(($L101/52*'Prop Budget Calc'!$AW$3)&gt;'Prop Budget Calc'!$AW$1,'Prop Budget Calc'!$AW$1,$L101/52*'Prop Budget Calc'!$AW$3)))*F101+IF(AND($D101="vacant",$F101=1),'Prop Budget Calc'!$AX$1,IF(OR($B101=0,$F101&lt;&gt;1),0,SUMIFS(#REF!,#REF!,'Prop Budget Calc'!AX$4,#REF!,$B101)*'Prop Budget Calc'!$AX$3))+IF(AND($D101="vacant",$F101=1),'Prop Budget Calc'!$AY$1,IF(OR($B101=0,$F101&lt;&gt;1),0,SUMIFS(#REF!,#REF!,'Prop Budget Calc'!AY$4,#REF!,$B101))*'Prop Budget Calc'!$AY$3)</f>
        <v>0.9</v>
      </c>
      <c r="U101" s="203">
        <f t="shared" si="100"/>
        <v>0.9</v>
      </c>
      <c r="X101" s="126"/>
      <c r="Y101" s="126"/>
      <c r="AA101" s="125">
        <f t="shared" si="103"/>
        <v>0</v>
      </c>
      <c r="AB101" s="125">
        <f t="shared" si="103"/>
        <v>0</v>
      </c>
      <c r="AC101" s="125">
        <f t="shared" si="103"/>
        <v>22.605363984674323</v>
      </c>
      <c r="AD101" s="125">
        <f t="shared" si="78"/>
        <v>0</v>
      </c>
      <c r="AE101" s="125"/>
      <c r="AF101" s="125">
        <f t="shared" si="79"/>
        <v>0</v>
      </c>
      <c r="AG101" s="125">
        <f t="shared" si="80"/>
        <v>0</v>
      </c>
      <c r="AH101" s="125">
        <f t="shared" si="81"/>
        <v>0</v>
      </c>
      <c r="AI101" s="125">
        <f t="shared" si="82"/>
        <v>0</v>
      </c>
      <c r="AJ101" s="125">
        <f t="shared" si="83"/>
        <v>22.605363984674323</v>
      </c>
      <c r="AK101" s="125">
        <f t="shared" si="84"/>
        <v>1.7293103448275857</v>
      </c>
      <c r="AL101" s="205">
        <f t="shared" si="85"/>
        <v>4.4999999999999971E-2</v>
      </c>
      <c r="AM101" s="125">
        <f t="shared" si="86"/>
        <v>0</v>
      </c>
      <c r="AN101" s="125">
        <f t="shared" si="102"/>
        <v>3.7683141762452093</v>
      </c>
    </row>
    <row r="102" spans="2:40">
      <c r="B102" s="115">
        <f>'Prop Budget Calc'!A101</f>
        <v>0</v>
      </c>
      <c r="C102" s="115" t="str">
        <f>'Prop Budget Calc'!B101</f>
        <v>OVERTIME</v>
      </c>
      <c r="D102" s="115" t="str">
        <f>'Prop Budget Calc'!C101</f>
        <v>OVERTIME</v>
      </c>
      <c r="F102" s="115">
        <f>'Prop Budget Calc'!E101</f>
        <v>0</v>
      </c>
      <c r="H102" s="115" t="str">
        <f>'Prop Budget Calc'!G101</f>
        <v>100-20-201</v>
      </c>
      <c r="J102" s="202" t="str">
        <f>'Prop Budget Calc'!I101</f>
        <v>50109</v>
      </c>
      <c r="K102" s="115">
        <f>'Prop Budget Calc'!P101</f>
        <v>0</v>
      </c>
      <c r="L102" s="115">
        <f>'Prop Budget Calc'!N101</f>
        <v>0</v>
      </c>
      <c r="M102" s="115">
        <f t="shared" si="99"/>
        <v>0</v>
      </c>
      <c r="N102" s="115"/>
      <c r="O102" s="203">
        <f>'Prop Budget Calc'!AK101/12</f>
        <v>0</v>
      </c>
      <c r="P102" s="203">
        <f>'Prop Budget Calc'!AL101/12</f>
        <v>0</v>
      </c>
      <c r="Q102" s="203">
        <f>'Prop Budget Calc'!AM101/12</f>
        <v>0</v>
      </c>
      <c r="R102" s="203">
        <f>IF(AND($D102="vacant",$F102=1),'Prop Budget Calc'!#REF!,IF(OR($B102=0,$F102&lt;&gt;1),0,SUMIFS(#REF!,#REF!,'Prop Budget Calc'!#REF!,#REF!,$B102)*'Prop Budget Calc'!#REF!))+IF(AND($D102="vacant",$F102=1),'Prop Budget Calc'!#REF!,IF(OR($B102=0,$F102&lt;&gt;1),0,SUMIFS(#REF!,#REF!,'Prop Budget Calc'!#REF!,#REF!,$B102)*'Prop Budget Calc'!#REF!))+IF(AND($D102="vacant",$F102=1),'Prop Budget Calc'!$BA$1,IF(OR($B102=0,$F102&lt;&gt;1),0,SUMIFS(#REF!,#REF!,'Prop Budget Calc'!BA$4,#REF!,$B102)*'Prop Budget Calc'!$BA$3))+IF(AND($D102="vacant",$F102=1),'Prop Budget Calc'!$BB$1,IF(OR($B102=0,$F102&lt;&gt;1),0,SUMIFS(#REF!,#REF!,'Prop Budget Calc'!BB$4,#REF!,$B102)*'Prop Budget Calc'!$BB$3))</f>
        <v>0</v>
      </c>
      <c r="S102" s="203">
        <f>IF(AND($D102="vacant",$F102=1),'Prop Budget Calc'!#REF!,IF(OR($B102=0,$F102&lt;&gt;1),0,SUMIFS(#REF!,#REF!,'Prop Budget Calc'!#REF!,#REF!,$B102)*'Prop Budget Calc'!#REF!))+IF(AND($D102="vacant",$F102=1),'Prop Budget Calc'!#REF!,IF(OR($B102=0,$F102&lt;&gt;1),0,SUMIFS(#REF!,#REF!,'Prop Budget Calc'!#REF!,#REF!,$B102)*'Prop Budget Calc'!#REF!))</f>
        <v>0</v>
      </c>
      <c r="T102" s="115">
        <f>$L102*'Prop Budget Calc'!$AV$2+IF(AND($J102&lt;&gt;"50101", $J102&lt;&gt;"50102"),0,IF($J102="50101",IF(($L102/52*'Prop Budget Calc'!$AW$3)&gt;'Prop Budget Calc'!$AV$1,'Prop Budget Calc'!$AV$1,$L102/52*'Prop Budget Calc'!$AW$3),IF(($L102/52*'Prop Budget Calc'!$AW$3)&gt;'Prop Budget Calc'!$AW$1,'Prop Budget Calc'!$AW$1,$L102/52*'Prop Budget Calc'!$AW$3)))*F102+IF(AND($D102="vacant",$F102=1),'Prop Budget Calc'!$AX$1,IF(OR($B102=0,$F102&lt;&gt;1),0,SUMIFS(#REF!,#REF!,'Prop Budget Calc'!AX$4,#REF!,$B102)*'Prop Budget Calc'!$AX$3))+IF(AND($D102="vacant",$F102=1),'Prop Budget Calc'!$AY$1,IF(OR($B102=0,$F102&lt;&gt;1),0,SUMIFS(#REF!,#REF!,'Prop Budget Calc'!AY$4,#REF!,$B102))*'Prop Budget Calc'!$AY$3)</f>
        <v>0</v>
      </c>
      <c r="U102" s="203">
        <f t="shared" si="100"/>
        <v>0</v>
      </c>
      <c r="X102" s="126"/>
      <c r="Y102" s="126"/>
      <c r="AA102" s="125">
        <f t="shared" si="103"/>
        <v>0</v>
      </c>
      <c r="AB102" s="125">
        <f t="shared" si="103"/>
        <v>0</v>
      </c>
      <c r="AC102" s="125">
        <f t="shared" si="103"/>
        <v>0</v>
      </c>
      <c r="AD102" s="125">
        <f t="shared" si="78"/>
        <v>0</v>
      </c>
      <c r="AE102" s="125"/>
      <c r="AF102" s="125">
        <f t="shared" si="79"/>
        <v>0</v>
      </c>
      <c r="AG102" s="125">
        <f t="shared" si="80"/>
        <v>0</v>
      </c>
      <c r="AH102" s="125">
        <f t="shared" si="81"/>
        <v>0</v>
      </c>
      <c r="AI102" s="125">
        <f t="shared" si="82"/>
        <v>0</v>
      </c>
      <c r="AJ102" s="125">
        <f t="shared" si="83"/>
        <v>0</v>
      </c>
      <c r="AK102" s="125">
        <f t="shared" si="84"/>
        <v>0</v>
      </c>
      <c r="AL102" s="205">
        <f t="shared" si="85"/>
        <v>0</v>
      </c>
      <c r="AM102" s="125">
        <f t="shared" si="86"/>
        <v>0</v>
      </c>
      <c r="AN102" s="125">
        <f t="shared" si="102"/>
        <v>0</v>
      </c>
    </row>
    <row r="103" spans="2:40">
      <c r="B103" s="115">
        <f>'Prop Budget Calc'!A102</f>
        <v>0</v>
      </c>
      <c r="C103" s="115" t="str">
        <f>'Prop Budget Calc'!B102</f>
        <v>OVERTIME</v>
      </c>
      <c r="D103" s="115" t="str">
        <f>'Prop Budget Calc'!C102</f>
        <v>OVERTIME</v>
      </c>
      <c r="F103" s="115">
        <f>'Prop Budget Calc'!E102</f>
        <v>0</v>
      </c>
      <c r="H103" s="115" t="str">
        <f>'Prop Budget Calc'!G102</f>
        <v>100-30-302</v>
      </c>
      <c r="J103" s="202" t="str">
        <f>'Prop Budget Calc'!I102</f>
        <v>50109</v>
      </c>
      <c r="K103" s="115">
        <f>'Prop Budget Calc'!P102</f>
        <v>0</v>
      </c>
      <c r="L103" s="115">
        <f>'Prop Budget Calc'!N102</f>
        <v>185500</v>
      </c>
      <c r="M103" s="115">
        <f t="shared" si="99"/>
        <v>15458.333333333334</v>
      </c>
      <c r="N103" s="115"/>
      <c r="O103" s="203">
        <f>'Prop Budget Calc'!AK102/12</f>
        <v>0</v>
      </c>
      <c r="P103" s="203">
        <f>'Prop Budget Calc'!AL102/12</f>
        <v>0</v>
      </c>
      <c r="Q103" s="203">
        <f>'Prop Budget Calc'!AM102/12</f>
        <v>0</v>
      </c>
      <c r="R103" s="203">
        <f>IF(AND($D103="vacant",$F103=1),'Prop Budget Calc'!#REF!,IF(OR($B103=0,$F103&lt;&gt;1),0,SUMIFS(#REF!,#REF!,'Prop Budget Calc'!#REF!,#REF!,$B103)*'Prop Budget Calc'!#REF!))+IF(AND($D103="vacant",$F103=1),'Prop Budget Calc'!#REF!,IF(OR($B103=0,$F103&lt;&gt;1),0,SUMIFS(#REF!,#REF!,'Prop Budget Calc'!#REF!,#REF!,$B103)*'Prop Budget Calc'!#REF!))+IF(AND($D103="vacant",$F103=1),'Prop Budget Calc'!$BA$1,IF(OR($B103=0,$F103&lt;&gt;1),0,SUMIFS(#REF!,#REF!,'Prop Budget Calc'!BA$4,#REF!,$B103)*'Prop Budget Calc'!$BA$3))+IF(AND($D103="vacant",$F103=1),'Prop Budget Calc'!$BB$1,IF(OR($B103=0,$F103&lt;&gt;1),0,SUMIFS(#REF!,#REF!,'Prop Budget Calc'!BB$4,#REF!,$B103)*'Prop Budget Calc'!$BB$3))</f>
        <v>0</v>
      </c>
      <c r="S103" s="203">
        <f>IF(AND($D103="vacant",$F103=1),'Prop Budget Calc'!#REF!,IF(OR($B103=0,$F103&lt;&gt;1),0,SUMIFS(#REF!,#REF!,'Prop Budget Calc'!#REF!,#REF!,$B103)*'Prop Budget Calc'!#REF!))+IF(AND($D103="vacant",$F103=1),'Prop Budget Calc'!#REF!,IF(OR($B103=0,$F103&lt;&gt;1),0,SUMIFS(#REF!,#REF!,'Prop Budget Calc'!#REF!,#REF!,$B103)*'Prop Budget Calc'!#REF!))</f>
        <v>0</v>
      </c>
      <c r="T103" s="115">
        <f>$L103*'Prop Budget Calc'!$AV$2+IF(AND($J103&lt;&gt;"50101", $J103&lt;&gt;"50102"),0,IF($J103="50101",IF(($L103/52*'Prop Budget Calc'!$AW$3)&gt;'Prop Budget Calc'!$AV$1,'Prop Budget Calc'!$AV$1,$L103/52*'Prop Budget Calc'!$AW$3),IF(($L103/52*'Prop Budget Calc'!$AW$3)&gt;'Prop Budget Calc'!$AW$1,'Prop Budget Calc'!$AW$1,$L103/52*'Prop Budget Calc'!$AW$3)))*F103+IF(AND($D103="vacant",$F103=1),'Prop Budget Calc'!$AX$1,IF(OR($B103=0,$F103&lt;&gt;1),0,SUMIFS(#REF!,#REF!,'Prop Budget Calc'!AX$4,#REF!,$B103)*'Prop Budget Calc'!$AX$3))+IF(AND($D103="vacant",$F103=1),'Prop Budget Calc'!$AY$1,IF(OR($B103=0,$F103&lt;&gt;1),0,SUMIFS(#REF!,#REF!,'Prop Budget Calc'!AY$4,#REF!,$B103))*'Prop Budget Calc'!$AY$3)</f>
        <v>333.9</v>
      </c>
      <c r="U103" s="203">
        <f t="shared" si="100"/>
        <v>333.9</v>
      </c>
      <c r="X103" s="126"/>
      <c r="Y103" s="126"/>
      <c r="AA103" s="125">
        <f t="shared" si="103"/>
        <v>0</v>
      </c>
      <c r="AB103" s="125">
        <f t="shared" si="103"/>
        <v>0</v>
      </c>
      <c r="AC103" s="125">
        <f t="shared" si="103"/>
        <v>8386.5900383141743</v>
      </c>
      <c r="AD103" s="125">
        <f t="shared" si="78"/>
        <v>0</v>
      </c>
      <c r="AE103" s="125"/>
      <c r="AF103" s="125">
        <f t="shared" si="79"/>
        <v>0</v>
      </c>
      <c r="AG103" s="125">
        <f t="shared" si="80"/>
        <v>0</v>
      </c>
      <c r="AH103" s="125">
        <f t="shared" si="81"/>
        <v>0</v>
      </c>
      <c r="AI103" s="125">
        <f t="shared" si="82"/>
        <v>0</v>
      </c>
      <c r="AJ103" s="125">
        <f t="shared" si="83"/>
        <v>8386.5900383141743</v>
      </c>
      <c r="AK103" s="125">
        <f t="shared" si="84"/>
        <v>453.76877394636</v>
      </c>
      <c r="AL103" s="205">
        <f t="shared" si="85"/>
        <v>16.69499999999999</v>
      </c>
      <c r="AM103" s="125">
        <f t="shared" si="86"/>
        <v>0</v>
      </c>
      <c r="AN103" s="125">
        <f t="shared" si="102"/>
        <v>1398.0445593869727</v>
      </c>
    </row>
    <row r="104" spans="2:40">
      <c r="B104" s="115">
        <f>'Prop Budget Calc'!A103</f>
        <v>0</v>
      </c>
      <c r="C104" s="115" t="str">
        <f>'Prop Budget Calc'!B103</f>
        <v>OVERTIME</v>
      </c>
      <c r="D104" s="115" t="str">
        <f>'Prop Budget Calc'!C103</f>
        <v>OVERTIME</v>
      </c>
      <c r="F104" s="115">
        <f>'Prop Budget Calc'!E103</f>
        <v>0</v>
      </c>
      <c r="H104" s="115" t="str">
        <f>'Prop Budget Calc'!G103</f>
        <v>100-30-303</v>
      </c>
      <c r="J104" s="202" t="str">
        <f>'Prop Budget Calc'!I103</f>
        <v>50109</v>
      </c>
      <c r="K104" s="115">
        <f>'Prop Budget Calc'!P103</f>
        <v>0</v>
      </c>
      <c r="L104" s="115">
        <f>'Prop Budget Calc'!N103</f>
        <v>94822</v>
      </c>
      <c r="M104" s="115">
        <f t="shared" si="99"/>
        <v>7901.833333333333</v>
      </c>
      <c r="N104" s="115"/>
      <c r="O104" s="203">
        <f>'Prop Budget Calc'!AK103/12</f>
        <v>0</v>
      </c>
      <c r="P104" s="203">
        <f>'Prop Budget Calc'!AL103/12</f>
        <v>0</v>
      </c>
      <c r="Q104" s="203">
        <f>'Prop Budget Calc'!AM103/12</f>
        <v>0</v>
      </c>
      <c r="R104" s="203">
        <f>IF(AND($D104="vacant",$F104=1),'Prop Budget Calc'!#REF!,IF(OR($B104=0,$F104&lt;&gt;1),0,SUMIFS(#REF!,#REF!,'Prop Budget Calc'!#REF!,#REF!,$B104)*'Prop Budget Calc'!#REF!))+IF(AND($D104="vacant",$F104=1),'Prop Budget Calc'!#REF!,IF(OR($B104=0,$F104&lt;&gt;1),0,SUMIFS(#REF!,#REF!,'Prop Budget Calc'!#REF!,#REF!,$B104)*'Prop Budget Calc'!#REF!))+IF(AND($D104="vacant",$F104=1),'Prop Budget Calc'!$BA$1,IF(OR($B104=0,$F104&lt;&gt;1),0,SUMIFS(#REF!,#REF!,'Prop Budget Calc'!BA$4,#REF!,$B104)*'Prop Budget Calc'!$BA$3))+IF(AND($D104="vacant",$F104=1),'Prop Budget Calc'!$BB$1,IF(OR($B104=0,$F104&lt;&gt;1),0,SUMIFS(#REF!,#REF!,'Prop Budget Calc'!BB$4,#REF!,$B104)*'Prop Budget Calc'!$BB$3))</f>
        <v>0</v>
      </c>
      <c r="S104" s="203">
        <f>IF(AND($D104="vacant",$F104=1),'Prop Budget Calc'!#REF!,IF(OR($B104=0,$F104&lt;&gt;1),0,SUMIFS(#REF!,#REF!,'Prop Budget Calc'!#REF!,#REF!,$B104)*'Prop Budget Calc'!#REF!))+IF(AND($D104="vacant",$F104=1),'Prop Budget Calc'!#REF!,IF(OR($B104=0,$F104&lt;&gt;1),0,SUMIFS(#REF!,#REF!,'Prop Budget Calc'!#REF!,#REF!,$B104)*'Prop Budget Calc'!#REF!))</f>
        <v>0</v>
      </c>
      <c r="T104" s="115">
        <f>$L104*'Prop Budget Calc'!$AV$2+IF(AND($J104&lt;&gt;"50101", $J104&lt;&gt;"50102"),0,IF($J104="50101",IF(($L104/52*'Prop Budget Calc'!$AW$3)&gt;'Prop Budget Calc'!$AV$1,'Prop Budget Calc'!$AV$1,$L104/52*'Prop Budget Calc'!$AW$3),IF(($L104/52*'Prop Budget Calc'!$AW$3)&gt;'Prop Budget Calc'!$AW$1,'Prop Budget Calc'!$AW$1,$L104/52*'Prop Budget Calc'!$AW$3)))*F104+IF(AND($D104="vacant",$F104=1),'Prop Budget Calc'!$AX$1,IF(OR($B104=0,$F104&lt;&gt;1),0,SUMIFS(#REF!,#REF!,'Prop Budget Calc'!AX$4,#REF!,$B104)*'Prop Budget Calc'!$AX$3))+IF(AND($D104="vacant",$F104=1),'Prop Budget Calc'!$AY$1,IF(OR($B104=0,$F104&lt;&gt;1),0,SUMIFS(#REF!,#REF!,'Prop Budget Calc'!AY$4,#REF!,$B104))*'Prop Budget Calc'!$AY$3)</f>
        <v>170.67959999999999</v>
      </c>
      <c r="U104" s="203">
        <f t="shared" si="100"/>
        <v>170.67959999999999</v>
      </c>
      <c r="X104" s="126"/>
      <c r="Y104" s="126"/>
      <c r="AA104" s="125">
        <f t="shared" si="103"/>
        <v>0</v>
      </c>
      <c r="AB104" s="125">
        <f t="shared" si="103"/>
        <v>0</v>
      </c>
      <c r="AC104" s="125">
        <f t="shared" si="103"/>
        <v>4286.9716475095775</v>
      </c>
      <c r="AD104" s="125">
        <f t="shared" si="78"/>
        <v>0</v>
      </c>
      <c r="AE104" s="125"/>
      <c r="AF104" s="125">
        <f t="shared" si="79"/>
        <v>0</v>
      </c>
      <c r="AG104" s="125">
        <f t="shared" si="80"/>
        <v>0</v>
      </c>
      <c r="AH104" s="125">
        <f t="shared" si="81"/>
        <v>0</v>
      </c>
      <c r="AI104" s="125">
        <f t="shared" si="82"/>
        <v>0</v>
      </c>
      <c r="AJ104" s="125">
        <f t="shared" si="83"/>
        <v>4286.9716475095775</v>
      </c>
      <c r="AK104" s="125">
        <f t="shared" si="84"/>
        <v>327.95333103448263</v>
      </c>
      <c r="AL104" s="205">
        <f t="shared" si="85"/>
        <v>8.5339799999999943</v>
      </c>
      <c r="AM104" s="125">
        <f t="shared" si="86"/>
        <v>0</v>
      </c>
      <c r="AN104" s="125">
        <f t="shared" si="102"/>
        <v>714.63817363984651</v>
      </c>
    </row>
    <row r="105" spans="2:40">
      <c r="B105" s="115">
        <f>'Prop Budget Calc'!A104</f>
        <v>0</v>
      </c>
      <c r="C105" s="115" t="str">
        <f>'Prop Budget Calc'!B104</f>
        <v>OVERTIME</v>
      </c>
      <c r="D105" s="115" t="str">
        <f>'Prop Budget Calc'!C104</f>
        <v>OVERTIME</v>
      </c>
      <c r="F105" s="115">
        <f>'Prop Budget Calc'!E104</f>
        <v>0</v>
      </c>
      <c r="H105" s="115" t="str">
        <f>'Prop Budget Calc'!G104</f>
        <v>100-30-304</v>
      </c>
      <c r="J105" s="202" t="str">
        <f>'Prop Budget Calc'!I104</f>
        <v>50109</v>
      </c>
      <c r="K105" s="115">
        <f>'Prop Budget Calc'!P104</f>
        <v>0</v>
      </c>
      <c r="L105" s="115">
        <f>'Prop Budget Calc'!N104</f>
        <v>10000</v>
      </c>
      <c r="M105" s="115">
        <f t="shared" si="99"/>
        <v>833.33333333333337</v>
      </c>
      <c r="N105" s="115"/>
      <c r="O105" s="203">
        <f>'Prop Budget Calc'!AK104/12</f>
        <v>0</v>
      </c>
      <c r="P105" s="203">
        <f>'Prop Budget Calc'!AL104/12</f>
        <v>0</v>
      </c>
      <c r="Q105" s="203">
        <f>'Prop Budget Calc'!AM104/12</f>
        <v>0</v>
      </c>
      <c r="R105" s="203">
        <f>IF(AND($D105="vacant",$F105=1),'Prop Budget Calc'!#REF!,IF(OR($B105=0,$F105&lt;&gt;1),0,SUMIFS(#REF!,#REF!,'Prop Budget Calc'!#REF!,#REF!,$B105)*'Prop Budget Calc'!#REF!))+IF(AND($D105="vacant",$F105=1),'Prop Budget Calc'!#REF!,IF(OR($B105=0,$F105&lt;&gt;1),0,SUMIFS(#REF!,#REF!,'Prop Budget Calc'!#REF!,#REF!,$B105)*'Prop Budget Calc'!#REF!))+IF(AND($D105="vacant",$F105=1),'Prop Budget Calc'!$BA$1,IF(OR($B105=0,$F105&lt;&gt;1),0,SUMIFS(#REF!,#REF!,'Prop Budget Calc'!BA$4,#REF!,$B105)*'Prop Budget Calc'!$BA$3))+IF(AND($D105="vacant",$F105=1),'Prop Budget Calc'!$BB$1,IF(OR($B105=0,$F105&lt;&gt;1),0,SUMIFS(#REF!,#REF!,'Prop Budget Calc'!BB$4,#REF!,$B105)*'Prop Budget Calc'!$BB$3))</f>
        <v>0</v>
      </c>
      <c r="S105" s="203">
        <f>IF(AND($D105="vacant",$F105=1),'Prop Budget Calc'!#REF!,IF(OR($B105=0,$F105&lt;&gt;1),0,SUMIFS(#REF!,#REF!,'Prop Budget Calc'!#REF!,#REF!,$B105)*'Prop Budget Calc'!#REF!))+IF(AND($D105="vacant",$F105=1),'Prop Budget Calc'!#REF!,IF(OR($B105=0,$F105&lt;&gt;1),0,SUMIFS(#REF!,#REF!,'Prop Budget Calc'!#REF!,#REF!,$B105)*'Prop Budget Calc'!#REF!))</f>
        <v>0</v>
      </c>
      <c r="T105" s="115">
        <f>$L105*'Prop Budget Calc'!$AV$2+IF(AND($J105&lt;&gt;"50101", $J105&lt;&gt;"50102"),0,IF($J105="50101",IF(($L105/52*'Prop Budget Calc'!$AW$3)&gt;'Prop Budget Calc'!$AV$1,'Prop Budget Calc'!$AV$1,$L105/52*'Prop Budget Calc'!$AW$3),IF(($L105/52*'Prop Budget Calc'!$AW$3)&gt;'Prop Budget Calc'!$AW$1,'Prop Budget Calc'!$AW$1,$L105/52*'Prop Budget Calc'!$AW$3)))*F105+IF(AND($D105="vacant",$F105=1),'Prop Budget Calc'!$AX$1,IF(OR($B105=0,$F105&lt;&gt;1),0,SUMIFS(#REF!,#REF!,'Prop Budget Calc'!AX$4,#REF!,$B105)*'Prop Budget Calc'!$AX$3))+IF(AND($D105="vacant",$F105=1),'Prop Budget Calc'!$AY$1,IF(OR($B105=0,$F105&lt;&gt;1),0,SUMIFS(#REF!,#REF!,'Prop Budget Calc'!AY$4,#REF!,$B105))*'Prop Budget Calc'!$AY$3)</f>
        <v>18</v>
      </c>
      <c r="U105" s="203">
        <f t="shared" si="100"/>
        <v>18</v>
      </c>
      <c r="X105" s="126"/>
      <c r="Y105" s="126"/>
      <c r="AA105" s="125">
        <f t="shared" si="103"/>
        <v>0</v>
      </c>
      <c r="AB105" s="125">
        <f t="shared" si="103"/>
        <v>0</v>
      </c>
      <c r="AC105" s="125">
        <f t="shared" si="103"/>
        <v>452.10727969348648</v>
      </c>
      <c r="AD105" s="125">
        <f t="shared" si="78"/>
        <v>0</v>
      </c>
      <c r="AE105" s="125"/>
      <c r="AF105" s="125">
        <f t="shared" si="79"/>
        <v>0</v>
      </c>
      <c r="AG105" s="125">
        <f t="shared" si="80"/>
        <v>0</v>
      </c>
      <c r="AH105" s="125">
        <f t="shared" si="81"/>
        <v>0</v>
      </c>
      <c r="AI105" s="125">
        <f t="shared" si="82"/>
        <v>0</v>
      </c>
      <c r="AJ105" s="125">
        <f t="shared" si="83"/>
        <v>452.10727969348648</v>
      </c>
      <c r="AK105" s="125">
        <f t="shared" si="84"/>
        <v>34.586206896551715</v>
      </c>
      <c r="AL105" s="205">
        <f t="shared" si="85"/>
        <v>0.89999999999999947</v>
      </c>
      <c r="AM105" s="125">
        <f t="shared" si="86"/>
        <v>0</v>
      </c>
      <c r="AN105" s="125">
        <f t="shared" si="102"/>
        <v>75.36628352490419</v>
      </c>
    </row>
    <row r="106" spans="2:40">
      <c r="B106" s="115">
        <f>'Prop Budget Calc'!A105</f>
        <v>0</v>
      </c>
      <c r="C106" s="115" t="str">
        <f>'Prop Budget Calc'!B105</f>
        <v>OVERTIME</v>
      </c>
      <c r="D106" s="115" t="str">
        <f>'Prop Budget Calc'!C105</f>
        <v>OVERTIME</v>
      </c>
      <c r="F106" s="115">
        <f>'Prop Budget Calc'!E105</f>
        <v>0</v>
      </c>
      <c r="H106" s="115" t="str">
        <f>'Prop Budget Calc'!G105</f>
        <v>100-30-305</v>
      </c>
      <c r="J106" s="202" t="str">
        <f>'Prop Budget Calc'!I105</f>
        <v>50109</v>
      </c>
      <c r="K106" s="115">
        <f>'Prop Budget Calc'!P105</f>
        <v>0</v>
      </c>
      <c r="L106" s="115">
        <f>'Prop Budget Calc'!N105</f>
        <v>11500</v>
      </c>
      <c r="M106" s="115">
        <f t="shared" si="99"/>
        <v>958.33333333333337</v>
      </c>
      <c r="N106" s="115"/>
      <c r="O106" s="203">
        <f>'Prop Budget Calc'!AK105/12</f>
        <v>0</v>
      </c>
      <c r="P106" s="203">
        <f>'Prop Budget Calc'!AL105/12</f>
        <v>0</v>
      </c>
      <c r="Q106" s="203">
        <f>'Prop Budget Calc'!AM105/12</f>
        <v>0</v>
      </c>
      <c r="R106" s="203">
        <f>IF(AND($D106="vacant",$F106=1),'Prop Budget Calc'!#REF!,IF(OR($B106=0,$F106&lt;&gt;1),0,SUMIFS(#REF!,#REF!,'Prop Budget Calc'!#REF!,#REF!,$B106)*'Prop Budget Calc'!#REF!))+IF(AND($D106="vacant",$F106=1),'Prop Budget Calc'!#REF!,IF(OR($B106=0,$F106&lt;&gt;1),0,SUMIFS(#REF!,#REF!,'Prop Budget Calc'!#REF!,#REF!,$B106)*'Prop Budget Calc'!#REF!))+IF(AND($D106="vacant",$F106=1),'Prop Budget Calc'!$BA$1,IF(OR($B106=0,$F106&lt;&gt;1),0,SUMIFS(#REF!,#REF!,'Prop Budget Calc'!BA$4,#REF!,$B106)*'Prop Budget Calc'!$BA$3))+IF(AND($D106="vacant",$F106=1),'Prop Budget Calc'!$BB$1,IF(OR($B106=0,$F106&lt;&gt;1),0,SUMIFS(#REF!,#REF!,'Prop Budget Calc'!BB$4,#REF!,$B106)*'Prop Budget Calc'!$BB$3))</f>
        <v>0</v>
      </c>
      <c r="S106" s="203">
        <f>IF(AND($D106="vacant",$F106=1),'Prop Budget Calc'!#REF!,IF(OR($B106=0,$F106&lt;&gt;1),0,SUMIFS(#REF!,#REF!,'Prop Budget Calc'!#REF!,#REF!,$B106)*'Prop Budget Calc'!#REF!))+IF(AND($D106="vacant",$F106=1),'Prop Budget Calc'!#REF!,IF(OR($B106=0,$F106&lt;&gt;1),0,SUMIFS(#REF!,#REF!,'Prop Budget Calc'!#REF!,#REF!,$B106)*'Prop Budget Calc'!#REF!))</f>
        <v>0</v>
      </c>
      <c r="T106" s="115">
        <f>$L106*'Prop Budget Calc'!$AV$2+IF(AND($J106&lt;&gt;"50101", $J106&lt;&gt;"50102"),0,IF($J106="50101",IF(($L106/52*'Prop Budget Calc'!$AW$3)&gt;'Prop Budget Calc'!$AV$1,'Prop Budget Calc'!$AV$1,$L106/52*'Prop Budget Calc'!$AW$3),IF(($L106/52*'Prop Budget Calc'!$AW$3)&gt;'Prop Budget Calc'!$AW$1,'Prop Budget Calc'!$AW$1,$L106/52*'Prop Budget Calc'!$AW$3)))*F106+IF(AND($D106="vacant",$F106=1),'Prop Budget Calc'!$AX$1,IF(OR($B106=0,$F106&lt;&gt;1),0,SUMIFS(#REF!,#REF!,'Prop Budget Calc'!AX$4,#REF!,$B106)*'Prop Budget Calc'!$AX$3))+IF(AND($D106="vacant",$F106=1),'Prop Budget Calc'!$AY$1,IF(OR($B106=0,$F106&lt;&gt;1),0,SUMIFS(#REF!,#REF!,'Prop Budget Calc'!AY$4,#REF!,$B106))*'Prop Budget Calc'!$AY$3)</f>
        <v>20.7</v>
      </c>
      <c r="U106" s="203">
        <f t="shared" si="100"/>
        <v>20.7</v>
      </c>
      <c r="X106" s="126"/>
      <c r="Y106" s="126"/>
      <c r="AA106" s="125">
        <f t="shared" si="103"/>
        <v>0</v>
      </c>
      <c r="AB106" s="125">
        <f t="shared" si="103"/>
        <v>0</v>
      </c>
      <c r="AC106" s="125">
        <f t="shared" si="103"/>
        <v>519.92337164750938</v>
      </c>
      <c r="AD106" s="125">
        <f t="shared" si="78"/>
        <v>0</v>
      </c>
      <c r="AE106" s="125"/>
      <c r="AF106" s="125">
        <f t="shared" si="79"/>
        <v>0</v>
      </c>
      <c r="AG106" s="125">
        <f t="shared" si="80"/>
        <v>0</v>
      </c>
      <c r="AH106" s="125">
        <f t="shared" si="81"/>
        <v>0</v>
      </c>
      <c r="AI106" s="125">
        <f t="shared" si="82"/>
        <v>0</v>
      </c>
      <c r="AJ106" s="125">
        <f t="shared" si="83"/>
        <v>519.92337164750938</v>
      </c>
      <c r="AK106" s="125">
        <f t="shared" si="84"/>
        <v>39.774137931034467</v>
      </c>
      <c r="AL106" s="205">
        <f t="shared" si="85"/>
        <v>1.0349999999999993</v>
      </c>
      <c r="AM106" s="125">
        <f t="shared" si="86"/>
        <v>0</v>
      </c>
      <c r="AN106" s="125">
        <f t="shared" si="102"/>
        <v>86.671226053639813</v>
      </c>
    </row>
    <row r="107" spans="2:40">
      <c r="B107" s="115">
        <f>'Prop Budget Calc'!A106</f>
        <v>0</v>
      </c>
      <c r="C107" s="115" t="str">
        <f>'Prop Budget Calc'!B106</f>
        <v>OVERTIME</v>
      </c>
      <c r="D107" s="115" t="str">
        <f>'Prop Budget Calc'!C106</f>
        <v>OVERTIME</v>
      </c>
      <c r="F107" s="115">
        <f>'Prop Budget Calc'!E106</f>
        <v>0</v>
      </c>
      <c r="H107" s="115" t="str">
        <f>'Prop Budget Calc'!G106</f>
        <v>100-35-351</v>
      </c>
      <c r="J107" s="202" t="str">
        <f>'Prop Budget Calc'!I106</f>
        <v>50109</v>
      </c>
      <c r="K107" s="115">
        <f>'Prop Budget Calc'!P106</f>
        <v>0</v>
      </c>
      <c r="L107" s="115">
        <f>'Prop Budget Calc'!N106</f>
        <v>9000</v>
      </c>
      <c r="M107" s="115">
        <f t="shared" si="99"/>
        <v>750</v>
      </c>
      <c r="N107" s="115"/>
      <c r="O107" s="203">
        <f>'Prop Budget Calc'!AK106/12</f>
        <v>0</v>
      </c>
      <c r="P107" s="203">
        <f>'Prop Budget Calc'!AL106/12</f>
        <v>0</v>
      </c>
      <c r="Q107" s="203">
        <f>'Prop Budget Calc'!AM106/12</f>
        <v>0</v>
      </c>
      <c r="R107" s="203">
        <f>IF(AND($D107="vacant",$F107=1),'Prop Budget Calc'!#REF!,IF(OR($B107=0,$F107&lt;&gt;1),0,SUMIFS(#REF!,#REF!,'Prop Budget Calc'!#REF!,#REF!,$B107)*'Prop Budget Calc'!#REF!))+IF(AND($D107="vacant",$F107=1),'Prop Budget Calc'!#REF!,IF(OR($B107=0,$F107&lt;&gt;1),0,SUMIFS(#REF!,#REF!,'Prop Budget Calc'!#REF!,#REF!,$B107)*'Prop Budget Calc'!#REF!))+IF(AND($D107="vacant",$F107=1),'Prop Budget Calc'!$BA$1,IF(OR($B107=0,$F107&lt;&gt;1),0,SUMIFS(#REF!,#REF!,'Prop Budget Calc'!BA$4,#REF!,$B107)*'Prop Budget Calc'!$BA$3))+IF(AND($D107="vacant",$F107=1),'Prop Budget Calc'!$BB$1,IF(OR($B107=0,$F107&lt;&gt;1),0,SUMIFS(#REF!,#REF!,'Prop Budget Calc'!BB$4,#REF!,$B107)*'Prop Budget Calc'!$BB$3))</f>
        <v>0</v>
      </c>
      <c r="S107" s="203">
        <f>IF(AND($D107="vacant",$F107=1),'Prop Budget Calc'!#REF!,IF(OR($B107=0,$F107&lt;&gt;1),0,SUMIFS(#REF!,#REF!,'Prop Budget Calc'!#REF!,#REF!,$B107)*'Prop Budget Calc'!#REF!))+IF(AND($D107="vacant",$F107=1),'Prop Budget Calc'!#REF!,IF(OR($B107=0,$F107&lt;&gt;1),0,SUMIFS(#REF!,#REF!,'Prop Budget Calc'!#REF!,#REF!,$B107)*'Prop Budget Calc'!#REF!))</f>
        <v>0</v>
      </c>
      <c r="T107" s="115">
        <f>$L107*'Prop Budget Calc'!$AV$2+IF(AND($J107&lt;&gt;"50101", $J107&lt;&gt;"50102"),0,IF($J107="50101",IF(($L107/52*'Prop Budget Calc'!$AW$3)&gt;'Prop Budget Calc'!$AV$1,'Prop Budget Calc'!$AV$1,$L107/52*'Prop Budget Calc'!$AW$3),IF(($L107/52*'Prop Budget Calc'!$AW$3)&gt;'Prop Budget Calc'!$AW$1,'Prop Budget Calc'!$AW$1,$L107/52*'Prop Budget Calc'!$AW$3)))*F107+IF(AND($D107="vacant",$F107=1),'Prop Budget Calc'!$AX$1,IF(OR($B107=0,$F107&lt;&gt;1),0,SUMIFS(#REF!,#REF!,'Prop Budget Calc'!AX$4,#REF!,$B107)*'Prop Budget Calc'!$AX$3))+IF(AND($D107="vacant",$F107=1),'Prop Budget Calc'!$AY$1,IF(OR($B107=0,$F107&lt;&gt;1),0,SUMIFS(#REF!,#REF!,'Prop Budget Calc'!AY$4,#REF!,$B107))*'Prop Budget Calc'!$AY$3)</f>
        <v>16.2</v>
      </c>
      <c r="U107" s="203">
        <f t="shared" si="100"/>
        <v>16.2</v>
      </c>
      <c r="X107" s="126"/>
      <c r="Y107" s="126"/>
      <c r="AA107" s="125">
        <f t="shared" ref="AA107:AC122" si="104">IF($J107=AA$5,$L107/$AB$1*$AB$2,0)</f>
        <v>0</v>
      </c>
      <c r="AB107" s="125">
        <f t="shared" si="104"/>
        <v>0</v>
      </c>
      <c r="AC107" s="125">
        <f t="shared" si="104"/>
        <v>406.89655172413779</v>
      </c>
      <c r="AD107" s="125">
        <f t="shared" si="78"/>
        <v>0</v>
      </c>
      <c r="AE107" s="125"/>
      <c r="AF107" s="125">
        <f t="shared" si="79"/>
        <v>0</v>
      </c>
      <c r="AG107" s="125">
        <f t="shared" si="80"/>
        <v>0</v>
      </c>
      <c r="AH107" s="125">
        <f t="shared" si="81"/>
        <v>0</v>
      </c>
      <c r="AI107" s="125">
        <f t="shared" si="82"/>
        <v>0</v>
      </c>
      <c r="AJ107" s="125">
        <f t="shared" si="83"/>
        <v>406.89655172413779</v>
      </c>
      <c r="AK107" s="125">
        <f t="shared" si="84"/>
        <v>31.127586206896542</v>
      </c>
      <c r="AL107" s="205">
        <f t="shared" si="85"/>
        <v>0.80999999999999939</v>
      </c>
      <c r="AM107" s="125">
        <f t="shared" si="86"/>
        <v>0</v>
      </c>
      <c r="AN107" s="125">
        <f t="shared" si="102"/>
        <v>67.829655172413766</v>
      </c>
    </row>
    <row r="108" spans="2:40">
      <c r="B108" s="115">
        <f>'Prop Budget Calc'!A107</f>
        <v>0</v>
      </c>
      <c r="C108" s="115" t="str">
        <f>'Prop Budget Calc'!B107</f>
        <v>OVERTIME</v>
      </c>
      <c r="D108" s="115" t="str">
        <f>'Prop Budget Calc'!C107</f>
        <v>OVERTIME</v>
      </c>
      <c r="F108" s="115">
        <f>'Prop Budget Calc'!E107</f>
        <v>0</v>
      </c>
      <c r="H108" s="115" t="str">
        <f>'Prop Budget Calc'!G107</f>
        <v>100-35-352</v>
      </c>
      <c r="J108" s="202" t="str">
        <f>'Prop Budget Calc'!I107</f>
        <v>50109</v>
      </c>
      <c r="K108" s="115">
        <f>'Prop Budget Calc'!P107</f>
        <v>0</v>
      </c>
      <c r="L108" s="115">
        <f>'Prop Budget Calc'!N107</f>
        <v>556315</v>
      </c>
      <c r="M108" s="115">
        <f t="shared" si="99"/>
        <v>46359.583333333336</v>
      </c>
      <c r="N108" s="115"/>
      <c r="O108" s="203">
        <f>'Prop Budget Calc'!AK107/12</f>
        <v>0</v>
      </c>
      <c r="P108" s="203">
        <f>'Prop Budget Calc'!AL107/12</f>
        <v>0</v>
      </c>
      <c r="Q108" s="203">
        <f>'Prop Budget Calc'!AM107/12</f>
        <v>0</v>
      </c>
      <c r="R108" s="203">
        <f>IF(AND($D108="vacant",$F108=1),'Prop Budget Calc'!#REF!,IF(OR($B108=0,$F108&lt;&gt;1),0,SUMIFS(#REF!,#REF!,'Prop Budget Calc'!#REF!,#REF!,$B108)*'Prop Budget Calc'!#REF!))+IF(AND($D108="vacant",$F108=1),'Prop Budget Calc'!#REF!,IF(OR($B108=0,$F108&lt;&gt;1),0,SUMIFS(#REF!,#REF!,'Prop Budget Calc'!#REF!,#REF!,$B108)*'Prop Budget Calc'!#REF!))+IF(AND($D108="vacant",$F108=1),'Prop Budget Calc'!$BA$1,IF(OR($B108=0,$F108&lt;&gt;1),0,SUMIFS(#REF!,#REF!,'Prop Budget Calc'!BA$4,#REF!,$B108)*'Prop Budget Calc'!$BA$3))+IF(AND($D108="vacant",$F108=1),'Prop Budget Calc'!$BB$1,IF(OR($B108=0,$F108&lt;&gt;1),0,SUMIFS(#REF!,#REF!,'Prop Budget Calc'!BB$4,#REF!,$B108)*'Prop Budget Calc'!$BB$3))</f>
        <v>0</v>
      </c>
      <c r="S108" s="203">
        <f>IF(AND($D108="vacant",$F108=1),'Prop Budget Calc'!#REF!,IF(OR($B108=0,$F108&lt;&gt;1),0,SUMIFS(#REF!,#REF!,'Prop Budget Calc'!#REF!,#REF!,$B108)*'Prop Budget Calc'!#REF!))+IF(AND($D108="vacant",$F108=1),'Prop Budget Calc'!#REF!,IF(OR($B108=0,$F108&lt;&gt;1),0,SUMIFS(#REF!,#REF!,'Prop Budget Calc'!#REF!,#REF!,$B108)*'Prop Budget Calc'!#REF!))</f>
        <v>0</v>
      </c>
      <c r="T108" s="115">
        <f>$L108*'Prop Budget Calc'!$AV$2+IF(AND($J108&lt;&gt;"50101", $J108&lt;&gt;"50102"),0,IF($J108="50101",IF(($L108/52*'Prop Budget Calc'!$AW$3)&gt;'Prop Budget Calc'!$AV$1,'Prop Budget Calc'!$AV$1,$L108/52*'Prop Budget Calc'!$AW$3),IF(($L108/52*'Prop Budget Calc'!$AW$3)&gt;'Prop Budget Calc'!$AW$1,'Prop Budget Calc'!$AW$1,$L108/52*'Prop Budget Calc'!$AW$3)))*F108+IF(AND($D108="vacant",$F108=1),'Prop Budget Calc'!$AX$1,IF(OR($B108=0,$F108&lt;&gt;1),0,SUMIFS(#REF!,#REF!,'Prop Budget Calc'!AX$4,#REF!,$B108)*'Prop Budget Calc'!$AX$3))+IF(AND($D108="vacant",$F108=1),'Prop Budget Calc'!$AY$1,IF(OR($B108=0,$F108&lt;&gt;1),0,SUMIFS(#REF!,#REF!,'Prop Budget Calc'!AY$4,#REF!,$B108))*'Prop Budget Calc'!$AY$3)</f>
        <v>1001.367</v>
      </c>
      <c r="U108" s="203">
        <f t="shared" si="100"/>
        <v>1001.367</v>
      </c>
      <c r="X108" s="126"/>
      <c r="Y108" s="126"/>
      <c r="AA108" s="125">
        <f t="shared" si="104"/>
        <v>0</v>
      </c>
      <c r="AB108" s="125">
        <f t="shared" si="104"/>
        <v>0</v>
      </c>
      <c r="AC108" s="125">
        <f t="shared" si="104"/>
        <v>25151.406130268191</v>
      </c>
      <c r="AD108" s="125">
        <f t="shared" si="78"/>
        <v>0</v>
      </c>
      <c r="AE108" s="125"/>
      <c r="AF108" s="125">
        <f t="shared" si="79"/>
        <v>0</v>
      </c>
      <c r="AG108" s="125">
        <f t="shared" si="80"/>
        <v>0</v>
      </c>
      <c r="AH108" s="125">
        <f t="shared" si="81"/>
        <v>0</v>
      </c>
      <c r="AI108" s="125">
        <f t="shared" si="82"/>
        <v>0</v>
      </c>
      <c r="AJ108" s="125">
        <f t="shared" si="83"/>
        <v>25151.406130268191</v>
      </c>
      <c r="AK108" s="125">
        <f t="shared" si="84"/>
        <v>696.85860727969316</v>
      </c>
      <c r="AL108" s="205">
        <f t="shared" si="85"/>
        <v>50.068349999999967</v>
      </c>
      <c r="AM108" s="125">
        <f t="shared" si="86"/>
        <v>0</v>
      </c>
      <c r="AN108" s="125">
        <f t="shared" si="102"/>
        <v>4192.7394019157073</v>
      </c>
    </row>
    <row r="109" spans="2:40">
      <c r="B109" s="115">
        <f>'Prop Budget Calc'!A108</f>
        <v>0</v>
      </c>
      <c r="C109" s="115" t="str">
        <f>'Prop Budget Calc'!B108</f>
        <v>OVERTIME</v>
      </c>
      <c r="D109" s="115" t="str">
        <f>'Prop Budget Calc'!C108</f>
        <v>OVERTIME</v>
      </c>
      <c r="F109" s="115">
        <f>'Prop Budget Calc'!E108</f>
        <v>0</v>
      </c>
      <c r="H109" s="115" t="str">
        <f>'Prop Budget Calc'!G108</f>
        <v>100-50-502</v>
      </c>
      <c r="J109" s="202" t="str">
        <f>'Prop Budget Calc'!I108</f>
        <v>50109</v>
      </c>
      <c r="K109" s="115">
        <f>'Prop Budget Calc'!P108</f>
        <v>0</v>
      </c>
      <c r="L109" s="115">
        <f>'Prop Budget Calc'!N108</f>
        <v>16000</v>
      </c>
      <c r="M109" s="115">
        <f t="shared" si="99"/>
        <v>1333.3333333333333</v>
      </c>
      <c r="N109" s="115"/>
      <c r="O109" s="203">
        <f>'Prop Budget Calc'!AK108/12</f>
        <v>0</v>
      </c>
      <c r="P109" s="203">
        <f>'Prop Budget Calc'!AL108/12</f>
        <v>0</v>
      </c>
      <c r="Q109" s="203">
        <f>'Prop Budget Calc'!AM108/12</f>
        <v>0</v>
      </c>
      <c r="R109" s="203">
        <f>IF(AND($D109="vacant",$F109=1),'Prop Budget Calc'!#REF!,IF(OR($B109=0,$F109&lt;&gt;1),0,SUMIFS(#REF!,#REF!,'Prop Budget Calc'!#REF!,#REF!,$B109)*'Prop Budget Calc'!#REF!))+IF(AND($D109="vacant",$F109=1),'Prop Budget Calc'!#REF!,IF(OR($B109=0,$F109&lt;&gt;1),0,SUMIFS(#REF!,#REF!,'Prop Budget Calc'!#REF!,#REF!,$B109)*'Prop Budget Calc'!#REF!))+IF(AND($D109="vacant",$F109=1),'Prop Budget Calc'!$BA$1,IF(OR($B109=0,$F109&lt;&gt;1),0,SUMIFS(#REF!,#REF!,'Prop Budget Calc'!BA$4,#REF!,$B109)*'Prop Budget Calc'!$BA$3))+IF(AND($D109="vacant",$F109=1),'Prop Budget Calc'!$BB$1,IF(OR($B109=0,$F109&lt;&gt;1),0,SUMIFS(#REF!,#REF!,'Prop Budget Calc'!BB$4,#REF!,$B109)*'Prop Budget Calc'!$BB$3))</f>
        <v>0</v>
      </c>
      <c r="S109" s="203">
        <f>IF(AND($D109="vacant",$F109=1),'Prop Budget Calc'!#REF!,IF(OR($B109=0,$F109&lt;&gt;1),0,SUMIFS(#REF!,#REF!,'Prop Budget Calc'!#REF!,#REF!,$B109)*'Prop Budget Calc'!#REF!))+IF(AND($D109="vacant",$F109=1),'Prop Budget Calc'!#REF!,IF(OR($B109=0,$F109&lt;&gt;1),0,SUMIFS(#REF!,#REF!,'Prop Budget Calc'!#REF!,#REF!,$B109)*'Prop Budget Calc'!#REF!))</f>
        <v>0</v>
      </c>
      <c r="T109" s="115">
        <f>$L109*'Prop Budget Calc'!$AV$2+IF(AND($J109&lt;&gt;"50101", $J109&lt;&gt;"50102"),0,IF($J109="50101",IF(($L109/52*'Prop Budget Calc'!$AW$3)&gt;'Prop Budget Calc'!$AV$1,'Prop Budget Calc'!$AV$1,$L109/52*'Prop Budget Calc'!$AW$3),IF(($L109/52*'Prop Budget Calc'!$AW$3)&gt;'Prop Budget Calc'!$AW$1,'Prop Budget Calc'!$AW$1,$L109/52*'Prop Budget Calc'!$AW$3)))*F109+IF(AND($D109="vacant",$F109=1),'Prop Budget Calc'!$AX$1,IF(OR($B109=0,$F109&lt;&gt;1),0,SUMIFS(#REF!,#REF!,'Prop Budget Calc'!AX$4,#REF!,$B109)*'Prop Budget Calc'!$AX$3))+IF(AND($D109="vacant",$F109=1),'Prop Budget Calc'!$AY$1,IF(OR($B109=0,$F109&lt;&gt;1),0,SUMIFS(#REF!,#REF!,'Prop Budget Calc'!AY$4,#REF!,$B109))*'Prop Budget Calc'!$AY$3)</f>
        <v>28.8</v>
      </c>
      <c r="U109" s="203">
        <f t="shared" si="100"/>
        <v>28.8</v>
      </c>
      <c r="X109" s="126"/>
      <c r="Y109" s="126"/>
      <c r="AA109" s="125">
        <f t="shared" si="104"/>
        <v>0</v>
      </c>
      <c r="AB109" s="125">
        <f t="shared" si="104"/>
        <v>0</v>
      </c>
      <c r="AC109" s="125">
        <f t="shared" si="104"/>
        <v>723.37164750957834</v>
      </c>
      <c r="AD109" s="125">
        <f t="shared" si="78"/>
        <v>0</v>
      </c>
      <c r="AE109" s="125"/>
      <c r="AF109" s="125">
        <f t="shared" si="79"/>
        <v>0</v>
      </c>
      <c r="AG109" s="125">
        <f t="shared" si="80"/>
        <v>0</v>
      </c>
      <c r="AH109" s="125">
        <f t="shared" si="81"/>
        <v>0</v>
      </c>
      <c r="AI109" s="125">
        <f t="shared" si="82"/>
        <v>0</v>
      </c>
      <c r="AJ109" s="125">
        <f t="shared" si="83"/>
        <v>723.37164750957834</v>
      </c>
      <c r="AK109" s="125">
        <f t="shared" si="84"/>
        <v>55.337931034482743</v>
      </c>
      <c r="AL109" s="205">
        <f t="shared" si="85"/>
        <v>1.4399999999999991</v>
      </c>
      <c r="AM109" s="125">
        <f t="shared" si="86"/>
        <v>0</v>
      </c>
      <c r="AN109" s="125">
        <f t="shared" si="102"/>
        <v>120.5860536398467</v>
      </c>
    </row>
    <row r="110" spans="2:40">
      <c r="B110" s="115">
        <f>'Prop Budget Calc'!A109</f>
        <v>0</v>
      </c>
      <c r="C110" s="115" t="str">
        <f>'Prop Budget Calc'!B109</f>
        <v>OVERTIME</v>
      </c>
      <c r="D110" s="115" t="str">
        <f>'Prop Budget Calc'!C109</f>
        <v>OVERTIME</v>
      </c>
      <c r="F110" s="115">
        <f>'Prop Budget Calc'!E109</f>
        <v>0</v>
      </c>
      <c r="H110" s="115" t="str">
        <f>'Prop Budget Calc'!G109</f>
        <v>100-50-503</v>
      </c>
      <c r="J110" s="202" t="str">
        <f>'Prop Budget Calc'!I109</f>
        <v>50109</v>
      </c>
      <c r="K110" s="115">
        <f>'Prop Budget Calc'!P109</f>
        <v>0</v>
      </c>
      <c r="L110" s="115">
        <f>'Prop Budget Calc'!N109</f>
        <v>29516</v>
      </c>
      <c r="M110" s="115">
        <f t="shared" si="99"/>
        <v>2459.6666666666665</v>
      </c>
      <c r="N110" s="115"/>
      <c r="O110" s="203">
        <f>'Prop Budget Calc'!AK109/12</f>
        <v>0</v>
      </c>
      <c r="P110" s="203">
        <f>'Prop Budget Calc'!AL109/12</f>
        <v>0</v>
      </c>
      <c r="Q110" s="203">
        <f>'Prop Budget Calc'!AM109/12</f>
        <v>0</v>
      </c>
      <c r="R110" s="203">
        <f>IF(AND($D110="vacant",$F110=1),'Prop Budget Calc'!#REF!,IF(OR($B110=0,$F110&lt;&gt;1),0,SUMIFS(#REF!,#REF!,'Prop Budget Calc'!#REF!,#REF!,$B110)*'Prop Budget Calc'!#REF!))+IF(AND($D110="vacant",$F110=1),'Prop Budget Calc'!#REF!,IF(OR($B110=0,$F110&lt;&gt;1),0,SUMIFS(#REF!,#REF!,'Prop Budget Calc'!#REF!,#REF!,$B110)*'Prop Budget Calc'!#REF!))+IF(AND($D110="vacant",$F110=1),'Prop Budget Calc'!$BA$1,IF(OR($B110=0,$F110&lt;&gt;1),0,SUMIFS(#REF!,#REF!,'Prop Budget Calc'!BA$4,#REF!,$B110)*'Prop Budget Calc'!$BA$3))+IF(AND($D110="vacant",$F110=1),'Prop Budget Calc'!$BB$1,IF(OR($B110=0,$F110&lt;&gt;1),0,SUMIFS(#REF!,#REF!,'Prop Budget Calc'!BB$4,#REF!,$B110)*'Prop Budget Calc'!$BB$3))</f>
        <v>0</v>
      </c>
      <c r="S110" s="203">
        <f>IF(AND($D110="vacant",$F110=1),'Prop Budget Calc'!#REF!,IF(OR($B110=0,$F110&lt;&gt;1),0,SUMIFS(#REF!,#REF!,'Prop Budget Calc'!#REF!,#REF!,$B110)*'Prop Budget Calc'!#REF!))+IF(AND($D110="vacant",$F110=1),'Prop Budget Calc'!#REF!,IF(OR($B110=0,$F110&lt;&gt;1),0,SUMIFS(#REF!,#REF!,'Prop Budget Calc'!#REF!,#REF!,$B110)*'Prop Budget Calc'!#REF!))</f>
        <v>0</v>
      </c>
      <c r="T110" s="115">
        <f>$L110*'Prop Budget Calc'!$AV$2+IF(AND($J110&lt;&gt;"50101", $J110&lt;&gt;"50102"),0,IF($J110="50101",IF(($L110/52*'Prop Budget Calc'!$AW$3)&gt;'Prop Budget Calc'!$AV$1,'Prop Budget Calc'!$AV$1,$L110/52*'Prop Budget Calc'!$AW$3),IF(($L110/52*'Prop Budget Calc'!$AW$3)&gt;'Prop Budget Calc'!$AW$1,'Prop Budget Calc'!$AW$1,$L110/52*'Prop Budget Calc'!$AW$3)))*F110+IF(AND($D110="vacant",$F110=1),'Prop Budget Calc'!$AX$1,IF(OR($B110=0,$F110&lt;&gt;1),0,SUMIFS(#REF!,#REF!,'Prop Budget Calc'!AX$4,#REF!,$B110)*'Prop Budget Calc'!$AX$3))+IF(AND($D110="vacant",$F110=1),'Prop Budget Calc'!$AY$1,IF(OR($B110=0,$F110&lt;&gt;1),0,SUMIFS(#REF!,#REF!,'Prop Budget Calc'!AY$4,#REF!,$B110))*'Prop Budget Calc'!$AY$3)</f>
        <v>53.128799999999998</v>
      </c>
      <c r="U110" s="203">
        <f t="shared" si="100"/>
        <v>53.128799999999998</v>
      </c>
      <c r="X110" s="126"/>
      <c r="Y110" s="126"/>
      <c r="AA110" s="125">
        <f t="shared" si="104"/>
        <v>0</v>
      </c>
      <c r="AB110" s="125">
        <f t="shared" si="104"/>
        <v>0</v>
      </c>
      <c r="AC110" s="125">
        <f t="shared" si="104"/>
        <v>1334.4398467432945</v>
      </c>
      <c r="AD110" s="125">
        <f t="shared" si="78"/>
        <v>0</v>
      </c>
      <c r="AE110" s="125"/>
      <c r="AF110" s="125">
        <f t="shared" si="79"/>
        <v>0</v>
      </c>
      <c r="AG110" s="125">
        <f t="shared" si="80"/>
        <v>0</v>
      </c>
      <c r="AH110" s="125">
        <f t="shared" si="81"/>
        <v>0</v>
      </c>
      <c r="AI110" s="125">
        <f t="shared" si="82"/>
        <v>0</v>
      </c>
      <c r="AJ110" s="125">
        <f t="shared" si="83"/>
        <v>1334.4398467432945</v>
      </c>
      <c r="AK110" s="125">
        <f t="shared" si="84"/>
        <v>102.08464827586204</v>
      </c>
      <c r="AL110" s="205">
        <f t="shared" si="85"/>
        <v>2.6564399999999981</v>
      </c>
      <c r="AM110" s="125">
        <f t="shared" si="86"/>
        <v>0</v>
      </c>
      <c r="AN110" s="125">
        <f t="shared" si="102"/>
        <v>222.45112245210717</v>
      </c>
    </row>
    <row r="111" spans="2:40">
      <c r="B111" s="115">
        <f>'Prop Budget Calc'!A110</f>
        <v>0</v>
      </c>
      <c r="C111" s="115" t="str">
        <f>'Prop Budget Calc'!B110</f>
        <v>OVERTIME</v>
      </c>
      <c r="D111" s="115" t="str">
        <f>'Prop Budget Calc'!C110</f>
        <v>OVERTIME</v>
      </c>
      <c r="F111" s="115">
        <f>'Prop Budget Calc'!E110</f>
        <v>0</v>
      </c>
      <c r="H111" s="115" t="str">
        <f>'Prop Budget Calc'!G110</f>
        <v>100-60-601</v>
      </c>
      <c r="J111" s="202" t="str">
        <f>'Prop Budget Calc'!I110</f>
        <v>50109</v>
      </c>
      <c r="K111" s="115">
        <f>'Prop Budget Calc'!P110</f>
        <v>0</v>
      </c>
      <c r="L111" s="115">
        <f>'Prop Budget Calc'!N110</f>
        <v>250</v>
      </c>
      <c r="M111" s="115">
        <f t="shared" si="99"/>
        <v>20.833333333333332</v>
      </c>
      <c r="N111" s="115"/>
      <c r="O111" s="203">
        <f>'Prop Budget Calc'!AK110/12</f>
        <v>0</v>
      </c>
      <c r="P111" s="203">
        <f>'Prop Budget Calc'!AL110/12</f>
        <v>0</v>
      </c>
      <c r="Q111" s="203">
        <f>'Prop Budget Calc'!AM110/12</f>
        <v>0</v>
      </c>
      <c r="R111" s="203">
        <f>IF(AND($D111="vacant",$F111=1),'Prop Budget Calc'!#REF!,IF(OR($B111=0,$F111&lt;&gt;1),0,SUMIFS(#REF!,#REF!,'Prop Budget Calc'!#REF!,#REF!,$B111)*'Prop Budget Calc'!#REF!))+IF(AND($D111="vacant",$F111=1),'Prop Budget Calc'!#REF!,IF(OR($B111=0,$F111&lt;&gt;1),0,SUMIFS(#REF!,#REF!,'Prop Budget Calc'!#REF!,#REF!,$B111)*'Prop Budget Calc'!#REF!))+IF(AND($D111="vacant",$F111=1),'Prop Budget Calc'!$BA$1,IF(OR($B111=0,$F111&lt;&gt;1),0,SUMIFS(#REF!,#REF!,'Prop Budget Calc'!BA$4,#REF!,$B111)*'Prop Budget Calc'!$BA$3))+IF(AND($D111="vacant",$F111=1),'Prop Budget Calc'!$BB$1,IF(OR($B111=0,$F111&lt;&gt;1),0,SUMIFS(#REF!,#REF!,'Prop Budget Calc'!BB$4,#REF!,$B111)*'Prop Budget Calc'!$BB$3))</f>
        <v>0</v>
      </c>
      <c r="S111" s="203">
        <f>IF(AND($D111="vacant",$F111=1),'Prop Budget Calc'!#REF!,IF(OR($B111=0,$F111&lt;&gt;1),0,SUMIFS(#REF!,#REF!,'Prop Budget Calc'!#REF!,#REF!,$B111)*'Prop Budget Calc'!#REF!))+IF(AND($D111="vacant",$F111=1),'Prop Budget Calc'!#REF!,IF(OR($B111=0,$F111&lt;&gt;1),0,SUMIFS(#REF!,#REF!,'Prop Budget Calc'!#REF!,#REF!,$B111)*'Prop Budget Calc'!#REF!))</f>
        <v>0</v>
      </c>
      <c r="T111" s="115">
        <f>$L111*'Prop Budget Calc'!$AV$2+IF(AND($J111&lt;&gt;"50101", $J111&lt;&gt;"50102"),0,IF($J111="50101",IF(($L111/52*'Prop Budget Calc'!$AW$3)&gt;'Prop Budget Calc'!$AV$1,'Prop Budget Calc'!$AV$1,$L111/52*'Prop Budget Calc'!$AW$3),IF(($L111/52*'Prop Budget Calc'!$AW$3)&gt;'Prop Budget Calc'!$AW$1,'Prop Budget Calc'!$AW$1,$L111/52*'Prop Budget Calc'!$AW$3)))*F111+IF(AND($D111="vacant",$F111=1),'Prop Budget Calc'!$AX$1,IF(OR($B111=0,$F111&lt;&gt;1),0,SUMIFS(#REF!,#REF!,'Prop Budget Calc'!AX$4,#REF!,$B111)*'Prop Budget Calc'!$AX$3))+IF(AND($D111="vacant",$F111=1),'Prop Budget Calc'!$AY$1,IF(OR($B111=0,$F111&lt;&gt;1),0,SUMIFS(#REF!,#REF!,'Prop Budget Calc'!AY$4,#REF!,$B111))*'Prop Budget Calc'!$AY$3)</f>
        <v>0.45</v>
      </c>
      <c r="U111" s="203">
        <f t="shared" si="100"/>
        <v>0.45</v>
      </c>
      <c r="X111" s="126"/>
      <c r="Y111" s="126"/>
      <c r="AA111" s="125">
        <f t="shared" si="104"/>
        <v>0</v>
      </c>
      <c r="AB111" s="125">
        <f t="shared" si="104"/>
        <v>0</v>
      </c>
      <c r="AC111" s="125">
        <f t="shared" si="104"/>
        <v>11.302681992337162</v>
      </c>
      <c r="AD111" s="125">
        <f t="shared" si="78"/>
        <v>0</v>
      </c>
      <c r="AE111" s="125"/>
      <c r="AF111" s="125">
        <f t="shared" si="79"/>
        <v>0</v>
      </c>
      <c r="AG111" s="125">
        <f t="shared" si="80"/>
        <v>0</v>
      </c>
      <c r="AH111" s="125">
        <f t="shared" si="81"/>
        <v>0</v>
      </c>
      <c r="AI111" s="125">
        <f t="shared" si="82"/>
        <v>0</v>
      </c>
      <c r="AJ111" s="125">
        <f t="shared" si="83"/>
        <v>11.302681992337162</v>
      </c>
      <c r="AK111" s="125">
        <f t="shared" si="84"/>
        <v>0.86465517241379286</v>
      </c>
      <c r="AL111" s="205">
        <f t="shared" si="85"/>
        <v>2.2499999999999985E-2</v>
      </c>
      <c r="AM111" s="125">
        <f t="shared" si="86"/>
        <v>0</v>
      </c>
      <c r="AN111" s="125">
        <f t="shared" si="102"/>
        <v>1.8841570881226046</v>
      </c>
    </row>
    <row r="112" spans="2:40">
      <c r="B112" s="115">
        <f>'Prop Budget Calc'!A111</f>
        <v>0</v>
      </c>
      <c r="C112" s="115" t="str">
        <f>'Prop Budget Calc'!B111</f>
        <v>OVERTIME</v>
      </c>
      <c r="D112" s="115" t="str">
        <f>'Prop Budget Calc'!C111</f>
        <v>OVERTIME</v>
      </c>
      <c r="F112" s="115">
        <f>'Prop Budget Calc'!E111</f>
        <v>0</v>
      </c>
      <c r="H112" s="115" t="str">
        <f>'Prop Budget Calc'!G111</f>
        <v>100-63-632</v>
      </c>
      <c r="J112" s="202" t="str">
        <f>'Prop Budget Calc'!I111</f>
        <v>50109</v>
      </c>
      <c r="K112" s="115">
        <f>'Prop Budget Calc'!P111</f>
        <v>0</v>
      </c>
      <c r="L112" s="115">
        <f>'Prop Budget Calc'!N111</f>
        <v>19000</v>
      </c>
      <c r="M112" s="115">
        <f t="shared" si="99"/>
        <v>1583.3333333333333</v>
      </c>
      <c r="N112" s="115"/>
      <c r="O112" s="203">
        <f>'Prop Budget Calc'!AK111/12</f>
        <v>0</v>
      </c>
      <c r="P112" s="203">
        <f>'Prop Budget Calc'!AL111/12</f>
        <v>0</v>
      </c>
      <c r="Q112" s="203">
        <f>'Prop Budget Calc'!AM111/12</f>
        <v>0</v>
      </c>
      <c r="R112" s="203">
        <f>IF(AND($D112="vacant",$F112=1),'Prop Budget Calc'!#REF!,IF(OR($B112=0,$F112&lt;&gt;1),0,SUMIFS(#REF!,#REF!,'Prop Budget Calc'!#REF!,#REF!,$B112)*'Prop Budget Calc'!#REF!))+IF(AND($D112="vacant",$F112=1),'Prop Budget Calc'!#REF!,IF(OR($B112=0,$F112&lt;&gt;1),0,SUMIFS(#REF!,#REF!,'Prop Budget Calc'!#REF!,#REF!,$B112)*'Prop Budget Calc'!#REF!))+IF(AND($D112="vacant",$F112=1),'Prop Budget Calc'!$BA$1,IF(OR($B112=0,$F112&lt;&gt;1),0,SUMIFS(#REF!,#REF!,'Prop Budget Calc'!BA$4,#REF!,$B112)*'Prop Budget Calc'!$BA$3))+IF(AND($D112="vacant",$F112=1),'Prop Budget Calc'!$BB$1,IF(OR($B112=0,$F112&lt;&gt;1),0,SUMIFS(#REF!,#REF!,'Prop Budget Calc'!BB$4,#REF!,$B112)*'Prop Budget Calc'!$BB$3))</f>
        <v>0</v>
      </c>
      <c r="S112" s="203">
        <f>IF(AND($D112="vacant",$F112=1),'Prop Budget Calc'!#REF!,IF(OR($B112=0,$F112&lt;&gt;1),0,SUMIFS(#REF!,#REF!,'Prop Budget Calc'!#REF!,#REF!,$B112)*'Prop Budget Calc'!#REF!))+IF(AND($D112="vacant",$F112=1),'Prop Budget Calc'!#REF!,IF(OR($B112=0,$F112&lt;&gt;1),0,SUMIFS(#REF!,#REF!,'Prop Budget Calc'!#REF!,#REF!,$B112)*'Prop Budget Calc'!#REF!))</f>
        <v>0</v>
      </c>
      <c r="T112" s="115">
        <f>$L112*'Prop Budget Calc'!$AV$2+IF(AND($J112&lt;&gt;"50101", $J112&lt;&gt;"50102"),0,IF($J112="50101",IF(($L112/52*'Prop Budget Calc'!$AW$3)&gt;'Prop Budget Calc'!$AV$1,'Prop Budget Calc'!$AV$1,$L112/52*'Prop Budget Calc'!$AW$3),IF(($L112/52*'Prop Budget Calc'!$AW$3)&gt;'Prop Budget Calc'!$AW$1,'Prop Budget Calc'!$AW$1,$L112/52*'Prop Budget Calc'!$AW$3)))*F112+IF(AND($D112="vacant",$F112=1),'Prop Budget Calc'!$AX$1,IF(OR($B112=0,$F112&lt;&gt;1),0,SUMIFS(#REF!,#REF!,'Prop Budget Calc'!AX$4,#REF!,$B112)*'Prop Budget Calc'!$AX$3))+IF(AND($D112="vacant",$F112=1),'Prop Budget Calc'!$AY$1,IF(OR($B112=0,$F112&lt;&gt;1),0,SUMIFS(#REF!,#REF!,'Prop Budget Calc'!AY$4,#REF!,$B112))*'Prop Budget Calc'!$AY$3)</f>
        <v>34.199999999999996</v>
      </c>
      <c r="U112" s="203">
        <f t="shared" si="100"/>
        <v>34.199999999999996</v>
      </c>
      <c r="X112" s="126"/>
      <c r="Y112" s="126"/>
      <c r="AA112" s="125">
        <f t="shared" si="104"/>
        <v>0</v>
      </c>
      <c r="AB112" s="125">
        <f t="shared" si="104"/>
        <v>0</v>
      </c>
      <c r="AC112" s="125">
        <f t="shared" si="104"/>
        <v>859.00383141762427</v>
      </c>
      <c r="AD112" s="125">
        <f t="shared" si="78"/>
        <v>0</v>
      </c>
      <c r="AE112" s="125"/>
      <c r="AF112" s="125">
        <f t="shared" si="79"/>
        <v>0</v>
      </c>
      <c r="AG112" s="125">
        <f t="shared" si="80"/>
        <v>0</v>
      </c>
      <c r="AH112" s="125">
        <f t="shared" si="81"/>
        <v>0</v>
      </c>
      <c r="AI112" s="125">
        <f t="shared" si="82"/>
        <v>0</v>
      </c>
      <c r="AJ112" s="125">
        <f t="shared" si="83"/>
        <v>859.00383141762427</v>
      </c>
      <c r="AK112" s="125">
        <f t="shared" si="84"/>
        <v>65.713793103448253</v>
      </c>
      <c r="AL112" s="205">
        <f t="shared" si="85"/>
        <v>1.7099999999999989</v>
      </c>
      <c r="AM112" s="125">
        <f t="shared" si="86"/>
        <v>0</v>
      </c>
      <c r="AN112" s="125">
        <f t="shared" si="102"/>
        <v>143.19593869731796</v>
      </c>
    </row>
    <row r="113" spans="2:40">
      <c r="B113" s="115">
        <f>'Prop Budget Calc'!A112</f>
        <v>0</v>
      </c>
      <c r="C113" s="115" t="str">
        <f>'Prop Budget Calc'!B112</f>
        <v>OVERTIME</v>
      </c>
      <c r="D113" s="115" t="str">
        <f>'Prop Budget Calc'!C112</f>
        <v>OVERTIME</v>
      </c>
      <c r="F113" s="115">
        <f>'Prop Budget Calc'!E112</f>
        <v>0</v>
      </c>
      <c r="H113" s="115" t="str">
        <f>'Prop Budget Calc'!G112</f>
        <v>100-63-633</v>
      </c>
      <c r="J113" s="202" t="str">
        <f>'Prop Budget Calc'!I112</f>
        <v>50109</v>
      </c>
      <c r="K113" s="115">
        <f>'Prop Budget Calc'!P112</f>
        <v>0</v>
      </c>
      <c r="L113" s="115">
        <f>'Prop Budget Calc'!N112</f>
        <v>0</v>
      </c>
      <c r="M113" s="115">
        <f t="shared" si="99"/>
        <v>0</v>
      </c>
      <c r="N113" s="115"/>
      <c r="O113" s="203">
        <f>'Prop Budget Calc'!AK112/12</f>
        <v>0</v>
      </c>
      <c r="P113" s="203">
        <f>'Prop Budget Calc'!AL112/12</f>
        <v>0</v>
      </c>
      <c r="Q113" s="203">
        <f>'Prop Budget Calc'!AM112/12</f>
        <v>0</v>
      </c>
      <c r="R113" s="203">
        <f>IF(AND($D113="vacant",$F113=1),'Prop Budget Calc'!#REF!,IF(OR($B113=0,$F113&lt;&gt;1),0,SUMIFS(#REF!,#REF!,'Prop Budget Calc'!#REF!,#REF!,$B113)*'Prop Budget Calc'!#REF!))+IF(AND($D113="vacant",$F113=1),'Prop Budget Calc'!#REF!,IF(OR($B113=0,$F113&lt;&gt;1),0,SUMIFS(#REF!,#REF!,'Prop Budget Calc'!#REF!,#REF!,$B113)*'Prop Budget Calc'!#REF!))+IF(AND($D113="vacant",$F113=1),'Prop Budget Calc'!$BA$1,IF(OR($B113=0,$F113&lt;&gt;1),0,SUMIFS(#REF!,#REF!,'Prop Budget Calc'!BA$4,#REF!,$B113)*'Prop Budget Calc'!$BA$3))+IF(AND($D113="vacant",$F113=1),'Prop Budget Calc'!$BB$1,IF(OR($B113=0,$F113&lt;&gt;1),0,SUMIFS(#REF!,#REF!,'Prop Budget Calc'!BB$4,#REF!,$B113)*'Prop Budget Calc'!$BB$3))</f>
        <v>0</v>
      </c>
      <c r="S113" s="203">
        <f>IF(AND($D113="vacant",$F113=1),'Prop Budget Calc'!#REF!,IF(OR($B113=0,$F113&lt;&gt;1),0,SUMIFS(#REF!,#REF!,'Prop Budget Calc'!#REF!,#REF!,$B113)*'Prop Budget Calc'!#REF!))+IF(AND($D113="vacant",$F113=1),'Prop Budget Calc'!#REF!,IF(OR($B113=0,$F113&lt;&gt;1),0,SUMIFS(#REF!,#REF!,'Prop Budget Calc'!#REF!,#REF!,$B113)*'Prop Budget Calc'!#REF!))</f>
        <v>0</v>
      </c>
      <c r="T113" s="115">
        <f>$L113*'Prop Budget Calc'!$AV$2+IF(AND($J113&lt;&gt;"50101", $J113&lt;&gt;"50102"),0,IF($J113="50101",IF(($L113/52*'Prop Budget Calc'!$AW$3)&gt;'Prop Budget Calc'!$AV$1,'Prop Budget Calc'!$AV$1,$L113/52*'Prop Budget Calc'!$AW$3),IF(($L113/52*'Prop Budget Calc'!$AW$3)&gt;'Prop Budget Calc'!$AW$1,'Prop Budget Calc'!$AW$1,$L113/52*'Prop Budget Calc'!$AW$3)))*F113+IF(AND($D113="vacant",$F113=1),'Prop Budget Calc'!$AX$1,IF(OR($B113=0,$F113&lt;&gt;1),0,SUMIFS(#REF!,#REF!,'Prop Budget Calc'!AX$4,#REF!,$B113)*'Prop Budget Calc'!$AX$3))+IF(AND($D113="vacant",$F113=1),'Prop Budget Calc'!$AY$1,IF(OR($B113=0,$F113&lt;&gt;1),0,SUMIFS(#REF!,#REF!,'Prop Budget Calc'!AY$4,#REF!,$B113))*'Prop Budget Calc'!$AY$3)</f>
        <v>0</v>
      </c>
      <c r="U113" s="203">
        <f t="shared" si="100"/>
        <v>0</v>
      </c>
      <c r="X113" s="126"/>
      <c r="Y113" s="126"/>
      <c r="AA113" s="125">
        <f t="shared" si="104"/>
        <v>0</v>
      </c>
      <c r="AB113" s="125">
        <f t="shared" si="104"/>
        <v>0</v>
      </c>
      <c r="AC113" s="125">
        <f t="shared" si="104"/>
        <v>0</v>
      </c>
      <c r="AD113" s="125">
        <f t="shared" si="78"/>
        <v>0</v>
      </c>
      <c r="AE113" s="125"/>
      <c r="AF113" s="125">
        <f t="shared" si="79"/>
        <v>0</v>
      </c>
      <c r="AG113" s="125">
        <f t="shared" si="80"/>
        <v>0</v>
      </c>
      <c r="AH113" s="125">
        <f t="shared" si="81"/>
        <v>0</v>
      </c>
      <c r="AI113" s="125">
        <f t="shared" si="82"/>
        <v>0</v>
      </c>
      <c r="AJ113" s="125">
        <f t="shared" si="83"/>
        <v>0</v>
      </c>
      <c r="AK113" s="125">
        <f t="shared" si="84"/>
        <v>0</v>
      </c>
      <c r="AL113" s="205">
        <f t="shared" si="85"/>
        <v>0</v>
      </c>
      <c r="AM113" s="125">
        <f t="shared" si="86"/>
        <v>0</v>
      </c>
      <c r="AN113" s="125">
        <f t="shared" si="102"/>
        <v>0</v>
      </c>
    </row>
    <row r="114" spans="2:40">
      <c r="B114" s="115">
        <f>'Prop Budget Calc'!A113</f>
        <v>0</v>
      </c>
      <c r="C114" s="115" t="str">
        <f>'Prop Budget Calc'!B113</f>
        <v>OVERTIME</v>
      </c>
      <c r="D114" s="115" t="str">
        <f>'Prop Budget Calc'!C113</f>
        <v>OVERTIME</v>
      </c>
      <c r="F114" s="115">
        <f>'Prop Budget Calc'!E113</f>
        <v>0</v>
      </c>
      <c r="H114" s="115" t="str">
        <f>'Prop Budget Calc'!G113</f>
        <v>100-63-634</v>
      </c>
      <c r="J114" s="202" t="str">
        <f>'Prop Budget Calc'!I113</f>
        <v>50109</v>
      </c>
      <c r="K114" s="115">
        <f>'Prop Budget Calc'!P113</f>
        <v>0</v>
      </c>
      <c r="L114" s="115">
        <f>'Prop Budget Calc'!N113</f>
        <v>500</v>
      </c>
      <c r="M114" s="115">
        <f t="shared" si="99"/>
        <v>41.666666666666664</v>
      </c>
      <c r="N114" s="115"/>
      <c r="O114" s="203">
        <f>'Prop Budget Calc'!AK113/12</f>
        <v>0</v>
      </c>
      <c r="P114" s="203">
        <f>'Prop Budget Calc'!AL113/12</f>
        <v>0</v>
      </c>
      <c r="Q114" s="203">
        <f>'Prop Budget Calc'!AM113/12</f>
        <v>0</v>
      </c>
      <c r="R114" s="203">
        <f>IF(AND($D114="vacant",$F114=1),'Prop Budget Calc'!#REF!,IF(OR($B114=0,$F114&lt;&gt;1),0,SUMIFS(#REF!,#REF!,'Prop Budget Calc'!#REF!,#REF!,$B114)*'Prop Budget Calc'!#REF!))+IF(AND($D114="vacant",$F114=1),'Prop Budget Calc'!#REF!,IF(OR($B114=0,$F114&lt;&gt;1),0,SUMIFS(#REF!,#REF!,'Prop Budget Calc'!#REF!,#REF!,$B114)*'Prop Budget Calc'!#REF!))+IF(AND($D114="vacant",$F114=1),'Prop Budget Calc'!$BA$1,IF(OR($B114=0,$F114&lt;&gt;1),0,SUMIFS(#REF!,#REF!,'Prop Budget Calc'!BA$4,#REF!,$B114)*'Prop Budget Calc'!$BA$3))+IF(AND($D114="vacant",$F114=1),'Prop Budget Calc'!$BB$1,IF(OR($B114=0,$F114&lt;&gt;1),0,SUMIFS(#REF!,#REF!,'Prop Budget Calc'!BB$4,#REF!,$B114)*'Prop Budget Calc'!$BB$3))</f>
        <v>0</v>
      </c>
      <c r="S114" s="203">
        <f>IF(AND($D114="vacant",$F114=1),'Prop Budget Calc'!#REF!,IF(OR($B114=0,$F114&lt;&gt;1),0,SUMIFS(#REF!,#REF!,'Prop Budget Calc'!#REF!,#REF!,$B114)*'Prop Budget Calc'!#REF!))+IF(AND($D114="vacant",$F114=1),'Prop Budget Calc'!#REF!,IF(OR($B114=0,$F114&lt;&gt;1),0,SUMIFS(#REF!,#REF!,'Prop Budget Calc'!#REF!,#REF!,$B114)*'Prop Budget Calc'!#REF!))</f>
        <v>0</v>
      </c>
      <c r="T114" s="115">
        <f>$L114*'Prop Budget Calc'!$AV$2+IF(AND($J114&lt;&gt;"50101", $J114&lt;&gt;"50102"),0,IF($J114="50101",IF(($L114/52*'Prop Budget Calc'!$AW$3)&gt;'Prop Budget Calc'!$AV$1,'Prop Budget Calc'!$AV$1,$L114/52*'Prop Budget Calc'!$AW$3),IF(($L114/52*'Prop Budget Calc'!$AW$3)&gt;'Prop Budget Calc'!$AW$1,'Prop Budget Calc'!$AW$1,$L114/52*'Prop Budget Calc'!$AW$3)))*F114+IF(AND($D114="vacant",$F114=1),'Prop Budget Calc'!$AX$1,IF(OR($B114=0,$F114&lt;&gt;1),0,SUMIFS(#REF!,#REF!,'Prop Budget Calc'!AX$4,#REF!,$B114)*'Prop Budget Calc'!$AX$3))+IF(AND($D114="vacant",$F114=1),'Prop Budget Calc'!$AY$1,IF(OR($B114=0,$F114&lt;&gt;1),0,SUMIFS(#REF!,#REF!,'Prop Budget Calc'!AY$4,#REF!,$B114))*'Prop Budget Calc'!$AY$3)</f>
        <v>0.9</v>
      </c>
      <c r="U114" s="203">
        <f t="shared" si="100"/>
        <v>0.9</v>
      </c>
      <c r="X114" s="126"/>
      <c r="Y114" s="126"/>
      <c r="AA114" s="125">
        <f t="shared" si="104"/>
        <v>0</v>
      </c>
      <c r="AB114" s="125">
        <f t="shared" si="104"/>
        <v>0</v>
      </c>
      <c r="AC114" s="125">
        <f t="shared" si="104"/>
        <v>22.605363984674323</v>
      </c>
      <c r="AD114" s="125">
        <f t="shared" ref="AD114:AD129" si="105">IF($J114=AD$5,$L114/$AB$1*$AB$2,0)</f>
        <v>0</v>
      </c>
      <c r="AE114" s="125"/>
      <c r="AF114" s="125">
        <f t="shared" si="79"/>
        <v>0</v>
      </c>
      <c r="AG114" s="125">
        <f t="shared" si="80"/>
        <v>0</v>
      </c>
      <c r="AH114" s="125">
        <f t="shared" si="81"/>
        <v>0</v>
      </c>
      <c r="AI114" s="125">
        <f t="shared" si="82"/>
        <v>0</v>
      </c>
      <c r="AJ114" s="125">
        <f t="shared" si="83"/>
        <v>22.605363984674323</v>
      </c>
      <c r="AK114" s="125">
        <f t="shared" si="84"/>
        <v>1.7293103448275857</v>
      </c>
      <c r="AL114" s="205">
        <f t="shared" si="85"/>
        <v>4.4999999999999971E-2</v>
      </c>
      <c r="AM114" s="125">
        <f t="shared" si="86"/>
        <v>0</v>
      </c>
      <c r="AN114" s="125">
        <f t="shared" si="102"/>
        <v>3.7683141762452093</v>
      </c>
    </row>
    <row r="115" spans="2:40">
      <c r="B115" s="115">
        <f>'Prop Budget Calc'!A114</f>
        <v>0</v>
      </c>
      <c r="C115" s="115" t="str">
        <f>'Prop Budget Calc'!B114</f>
        <v>OVERTIME</v>
      </c>
      <c r="D115" s="115" t="str">
        <f>'Prop Budget Calc'!C114</f>
        <v>OVERTIME</v>
      </c>
      <c r="F115" s="115">
        <f>'Prop Budget Calc'!E114</f>
        <v>0</v>
      </c>
      <c r="H115" s="115" t="str">
        <f>'Prop Budget Calc'!G114</f>
        <v>100-63-635</v>
      </c>
      <c r="J115" s="202" t="str">
        <f>'Prop Budget Calc'!I114</f>
        <v>50109</v>
      </c>
      <c r="K115" s="115">
        <f>'Prop Budget Calc'!P114</f>
        <v>0</v>
      </c>
      <c r="L115" s="115">
        <f>'Prop Budget Calc'!N114</f>
        <v>5000</v>
      </c>
      <c r="M115" s="115">
        <f t="shared" ref="M115:M172" si="106">L115/12</f>
        <v>416.66666666666669</v>
      </c>
      <c r="N115" s="115"/>
      <c r="O115" s="203">
        <f>'Prop Budget Calc'!AK114/12</f>
        <v>0</v>
      </c>
      <c r="P115" s="203">
        <f>'Prop Budget Calc'!AL114/12</f>
        <v>0</v>
      </c>
      <c r="Q115" s="203">
        <f>'Prop Budget Calc'!AM114/12</f>
        <v>0</v>
      </c>
      <c r="R115" s="203">
        <f>IF(AND($D115="vacant",$F115=1),'Prop Budget Calc'!#REF!,IF(OR($B115=0,$F115&lt;&gt;1),0,SUMIFS(#REF!,#REF!,'Prop Budget Calc'!#REF!,#REF!,$B115)*'Prop Budget Calc'!#REF!))+IF(AND($D115="vacant",$F115=1),'Prop Budget Calc'!#REF!,IF(OR($B115=0,$F115&lt;&gt;1),0,SUMIFS(#REF!,#REF!,'Prop Budget Calc'!#REF!,#REF!,$B115)*'Prop Budget Calc'!#REF!))+IF(AND($D115="vacant",$F115=1),'Prop Budget Calc'!$BA$1,IF(OR($B115=0,$F115&lt;&gt;1),0,SUMIFS(#REF!,#REF!,'Prop Budget Calc'!BA$4,#REF!,$B115)*'Prop Budget Calc'!$BA$3))+IF(AND($D115="vacant",$F115=1),'Prop Budget Calc'!$BB$1,IF(OR($B115=0,$F115&lt;&gt;1),0,SUMIFS(#REF!,#REF!,'Prop Budget Calc'!BB$4,#REF!,$B115)*'Prop Budget Calc'!$BB$3))</f>
        <v>0</v>
      </c>
      <c r="S115" s="203">
        <f>IF(AND($D115="vacant",$F115=1),'Prop Budget Calc'!#REF!,IF(OR($B115=0,$F115&lt;&gt;1),0,SUMIFS(#REF!,#REF!,'Prop Budget Calc'!#REF!,#REF!,$B115)*'Prop Budget Calc'!#REF!))+IF(AND($D115="vacant",$F115=1),'Prop Budget Calc'!#REF!,IF(OR($B115=0,$F115&lt;&gt;1),0,SUMIFS(#REF!,#REF!,'Prop Budget Calc'!#REF!,#REF!,$B115)*'Prop Budget Calc'!#REF!))</f>
        <v>0</v>
      </c>
      <c r="T115" s="115">
        <f>$L115*'Prop Budget Calc'!$AV$2+IF(AND($J115&lt;&gt;"50101", $J115&lt;&gt;"50102"),0,IF($J115="50101",IF(($L115/52*'Prop Budget Calc'!$AW$3)&gt;'Prop Budget Calc'!$AV$1,'Prop Budget Calc'!$AV$1,$L115/52*'Prop Budget Calc'!$AW$3),IF(($L115/52*'Prop Budget Calc'!$AW$3)&gt;'Prop Budget Calc'!$AW$1,'Prop Budget Calc'!$AW$1,$L115/52*'Prop Budget Calc'!$AW$3)))*F115+IF(AND($D115="vacant",$F115=1),'Prop Budget Calc'!$AX$1,IF(OR($B115=0,$F115&lt;&gt;1),0,SUMIFS(#REF!,#REF!,'Prop Budget Calc'!AX$4,#REF!,$B115)*'Prop Budget Calc'!$AX$3))+IF(AND($D115="vacant",$F115=1),'Prop Budget Calc'!$AY$1,IF(OR($B115=0,$F115&lt;&gt;1),0,SUMIFS(#REF!,#REF!,'Prop Budget Calc'!AY$4,#REF!,$B115))*'Prop Budget Calc'!$AY$3)</f>
        <v>9</v>
      </c>
      <c r="U115" s="203">
        <f t="shared" ref="U115:U172" si="107">SUM(R115:T115)</f>
        <v>9</v>
      </c>
      <c r="X115" s="126"/>
      <c r="Y115" s="126"/>
      <c r="AA115" s="125">
        <f t="shared" si="104"/>
        <v>0</v>
      </c>
      <c r="AB115" s="125">
        <f t="shared" si="104"/>
        <v>0</v>
      </c>
      <c r="AC115" s="125">
        <f t="shared" si="104"/>
        <v>226.05363984674324</v>
      </c>
      <c r="AD115" s="125">
        <f t="shared" si="105"/>
        <v>0</v>
      </c>
      <c r="AE115" s="125"/>
      <c r="AF115" s="125">
        <f t="shared" ref="AF115:AF172" si="108">IF($J115=AF$5,$L115/$AB$1*$AB$2,0)</f>
        <v>0</v>
      </c>
      <c r="AG115" s="125">
        <f t="shared" ref="AG115:AG172" si="109">IF(RIGHT(J115,5)="TOTAL",0,O115*$AG$2)</f>
        <v>0</v>
      </c>
      <c r="AH115" s="125">
        <f t="shared" ref="AH115:AH172" si="110">IF(RIGHT(J115,5)="TOTAL",0,P115*$AH$2)</f>
        <v>0</v>
      </c>
      <c r="AI115" s="125">
        <f t="shared" ref="AI115:AI172" si="111">IF($J115=AI$5,$L115/$AI$1*$AI$2,0)</f>
        <v>0</v>
      </c>
      <c r="AJ115" s="125">
        <f t="shared" ref="AJ115:AJ172" si="112">SUM(AA115:AI115)</f>
        <v>226.05363984674324</v>
      </c>
      <c r="AK115" s="125">
        <f t="shared" ref="AK115:AK172" si="113">AJ115*0.0145+IF(AJ115&gt;118500/$AB$1*$AB$2,118500/$AB$1*$AB$2*0.062,AJ115*0.062)</f>
        <v>17.293103448275858</v>
      </c>
      <c r="AL115" s="205">
        <f t="shared" ref="AL115:AL172" si="114">IF(RIGHT(J115,5)="total",0,U115/24*$AL$2)</f>
        <v>0.44999999999999973</v>
      </c>
      <c r="AM115" s="125">
        <f t="shared" ref="AM115:AM172" si="115">IF(RIGHT(J115,5)="total",0,V115*$AM$2)</f>
        <v>0</v>
      </c>
      <c r="AN115" s="125">
        <f t="shared" si="102"/>
        <v>37.683141762452095</v>
      </c>
    </row>
    <row r="116" spans="2:40">
      <c r="B116" s="115">
        <f>'Prop Budget Calc'!A116</f>
        <v>0</v>
      </c>
      <c r="C116" s="115" t="str">
        <f>'Prop Budget Calc'!B116</f>
        <v>OVERTIME</v>
      </c>
      <c r="D116" s="115" t="str">
        <f>'Prop Budget Calc'!C116</f>
        <v>OVERTIME</v>
      </c>
      <c r="F116" s="115">
        <f>'Prop Budget Calc'!E116</f>
        <v>0</v>
      </c>
      <c r="H116" s="115" t="str">
        <f>'Prop Budget Calc'!G116</f>
        <v>119-18-181</v>
      </c>
      <c r="J116" s="202" t="str">
        <f>'Prop Budget Calc'!I116</f>
        <v>50109</v>
      </c>
      <c r="K116" s="115">
        <f>'Prop Budget Calc'!P116</f>
        <v>0</v>
      </c>
      <c r="L116" s="115">
        <f>'Prop Budget Calc'!N116</f>
        <v>3000</v>
      </c>
      <c r="M116" s="115">
        <f t="shared" si="106"/>
        <v>250</v>
      </c>
      <c r="N116" s="115"/>
      <c r="O116" s="203">
        <f>'Prop Budget Calc'!AK116/12</f>
        <v>0</v>
      </c>
      <c r="P116" s="203">
        <f>'Prop Budget Calc'!AL116/12</f>
        <v>0</v>
      </c>
      <c r="Q116" s="203">
        <f>'Prop Budget Calc'!AM116/12</f>
        <v>0</v>
      </c>
      <c r="R116" s="203">
        <f>IF(AND($D116="vacant",$F116=1),'Prop Budget Calc'!#REF!,IF(OR($B116=0,$F116&lt;&gt;1),0,SUMIFS(#REF!,#REF!,'Prop Budget Calc'!#REF!,#REF!,$B116)*'Prop Budget Calc'!#REF!))+IF(AND($D116="vacant",$F116=1),'Prop Budget Calc'!#REF!,IF(OR($B116=0,$F116&lt;&gt;1),0,SUMIFS(#REF!,#REF!,'Prop Budget Calc'!#REF!,#REF!,$B116)*'Prop Budget Calc'!#REF!))+IF(AND($D116="vacant",$F116=1),'Prop Budget Calc'!$BA$1,IF(OR($B116=0,$F116&lt;&gt;1),0,SUMIFS(#REF!,#REF!,'Prop Budget Calc'!BA$4,#REF!,$B116)*'Prop Budget Calc'!$BA$3))+IF(AND($D116="vacant",$F116=1),'Prop Budget Calc'!$BB$1,IF(OR($B116=0,$F116&lt;&gt;1),0,SUMIFS(#REF!,#REF!,'Prop Budget Calc'!BB$4,#REF!,$B116)*'Prop Budget Calc'!$BB$3))</f>
        <v>0</v>
      </c>
      <c r="S116" s="203">
        <f>IF(AND($D116="vacant",$F116=1),'Prop Budget Calc'!#REF!,IF(OR($B116=0,$F116&lt;&gt;1),0,SUMIFS(#REF!,#REF!,'Prop Budget Calc'!#REF!,#REF!,$B116)*'Prop Budget Calc'!#REF!))+IF(AND($D116="vacant",$F116=1),'Prop Budget Calc'!#REF!,IF(OR($B116=0,$F116&lt;&gt;1),0,SUMIFS(#REF!,#REF!,'Prop Budget Calc'!#REF!,#REF!,$B116)*'Prop Budget Calc'!#REF!))</f>
        <v>0</v>
      </c>
      <c r="T116" s="115">
        <f>$L116*'Prop Budget Calc'!$AV$2+IF(AND($J116&lt;&gt;"50101", $J116&lt;&gt;"50102"),0,IF($J116="50101",IF(($L116/52*'Prop Budget Calc'!$AW$3)&gt;'Prop Budget Calc'!$AV$1,'Prop Budget Calc'!$AV$1,$L116/52*'Prop Budget Calc'!$AW$3),IF(($L116/52*'Prop Budget Calc'!$AW$3)&gt;'Prop Budget Calc'!$AW$1,'Prop Budget Calc'!$AW$1,$L116/52*'Prop Budget Calc'!$AW$3)))*F116+IF(AND($D116="vacant",$F116=1),'Prop Budget Calc'!$AX$1,IF(OR($B116=0,$F116&lt;&gt;1),0,SUMIFS(#REF!,#REF!,'Prop Budget Calc'!AX$4,#REF!,$B116)*'Prop Budget Calc'!$AX$3))+IF(AND($D116="vacant",$F116=1),'Prop Budget Calc'!$AY$1,IF(OR($B116=0,$F116&lt;&gt;1),0,SUMIFS(#REF!,#REF!,'Prop Budget Calc'!AY$4,#REF!,$B116))*'Prop Budget Calc'!$AY$3)</f>
        <v>5.3999999999999995</v>
      </c>
      <c r="U116" s="203">
        <f t="shared" si="107"/>
        <v>5.3999999999999995</v>
      </c>
      <c r="X116" s="126"/>
      <c r="Y116" s="126"/>
      <c r="AA116" s="125">
        <f t="shared" si="104"/>
        <v>0</v>
      </c>
      <c r="AB116" s="125">
        <f t="shared" si="104"/>
        <v>0</v>
      </c>
      <c r="AC116" s="125">
        <f t="shared" si="104"/>
        <v>135.63218390804593</v>
      </c>
      <c r="AD116" s="125">
        <f t="shared" si="105"/>
        <v>0</v>
      </c>
      <c r="AE116" s="125"/>
      <c r="AF116" s="125">
        <f t="shared" si="108"/>
        <v>0</v>
      </c>
      <c r="AG116" s="125">
        <f t="shared" si="109"/>
        <v>0</v>
      </c>
      <c r="AH116" s="125">
        <f t="shared" si="110"/>
        <v>0</v>
      </c>
      <c r="AI116" s="125">
        <f t="shared" si="111"/>
        <v>0</v>
      </c>
      <c r="AJ116" s="125">
        <f t="shared" si="112"/>
        <v>135.63218390804593</v>
      </c>
      <c r="AK116" s="125">
        <f t="shared" si="113"/>
        <v>10.375862068965514</v>
      </c>
      <c r="AL116" s="205">
        <f t="shared" si="114"/>
        <v>0.2699999999999998</v>
      </c>
      <c r="AM116" s="125">
        <f t="shared" si="115"/>
        <v>0</v>
      </c>
      <c r="AN116" s="125">
        <f t="shared" si="102"/>
        <v>22.609885057471256</v>
      </c>
    </row>
    <row r="117" spans="2:40">
      <c r="B117" s="115">
        <f>'Prop Budget Calc'!A117</f>
        <v>0</v>
      </c>
      <c r="C117" s="115" t="str">
        <f>'Prop Budget Calc'!B117</f>
        <v>OVERTIME</v>
      </c>
      <c r="D117" s="115" t="str">
        <f>'Prop Budget Calc'!C117</f>
        <v>OVERTIME</v>
      </c>
      <c r="F117" s="115">
        <f>'Prop Budget Calc'!E117</f>
        <v>0</v>
      </c>
      <c r="H117" s="115" t="str">
        <f>'Prop Budget Calc'!G117</f>
        <v>119-18-183</v>
      </c>
      <c r="J117" s="202" t="str">
        <f>'Prop Budget Calc'!I117</f>
        <v>50109</v>
      </c>
      <c r="K117" s="115">
        <f>'Prop Budget Calc'!P117</f>
        <v>0</v>
      </c>
      <c r="L117" s="115">
        <f>'Prop Budget Calc'!N117</f>
        <v>1500</v>
      </c>
      <c r="M117" s="115">
        <f t="shared" si="106"/>
        <v>125</v>
      </c>
      <c r="N117" s="115"/>
      <c r="O117" s="203">
        <f>'Prop Budget Calc'!AK117/12</f>
        <v>0</v>
      </c>
      <c r="P117" s="203">
        <f>'Prop Budget Calc'!AL117/12</f>
        <v>0</v>
      </c>
      <c r="Q117" s="203">
        <f>'Prop Budget Calc'!AM117/12</f>
        <v>0</v>
      </c>
      <c r="R117" s="203">
        <f>IF(AND($D117="vacant",$F117=1),'Prop Budget Calc'!#REF!,IF(OR($B117=0,$F117&lt;&gt;1),0,SUMIFS(#REF!,#REF!,'Prop Budget Calc'!#REF!,#REF!,$B117)*'Prop Budget Calc'!#REF!))+IF(AND($D117="vacant",$F117=1),'Prop Budget Calc'!#REF!,IF(OR($B117=0,$F117&lt;&gt;1),0,SUMIFS(#REF!,#REF!,'Prop Budget Calc'!#REF!,#REF!,$B117)*'Prop Budget Calc'!#REF!))+IF(AND($D117="vacant",$F117=1),'Prop Budget Calc'!$BA$1,IF(OR($B117=0,$F117&lt;&gt;1),0,SUMIFS(#REF!,#REF!,'Prop Budget Calc'!BA$4,#REF!,$B117)*'Prop Budget Calc'!$BA$3))+IF(AND($D117="vacant",$F117=1),'Prop Budget Calc'!$BB$1,IF(OR($B117=0,$F117&lt;&gt;1),0,SUMIFS(#REF!,#REF!,'Prop Budget Calc'!BB$4,#REF!,$B117)*'Prop Budget Calc'!$BB$3))</f>
        <v>0</v>
      </c>
      <c r="S117" s="203">
        <f>IF(AND($D117="vacant",$F117=1),'Prop Budget Calc'!#REF!,IF(OR($B117=0,$F117&lt;&gt;1),0,SUMIFS(#REF!,#REF!,'Prop Budget Calc'!#REF!,#REF!,$B117)*'Prop Budget Calc'!#REF!))+IF(AND($D117="vacant",$F117=1),'Prop Budget Calc'!#REF!,IF(OR($B117=0,$F117&lt;&gt;1),0,SUMIFS(#REF!,#REF!,'Prop Budget Calc'!#REF!,#REF!,$B117)*'Prop Budget Calc'!#REF!))</f>
        <v>0</v>
      </c>
      <c r="T117" s="115">
        <f>$L117*'Prop Budget Calc'!$AV$2+IF(AND($J117&lt;&gt;"50101", $J117&lt;&gt;"50102"),0,IF($J117="50101",IF(($L117/52*'Prop Budget Calc'!$AW$3)&gt;'Prop Budget Calc'!$AV$1,'Prop Budget Calc'!$AV$1,$L117/52*'Prop Budget Calc'!$AW$3),IF(($L117/52*'Prop Budget Calc'!$AW$3)&gt;'Prop Budget Calc'!$AW$1,'Prop Budget Calc'!$AW$1,$L117/52*'Prop Budget Calc'!$AW$3)))*F117+IF(AND($D117="vacant",$F117=1),'Prop Budget Calc'!$AX$1,IF(OR($B117=0,$F117&lt;&gt;1),0,SUMIFS(#REF!,#REF!,'Prop Budget Calc'!AX$4,#REF!,$B117)*'Prop Budget Calc'!$AX$3))+IF(AND($D117="vacant",$F117=1),'Prop Budget Calc'!$AY$1,IF(OR($B117=0,$F117&lt;&gt;1),0,SUMIFS(#REF!,#REF!,'Prop Budget Calc'!AY$4,#REF!,$B117))*'Prop Budget Calc'!$AY$3)</f>
        <v>2.6999999999999997</v>
      </c>
      <c r="U117" s="203">
        <f t="shared" si="107"/>
        <v>2.6999999999999997</v>
      </c>
      <c r="X117" s="126"/>
      <c r="Y117" s="126"/>
      <c r="AA117" s="125">
        <f t="shared" si="104"/>
        <v>0</v>
      </c>
      <c r="AB117" s="125">
        <f t="shared" si="104"/>
        <v>0</v>
      </c>
      <c r="AC117" s="125">
        <f t="shared" si="104"/>
        <v>67.816091954022966</v>
      </c>
      <c r="AD117" s="125">
        <f t="shared" si="105"/>
        <v>0</v>
      </c>
      <c r="AE117" s="125"/>
      <c r="AF117" s="125">
        <f t="shared" si="108"/>
        <v>0</v>
      </c>
      <c r="AG117" s="125">
        <f t="shared" si="109"/>
        <v>0</v>
      </c>
      <c r="AH117" s="125">
        <f t="shared" si="110"/>
        <v>0</v>
      </c>
      <c r="AI117" s="125">
        <f t="shared" si="111"/>
        <v>0</v>
      </c>
      <c r="AJ117" s="125">
        <f t="shared" si="112"/>
        <v>67.816091954022966</v>
      </c>
      <c r="AK117" s="125">
        <f t="shared" si="113"/>
        <v>5.1879310344827569</v>
      </c>
      <c r="AL117" s="205">
        <f t="shared" si="114"/>
        <v>0.1349999999999999</v>
      </c>
      <c r="AM117" s="125">
        <f t="shared" si="115"/>
        <v>0</v>
      </c>
      <c r="AN117" s="125">
        <f t="shared" si="102"/>
        <v>11.304942528735628</v>
      </c>
    </row>
    <row r="118" spans="2:40">
      <c r="B118" s="115">
        <f>'Prop Budget Calc'!A118</f>
        <v>0</v>
      </c>
      <c r="C118" s="115" t="str">
        <f>'Prop Budget Calc'!B118</f>
        <v>OVERTIME</v>
      </c>
      <c r="D118" s="115" t="str">
        <f>'Prop Budget Calc'!C118</f>
        <v>OVERTIME</v>
      </c>
      <c r="F118" s="115">
        <f>'Prop Budget Calc'!E118</f>
        <v>0</v>
      </c>
      <c r="H118" s="115" t="str">
        <f>'Prop Budget Calc'!G118</f>
        <v>125-65-652</v>
      </c>
      <c r="J118" s="202" t="str">
        <f>'Prop Budget Calc'!I118</f>
        <v>50109</v>
      </c>
      <c r="K118" s="115">
        <f>'Prop Budget Calc'!P118</f>
        <v>0</v>
      </c>
      <c r="L118" s="115">
        <f>'Prop Budget Calc'!N118</f>
        <v>600</v>
      </c>
      <c r="M118" s="115">
        <f t="shared" si="106"/>
        <v>50</v>
      </c>
      <c r="N118" s="115"/>
      <c r="O118" s="203">
        <f>'Prop Budget Calc'!AK118/12</f>
        <v>0</v>
      </c>
      <c r="P118" s="203">
        <f>'Prop Budget Calc'!AL118/12</f>
        <v>0</v>
      </c>
      <c r="Q118" s="203">
        <f>'Prop Budget Calc'!AM118/12</f>
        <v>0</v>
      </c>
      <c r="R118" s="203">
        <f>IF(AND($D118="vacant",$F118=1),'Prop Budget Calc'!#REF!,IF(OR($B118=0,$F118&lt;&gt;1),0,SUMIFS(#REF!,#REF!,'Prop Budget Calc'!#REF!,#REF!,$B118)*'Prop Budget Calc'!#REF!))+IF(AND($D118="vacant",$F118=1),'Prop Budget Calc'!#REF!,IF(OR($B118=0,$F118&lt;&gt;1),0,SUMIFS(#REF!,#REF!,'Prop Budget Calc'!#REF!,#REF!,$B118)*'Prop Budget Calc'!#REF!))+IF(AND($D118="vacant",$F118=1),'Prop Budget Calc'!$BA$1,IF(OR($B118=0,$F118&lt;&gt;1),0,SUMIFS(#REF!,#REF!,'Prop Budget Calc'!BA$4,#REF!,$B118)*'Prop Budget Calc'!$BA$3))+IF(AND($D118="vacant",$F118=1),'Prop Budget Calc'!$BB$1,IF(OR($B118=0,$F118&lt;&gt;1),0,SUMIFS(#REF!,#REF!,'Prop Budget Calc'!BB$4,#REF!,$B118)*'Prop Budget Calc'!$BB$3))</f>
        <v>0</v>
      </c>
      <c r="S118" s="203">
        <f>IF(AND($D118="vacant",$F118=1),'Prop Budget Calc'!#REF!,IF(OR($B118=0,$F118&lt;&gt;1),0,SUMIFS(#REF!,#REF!,'Prop Budget Calc'!#REF!,#REF!,$B118)*'Prop Budget Calc'!#REF!))+IF(AND($D118="vacant",$F118=1),'Prop Budget Calc'!#REF!,IF(OR($B118=0,$F118&lt;&gt;1),0,SUMIFS(#REF!,#REF!,'Prop Budget Calc'!#REF!,#REF!,$B118)*'Prop Budget Calc'!#REF!))</f>
        <v>0</v>
      </c>
      <c r="T118" s="115">
        <f>$L118*'Prop Budget Calc'!$AV$2+IF(AND($J118&lt;&gt;"50101", $J118&lt;&gt;"50102"),0,IF($J118="50101",IF(($L118/52*'Prop Budget Calc'!$AW$3)&gt;'Prop Budget Calc'!$AV$1,'Prop Budget Calc'!$AV$1,$L118/52*'Prop Budget Calc'!$AW$3),IF(($L118/52*'Prop Budget Calc'!$AW$3)&gt;'Prop Budget Calc'!$AW$1,'Prop Budget Calc'!$AW$1,$L118/52*'Prop Budget Calc'!$AW$3)))*F118+IF(AND($D118="vacant",$F118=1),'Prop Budget Calc'!$AX$1,IF(OR($B118=0,$F118&lt;&gt;1),0,SUMIFS(#REF!,#REF!,'Prop Budget Calc'!AX$4,#REF!,$B118)*'Prop Budget Calc'!$AX$3))+IF(AND($D118="vacant",$F118=1),'Prop Budget Calc'!$AY$1,IF(OR($B118=0,$F118&lt;&gt;1),0,SUMIFS(#REF!,#REF!,'Prop Budget Calc'!AY$4,#REF!,$B118))*'Prop Budget Calc'!$AY$3)</f>
        <v>1.08</v>
      </c>
      <c r="U118" s="203">
        <f t="shared" si="107"/>
        <v>1.08</v>
      </c>
      <c r="X118" s="126"/>
      <c r="Y118" s="126"/>
      <c r="AA118" s="125">
        <f t="shared" si="104"/>
        <v>0</v>
      </c>
      <c r="AB118" s="125">
        <f t="shared" si="104"/>
        <v>0</v>
      </c>
      <c r="AC118" s="125">
        <f t="shared" si="104"/>
        <v>27.126436781609186</v>
      </c>
      <c r="AD118" s="125">
        <f t="shared" si="105"/>
        <v>0</v>
      </c>
      <c r="AE118" s="125"/>
      <c r="AF118" s="125">
        <f t="shared" si="108"/>
        <v>0</v>
      </c>
      <c r="AG118" s="125">
        <f t="shared" si="109"/>
        <v>0</v>
      </c>
      <c r="AH118" s="125">
        <f t="shared" si="110"/>
        <v>0</v>
      </c>
      <c r="AI118" s="125">
        <f t="shared" si="111"/>
        <v>0</v>
      </c>
      <c r="AJ118" s="125">
        <f t="shared" si="112"/>
        <v>27.126436781609186</v>
      </c>
      <c r="AK118" s="125">
        <f t="shared" si="113"/>
        <v>2.0751724137931027</v>
      </c>
      <c r="AL118" s="205">
        <f t="shared" si="114"/>
        <v>5.3999999999999972E-2</v>
      </c>
      <c r="AM118" s="125">
        <f t="shared" si="115"/>
        <v>0</v>
      </c>
      <c r="AN118" s="125">
        <f t="shared" si="102"/>
        <v>4.5219770114942506</v>
      </c>
    </row>
    <row r="119" spans="2:40">
      <c r="B119" s="115">
        <f>'Prop Budget Calc'!A119</f>
        <v>0</v>
      </c>
      <c r="C119" s="115" t="str">
        <f>'Prop Budget Calc'!B119</f>
        <v>OVERTIME</v>
      </c>
      <c r="D119" s="115" t="str">
        <f>'Prop Budget Calc'!C119</f>
        <v>OVERTIME</v>
      </c>
      <c r="F119" s="115">
        <f>'Prop Budget Calc'!E119</f>
        <v>0</v>
      </c>
      <c r="H119" s="115" t="str">
        <f>'Prop Budget Calc'!G119</f>
        <v>125-65-654</v>
      </c>
      <c r="J119" s="202" t="str">
        <f>'Prop Budget Calc'!I119</f>
        <v>50109</v>
      </c>
      <c r="K119" s="115">
        <f>'Prop Budget Calc'!P119</f>
        <v>0</v>
      </c>
      <c r="L119" s="115">
        <f>'Prop Budget Calc'!N119</f>
        <v>800</v>
      </c>
      <c r="M119" s="115">
        <f t="shared" si="106"/>
        <v>66.666666666666671</v>
      </c>
      <c r="N119" s="115"/>
      <c r="O119" s="203">
        <f>'Prop Budget Calc'!AK119/12</f>
        <v>0</v>
      </c>
      <c r="P119" s="203">
        <f>'Prop Budget Calc'!AL119/12</f>
        <v>0</v>
      </c>
      <c r="Q119" s="203">
        <f>'Prop Budget Calc'!AM119/12</f>
        <v>0</v>
      </c>
      <c r="R119" s="203">
        <f>IF(AND($D119="vacant",$F119=1),'Prop Budget Calc'!#REF!,IF(OR($B119=0,$F119&lt;&gt;1),0,SUMIFS(#REF!,#REF!,'Prop Budget Calc'!#REF!,#REF!,$B119)*'Prop Budget Calc'!#REF!))+IF(AND($D119="vacant",$F119=1),'Prop Budget Calc'!#REF!,IF(OR($B119=0,$F119&lt;&gt;1),0,SUMIFS(#REF!,#REF!,'Prop Budget Calc'!#REF!,#REF!,$B119)*'Prop Budget Calc'!#REF!))+IF(AND($D119="vacant",$F119=1),'Prop Budget Calc'!$BA$1,IF(OR($B119=0,$F119&lt;&gt;1),0,SUMIFS(#REF!,#REF!,'Prop Budget Calc'!BA$4,#REF!,$B119)*'Prop Budget Calc'!$BA$3))+IF(AND($D119="vacant",$F119=1),'Prop Budget Calc'!$BB$1,IF(OR($B119=0,$F119&lt;&gt;1),0,SUMIFS(#REF!,#REF!,'Prop Budget Calc'!BB$4,#REF!,$B119)*'Prop Budget Calc'!$BB$3))</f>
        <v>0</v>
      </c>
      <c r="S119" s="203">
        <f>IF(AND($D119="vacant",$F119=1),'Prop Budget Calc'!#REF!,IF(OR($B119=0,$F119&lt;&gt;1),0,SUMIFS(#REF!,#REF!,'Prop Budget Calc'!#REF!,#REF!,$B119)*'Prop Budget Calc'!#REF!))+IF(AND($D119="vacant",$F119=1),'Prop Budget Calc'!#REF!,IF(OR($B119=0,$F119&lt;&gt;1),0,SUMIFS(#REF!,#REF!,'Prop Budget Calc'!#REF!,#REF!,$B119)*'Prop Budget Calc'!#REF!))</f>
        <v>0</v>
      </c>
      <c r="T119" s="115">
        <f>$L119*'Prop Budget Calc'!$AV$2+IF(AND($J119&lt;&gt;"50101", $J119&lt;&gt;"50102"),0,IF($J119="50101",IF(($L119/52*'Prop Budget Calc'!$AW$3)&gt;'Prop Budget Calc'!$AV$1,'Prop Budget Calc'!$AV$1,$L119/52*'Prop Budget Calc'!$AW$3),IF(($L119/52*'Prop Budget Calc'!$AW$3)&gt;'Prop Budget Calc'!$AW$1,'Prop Budget Calc'!$AW$1,$L119/52*'Prop Budget Calc'!$AW$3)))*F119+IF(AND($D119="vacant",$F119=1),'Prop Budget Calc'!$AX$1,IF(OR($B119=0,$F119&lt;&gt;1),0,SUMIFS(#REF!,#REF!,'Prop Budget Calc'!AX$4,#REF!,$B119)*'Prop Budget Calc'!$AX$3))+IF(AND($D119="vacant",$F119=1),'Prop Budget Calc'!$AY$1,IF(OR($B119=0,$F119&lt;&gt;1),0,SUMIFS(#REF!,#REF!,'Prop Budget Calc'!AY$4,#REF!,$B119))*'Prop Budget Calc'!$AY$3)</f>
        <v>1.44</v>
      </c>
      <c r="U119" s="203">
        <f t="shared" si="107"/>
        <v>1.44</v>
      </c>
      <c r="X119" s="126"/>
      <c r="Y119" s="126"/>
      <c r="AA119" s="125">
        <f t="shared" si="104"/>
        <v>0</v>
      </c>
      <c r="AB119" s="125">
        <f t="shared" si="104"/>
        <v>0</v>
      </c>
      <c r="AC119" s="125">
        <f t="shared" si="104"/>
        <v>36.16858237547892</v>
      </c>
      <c r="AD119" s="125">
        <f t="shared" si="105"/>
        <v>0</v>
      </c>
      <c r="AE119" s="125"/>
      <c r="AF119" s="125">
        <f t="shared" si="108"/>
        <v>0</v>
      </c>
      <c r="AG119" s="125">
        <f t="shared" si="109"/>
        <v>0</v>
      </c>
      <c r="AH119" s="125">
        <f t="shared" si="110"/>
        <v>0</v>
      </c>
      <c r="AI119" s="125">
        <f t="shared" si="111"/>
        <v>0</v>
      </c>
      <c r="AJ119" s="125">
        <f t="shared" si="112"/>
        <v>36.16858237547892</v>
      </c>
      <c r="AK119" s="125">
        <f t="shared" si="113"/>
        <v>2.7668965517241371</v>
      </c>
      <c r="AL119" s="205">
        <f t="shared" si="114"/>
        <v>7.1999999999999953E-2</v>
      </c>
      <c r="AM119" s="125">
        <f t="shared" si="115"/>
        <v>0</v>
      </c>
      <c r="AN119" s="125">
        <f t="shared" si="102"/>
        <v>6.0293026819923359</v>
      </c>
    </row>
    <row r="120" spans="2:40">
      <c r="B120" s="115">
        <f>'Prop Budget Calc'!A120</f>
        <v>0</v>
      </c>
      <c r="C120" s="115" t="str">
        <f>'Prop Budget Calc'!B120</f>
        <v>OVERTIME</v>
      </c>
      <c r="D120" s="115" t="str">
        <f>'Prop Budget Calc'!C120</f>
        <v>OVERTIME</v>
      </c>
      <c r="F120" s="115">
        <f>'Prop Budget Calc'!E120</f>
        <v>0</v>
      </c>
      <c r="H120" s="115" t="str">
        <f>'Prop Budget Calc'!G120</f>
        <v>125-65-656</v>
      </c>
      <c r="J120" s="202" t="str">
        <f>'Prop Budget Calc'!I120</f>
        <v>50109</v>
      </c>
      <c r="K120" s="115">
        <f>'Prop Budget Calc'!P120</f>
        <v>0</v>
      </c>
      <c r="L120" s="115">
        <f>'Prop Budget Calc'!N120</f>
        <v>800</v>
      </c>
      <c r="M120" s="115">
        <f t="shared" si="106"/>
        <v>66.666666666666671</v>
      </c>
      <c r="N120" s="115"/>
      <c r="O120" s="203">
        <f>'Prop Budget Calc'!AK120/12</f>
        <v>0</v>
      </c>
      <c r="P120" s="203">
        <f>'Prop Budget Calc'!AL120/12</f>
        <v>0</v>
      </c>
      <c r="Q120" s="203">
        <f>'Prop Budget Calc'!AM120/12</f>
        <v>0</v>
      </c>
      <c r="R120" s="203">
        <f>IF(AND($D120="vacant",$F120=1),'Prop Budget Calc'!#REF!,IF(OR($B120=0,$F120&lt;&gt;1),0,SUMIFS(#REF!,#REF!,'Prop Budget Calc'!#REF!,#REF!,$B120)*'Prop Budget Calc'!#REF!))+IF(AND($D120="vacant",$F120=1),'Prop Budget Calc'!#REF!,IF(OR($B120=0,$F120&lt;&gt;1),0,SUMIFS(#REF!,#REF!,'Prop Budget Calc'!#REF!,#REF!,$B120)*'Prop Budget Calc'!#REF!))+IF(AND($D120="vacant",$F120=1),'Prop Budget Calc'!$BA$1,IF(OR($B120=0,$F120&lt;&gt;1),0,SUMIFS(#REF!,#REF!,'Prop Budget Calc'!BA$4,#REF!,$B120)*'Prop Budget Calc'!$BA$3))+IF(AND($D120="vacant",$F120=1),'Prop Budget Calc'!$BB$1,IF(OR($B120=0,$F120&lt;&gt;1),0,SUMIFS(#REF!,#REF!,'Prop Budget Calc'!BB$4,#REF!,$B120)*'Prop Budget Calc'!$BB$3))</f>
        <v>0</v>
      </c>
      <c r="S120" s="203">
        <f>IF(AND($D120="vacant",$F120=1),'Prop Budget Calc'!#REF!,IF(OR($B120=0,$F120&lt;&gt;1),0,SUMIFS(#REF!,#REF!,'Prop Budget Calc'!#REF!,#REF!,$B120)*'Prop Budget Calc'!#REF!))+IF(AND($D120="vacant",$F120=1),'Prop Budget Calc'!#REF!,IF(OR($B120=0,$F120&lt;&gt;1),0,SUMIFS(#REF!,#REF!,'Prop Budget Calc'!#REF!,#REF!,$B120)*'Prop Budget Calc'!#REF!))</f>
        <v>0</v>
      </c>
      <c r="T120" s="115">
        <f>$L120*'Prop Budget Calc'!$AV$2+IF(AND($J120&lt;&gt;"50101", $J120&lt;&gt;"50102"),0,IF($J120="50101",IF(($L120/52*'Prop Budget Calc'!$AW$3)&gt;'Prop Budget Calc'!$AV$1,'Prop Budget Calc'!$AV$1,$L120/52*'Prop Budget Calc'!$AW$3),IF(($L120/52*'Prop Budget Calc'!$AW$3)&gt;'Prop Budget Calc'!$AW$1,'Prop Budget Calc'!$AW$1,$L120/52*'Prop Budget Calc'!$AW$3)))*F120+IF(AND($D120="vacant",$F120=1),'Prop Budget Calc'!$AX$1,IF(OR($B120=0,$F120&lt;&gt;1),0,SUMIFS(#REF!,#REF!,'Prop Budget Calc'!AX$4,#REF!,$B120)*'Prop Budget Calc'!$AX$3))+IF(AND($D120="vacant",$F120=1),'Prop Budget Calc'!$AY$1,IF(OR($B120=0,$F120&lt;&gt;1),0,SUMIFS(#REF!,#REF!,'Prop Budget Calc'!AY$4,#REF!,$B120))*'Prop Budget Calc'!$AY$3)</f>
        <v>1.44</v>
      </c>
      <c r="U120" s="203">
        <f t="shared" si="107"/>
        <v>1.44</v>
      </c>
      <c r="X120" s="126"/>
      <c r="Y120" s="126"/>
      <c r="AA120" s="125">
        <f t="shared" si="104"/>
        <v>0</v>
      </c>
      <c r="AB120" s="125">
        <f t="shared" si="104"/>
        <v>0</v>
      </c>
      <c r="AC120" s="125">
        <f t="shared" si="104"/>
        <v>36.16858237547892</v>
      </c>
      <c r="AD120" s="125">
        <f t="shared" si="105"/>
        <v>0</v>
      </c>
      <c r="AE120" s="125"/>
      <c r="AF120" s="125">
        <f t="shared" si="108"/>
        <v>0</v>
      </c>
      <c r="AG120" s="125">
        <f t="shared" si="109"/>
        <v>0</v>
      </c>
      <c r="AH120" s="125">
        <f t="shared" si="110"/>
        <v>0</v>
      </c>
      <c r="AI120" s="125">
        <f t="shared" si="111"/>
        <v>0</v>
      </c>
      <c r="AJ120" s="125">
        <f t="shared" si="112"/>
        <v>36.16858237547892</v>
      </c>
      <c r="AK120" s="125">
        <f t="shared" si="113"/>
        <v>2.7668965517241371</v>
      </c>
      <c r="AL120" s="205">
        <f t="shared" si="114"/>
        <v>7.1999999999999953E-2</v>
      </c>
      <c r="AM120" s="125">
        <f t="shared" si="115"/>
        <v>0</v>
      </c>
      <c r="AN120" s="125">
        <f t="shared" si="102"/>
        <v>6.0293026819923359</v>
      </c>
    </row>
    <row r="121" spans="2:40">
      <c r="B121" s="115">
        <f>'Prop Budget Calc'!A121</f>
        <v>0</v>
      </c>
      <c r="C121" s="115" t="str">
        <f>'Prop Budget Calc'!B121</f>
        <v>OVERTIME</v>
      </c>
      <c r="D121" s="115" t="str">
        <f>'Prop Budget Calc'!C121</f>
        <v>OVERTIME</v>
      </c>
      <c r="F121" s="115">
        <f>'Prop Budget Calc'!E121</f>
        <v>0</v>
      </c>
      <c r="H121" s="115" t="str">
        <f>'Prop Budget Calc'!G121</f>
        <v>200-70-701</v>
      </c>
      <c r="J121" s="202" t="str">
        <f>'Prop Budget Calc'!I121</f>
        <v>50109</v>
      </c>
      <c r="K121" s="115">
        <f>'Prop Budget Calc'!P121</f>
        <v>0</v>
      </c>
      <c r="L121" s="115">
        <f>'Prop Budget Calc'!N121</f>
        <v>40000</v>
      </c>
      <c r="M121" s="115">
        <f t="shared" si="106"/>
        <v>3333.3333333333335</v>
      </c>
      <c r="N121" s="115"/>
      <c r="O121" s="203">
        <f>'Prop Budget Calc'!AK121/12</f>
        <v>0</v>
      </c>
      <c r="P121" s="203">
        <f>'Prop Budget Calc'!AL121/12</f>
        <v>0</v>
      </c>
      <c r="Q121" s="203">
        <f>'Prop Budget Calc'!AM121/12</f>
        <v>0</v>
      </c>
      <c r="R121" s="203">
        <f>IF(AND($D121="vacant",$F121=1),'Prop Budget Calc'!#REF!,IF(OR($B121=0,$F121&lt;&gt;1),0,SUMIFS(#REF!,#REF!,'Prop Budget Calc'!#REF!,#REF!,$B121)*'Prop Budget Calc'!#REF!))+IF(AND($D121="vacant",$F121=1),'Prop Budget Calc'!#REF!,IF(OR($B121=0,$F121&lt;&gt;1),0,SUMIFS(#REF!,#REF!,'Prop Budget Calc'!#REF!,#REF!,$B121)*'Prop Budget Calc'!#REF!))+IF(AND($D121="vacant",$F121=1),'Prop Budget Calc'!$BA$1,IF(OR($B121=0,$F121&lt;&gt;1),0,SUMIFS(#REF!,#REF!,'Prop Budget Calc'!BA$4,#REF!,$B121)*'Prop Budget Calc'!$BA$3))+IF(AND($D121="vacant",$F121=1),'Prop Budget Calc'!$BB$1,IF(OR($B121=0,$F121&lt;&gt;1),0,SUMIFS(#REF!,#REF!,'Prop Budget Calc'!BB$4,#REF!,$B121)*'Prop Budget Calc'!$BB$3))</f>
        <v>0</v>
      </c>
      <c r="S121" s="203">
        <f>IF(AND($D121="vacant",$F121=1),'Prop Budget Calc'!#REF!,IF(OR($B121=0,$F121&lt;&gt;1),0,SUMIFS(#REF!,#REF!,'Prop Budget Calc'!#REF!,#REF!,$B121)*'Prop Budget Calc'!#REF!))+IF(AND($D121="vacant",$F121=1),'Prop Budget Calc'!#REF!,IF(OR($B121=0,$F121&lt;&gt;1),0,SUMIFS(#REF!,#REF!,'Prop Budget Calc'!#REF!,#REF!,$B121)*'Prop Budget Calc'!#REF!))</f>
        <v>0</v>
      </c>
      <c r="T121" s="115">
        <f>$L121*'Prop Budget Calc'!$AV$2+IF(AND($J121&lt;&gt;"50101", $J121&lt;&gt;"50102"),0,IF($J121="50101",IF(($L121/52*'Prop Budget Calc'!$AW$3)&gt;'Prop Budget Calc'!$AV$1,'Prop Budget Calc'!$AV$1,$L121/52*'Prop Budget Calc'!$AW$3),IF(($L121/52*'Prop Budget Calc'!$AW$3)&gt;'Prop Budget Calc'!$AW$1,'Prop Budget Calc'!$AW$1,$L121/52*'Prop Budget Calc'!$AW$3)))*F121+IF(AND($D121="vacant",$F121=1),'Prop Budget Calc'!$AX$1,IF(OR($B121=0,$F121&lt;&gt;1),0,SUMIFS(#REF!,#REF!,'Prop Budget Calc'!AX$4,#REF!,$B121)*'Prop Budget Calc'!$AX$3))+IF(AND($D121="vacant",$F121=1),'Prop Budget Calc'!$AY$1,IF(OR($B121=0,$F121&lt;&gt;1),0,SUMIFS(#REF!,#REF!,'Prop Budget Calc'!AY$4,#REF!,$B121))*'Prop Budget Calc'!$AY$3)</f>
        <v>72</v>
      </c>
      <c r="U121" s="203">
        <f t="shared" si="107"/>
        <v>72</v>
      </c>
      <c r="X121" s="126"/>
      <c r="Y121" s="126"/>
      <c r="AA121" s="125">
        <f t="shared" si="104"/>
        <v>0</v>
      </c>
      <c r="AB121" s="125">
        <f t="shared" si="104"/>
        <v>0</v>
      </c>
      <c r="AC121" s="125">
        <f t="shared" si="104"/>
        <v>1808.4291187739459</v>
      </c>
      <c r="AD121" s="125">
        <f t="shared" si="105"/>
        <v>0</v>
      </c>
      <c r="AE121" s="125"/>
      <c r="AF121" s="125">
        <f t="shared" si="108"/>
        <v>0</v>
      </c>
      <c r="AG121" s="125">
        <f t="shared" si="109"/>
        <v>0</v>
      </c>
      <c r="AH121" s="125">
        <f t="shared" si="110"/>
        <v>0</v>
      </c>
      <c r="AI121" s="125">
        <f t="shared" si="111"/>
        <v>0</v>
      </c>
      <c r="AJ121" s="125">
        <f t="shared" si="112"/>
        <v>1808.4291187739459</v>
      </c>
      <c r="AK121" s="125">
        <f t="shared" si="113"/>
        <v>138.34482758620686</v>
      </c>
      <c r="AL121" s="205">
        <f t="shared" si="114"/>
        <v>3.5999999999999979</v>
      </c>
      <c r="AM121" s="125">
        <f t="shared" si="115"/>
        <v>0</v>
      </c>
      <c r="AN121" s="125">
        <f t="shared" si="102"/>
        <v>301.46513409961676</v>
      </c>
    </row>
    <row r="122" spans="2:40">
      <c r="B122" s="115">
        <f>'Prop Budget Calc'!A122</f>
        <v>0</v>
      </c>
      <c r="C122" s="115" t="str">
        <f>'Prop Budget Calc'!B122</f>
        <v>OVERTIME</v>
      </c>
      <c r="D122" s="115" t="str">
        <f>'Prop Budget Calc'!C122</f>
        <v>OVERTIME</v>
      </c>
      <c r="F122" s="115">
        <f>'Prop Budget Calc'!E122</f>
        <v>0</v>
      </c>
      <c r="H122" s="115" t="str">
        <f>'Prop Budget Calc'!G122</f>
        <v>200-71-711</v>
      </c>
      <c r="J122" s="202" t="str">
        <f>'Prop Budget Calc'!I122</f>
        <v>50109</v>
      </c>
      <c r="K122" s="115">
        <f>'Prop Budget Calc'!P122</f>
        <v>0</v>
      </c>
      <c r="L122" s="115">
        <f>'Prop Budget Calc'!N122</f>
        <v>1000</v>
      </c>
      <c r="M122" s="115">
        <f t="shared" si="106"/>
        <v>83.333333333333329</v>
      </c>
      <c r="N122" s="115"/>
      <c r="O122" s="203">
        <f>'Prop Budget Calc'!AK122/12</f>
        <v>0</v>
      </c>
      <c r="P122" s="203">
        <f>'Prop Budget Calc'!AL122/12</f>
        <v>0</v>
      </c>
      <c r="Q122" s="203">
        <f>'Prop Budget Calc'!AM122/12</f>
        <v>0</v>
      </c>
      <c r="R122" s="203">
        <f>IF(AND($D122="vacant",$F122=1),'Prop Budget Calc'!#REF!,IF(OR($B122=0,$F122&lt;&gt;1),0,SUMIFS(#REF!,#REF!,'Prop Budget Calc'!#REF!,#REF!,$B122)*'Prop Budget Calc'!#REF!))+IF(AND($D122="vacant",$F122=1),'Prop Budget Calc'!#REF!,IF(OR($B122=0,$F122&lt;&gt;1),0,SUMIFS(#REF!,#REF!,'Prop Budget Calc'!#REF!,#REF!,$B122)*'Prop Budget Calc'!#REF!))+IF(AND($D122="vacant",$F122=1),'Prop Budget Calc'!$BA$1,IF(OR($B122=0,$F122&lt;&gt;1),0,SUMIFS(#REF!,#REF!,'Prop Budget Calc'!BA$4,#REF!,$B122)*'Prop Budget Calc'!$BA$3))+IF(AND($D122="vacant",$F122=1),'Prop Budget Calc'!$BB$1,IF(OR($B122=0,$F122&lt;&gt;1),0,SUMIFS(#REF!,#REF!,'Prop Budget Calc'!BB$4,#REF!,$B122)*'Prop Budget Calc'!$BB$3))</f>
        <v>0</v>
      </c>
      <c r="S122" s="203">
        <f>IF(AND($D122="vacant",$F122=1),'Prop Budget Calc'!#REF!,IF(OR($B122=0,$F122&lt;&gt;1),0,SUMIFS(#REF!,#REF!,'Prop Budget Calc'!#REF!,#REF!,$B122)*'Prop Budget Calc'!#REF!))+IF(AND($D122="vacant",$F122=1),'Prop Budget Calc'!#REF!,IF(OR($B122=0,$F122&lt;&gt;1),0,SUMIFS(#REF!,#REF!,'Prop Budget Calc'!#REF!,#REF!,$B122)*'Prop Budget Calc'!#REF!))</f>
        <v>0</v>
      </c>
      <c r="T122" s="115">
        <f>$L122*'Prop Budget Calc'!$AV$2+IF(AND($J122&lt;&gt;"50101", $J122&lt;&gt;"50102"),0,IF($J122="50101",IF(($L122/52*'Prop Budget Calc'!$AW$3)&gt;'Prop Budget Calc'!$AV$1,'Prop Budget Calc'!$AV$1,$L122/52*'Prop Budget Calc'!$AW$3),IF(($L122/52*'Prop Budget Calc'!$AW$3)&gt;'Prop Budget Calc'!$AW$1,'Prop Budget Calc'!$AW$1,$L122/52*'Prop Budget Calc'!$AW$3)))*F122+IF(AND($D122="vacant",$F122=1),'Prop Budget Calc'!$AX$1,IF(OR($B122=0,$F122&lt;&gt;1),0,SUMIFS(#REF!,#REF!,'Prop Budget Calc'!AX$4,#REF!,$B122)*'Prop Budget Calc'!$AX$3))+IF(AND($D122="vacant",$F122=1),'Prop Budget Calc'!$AY$1,IF(OR($B122=0,$F122&lt;&gt;1),0,SUMIFS(#REF!,#REF!,'Prop Budget Calc'!AY$4,#REF!,$B122))*'Prop Budget Calc'!$AY$3)</f>
        <v>1.8</v>
      </c>
      <c r="U122" s="203">
        <f t="shared" si="107"/>
        <v>1.8</v>
      </c>
      <c r="X122" s="126"/>
      <c r="Y122" s="126"/>
      <c r="AA122" s="125">
        <f t="shared" si="104"/>
        <v>0</v>
      </c>
      <c r="AB122" s="125">
        <f t="shared" si="104"/>
        <v>0</v>
      </c>
      <c r="AC122" s="125">
        <f t="shared" si="104"/>
        <v>45.210727969348646</v>
      </c>
      <c r="AD122" s="125">
        <f t="shared" si="105"/>
        <v>0</v>
      </c>
      <c r="AE122" s="125"/>
      <c r="AF122" s="125">
        <f t="shared" si="108"/>
        <v>0</v>
      </c>
      <c r="AG122" s="125">
        <f t="shared" si="109"/>
        <v>0</v>
      </c>
      <c r="AH122" s="125">
        <f t="shared" si="110"/>
        <v>0</v>
      </c>
      <c r="AI122" s="125">
        <f t="shared" si="111"/>
        <v>0</v>
      </c>
      <c r="AJ122" s="125">
        <f t="shared" si="112"/>
        <v>45.210727969348646</v>
      </c>
      <c r="AK122" s="125">
        <f t="shared" si="113"/>
        <v>3.4586206896551714</v>
      </c>
      <c r="AL122" s="205">
        <f t="shared" si="114"/>
        <v>8.9999999999999941E-2</v>
      </c>
      <c r="AM122" s="125">
        <f t="shared" si="115"/>
        <v>0</v>
      </c>
      <c r="AN122" s="125">
        <f t="shared" si="102"/>
        <v>7.5366283524904185</v>
      </c>
    </row>
    <row r="123" spans="2:40">
      <c r="B123" s="115">
        <f>'Prop Budget Calc'!A123</f>
        <v>0</v>
      </c>
      <c r="C123" s="115" t="str">
        <f>'Prop Budget Calc'!B123</f>
        <v>OVERTIME</v>
      </c>
      <c r="D123" s="115" t="str">
        <f>'Prop Budget Calc'!C123</f>
        <v>OVERTIME</v>
      </c>
      <c r="F123" s="115">
        <f>'Prop Budget Calc'!E123</f>
        <v>0</v>
      </c>
      <c r="H123" s="115" t="str">
        <f>'Prop Budget Calc'!G123</f>
        <v>200-71-712</v>
      </c>
      <c r="J123" s="202" t="str">
        <f>'Prop Budget Calc'!I123</f>
        <v>50109</v>
      </c>
      <c r="K123" s="115">
        <f>'Prop Budget Calc'!P123</f>
        <v>0</v>
      </c>
      <c r="L123" s="115">
        <f>'Prop Budget Calc'!N123</f>
        <v>2000</v>
      </c>
      <c r="M123" s="115">
        <f t="shared" si="106"/>
        <v>166.66666666666666</v>
      </c>
      <c r="N123" s="115"/>
      <c r="O123" s="203">
        <f>'Prop Budget Calc'!AK123/12</f>
        <v>0</v>
      </c>
      <c r="P123" s="203">
        <f>'Prop Budget Calc'!AL123/12</f>
        <v>0</v>
      </c>
      <c r="Q123" s="203">
        <f>'Prop Budget Calc'!AM123/12</f>
        <v>0</v>
      </c>
      <c r="R123" s="203">
        <f>IF(AND($D123="vacant",$F123=1),'Prop Budget Calc'!#REF!,IF(OR($B123=0,$F123&lt;&gt;1),0,SUMIFS(#REF!,#REF!,'Prop Budget Calc'!#REF!,#REF!,$B123)*'Prop Budget Calc'!#REF!))+IF(AND($D123="vacant",$F123=1),'Prop Budget Calc'!#REF!,IF(OR($B123=0,$F123&lt;&gt;1),0,SUMIFS(#REF!,#REF!,'Prop Budget Calc'!#REF!,#REF!,$B123)*'Prop Budget Calc'!#REF!))+IF(AND($D123="vacant",$F123=1),'Prop Budget Calc'!$BA$1,IF(OR($B123=0,$F123&lt;&gt;1),0,SUMIFS(#REF!,#REF!,'Prop Budget Calc'!BA$4,#REF!,$B123)*'Prop Budget Calc'!$BA$3))+IF(AND($D123="vacant",$F123=1),'Prop Budget Calc'!$BB$1,IF(OR($B123=0,$F123&lt;&gt;1),0,SUMIFS(#REF!,#REF!,'Prop Budget Calc'!BB$4,#REF!,$B123)*'Prop Budget Calc'!$BB$3))</f>
        <v>0</v>
      </c>
      <c r="S123" s="203">
        <f>IF(AND($D123="vacant",$F123=1),'Prop Budget Calc'!#REF!,IF(OR($B123=0,$F123&lt;&gt;1),0,SUMIFS(#REF!,#REF!,'Prop Budget Calc'!#REF!,#REF!,$B123)*'Prop Budget Calc'!#REF!))+IF(AND($D123="vacant",$F123=1),'Prop Budget Calc'!#REF!,IF(OR($B123=0,$F123&lt;&gt;1),0,SUMIFS(#REF!,#REF!,'Prop Budget Calc'!#REF!,#REF!,$B123)*'Prop Budget Calc'!#REF!))</f>
        <v>0</v>
      </c>
      <c r="T123" s="115">
        <f>$L123*'Prop Budget Calc'!$AV$2+IF(AND($J123&lt;&gt;"50101", $J123&lt;&gt;"50102"),0,IF($J123="50101",IF(($L123/52*'Prop Budget Calc'!$AW$3)&gt;'Prop Budget Calc'!$AV$1,'Prop Budget Calc'!$AV$1,$L123/52*'Prop Budget Calc'!$AW$3),IF(($L123/52*'Prop Budget Calc'!$AW$3)&gt;'Prop Budget Calc'!$AW$1,'Prop Budget Calc'!$AW$1,$L123/52*'Prop Budget Calc'!$AW$3)))*F123+IF(AND($D123="vacant",$F123=1),'Prop Budget Calc'!$AX$1,IF(OR($B123=0,$F123&lt;&gt;1),0,SUMIFS(#REF!,#REF!,'Prop Budget Calc'!AX$4,#REF!,$B123)*'Prop Budget Calc'!$AX$3))+IF(AND($D123="vacant",$F123=1),'Prop Budget Calc'!$AY$1,IF(OR($B123=0,$F123&lt;&gt;1),0,SUMIFS(#REF!,#REF!,'Prop Budget Calc'!AY$4,#REF!,$B123))*'Prop Budget Calc'!$AY$3)</f>
        <v>3.6</v>
      </c>
      <c r="U123" s="203">
        <f t="shared" si="107"/>
        <v>3.6</v>
      </c>
      <c r="X123" s="126"/>
      <c r="Y123" s="126"/>
      <c r="AA123" s="125">
        <f t="shared" ref="AA123:AC129" si="116">IF($J123=AA$5,$L123/$AB$1*$AB$2,0)</f>
        <v>0</v>
      </c>
      <c r="AB123" s="125">
        <f t="shared" si="116"/>
        <v>0</v>
      </c>
      <c r="AC123" s="125">
        <f t="shared" si="116"/>
        <v>90.421455938697292</v>
      </c>
      <c r="AD123" s="125">
        <f t="shared" si="105"/>
        <v>0</v>
      </c>
      <c r="AE123" s="125"/>
      <c r="AF123" s="125">
        <f t="shared" si="108"/>
        <v>0</v>
      </c>
      <c r="AG123" s="125">
        <f t="shared" si="109"/>
        <v>0</v>
      </c>
      <c r="AH123" s="125">
        <f t="shared" si="110"/>
        <v>0</v>
      </c>
      <c r="AI123" s="125">
        <f t="shared" si="111"/>
        <v>0</v>
      </c>
      <c r="AJ123" s="125">
        <f t="shared" si="112"/>
        <v>90.421455938697292</v>
      </c>
      <c r="AK123" s="125">
        <f t="shared" si="113"/>
        <v>6.9172413793103429</v>
      </c>
      <c r="AL123" s="205">
        <f t="shared" si="114"/>
        <v>0.17999999999999988</v>
      </c>
      <c r="AM123" s="125">
        <f t="shared" si="115"/>
        <v>0</v>
      </c>
      <c r="AN123" s="125">
        <f t="shared" si="102"/>
        <v>15.073256704980837</v>
      </c>
    </row>
    <row r="124" spans="2:40">
      <c r="B124" s="115">
        <f>'Prop Budget Calc'!A124</f>
        <v>0</v>
      </c>
      <c r="C124" s="115" t="str">
        <f>'Prop Budget Calc'!B124</f>
        <v>OVERTIME</v>
      </c>
      <c r="D124" s="115" t="str">
        <f>'Prop Budget Calc'!C124</f>
        <v>OVERTIME</v>
      </c>
      <c r="F124" s="115">
        <f>'Prop Budget Calc'!E124</f>
        <v>0</v>
      </c>
      <c r="H124" s="115" t="str">
        <f>'Prop Budget Calc'!G124</f>
        <v>200-73-734</v>
      </c>
      <c r="J124" s="202" t="str">
        <f>'Prop Budget Calc'!I124</f>
        <v>50109</v>
      </c>
      <c r="K124" s="115">
        <f>'Prop Budget Calc'!P124</f>
        <v>0</v>
      </c>
      <c r="L124" s="115">
        <f>'Prop Budget Calc'!N124</f>
        <v>22000</v>
      </c>
      <c r="M124" s="115">
        <f t="shared" si="106"/>
        <v>1833.3333333333333</v>
      </c>
      <c r="N124" s="115"/>
      <c r="O124" s="203">
        <f>'Prop Budget Calc'!AK124/12</f>
        <v>0</v>
      </c>
      <c r="P124" s="203">
        <f>'Prop Budget Calc'!AL124/12</f>
        <v>0</v>
      </c>
      <c r="Q124" s="203">
        <f>'Prop Budget Calc'!AM124/12</f>
        <v>0</v>
      </c>
      <c r="R124" s="203">
        <f>IF(AND($D124="vacant",$F124=1),'Prop Budget Calc'!#REF!,IF(OR($B124=0,$F124&lt;&gt;1),0,SUMIFS(#REF!,#REF!,'Prop Budget Calc'!#REF!,#REF!,$B124)*'Prop Budget Calc'!#REF!))+IF(AND($D124="vacant",$F124=1),'Prop Budget Calc'!#REF!,IF(OR($B124=0,$F124&lt;&gt;1),0,SUMIFS(#REF!,#REF!,'Prop Budget Calc'!#REF!,#REF!,$B124)*'Prop Budget Calc'!#REF!))+IF(AND($D124="vacant",$F124=1),'Prop Budget Calc'!$BA$1,IF(OR($B124=0,$F124&lt;&gt;1),0,SUMIFS(#REF!,#REF!,'Prop Budget Calc'!BA$4,#REF!,$B124)*'Prop Budget Calc'!$BA$3))+IF(AND($D124="vacant",$F124=1),'Prop Budget Calc'!$BB$1,IF(OR($B124=0,$F124&lt;&gt;1),0,SUMIFS(#REF!,#REF!,'Prop Budget Calc'!BB$4,#REF!,$B124)*'Prop Budget Calc'!$BB$3))</f>
        <v>0</v>
      </c>
      <c r="S124" s="203">
        <f>IF(AND($D124="vacant",$F124=1),'Prop Budget Calc'!#REF!,IF(OR($B124=0,$F124&lt;&gt;1),0,SUMIFS(#REF!,#REF!,'Prop Budget Calc'!#REF!,#REF!,$B124)*'Prop Budget Calc'!#REF!))+IF(AND($D124="vacant",$F124=1),'Prop Budget Calc'!#REF!,IF(OR($B124=0,$F124&lt;&gt;1),0,SUMIFS(#REF!,#REF!,'Prop Budget Calc'!#REF!,#REF!,$B124)*'Prop Budget Calc'!#REF!))</f>
        <v>0</v>
      </c>
      <c r="T124" s="115">
        <f>$L124*'Prop Budget Calc'!$AV$2+IF(AND($J124&lt;&gt;"50101", $J124&lt;&gt;"50102"),0,IF($J124="50101",IF(($L124/52*'Prop Budget Calc'!$AW$3)&gt;'Prop Budget Calc'!$AV$1,'Prop Budget Calc'!$AV$1,$L124/52*'Prop Budget Calc'!$AW$3),IF(($L124/52*'Prop Budget Calc'!$AW$3)&gt;'Prop Budget Calc'!$AW$1,'Prop Budget Calc'!$AW$1,$L124/52*'Prop Budget Calc'!$AW$3)))*F124+IF(AND($D124="vacant",$F124=1),'Prop Budget Calc'!$AX$1,IF(OR($B124=0,$F124&lt;&gt;1),0,SUMIFS(#REF!,#REF!,'Prop Budget Calc'!AX$4,#REF!,$B124)*'Prop Budget Calc'!$AX$3))+IF(AND($D124="vacant",$F124=1),'Prop Budget Calc'!$AY$1,IF(OR($B124=0,$F124&lt;&gt;1),0,SUMIFS(#REF!,#REF!,'Prop Budget Calc'!AY$4,#REF!,$B124))*'Prop Budget Calc'!$AY$3)</f>
        <v>39.6</v>
      </c>
      <c r="U124" s="203">
        <f t="shared" si="107"/>
        <v>39.6</v>
      </c>
      <c r="X124" s="126"/>
      <c r="Y124" s="126"/>
      <c r="AA124" s="125">
        <f t="shared" si="116"/>
        <v>0</v>
      </c>
      <c r="AB124" s="125">
        <f t="shared" si="116"/>
        <v>0</v>
      </c>
      <c r="AC124" s="125">
        <f t="shared" si="116"/>
        <v>994.6360153256702</v>
      </c>
      <c r="AD124" s="125">
        <f t="shared" si="105"/>
        <v>0</v>
      </c>
      <c r="AE124" s="125"/>
      <c r="AF124" s="125">
        <f t="shared" si="108"/>
        <v>0</v>
      </c>
      <c r="AG124" s="125">
        <f t="shared" si="109"/>
        <v>0</v>
      </c>
      <c r="AH124" s="125">
        <f t="shared" si="110"/>
        <v>0</v>
      </c>
      <c r="AI124" s="125">
        <f t="shared" si="111"/>
        <v>0</v>
      </c>
      <c r="AJ124" s="125">
        <f t="shared" si="112"/>
        <v>994.6360153256702</v>
      </c>
      <c r="AK124" s="125">
        <f t="shared" si="113"/>
        <v>76.089655172413771</v>
      </c>
      <c r="AL124" s="205">
        <f t="shared" si="114"/>
        <v>1.9799999999999991</v>
      </c>
      <c r="AM124" s="125">
        <f t="shared" si="115"/>
        <v>0</v>
      </c>
      <c r="AN124" s="125">
        <f t="shared" si="102"/>
        <v>165.8058237547892</v>
      </c>
    </row>
    <row r="125" spans="2:40">
      <c r="B125" s="115">
        <f>'Prop Budget Calc'!A125</f>
        <v>0</v>
      </c>
      <c r="C125" s="115" t="str">
        <f>'Prop Budget Calc'!B125</f>
        <v>OVERTIME</v>
      </c>
      <c r="D125" s="115" t="str">
        <f>'Prop Budget Calc'!C125</f>
        <v>OVERTIME</v>
      </c>
      <c r="F125" s="115">
        <f>'Prop Budget Calc'!E125</f>
        <v>0</v>
      </c>
      <c r="H125" s="115" t="str">
        <f>'Prop Budget Calc'!G125</f>
        <v>200-73-735</v>
      </c>
      <c r="J125" s="202" t="str">
        <f>'Prop Budget Calc'!I125</f>
        <v>50109</v>
      </c>
      <c r="K125" s="115">
        <f>'Prop Budget Calc'!P125</f>
        <v>0</v>
      </c>
      <c r="L125" s="115">
        <f>'Prop Budget Calc'!N125</f>
        <v>33300</v>
      </c>
      <c r="M125" s="115">
        <f t="shared" si="106"/>
        <v>2775</v>
      </c>
      <c r="N125" s="115"/>
      <c r="O125" s="203">
        <f>'Prop Budget Calc'!AK125/12</f>
        <v>0</v>
      </c>
      <c r="P125" s="203">
        <f>'Prop Budget Calc'!AL125/12</f>
        <v>0</v>
      </c>
      <c r="Q125" s="203">
        <f>'Prop Budget Calc'!AM125/12</f>
        <v>0</v>
      </c>
      <c r="R125" s="203">
        <f>IF(AND($D125="vacant",$F125=1),'Prop Budget Calc'!#REF!,IF(OR($B125=0,$F125&lt;&gt;1),0,SUMIFS(#REF!,#REF!,'Prop Budget Calc'!#REF!,#REF!,$B125)*'Prop Budget Calc'!#REF!))+IF(AND($D125="vacant",$F125=1),'Prop Budget Calc'!#REF!,IF(OR($B125=0,$F125&lt;&gt;1),0,SUMIFS(#REF!,#REF!,'Prop Budget Calc'!#REF!,#REF!,$B125)*'Prop Budget Calc'!#REF!))+IF(AND($D125="vacant",$F125=1),'Prop Budget Calc'!$BA$1,IF(OR($B125=0,$F125&lt;&gt;1),0,SUMIFS(#REF!,#REF!,'Prop Budget Calc'!BA$4,#REF!,$B125)*'Prop Budget Calc'!$BA$3))+IF(AND($D125="vacant",$F125=1),'Prop Budget Calc'!$BB$1,IF(OR($B125=0,$F125&lt;&gt;1),0,SUMIFS(#REF!,#REF!,'Prop Budget Calc'!BB$4,#REF!,$B125)*'Prop Budget Calc'!$BB$3))</f>
        <v>0</v>
      </c>
      <c r="S125" s="203">
        <f>IF(AND($D125="vacant",$F125=1),'Prop Budget Calc'!#REF!,IF(OR($B125=0,$F125&lt;&gt;1),0,SUMIFS(#REF!,#REF!,'Prop Budget Calc'!#REF!,#REF!,$B125)*'Prop Budget Calc'!#REF!))+IF(AND($D125="vacant",$F125=1),'Prop Budget Calc'!#REF!,IF(OR($B125=0,$F125&lt;&gt;1),0,SUMIFS(#REF!,#REF!,'Prop Budget Calc'!#REF!,#REF!,$B125)*'Prop Budget Calc'!#REF!))</f>
        <v>0</v>
      </c>
      <c r="T125" s="115">
        <f>$L125*'Prop Budget Calc'!$AV$2+IF(AND($J125&lt;&gt;"50101", $J125&lt;&gt;"50102"),0,IF($J125="50101",IF(($L125/52*'Prop Budget Calc'!$AW$3)&gt;'Prop Budget Calc'!$AV$1,'Prop Budget Calc'!$AV$1,$L125/52*'Prop Budget Calc'!$AW$3),IF(($L125/52*'Prop Budget Calc'!$AW$3)&gt;'Prop Budget Calc'!$AW$1,'Prop Budget Calc'!$AW$1,$L125/52*'Prop Budget Calc'!$AW$3)))*F125+IF(AND($D125="vacant",$F125=1),'Prop Budget Calc'!$AX$1,IF(OR($B125=0,$F125&lt;&gt;1),0,SUMIFS(#REF!,#REF!,'Prop Budget Calc'!AX$4,#REF!,$B125)*'Prop Budget Calc'!$AX$3))+IF(AND($D125="vacant",$F125=1),'Prop Budget Calc'!$AY$1,IF(OR($B125=0,$F125&lt;&gt;1),0,SUMIFS(#REF!,#REF!,'Prop Budget Calc'!AY$4,#REF!,$B125))*'Prop Budget Calc'!$AY$3)</f>
        <v>59.94</v>
      </c>
      <c r="U125" s="203">
        <f t="shared" si="107"/>
        <v>59.94</v>
      </c>
      <c r="X125" s="126"/>
      <c r="Y125" s="126"/>
      <c r="AA125" s="125">
        <f t="shared" si="116"/>
        <v>0</v>
      </c>
      <c r="AB125" s="125">
        <f t="shared" si="116"/>
        <v>0</v>
      </c>
      <c r="AC125" s="125">
        <f t="shared" si="116"/>
        <v>1505.51724137931</v>
      </c>
      <c r="AD125" s="125">
        <f t="shared" si="105"/>
        <v>0</v>
      </c>
      <c r="AE125" s="125"/>
      <c r="AF125" s="125">
        <f t="shared" si="108"/>
        <v>0</v>
      </c>
      <c r="AG125" s="125">
        <f t="shared" si="109"/>
        <v>0</v>
      </c>
      <c r="AH125" s="125">
        <f t="shared" si="110"/>
        <v>0</v>
      </c>
      <c r="AI125" s="125">
        <f t="shared" si="111"/>
        <v>0</v>
      </c>
      <c r="AJ125" s="125">
        <f t="shared" si="112"/>
        <v>1505.51724137931</v>
      </c>
      <c r="AK125" s="125">
        <f t="shared" si="113"/>
        <v>115.17206896551721</v>
      </c>
      <c r="AL125" s="205">
        <f t="shared" si="114"/>
        <v>2.9969999999999981</v>
      </c>
      <c r="AM125" s="125">
        <f t="shared" si="115"/>
        <v>0</v>
      </c>
      <c r="AN125" s="125">
        <f t="shared" si="102"/>
        <v>250.96972413793097</v>
      </c>
    </row>
    <row r="126" spans="2:40">
      <c r="B126" s="115">
        <f>'Prop Budget Calc'!A126</f>
        <v>0</v>
      </c>
      <c r="C126" s="115" t="str">
        <f>'Prop Budget Calc'!B126</f>
        <v>OVERTIME</v>
      </c>
      <c r="D126" s="115" t="str">
        <f>'Prop Budget Calc'!C126</f>
        <v>OVERTIME</v>
      </c>
      <c r="F126" s="115">
        <f>'Prop Budget Calc'!E126</f>
        <v>0</v>
      </c>
      <c r="H126" s="115" t="str">
        <f>'Prop Budget Calc'!G126</f>
        <v>200-75-752</v>
      </c>
      <c r="J126" s="202" t="str">
        <f>'Prop Budget Calc'!I126</f>
        <v>50109</v>
      </c>
      <c r="K126" s="115">
        <f>'Prop Budget Calc'!P126</f>
        <v>0</v>
      </c>
      <c r="L126" s="115">
        <f>'Prop Budget Calc'!N126</f>
        <v>25000</v>
      </c>
      <c r="M126" s="115">
        <f t="shared" si="106"/>
        <v>2083.3333333333335</v>
      </c>
      <c r="N126" s="115"/>
      <c r="O126" s="203">
        <f>'Prop Budget Calc'!AK126/12</f>
        <v>0</v>
      </c>
      <c r="P126" s="203">
        <f>'Prop Budget Calc'!AL126/12</f>
        <v>0</v>
      </c>
      <c r="Q126" s="203">
        <f>'Prop Budget Calc'!AM126/12</f>
        <v>0</v>
      </c>
      <c r="R126" s="203">
        <f>IF(AND($D126="vacant",$F126=1),'Prop Budget Calc'!#REF!,IF(OR($B126=0,$F126&lt;&gt;1),0,SUMIFS(#REF!,#REF!,'Prop Budget Calc'!#REF!,#REF!,$B126)*'Prop Budget Calc'!#REF!))+IF(AND($D126="vacant",$F126=1),'Prop Budget Calc'!#REF!,IF(OR($B126=0,$F126&lt;&gt;1),0,SUMIFS(#REF!,#REF!,'Prop Budget Calc'!#REF!,#REF!,$B126)*'Prop Budget Calc'!#REF!))+IF(AND($D126="vacant",$F126=1),'Prop Budget Calc'!$BA$1,IF(OR($B126=0,$F126&lt;&gt;1),0,SUMIFS(#REF!,#REF!,'Prop Budget Calc'!BA$4,#REF!,$B126)*'Prop Budget Calc'!$BA$3))+IF(AND($D126="vacant",$F126=1),'Prop Budget Calc'!$BB$1,IF(OR($B126=0,$F126&lt;&gt;1),0,SUMIFS(#REF!,#REF!,'Prop Budget Calc'!BB$4,#REF!,$B126)*'Prop Budget Calc'!$BB$3))</f>
        <v>0</v>
      </c>
      <c r="S126" s="203">
        <f>IF(AND($D126="vacant",$F126=1),'Prop Budget Calc'!#REF!,IF(OR($B126=0,$F126&lt;&gt;1),0,SUMIFS(#REF!,#REF!,'Prop Budget Calc'!#REF!,#REF!,$B126)*'Prop Budget Calc'!#REF!))+IF(AND($D126="vacant",$F126=1),'Prop Budget Calc'!#REF!,IF(OR($B126=0,$F126&lt;&gt;1),0,SUMIFS(#REF!,#REF!,'Prop Budget Calc'!#REF!,#REF!,$B126)*'Prop Budget Calc'!#REF!))</f>
        <v>0</v>
      </c>
      <c r="T126" s="115">
        <f>$L126*'Prop Budget Calc'!$AV$2+IF(AND($J126&lt;&gt;"50101", $J126&lt;&gt;"50102"),0,IF($J126="50101",IF(($L126/52*'Prop Budget Calc'!$AW$3)&gt;'Prop Budget Calc'!$AV$1,'Prop Budget Calc'!$AV$1,$L126/52*'Prop Budget Calc'!$AW$3),IF(($L126/52*'Prop Budget Calc'!$AW$3)&gt;'Prop Budget Calc'!$AW$1,'Prop Budget Calc'!$AW$1,$L126/52*'Prop Budget Calc'!$AW$3)))*F126+IF(AND($D126="vacant",$F126=1),'Prop Budget Calc'!$AX$1,IF(OR($B126=0,$F126&lt;&gt;1),0,SUMIFS(#REF!,#REF!,'Prop Budget Calc'!AX$4,#REF!,$B126)*'Prop Budget Calc'!$AX$3))+IF(AND($D126="vacant",$F126=1),'Prop Budget Calc'!$AY$1,IF(OR($B126=0,$F126&lt;&gt;1),0,SUMIFS(#REF!,#REF!,'Prop Budget Calc'!AY$4,#REF!,$B126))*'Prop Budget Calc'!$AY$3)</f>
        <v>45</v>
      </c>
      <c r="U126" s="203">
        <f t="shared" si="107"/>
        <v>45</v>
      </c>
      <c r="X126" s="126"/>
      <c r="Y126" s="126"/>
      <c r="AA126" s="125">
        <f t="shared" si="116"/>
        <v>0</v>
      </c>
      <c r="AB126" s="125">
        <f t="shared" si="116"/>
        <v>0</v>
      </c>
      <c r="AC126" s="125">
        <f t="shared" si="116"/>
        <v>1130.2681992337161</v>
      </c>
      <c r="AD126" s="125">
        <f t="shared" si="105"/>
        <v>0</v>
      </c>
      <c r="AE126" s="125"/>
      <c r="AF126" s="125">
        <f t="shared" si="108"/>
        <v>0</v>
      </c>
      <c r="AG126" s="125">
        <f t="shared" si="109"/>
        <v>0</v>
      </c>
      <c r="AH126" s="125">
        <f t="shared" si="110"/>
        <v>0</v>
      </c>
      <c r="AI126" s="125">
        <f t="shared" si="111"/>
        <v>0</v>
      </c>
      <c r="AJ126" s="125">
        <f t="shared" si="112"/>
        <v>1130.2681992337161</v>
      </c>
      <c r="AK126" s="125">
        <f t="shared" si="113"/>
        <v>86.465517241379288</v>
      </c>
      <c r="AL126" s="205">
        <f t="shared" si="114"/>
        <v>2.2499999999999987</v>
      </c>
      <c r="AM126" s="125">
        <f t="shared" si="115"/>
        <v>0</v>
      </c>
      <c r="AN126" s="125">
        <f t="shared" si="102"/>
        <v>188.41570881226048</v>
      </c>
    </row>
    <row r="127" spans="2:40">
      <c r="B127" s="115">
        <f>'Prop Budget Calc'!A127</f>
        <v>0</v>
      </c>
      <c r="C127" s="115" t="str">
        <f>'Prop Budget Calc'!B127</f>
        <v>OVERTIME</v>
      </c>
      <c r="D127" s="115" t="str">
        <f>'Prop Budget Calc'!C127</f>
        <v>OVERTIME</v>
      </c>
      <c r="F127" s="115">
        <f>'Prop Budget Calc'!E127</f>
        <v>0</v>
      </c>
      <c r="H127" s="115" t="str">
        <f>'Prop Budget Calc'!G127</f>
        <v>200-77-772</v>
      </c>
      <c r="J127" s="202" t="str">
        <f>'Prop Budget Calc'!I127</f>
        <v>50109</v>
      </c>
      <c r="K127" s="115">
        <f>'Prop Budget Calc'!P127</f>
        <v>0</v>
      </c>
      <c r="L127" s="115">
        <f>'Prop Budget Calc'!N127</f>
        <v>1000</v>
      </c>
      <c r="M127" s="115">
        <f t="shared" si="106"/>
        <v>83.333333333333329</v>
      </c>
      <c r="N127" s="115"/>
      <c r="O127" s="203">
        <f>'Prop Budget Calc'!AK127/12</f>
        <v>0</v>
      </c>
      <c r="P127" s="203">
        <f>'Prop Budget Calc'!AL127/12</f>
        <v>0</v>
      </c>
      <c r="Q127" s="203">
        <f>'Prop Budget Calc'!AM127/12</f>
        <v>0</v>
      </c>
      <c r="R127" s="203">
        <f>IF(AND($D127="vacant",$F127=1),'Prop Budget Calc'!#REF!,IF(OR($B127=0,$F127&lt;&gt;1),0,SUMIFS(#REF!,#REF!,'Prop Budget Calc'!#REF!,#REF!,$B127)*'Prop Budget Calc'!#REF!))+IF(AND($D127="vacant",$F127=1),'Prop Budget Calc'!#REF!,IF(OR($B127=0,$F127&lt;&gt;1),0,SUMIFS(#REF!,#REF!,'Prop Budget Calc'!#REF!,#REF!,$B127)*'Prop Budget Calc'!#REF!))+IF(AND($D127="vacant",$F127=1),'Prop Budget Calc'!$BA$1,IF(OR($B127=0,$F127&lt;&gt;1),0,SUMIFS(#REF!,#REF!,'Prop Budget Calc'!BA$4,#REF!,$B127)*'Prop Budget Calc'!$BA$3))+IF(AND($D127="vacant",$F127=1),'Prop Budget Calc'!$BB$1,IF(OR($B127=0,$F127&lt;&gt;1),0,SUMIFS(#REF!,#REF!,'Prop Budget Calc'!BB$4,#REF!,$B127)*'Prop Budget Calc'!$BB$3))</f>
        <v>0</v>
      </c>
      <c r="S127" s="203">
        <f>IF(AND($D127="vacant",$F127=1),'Prop Budget Calc'!#REF!,IF(OR($B127=0,$F127&lt;&gt;1),0,SUMIFS(#REF!,#REF!,'Prop Budget Calc'!#REF!,#REF!,$B127)*'Prop Budget Calc'!#REF!))+IF(AND($D127="vacant",$F127=1),'Prop Budget Calc'!#REF!,IF(OR($B127=0,$F127&lt;&gt;1),0,SUMIFS(#REF!,#REF!,'Prop Budget Calc'!#REF!,#REF!,$B127)*'Prop Budget Calc'!#REF!))</f>
        <v>0</v>
      </c>
      <c r="T127" s="115">
        <f>$L127*'Prop Budget Calc'!$AV$2+IF(AND($J127&lt;&gt;"50101", $J127&lt;&gt;"50102"),0,IF($J127="50101",IF(($L127/52*'Prop Budget Calc'!$AW$3)&gt;'Prop Budget Calc'!$AV$1,'Prop Budget Calc'!$AV$1,$L127/52*'Prop Budget Calc'!$AW$3),IF(($L127/52*'Prop Budget Calc'!$AW$3)&gt;'Prop Budget Calc'!$AW$1,'Prop Budget Calc'!$AW$1,$L127/52*'Prop Budget Calc'!$AW$3)))*F127+IF(AND($D127="vacant",$F127=1),'Prop Budget Calc'!$AX$1,IF(OR($B127=0,$F127&lt;&gt;1),0,SUMIFS(#REF!,#REF!,'Prop Budget Calc'!AX$4,#REF!,$B127)*'Prop Budget Calc'!$AX$3))+IF(AND($D127="vacant",$F127=1),'Prop Budget Calc'!$AY$1,IF(OR($B127=0,$F127&lt;&gt;1),0,SUMIFS(#REF!,#REF!,'Prop Budget Calc'!AY$4,#REF!,$B127))*'Prop Budget Calc'!$AY$3)</f>
        <v>1.8</v>
      </c>
      <c r="U127" s="203">
        <f t="shared" si="107"/>
        <v>1.8</v>
      </c>
      <c r="X127" s="126"/>
      <c r="Y127" s="126"/>
      <c r="AA127" s="125">
        <f t="shared" si="116"/>
        <v>0</v>
      </c>
      <c r="AB127" s="125">
        <f t="shared" si="116"/>
        <v>0</v>
      </c>
      <c r="AC127" s="125">
        <f t="shared" si="116"/>
        <v>45.210727969348646</v>
      </c>
      <c r="AD127" s="125">
        <f t="shared" si="105"/>
        <v>0</v>
      </c>
      <c r="AE127" s="125"/>
      <c r="AF127" s="125">
        <f t="shared" si="108"/>
        <v>0</v>
      </c>
      <c r="AG127" s="125">
        <f t="shared" si="109"/>
        <v>0</v>
      </c>
      <c r="AH127" s="125">
        <f t="shared" si="110"/>
        <v>0</v>
      </c>
      <c r="AI127" s="125">
        <f t="shared" si="111"/>
        <v>0</v>
      </c>
      <c r="AJ127" s="125">
        <f t="shared" si="112"/>
        <v>45.210727969348646</v>
      </c>
      <c r="AK127" s="125">
        <f t="shared" si="113"/>
        <v>3.4586206896551714</v>
      </c>
      <c r="AL127" s="205">
        <f t="shared" si="114"/>
        <v>8.9999999999999941E-2</v>
      </c>
      <c r="AM127" s="125">
        <f t="shared" si="115"/>
        <v>0</v>
      </c>
      <c r="AN127" s="125">
        <f t="shared" ref="AN127:AN128" si="117">IF(OR($J127="50101", $J127="50102", $J127="50109", $J127="50140"),AJ127*$AN$2,0)</f>
        <v>7.5366283524904185</v>
      </c>
    </row>
    <row r="128" spans="2:40">
      <c r="B128" s="115">
        <f>'Prop Budget Calc'!A128</f>
        <v>0</v>
      </c>
      <c r="C128" s="115" t="str">
        <f>'Prop Budget Calc'!B128</f>
        <v>OVERTIME</v>
      </c>
      <c r="D128" s="115" t="str">
        <f>'Prop Budget Calc'!C128</f>
        <v>OVERTIME</v>
      </c>
      <c r="F128" s="115">
        <f>'Prop Budget Calc'!E128</f>
        <v>0</v>
      </c>
      <c r="H128" s="115" t="str">
        <f>'Prop Budget Calc'!G128</f>
        <v>400-81-815</v>
      </c>
      <c r="J128" s="202" t="str">
        <f>'Prop Budget Calc'!I128</f>
        <v>50109</v>
      </c>
      <c r="K128" s="115">
        <f>'Prop Budget Calc'!P128</f>
        <v>0</v>
      </c>
      <c r="L128" s="115">
        <f>'Prop Budget Calc'!N128</f>
        <v>30000</v>
      </c>
      <c r="M128" s="115">
        <f t="shared" si="106"/>
        <v>2500</v>
      </c>
      <c r="N128" s="115"/>
      <c r="O128" s="203">
        <f>'Prop Budget Calc'!AK128/12</f>
        <v>0</v>
      </c>
      <c r="P128" s="203">
        <f>'Prop Budget Calc'!AL128/12</f>
        <v>0</v>
      </c>
      <c r="Q128" s="203">
        <f>'Prop Budget Calc'!AM128/12</f>
        <v>0</v>
      </c>
      <c r="R128" s="203">
        <f>IF(AND($D128="vacant",$F128=1),'Prop Budget Calc'!#REF!,IF(OR($B128=0,$F128&lt;&gt;1),0,SUMIFS(#REF!,#REF!,'Prop Budget Calc'!#REF!,#REF!,$B128)*'Prop Budget Calc'!#REF!))+IF(AND($D128="vacant",$F128=1),'Prop Budget Calc'!#REF!,IF(OR($B128=0,$F128&lt;&gt;1),0,SUMIFS(#REF!,#REF!,'Prop Budget Calc'!#REF!,#REF!,$B128)*'Prop Budget Calc'!#REF!))+IF(AND($D128="vacant",$F128=1),'Prop Budget Calc'!$BA$1,IF(OR($B128=0,$F128&lt;&gt;1),0,SUMIFS(#REF!,#REF!,'Prop Budget Calc'!BA$4,#REF!,$B128)*'Prop Budget Calc'!$BA$3))+IF(AND($D128="vacant",$F128=1),'Prop Budget Calc'!$BB$1,IF(OR($B128=0,$F128&lt;&gt;1),0,SUMIFS(#REF!,#REF!,'Prop Budget Calc'!BB$4,#REF!,$B128)*'Prop Budget Calc'!$BB$3))</f>
        <v>0</v>
      </c>
      <c r="S128" s="203">
        <f>IF(AND($D128="vacant",$F128=1),'Prop Budget Calc'!#REF!,IF(OR($B128=0,$F128&lt;&gt;1),0,SUMIFS(#REF!,#REF!,'Prop Budget Calc'!#REF!,#REF!,$B128)*'Prop Budget Calc'!#REF!))+IF(AND($D128="vacant",$F128=1),'Prop Budget Calc'!#REF!,IF(OR($B128=0,$F128&lt;&gt;1),0,SUMIFS(#REF!,#REF!,'Prop Budget Calc'!#REF!,#REF!,$B128)*'Prop Budget Calc'!#REF!))</f>
        <v>0</v>
      </c>
      <c r="T128" s="115">
        <f>$L128*'Prop Budget Calc'!$AV$2+IF(AND($J128&lt;&gt;"50101", $J128&lt;&gt;"50102"),0,IF($J128="50101",IF(($L128/52*'Prop Budget Calc'!$AW$3)&gt;'Prop Budget Calc'!$AV$1,'Prop Budget Calc'!$AV$1,$L128/52*'Prop Budget Calc'!$AW$3),IF(($L128/52*'Prop Budget Calc'!$AW$3)&gt;'Prop Budget Calc'!$AW$1,'Prop Budget Calc'!$AW$1,$L128/52*'Prop Budget Calc'!$AW$3)))*F128+IF(AND($D128="vacant",$F128=1),'Prop Budget Calc'!$AX$1,IF(OR($B128=0,$F128&lt;&gt;1),0,SUMIFS(#REF!,#REF!,'Prop Budget Calc'!AX$4,#REF!,$B128)*'Prop Budget Calc'!$AX$3))+IF(AND($D128="vacant",$F128=1),'Prop Budget Calc'!$AY$1,IF(OR($B128=0,$F128&lt;&gt;1),0,SUMIFS(#REF!,#REF!,'Prop Budget Calc'!AY$4,#REF!,$B128))*'Prop Budget Calc'!$AY$3)</f>
        <v>54</v>
      </c>
      <c r="U128" s="203">
        <f t="shared" si="107"/>
        <v>54</v>
      </c>
      <c r="X128" s="126"/>
      <c r="Y128" s="126"/>
      <c r="AA128" s="125">
        <f t="shared" si="116"/>
        <v>0</v>
      </c>
      <c r="AB128" s="125">
        <f t="shared" si="116"/>
        <v>0</v>
      </c>
      <c r="AC128" s="125">
        <f t="shared" si="116"/>
        <v>1356.3218390804595</v>
      </c>
      <c r="AD128" s="125">
        <f t="shared" si="105"/>
        <v>0</v>
      </c>
      <c r="AE128" s="125"/>
      <c r="AF128" s="125">
        <f t="shared" si="108"/>
        <v>0</v>
      </c>
      <c r="AG128" s="125">
        <f t="shared" si="109"/>
        <v>0</v>
      </c>
      <c r="AH128" s="125">
        <f t="shared" si="110"/>
        <v>0</v>
      </c>
      <c r="AI128" s="125">
        <f t="shared" si="111"/>
        <v>0</v>
      </c>
      <c r="AJ128" s="125">
        <f t="shared" si="112"/>
        <v>1356.3218390804595</v>
      </c>
      <c r="AK128" s="125">
        <f t="shared" si="113"/>
        <v>103.75862068965515</v>
      </c>
      <c r="AL128" s="205">
        <f t="shared" si="114"/>
        <v>2.6999999999999984</v>
      </c>
      <c r="AM128" s="125">
        <f t="shared" si="115"/>
        <v>0</v>
      </c>
      <c r="AN128" s="125">
        <f t="shared" si="117"/>
        <v>226.0988505747126</v>
      </c>
    </row>
    <row r="129" spans="2:40">
      <c r="B129" s="115">
        <f>'Prop Budget Calc'!A129</f>
        <v>0</v>
      </c>
      <c r="C129" s="115">
        <f>'Prop Budget Calc'!B129</f>
        <v>0</v>
      </c>
      <c r="D129" s="115">
        <f>'Prop Budget Calc'!C129</f>
        <v>0</v>
      </c>
      <c r="F129" s="115">
        <f>'Prop Budget Calc'!E129</f>
        <v>130.79999999999998</v>
      </c>
      <c r="H129" s="115">
        <f>'Prop Budget Calc'!G129</f>
        <v>0</v>
      </c>
      <c r="J129" s="202">
        <f>'Prop Budget Calc'!I129</f>
        <v>0</v>
      </c>
      <c r="K129" s="115">
        <f>'Prop Budget Calc'!P129</f>
        <v>0</v>
      </c>
      <c r="L129" s="115">
        <f>'Prop Budget Calc'!N129</f>
        <v>1267862</v>
      </c>
      <c r="M129" s="115">
        <f t="shared" si="106"/>
        <v>105655.16666666667</v>
      </c>
      <c r="N129" s="115"/>
      <c r="O129" s="203">
        <f>'Prop Budget Calc'!AK129/12</f>
        <v>7141.706666666666</v>
      </c>
      <c r="P129" s="203">
        <f>'Prop Budget Calc'!AL129/12</f>
        <v>0</v>
      </c>
      <c r="Q129" s="203">
        <f>'Prop Budget Calc'!AM129/12</f>
        <v>2840</v>
      </c>
      <c r="R129" s="203">
        <f>IF(AND($D129="vacant",$F129=1),'Prop Budget Calc'!#REF!,IF(OR($B129=0,$F129&lt;&gt;1),0,SUMIFS(#REF!,#REF!,'Prop Budget Calc'!#REF!,#REF!,$B129)*'Prop Budget Calc'!#REF!))+IF(AND($D129="vacant",$F129=1),'Prop Budget Calc'!#REF!,IF(OR($B129=0,$F129&lt;&gt;1),0,SUMIFS(#REF!,#REF!,'Prop Budget Calc'!#REF!,#REF!,$B129)*'Prop Budget Calc'!#REF!))+IF(AND($D129="vacant",$F129=1),'Prop Budget Calc'!$BA$1,IF(OR($B129=0,$F129&lt;&gt;1),0,SUMIFS(#REF!,#REF!,'Prop Budget Calc'!BA$4,#REF!,$B129)*'Prop Budget Calc'!$BA$3))+IF(AND($D129="vacant",$F129=1),'Prop Budget Calc'!$BB$1,IF(OR($B129=0,$F129&lt;&gt;1),0,SUMIFS(#REF!,#REF!,'Prop Budget Calc'!BB$4,#REF!,$B129)*'Prop Budget Calc'!$BB$3))</f>
        <v>0</v>
      </c>
      <c r="S129" s="203">
        <f>IF(AND($D129="vacant",$F129=1),'Prop Budget Calc'!#REF!,IF(OR($B129=0,$F129&lt;&gt;1),0,SUMIFS(#REF!,#REF!,'Prop Budget Calc'!#REF!,#REF!,$B129)*'Prop Budget Calc'!#REF!))+IF(AND($D129="vacant",$F129=1),'Prop Budget Calc'!#REF!,IF(OR($B129=0,$F129&lt;&gt;1),0,SUMIFS(#REF!,#REF!,'Prop Budget Calc'!#REF!,#REF!,$B129)*'Prop Budget Calc'!#REF!))</f>
        <v>0</v>
      </c>
      <c r="T129" s="115">
        <f>$L129*'Prop Budget Calc'!$AV$2+IF(AND($J129&lt;&gt;"50101", $J129&lt;&gt;"50102"),0,IF($J129="50101",IF(($L129/52*'Prop Budget Calc'!$AW$3)&gt;'Prop Budget Calc'!$AV$1,'Prop Budget Calc'!$AV$1,$L129/52*'Prop Budget Calc'!$AW$3),IF(($L129/52*'Prop Budget Calc'!$AW$3)&gt;'Prop Budget Calc'!$AW$1,'Prop Budget Calc'!$AW$1,$L129/52*'Prop Budget Calc'!$AW$3)))*F129+IF(AND($D129="vacant",$F129=1),'Prop Budget Calc'!$AX$1,IF(OR($B129=0,$F129&lt;&gt;1),0,SUMIFS(#REF!,#REF!,'Prop Budget Calc'!AX$4,#REF!,$B129)*'Prop Budget Calc'!$AX$3))+IF(AND($D129="vacant",$F129=1),'Prop Budget Calc'!$AY$1,IF(OR($B129=0,$F129&lt;&gt;1),0,SUMIFS(#REF!,#REF!,'Prop Budget Calc'!AY$4,#REF!,$B129))*'Prop Budget Calc'!$AY$3)</f>
        <v>2282.1516000000001</v>
      </c>
      <c r="U129" s="203">
        <f t="shared" si="107"/>
        <v>2282.1516000000001</v>
      </c>
      <c r="X129" s="126"/>
      <c r="Y129" s="126"/>
      <c r="AA129" s="125">
        <f t="shared" si="116"/>
        <v>0</v>
      </c>
      <c r="AB129" s="125">
        <f t="shared" si="116"/>
        <v>0</v>
      </c>
      <c r="AC129" s="125">
        <f t="shared" si="116"/>
        <v>0</v>
      </c>
      <c r="AD129" s="125">
        <f t="shared" si="105"/>
        <v>0</v>
      </c>
      <c r="AE129" s="125"/>
      <c r="AF129" s="125">
        <f t="shared" si="108"/>
        <v>0</v>
      </c>
      <c r="AG129" s="125">
        <f t="shared" si="109"/>
        <v>8570.0479999999934</v>
      </c>
      <c r="AH129" s="125">
        <f t="shared" si="110"/>
        <v>0</v>
      </c>
      <c r="AI129" s="125">
        <f t="shared" si="111"/>
        <v>0</v>
      </c>
      <c r="AJ129" s="125">
        <f t="shared" si="112"/>
        <v>8570.0479999999934</v>
      </c>
      <c r="AK129" s="125">
        <f t="shared" si="113"/>
        <v>456.42891439080438</v>
      </c>
      <c r="AL129" s="205">
        <f t="shared" si="114"/>
        <v>114.10757999999994</v>
      </c>
      <c r="AM129" s="125">
        <f t="shared" si="115"/>
        <v>0</v>
      </c>
      <c r="AN129" s="125">
        <f t="shared" ref="AN129:AN172" si="118">AJ129*$AN$2</f>
        <v>1428.6270015999987</v>
      </c>
    </row>
    <row r="130" spans="2:40">
      <c r="J130" s="202"/>
      <c r="K130" s="115"/>
      <c r="N130" s="115"/>
      <c r="O130" s="203"/>
      <c r="P130" s="203"/>
      <c r="Q130" s="203"/>
      <c r="R130" s="203"/>
      <c r="S130" s="203"/>
      <c r="U130" s="203"/>
      <c r="X130" s="126"/>
      <c r="Y130" s="126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205"/>
      <c r="AM130" s="125"/>
      <c r="AN130" s="125"/>
    </row>
    <row r="131" spans="2:40">
      <c r="J131" s="202"/>
      <c r="K131" s="115"/>
      <c r="N131" s="115"/>
      <c r="O131" s="203"/>
      <c r="P131" s="203"/>
      <c r="Q131" s="203"/>
      <c r="R131" s="203"/>
      <c r="S131" s="203"/>
      <c r="U131" s="203"/>
      <c r="X131" s="126"/>
      <c r="Y131" s="126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205"/>
      <c r="AM131" s="125"/>
      <c r="AN131" s="125"/>
    </row>
    <row r="132" spans="2:40">
      <c r="B132" s="115">
        <f>'Prop Budget Calc'!A132</f>
        <v>0</v>
      </c>
      <c r="C132" s="115">
        <f>'Prop Budget Calc'!B132</f>
        <v>0</v>
      </c>
      <c r="D132" s="115">
        <f>'Prop Budget Calc'!C132</f>
        <v>0</v>
      </c>
      <c r="F132" s="115">
        <f>'Prop Budget Calc'!E132</f>
        <v>0</v>
      </c>
      <c r="H132" s="115">
        <f>'Prop Budget Calc'!G132</f>
        <v>0</v>
      </c>
      <c r="J132" s="202">
        <f>'Prop Budget Calc'!I132</f>
        <v>0</v>
      </c>
      <c r="K132" s="115">
        <f>'Prop Budget Calc'!P132</f>
        <v>2886360</v>
      </c>
      <c r="L132" s="115">
        <f>'Prop Budget Calc'!N132</f>
        <v>2535724</v>
      </c>
      <c r="M132" s="115">
        <f t="shared" si="106"/>
        <v>211310.33333333334</v>
      </c>
      <c r="N132" s="115"/>
      <c r="O132" s="203">
        <f>'Prop Budget Calc'!AK132/12</f>
        <v>14283.413333333332</v>
      </c>
      <c r="P132" s="203">
        <f>'Prop Budget Calc'!AL132/12</f>
        <v>0</v>
      </c>
      <c r="Q132" s="203">
        <f>'Prop Budget Calc'!AM132/12</f>
        <v>5680</v>
      </c>
      <c r="R132" s="203">
        <f>IF(AND($D132="vacant",$F132=1),'Prop Budget Calc'!#REF!,IF(OR($B132=0,$F132&lt;&gt;1),0,SUMIFS(#REF!,#REF!,'Prop Budget Calc'!#REF!,#REF!,$B132)*'Prop Budget Calc'!#REF!))+IF(AND($D132="vacant",$F132=1),'Prop Budget Calc'!#REF!,IF(OR($B132=0,$F132&lt;&gt;1),0,SUMIFS(#REF!,#REF!,'Prop Budget Calc'!#REF!,#REF!,$B132)*'Prop Budget Calc'!#REF!))+IF(AND($D132="vacant",$F132=1),'Prop Budget Calc'!$BA$1,IF(OR($B132=0,$F132&lt;&gt;1),0,SUMIFS(#REF!,#REF!,'Prop Budget Calc'!BA$4,#REF!,$B132)*'Prop Budget Calc'!$BA$3))+IF(AND($D132="vacant",$F132=1),'Prop Budget Calc'!$BB$1,IF(OR($B132=0,$F132&lt;&gt;1),0,SUMIFS(#REF!,#REF!,'Prop Budget Calc'!BB$4,#REF!,$B132)*'Prop Budget Calc'!$BB$3))</f>
        <v>0</v>
      </c>
      <c r="S132" s="203">
        <f>IF(AND($D132="vacant",$F132=1),'Prop Budget Calc'!#REF!,IF(OR($B132=0,$F132&lt;&gt;1),0,SUMIFS(#REF!,#REF!,'Prop Budget Calc'!#REF!,#REF!,$B132)*'Prop Budget Calc'!#REF!))+IF(AND($D132="vacant",$F132=1),'Prop Budget Calc'!#REF!,IF(OR($B132=0,$F132&lt;&gt;1),0,SUMIFS(#REF!,#REF!,'Prop Budget Calc'!#REF!,#REF!,$B132)*'Prop Budget Calc'!#REF!))</f>
        <v>0</v>
      </c>
      <c r="T132" s="115">
        <f>$L132*'Prop Budget Calc'!$AV$2+IF(AND($J132&lt;&gt;"50101", $J132&lt;&gt;"50102"),0,IF($J132="50101",IF(($L132/52*'Prop Budget Calc'!$AW$3)&gt;'Prop Budget Calc'!$AV$1,'Prop Budget Calc'!$AV$1,$L132/52*'Prop Budget Calc'!$AW$3),IF(($L132/52*'Prop Budget Calc'!$AW$3)&gt;'Prop Budget Calc'!$AW$1,'Prop Budget Calc'!$AW$1,$L132/52*'Prop Budget Calc'!$AW$3)))*F132+IF(AND($D132="vacant",$F132=1),'Prop Budget Calc'!$AX$1,IF(OR($B132=0,$F132&lt;&gt;1),0,SUMIFS(#REF!,#REF!,'Prop Budget Calc'!AX$4,#REF!,$B132)*'Prop Budget Calc'!$AX$3))+IF(AND($D132="vacant",$F132=1),'Prop Budget Calc'!$AY$1,IF(OR($B132=0,$F132&lt;&gt;1),0,SUMIFS(#REF!,#REF!,'Prop Budget Calc'!AY$4,#REF!,$B132))*'Prop Budget Calc'!$AY$3)</f>
        <v>4564.3032000000003</v>
      </c>
      <c r="U132" s="203">
        <f t="shared" si="107"/>
        <v>4564.3032000000003</v>
      </c>
      <c r="X132" s="126"/>
      <c r="Y132" s="126"/>
      <c r="AA132" s="125">
        <f>IF($J132=AA$5,$L132/$AB$1*$AB$2,0)</f>
        <v>0</v>
      </c>
      <c r="AB132" s="125">
        <f>IF($J132=AB$5,$L132/$AB$1*$AB$2,0)</f>
        <v>0</v>
      </c>
      <c r="AC132" s="125">
        <f>IF($J132=AC$5,$L132/$AB$1*$AB$2,0)</f>
        <v>0</v>
      </c>
      <c r="AD132" s="125">
        <f>IF($J132=AD$5,$L132/$AB$1*$AB$2,0)</f>
        <v>0</v>
      </c>
      <c r="AE132" s="125"/>
      <c r="AF132" s="125">
        <f t="shared" si="108"/>
        <v>0</v>
      </c>
      <c r="AG132" s="125">
        <f t="shared" si="109"/>
        <v>17140.095999999987</v>
      </c>
      <c r="AH132" s="125">
        <f t="shared" si="110"/>
        <v>0</v>
      </c>
      <c r="AI132" s="125">
        <f t="shared" si="111"/>
        <v>0</v>
      </c>
      <c r="AJ132" s="125">
        <f t="shared" si="112"/>
        <v>17140.095999999987</v>
      </c>
      <c r="AK132" s="125">
        <f t="shared" si="113"/>
        <v>580.6946103908042</v>
      </c>
      <c r="AL132" s="205">
        <f t="shared" si="114"/>
        <v>228.21515999999988</v>
      </c>
      <c r="AM132" s="125">
        <f t="shared" si="115"/>
        <v>0</v>
      </c>
      <c r="AN132" s="125">
        <f t="shared" si="118"/>
        <v>2857.2540031999974</v>
      </c>
    </row>
    <row r="133" spans="2:40">
      <c r="J133" s="202"/>
      <c r="K133" s="115"/>
      <c r="N133" s="115"/>
      <c r="O133" s="203"/>
      <c r="P133" s="203"/>
      <c r="Q133" s="203"/>
      <c r="R133" s="203"/>
      <c r="S133" s="203"/>
      <c r="U133" s="203"/>
      <c r="X133" s="126"/>
      <c r="Y133" s="126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205"/>
      <c r="AM133" s="125"/>
      <c r="AN133" s="125"/>
    </row>
    <row r="134" spans="2:40">
      <c r="J134" s="202"/>
      <c r="K134" s="115"/>
      <c r="N134" s="115"/>
      <c r="O134" s="203"/>
      <c r="P134" s="203"/>
      <c r="Q134" s="203"/>
      <c r="R134" s="203"/>
      <c r="S134" s="203"/>
      <c r="U134" s="203"/>
      <c r="X134" s="126"/>
      <c r="Y134" s="126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205"/>
      <c r="AM134" s="125"/>
      <c r="AN134" s="125"/>
    </row>
    <row r="135" spans="2:40">
      <c r="J135" s="202"/>
      <c r="K135" s="115"/>
      <c r="N135" s="115"/>
      <c r="O135" s="203"/>
      <c r="P135" s="203"/>
      <c r="Q135" s="203"/>
      <c r="R135" s="203"/>
      <c r="S135" s="203"/>
      <c r="U135" s="203"/>
      <c r="X135" s="126"/>
      <c r="Y135" s="126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205"/>
      <c r="AM135" s="125"/>
      <c r="AN135" s="125"/>
    </row>
    <row r="136" spans="2:40">
      <c r="J136" s="202"/>
      <c r="K136" s="115"/>
      <c r="N136" s="115"/>
      <c r="O136" s="203"/>
      <c r="P136" s="203"/>
      <c r="Q136" s="203"/>
      <c r="R136" s="203"/>
      <c r="S136" s="203"/>
      <c r="U136" s="203"/>
      <c r="X136" s="126"/>
      <c r="Y136" s="126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205"/>
      <c r="AM136" s="125"/>
      <c r="AN136" s="125"/>
    </row>
    <row r="137" spans="2:40">
      <c r="J137" s="202"/>
      <c r="K137" s="115"/>
      <c r="N137" s="115"/>
      <c r="O137" s="203"/>
      <c r="P137" s="203"/>
      <c r="Q137" s="203"/>
      <c r="R137" s="203"/>
      <c r="S137" s="203"/>
      <c r="U137" s="203"/>
      <c r="X137" s="126"/>
      <c r="Y137" s="126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205"/>
      <c r="AM137" s="125"/>
      <c r="AN137" s="125"/>
    </row>
    <row r="138" spans="2:40">
      <c r="J138" s="202"/>
      <c r="K138" s="115"/>
      <c r="N138" s="115"/>
      <c r="O138" s="203"/>
      <c r="P138" s="203"/>
      <c r="Q138" s="203"/>
      <c r="R138" s="203"/>
      <c r="S138" s="203"/>
      <c r="U138" s="203"/>
      <c r="X138" s="126"/>
      <c r="Y138" s="126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205"/>
      <c r="AM138" s="125"/>
      <c r="AN138" s="125"/>
    </row>
    <row r="139" spans="2:40">
      <c r="J139" s="202"/>
      <c r="K139" s="115"/>
      <c r="N139" s="115"/>
      <c r="O139" s="203"/>
      <c r="P139" s="203"/>
      <c r="Q139" s="203"/>
      <c r="R139" s="203"/>
      <c r="S139" s="203"/>
      <c r="U139" s="203"/>
      <c r="X139" s="126"/>
      <c r="Y139" s="126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205"/>
      <c r="AM139" s="125"/>
      <c r="AN139" s="125"/>
    </row>
    <row r="140" spans="2:40">
      <c r="J140" s="202"/>
      <c r="K140" s="115"/>
      <c r="N140" s="115"/>
      <c r="O140" s="203"/>
      <c r="P140" s="203"/>
      <c r="Q140" s="203"/>
      <c r="R140" s="203"/>
      <c r="S140" s="203"/>
      <c r="U140" s="203"/>
      <c r="X140" s="126"/>
      <c r="Y140" s="126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205"/>
      <c r="AM140" s="125"/>
      <c r="AN140" s="125"/>
    </row>
    <row r="141" spans="2:40">
      <c r="J141" s="202"/>
      <c r="K141" s="115"/>
      <c r="N141" s="115"/>
      <c r="O141" s="203"/>
      <c r="P141" s="203"/>
      <c r="Q141" s="203"/>
      <c r="R141" s="203"/>
      <c r="S141" s="203"/>
      <c r="U141" s="203"/>
      <c r="X141" s="126"/>
      <c r="Y141" s="126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205"/>
      <c r="AM141" s="125"/>
      <c r="AN141" s="125"/>
    </row>
    <row r="142" spans="2:40">
      <c r="J142" s="202"/>
      <c r="K142" s="115"/>
      <c r="N142" s="115"/>
      <c r="O142" s="203"/>
      <c r="P142" s="203"/>
      <c r="Q142" s="203"/>
      <c r="R142" s="203"/>
      <c r="S142" s="203"/>
      <c r="U142" s="203"/>
      <c r="X142" s="126"/>
      <c r="Y142" s="126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205"/>
      <c r="AM142" s="125"/>
      <c r="AN142" s="125"/>
    </row>
    <row r="143" spans="2:40">
      <c r="J143" s="202"/>
      <c r="K143" s="115"/>
      <c r="N143" s="115"/>
      <c r="O143" s="203"/>
      <c r="P143" s="203"/>
      <c r="Q143" s="203"/>
      <c r="R143" s="203"/>
      <c r="S143" s="203"/>
      <c r="U143" s="203"/>
      <c r="X143" s="126"/>
      <c r="Y143" s="126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205"/>
      <c r="AM143" s="125"/>
      <c r="AN143" s="125"/>
    </row>
    <row r="144" spans="2:40">
      <c r="J144" s="202"/>
      <c r="K144" s="115"/>
      <c r="N144" s="115"/>
      <c r="O144" s="203"/>
      <c r="P144" s="203"/>
      <c r="Q144" s="203"/>
      <c r="R144" s="203"/>
      <c r="S144" s="203"/>
      <c r="U144" s="203"/>
      <c r="X144" s="126"/>
      <c r="Y144" s="126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205"/>
      <c r="AM144" s="125"/>
      <c r="AN144" s="125"/>
    </row>
    <row r="145" spans="2:40">
      <c r="J145" s="202"/>
      <c r="K145" s="115"/>
      <c r="N145" s="115"/>
      <c r="O145" s="203"/>
      <c r="P145" s="203"/>
      <c r="Q145" s="203"/>
      <c r="R145" s="203"/>
      <c r="S145" s="203"/>
      <c r="U145" s="203"/>
      <c r="X145" s="126"/>
      <c r="Y145" s="126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205"/>
      <c r="AM145" s="125"/>
      <c r="AN145" s="125"/>
    </row>
    <row r="146" spans="2:40">
      <c r="J146" s="202"/>
      <c r="K146" s="115"/>
      <c r="N146" s="115"/>
      <c r="O146" s="203"/>
      <c r="P146" s="203"/>
      <c r="Q146" s="203"/>
      <c r="R146" s="203"/>
      <c r="S146" s="203"/>
      <c r="U146" s="203"/>
      <c r="X146" s="126"/>
      <c r="Y146" s="126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205"/>
      <c r="AM146" s="125"/>
      <c r="AN146" s="125"/>
    </row>
    <row r="147" spans="2:40">
      <c r="J147" s="202"/>
      <c r="K147" s="115"/>
      <c r="N147" s="115"/>
      <c r="O147" s="203"/>
      <c r="P147" s="203"/>
      <c r="Q147" s="203"/>
      <c r="R147" s="203"/>
      <c r="S147" s="203"/>
      <c r="U147" s="203"/>
      <c r="X147" s="126"/>
      <c r="Y147" s="126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205"/>
      <c r="AM147" s="125"/>
      <c r="AN147" s="125"/>
    </row>
    <row r="148" spans="2:40">
      <c r="J148" s="202"/>
      <c r="K148" s="115"/>
      <c r="N148" s="115"/>
      <c r="O148" s="203"/>
      <c r="P148" s="203"/>
      <c r="Q148" s="203"/>
      <c r="R148" s="203"/>
      <c r="S148" s="203"/>
      <c r="U148" s="203"/>
      <c r="X148" s="126"/>
      <c r="Y148" s="126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205"/>
      <c r="AM148" s="125"/>
      <c r="AN148" s="125"/>
    </row>
    <row r="149" spans="2:40">
      <c r="J149" s="202"/>
      <c r="K149" s="115"/>
      <c r="N149" s="115"/>
      <c r="O149" s="203"/>
      <c r="P149" s="203"/>
      <c r="Q149" s="203"/>
      <c r="R149" s="203"/>
      <c r="S149" s="203"/>
      <c r="U149" s="203"/>
      <c r="X149" s="126"/>
      <c r="Y149" s="126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205"/>
      <c r="AM149" s="125"/>
      <c r="AN149" s="125"/>
    </row>
    <row r="150" spans="2:40">
      <c r="J150" s="202"/>
      <c r="K150" s="115"/>
      <c r="N150" s="115"/>
      <c r="O150" s="203"/>
      <c r="P150" s="203"/>
      <c r="Q150" s="203"/>
      <c r="R150" s="203"/>
      <c r="S150" s="203"/>
      <c r="U150" s="203"/>
      <c r="X150" s="126"/>
      <c r="Y150" s="126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205"/>
      <c r="AM150" s="125"/>
      <c r="AN150" s="125"/>
    </row>
    <row r="151" spans="2:40">
      <c r="J151" s="202"/>
      <c r="K151" s="115"/>
      <c r="N151" s="115"/>
      <c r="O151" s="203"/>
      <c r="P151" s="203"/>
      <c r="Q151" s="203"/>
      <c r="R151" s="203"/>
      <c r="S151" s="203"/>
      <c r="U151" s="203"/>
      <c r="X151" s="126"/>
      <c r="Y151" s="126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205"/>
      <c r="AM151" s="125"/>
      <c r="AN151" s="125"/>
    </row>
    <row r="152" spans="2:40">
      <c r="J152" s="202"/>
      <c r="K152" s="115"/>
      <c r="N152" s="115"/>
      <c r="O152" s="203"/>
      <c r="P152" s="203"/>
      <c r="Q152" s="203"/>
      <c r="R152" s="203"/>
      <c r="S152" s="203"/>
      <c r="U152" s="203"/>
      <c r="X152" s="126"/>
      <c r="Y152" s="126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205"/>
      <c r="AM152" s="125"/>
      <c r="AN152" s="125"/>
    </row>
    <row r="153" spans="2:40">
      <c r="J153" s="202"/>
      <c r="K153" s="115"/>
      <c r="N153" s="115"/>
      <c r="O153" s="203"/>
      <c r="P153" s="203"/>
      <c r="Q153" s="203"/>
      <c r="R153" s="203"/>
      <c r="S153" s="203"/>
      <c r="U153" s="203"/>
      <c r="X153" s="126"/>
      <c r="Y153" s="126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205"/>
      <c r="AM153" s="125"/>
      <c r="AN153" s="125"/>
    </row>
    <row r="154" spans="2:40">
      <c r="B154" s="115" t="e">
        <f>'Prop Budget Calc'!#REF!</f>
        <v>#REF!</v>
      </c>
      <c r="C154" s="115" t="e">
        <f>'Prop Budget Calc'!#REF!</f>
        <v>#REF!</v>
      </c>
      <c r="D154" s="115" t="e">
        <f>'Prop Budget Calc'!#REF!</f>
        <v>#REF!</v>
      </c>
      <c r="F154" s="115" t="e">
        <f>'Prop Budget Calc'!#REF!</f>
        <v>#REF!</v>
      </c>
      <c r="H154" s="115" t="e">
        <f>'Prop Budget Calc'!#REF!</f>
        <v>#REF!</v>
      </c>
      <c r="J154" s="202" t="e">
        <f>'Prop Budget Calc'!#REF!</f>
        <v>#REF!</v>
      </c>
      <c r="K154" s="203" t="e">
        <f>SUMIF($B$2:$B$138,$B154,K$2:K$138)*'Prop Budget Calc'!#REF!</f>
        <v>#REF!</v>
      </c>
      <c r="L154" s="203" t="e">
        <f>SUMIF($B$2:$B$138,$B154,L$2:L$138)*'Prop Budget Calc'!#REF!</f>
        <v>#REF!</v>
      </c>
      <c r="M154" s="203" t="e">
        <f>SUMIF($B$2:$B$138,$B154,M$2:M$138)*'Prop Budget Calc'!#REF!</f>
        <v>#REF!</v>
      </c>
      <c r="N154" s="115"/>
      <c r="O154" s="203" t="e">
        <f>SUMIF($B$2:$B$138,$B154,O$2:O$138)*'Prop Budget Calc'!#REF!</f>
        <v>#REF!</v>
      </c>
      <c r="P154" s="203" t="e">
        <f>SUMIF($B$2:$B$138,$B154,P$2:P$138)*'Prop Budget Calc'!#REF!</f>
        <v>#REF!</v>
      </c>
      <c r="Q154" s="203" t="e">
        <f>SUMIF($B$2:$B$138,$B154,Q$2:Q$138)*'Prop Budget Calc'!#REF!</f>
        <v>#REF!</v>
      </c>
      <c r="R154" s="203" t="e">
        <f>SUMIF($B$2:$B$138,$B154,R$2:R$138)*'Prop Budget Calc'!#REF!</f>
        <v>#REF!</v>
      </c>
      <c r="S154" s="203" t="e">
        <f>SUMIF($B$2:$B$138,$B154,S$2:S$138)*'Prop Budget Calc'!#REF!</f>
        <v>#REF!</v>
      </c>
      <c r="T154" s="203" t="e">
        <f>SUMIF($B$2:$B$138,$B154,T$2:T$138)*'Prop Budget Calc'!#REF!</f>
        <v>#REF!</v>
      </c>
      <c r="U154" s="203" t="e">
        <f>SUMIF($B$2:$B$138,$B154,U$2:U$138)*'Prop Budget Calc'!#REF!</f>
        <v>#REF!</v>
      </c>
      <c r="X154" s="126"/>
      <c r="Y154" s="126"/>
      <c r="AA154" s="125" t="e">
        <f t="shared" ref="AA154:AD155" si="119">IF($J154=AA$5,$L154/$AB$1*$AB$2,0)</f>
        <v>#REF!</v>
      </c>
      <c r="AB154" s="125" t="e">
        <f t="shared" si="119"/>
        <v>#REF!</v>
      </c>
      <c r="AC154" s="125" t="e">
        <f t="shared" si="119"/>
        <v>#REF!</v>
      </c>
      <c r="AD154" s="125" t="e">
        <f t="shared" si="119"/>
        <v>#REF!</v>
      </c>
      <c r="AE154" s="125"/>
      <c r="AF154" s="125" t="e">
        <f t="shared" si="108"/>
        <v>#REF!</v>
      </c>
      <c r="AG154" s="125" t="e">
        <f t="shared" si="109"/>
        <v>#REF!</v>
      </c>
      <c r="AH154" s="125" t="e">
        <f t="shared" si="110"/>
        <v>#REF!</v>
      </c>
      <c r="AI154" s="125" t="e">
        <f t="shared" si="111"/>
        <v>#REF!</v>
      </c>
      <c r="AJ154" s="125" t="e">
        <f t="shared" si="112"/>
        <v>#REF!</v>
      </c>
      <c r="AK154" s="125" t="e">
        <f t="shared" si="113"/>
        <v>#REF!</v>
      </c>
      <c r="AL154" s="205" t="e">
        <f t="shared" si="114"/>
        <v>#REF!</v>
      </c>
      <c r="AM154" s="125" t="e">
        <f t="shared" si="115"/>
        <v>#REF!</v>
      </c>
      <c r="AN154" s="125" t="e">
        <f t="shared" si="118"/>
        <v>#REF!</v>
      </c>
    </row>
    <row r="155" spans="2:40">
      <c r="B155" s="115" t="e">
        <f>'Prop Budget Calc'!#REF!</f>
        <v>#REF!</v>
      </c>
      <c r="C155" s="115" t="e">
        <f>'Prop Budget Calc'!#REF!</f>
        <v>#REF!</v>
      </c>
      <c r="D155" s="115" t="e">
        <f>'Prop Budget Calc'!#REF!</f>
        <v>#REF!</v>
      </c>
      <c r="F155" s="115" t="e">
        <f>'Prop Budget Calc'!#REF!</f>
        <v>#REF!</v>
      </c>
      <c r="H155" s="115" t="e">
        <f>'Prop Budget Calc'!#REF!</f>
        <v>#REF!</v>
      </c>
      <c r="J155" s="202" t="e">
        <f>'Prop Budget Calc'!#REF!</f>
        <v>#REF!</v>
      </c>
      <c r="K155" s="203" t="e">
        <f t="shared" ref="K155:M155" si="120">-K154</f>
        <v>#REF!</v>
      </c>
      <c r="L155" s="203" t="e">
        <f t="shared" si="120"/>
        <v>#REF!</v>
      </c>
      <c r="M155" s="203" t="e">
        <f t="shared" si="120"/>
        <v>#REF!</v>
      </c>
      <c r="N155" s="115"/>
      <c r="O155" s="203" t="e">
        <f t="shared" ref="O155:T155" si="121">-O154</f>
        <v>#REF!</v>
      </c>
      <c r="P155" s="203" t="e">
        <f t="shared" si="121"/>
        <v>#REF!</v>
      </c>
      <c r="Q155" s="203" t="e">
        <f t="shared" si="121"/>
        <v>#REF!</v>
      </c>
      <c r="R155" s="203" t="e">
        <f t="shared" si="121"/>
        <v>#REF!</v>
      </c>
      <c r="S155" s="203" t="e">
        <f t="shared" si="121"/>
        <v>#REF!</v>
      </c>
      <c r="T155" s="203" t="e">
        <f t="shared" si="121"/>
        <v>#REF!</v>
      </c>
      <c r="U155" s="203" t="e">
        <f>-U154</f>
        <v>#REF!</v>
      </c>
      <c r="X155" s="126"/>
      <c r="Y155" s="126"/>
      <c r="AA155" s="125" t="e">
        <f t="shared" si="119"/>
        <v>#REF!</v>
      </c>
      <c r="AB155" s="125" t="e">
        <f t="shared" si="119"/>
        <v>#REF!</v>
      </c>
      <c r="AC155" s="125" t="e">
        <f t="shared" si="119"/>
        <v>#REF!</v>
      </c>
      <c r="AD155" s="125" t="e">
        <f t="shared" si="119"/>
        <v>#REF!</v>
      </c>
      <c r="AE155" s="125"/>
      <c r="AF155" s="125" t="e">
        <f t="shared" si="108"/>
        <v>#REF!</v>
      </c>
      <c r="AG155" s="125" t="e">
        <f t="shared" si="109"/>
        <v>#REF!</v>
      </c>
      <c r="AH155" s="125" t="e">
        <f t="shared" si="110"/>
        <v>#REF!</v>
      </c>
      <c r="AI155" s="125" t="e">
        <f t="shared" si="111"/>
        <v>#REF!</v>
      </c>
      <c r="AJ155" s="125" t="e">
        <f t="shared" si="112"/>
        <v>#REF!</v>
      </c>
      <c r="AK155" s="125" t="e">
        <f t="shared" si="113"/>
        <v>#REF!</v>
      </c>
      <c r="AL155" s="205" t="e">
        <f t="shared" si="114"/>
        <v>#REF!</v>
      </c>
      <c r="AM155" s="125" t="e">
        <f t="shared" si="115"/>
        <v>#REF!</v>
      </c>
      <c r="AN155" s="125" t="e">
        <f t="shared" si="118"/>
        <v>#REF!</v>
      </c>
    </row>
    <row r="156" spans="2:40">
      <c r="J156" s="202"/>
      <c r="K156" s="115"/>
      <c r="N156" s="115"/>
      <c r="O156" s="203"/>
      <c r="P156" s="203"/>
      <c r="Q156" s="203"/>
      <c r="R156" s="203"/>
      <c r="S156" s="203"/>
      <c r="U156" s="558"/>
      <c r="X156" s="126"/>
      <c r="Y156" s="126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205"/>
      <c r="AM156" s="125"/>
      <c r="AN156" s="125"/>
    </row>
    <row r="157" spans="2:40">
      <c r="J157" s="202"/>
      <c r="K157" s="115"/>
      <c r="N157" s="115"/>
      <c r="O157" s="203"/>
      <c r="P157" s="203"/>
      <c r="Q157" s="203"/>
      <c r="R157" s="203"/>
      <c r="S157" s="203"/>
      <c r="U157" s="203"/>
      <c r="X157" s="126"/>
      <c r="Y157" s="126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205"/>
      <c r="AM157" s="125"/>
      <c r="AN157" s="125"/>
    </row>
    <row r="158" spans="2:40">
      <c r="J158" s="202"/>
      <c r="K158" s="115"/>
      <c r="N158" s="115"/>
      <c r="O158" s="203"/>
      <c r="P158" s="203"/>
      <c r="Q158" s="203"/>
      <c r="R158" s="203"/>
      <c r="S158" s="203"/>
      <c r="U158" s="203"/>
      <c r="X158" s="126"/>
      <c r="Y158" s="126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205"/>
      <c r="AM158" s="125"/>
      <c r="AN158" s="125"/>
    </row>
    <row r="159" spans="2:40">
      <c r="J159" s="202"/>
      <c r="K159" s="115"/>
      <c r="N159" s="115"/>
      <c r="O159" s="203"/>
      <c r="P159" s="203"/>
      <c r="Q159" s="203"/>
      <c r="R159" s="203"/>
      <c r="S159" s="203"/>
      <c r="U159" s="203"/>
      <c r="X159" s="126"/>
      <c r="Y159" s="126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205"/>
      <c r="AM159" s="125"/>
      <c r="AN159" s="125"/>
    </row>
    <row r="160" spans="2:40">
      <c r="B160" s="115" t="e">
        <f>'Prop Budget Calc'!#REF!</f>
        <v>#REF!</v>
      </c>
      <c r="C160" s="115" t="e">
        <f>'Prop Budget Calc'!#REF!</f>
        <v>#REF!</v>
      </c>
      <c r="D160" s="115" t="e">
        <f>'Prop Budget Calc'!#REF!</f>
        <v>#REF!</v>
      </c>
      <c r="F160" s="115" t="e">
        <f>'Prop Budget Calc'!#REF!</f>
        <v>#REF!</v>
      </c>
      <c r="H160" s="115" t="e">
        <f>'Prop Budget Calc'!#REF!</f>
        <v>#REF!</v>
      </c>
      <c r="J160" s="202" t="e">
        <f>'Prop Budget Calc'!#REF!</f>
        <v>#REF!</v>
      </c>
      <c r="K160" s="115" t="e">
        <f>'Prop Budget Calc'!#REF!</f>
        <v>#REF!</v>
      </c>
      <c r="L160" s="115" t="e">
        <f>'Prop Budget Calc'!#REF!</f>
        <v>#REF!</v>
      </c>
      <c r="M160" s="115" t="e">
        <f t="shared" si="106"/>
        <v>#REF!</v>
      </c>
      <c r="N160" s="115"/>
      <c r="O160" s="203" t="e">
        <f>'Prop Budget Calc'!#REF!/12</f>
        <v>#REF!</v>
      </c>
      <c r="P160" s="203" t="e">
        <f>'Prop Budget Calc'!#REF!/12</f>
        <v>#REF!</v>
      </c>
      <c r="Q160" s="203" t="e">
        <f>'Prop Budget Calc'!#REF!/12</f>
        <v>#REF!</v>
      </c>
      <c r="R160" s="203" t="e">
        <f>IF(AND($D160="vacant",$F160=1),'Prop Budget Calc'!#REF!,IF(OR($B160=0,$F160&lt;&gt;1),0,SUMIFS(#REF!,#REF!,'Prop Budget Calc'!#REF!,#REF!,$B160)*'Prop Budget Calc'!#REF!))+IF(AND($D160="vacant",$F160=1),'Prop Budget Calc'!#REF!,IF(OR($B160=0,$F160&lt;&gt;1),0,SUMIFS(#REF!,#REF!,'Prop Budget Calc'!#REF!,#REF!,$B160)*'Prop Budget Calc'!#REF!))+IF(AND($D160="vacant",$F160=1),'Prop Budget Calc'!$BA$1,IF(OR($B160=0,$F160&lt;&gt;1),0,SUMIFS(#REF!,#REF!,'Prop Budget Calc'!BA$4,#REF!,$B160)*'Prop Budget Calc'!$BA$3))+IF(AND($D160="vacant",$F160=1),'Prop Budget Calc'!$BB$1,IF(OR($B160=0,$F160&lt;&gt;1),0,SUMIFS(#REF!,#REF!,'Prop Budget Calc'!BB$4,#REF!,$B160)*'Prop Budget Calc'!$BB$3))</f>
        <v>#REF!</v>
      </c>
      <c r="S160" s="203" t="e">
        <f>IF(AND($D160="vacant",$F160=1),'Prop Budget Calc'!#REF!,IF(OR($B160=0,$F160&lt;&gt;1),0,SUMIFS(#REF!,#REF!,'Prop Budget Calc'!#REF!,#REF!,$B160)*'Prop Budget Calc'!#REF!))+IF(AND($D160="vacant",$F160=1),'Prop Budget Calc'!#REF!,IF(OR($B160=0,$F160&lt;&gt;1),0,SUMIFS(#REF!,#REF!,'Prop Budget Calc'!#REF!,#REF!,$B160)*'Prop Budget Calc'!#REF!))</f>
        <v>#REF!</v>
      </c>
      <c r="T160" s="115" t="e">
        <f>$L160*'Prop Budget Calc'!$AV$2+IF(AND($J160&lt;&gt;"50101", $J160&lt;&gt;"50102"),0,IF($J160="50101",IF(($L160/52*'Prop Budget Calc'!$AW$3)&gt;'Prop Budget Calc'!$AV$1,'Prop Budget Calc'!$AV$1,$L160/52*'Prop Budget Calc'!$AW$3),IF(($L160/52*'Prop Budget Calc'!$AW$3)&gt;'Prop Budget Calc'!$AW$1,'Prop Budget Calc'!$AW$1,$L160/52*'Prop Budget Calc'!$AW$3)))*F160+IF(AND($D160="vacant",$F160=1),'Prop Budget Calc'!$AX$1,IF(OR($B160=0,$F160&lt;&gt;1),0,SUMIFS(#REF!,#REF!,'Prop Budget Calc'!AX$4,#REF!,$B160)*'Prop Budget Calc'!$AX$3))+IF(AND($D160="vacant",$F160=1),'Prop Budget Calc'!$AY$1,IF(OR($B160=0,$F160&lt;&gt;1),0,SUMIFS(#REF!,#REF!,'Prop Budget Calc'!AY$4,#REF!,$B160))*'Prop Budget Calc'!$AY$3)</f>
        <v>#REF!</v>
      </c>
      <c r="U160" s="203" t="e">
        <f t="shared" si="107"/>
        <v>#REF!</v>
      </c>
      <c r="X160" s="126"/>
      <c r="Y160" s="126"/>
      <c r="AA160" s="125" t="e">
        <f t="shared" ref="AA160:AD163" si="122">IF($J160=AA$5,$L160/$AB$1*$AB$2,0)</f>
        <v>#REF!</v>
      </c>
      <c r="AB160" s="125" t="e">
        <f t="shared" si="122"/>
        <v>#REF!</v>
      </c>
      <c r="AC160" s="125" t="e">
        <f t="shared" si="122"/>
        <v>#REF!</v>
      </c>
      <c r="AD160" s="125" t="e">
        <f t="shared" si="122"/>
        <v>#REF!</v>
      </c>
      <c r="AE160" s="125"/>
      <c r="AF160" s="125" t="e">
        <f t="shared" si="108"/>
        <v>#REF!</v>
      </c>
      <c r="AG160" s="125" t="e">
        <f t="shared" si="109"/>
        <v>#REF!</v>
      </c>
      <c r="AH160" s="125" t="e">
        <f t="shared" si="110"/>
        <v>#REF!</v>
      </c>
      <c r="AI160" s="125" t="e">
        <f t="shared" si="111"/>
        <v>#REF!</v>
      </c>
      <c r="AJ160" s="125" t="e">
        <f t="shared" si="112"/>
        <v>#REF!</v>
      </c>
      <c r="AK160" s="125" t="e">
        <f t="shared" si="113"/>
        <v>#REF!</v>
      </c>
      <c r="AL160" s="205" t="e">
        <f t="shared" si="114"/>
        <v>#REF!</v>
      </c>
      <c r="AM160" s="125" t="e">
        <f t="shared" si="115"/>
        <v>#REF!</v>
      </c>
      <c r="AN160" s="125" t="e">
        <f t="shared" si="118"/>
        <v>#REF!</v>
      </c>
    </row>
    <row r="161" spans="2:40">
      <c r="B161" s="115" t="e">
        <f>'Prop Budget Calc'!#REF!</f>
        <v>#REF!</v>
      </c>
      <c r="C161" s="115" t="e">
        <f>'Prop Budget Calc'!#REF!</f>
        <v>#REF!</v>
      </c>
      <c r="D161" s="115" t="e">
        <f>'Prop Budget Calc'!#REF!</f>
        <v>#REF!</v>
      </c>
      <c r="F161" s="115" t="e">
        <f>'Prop Budget Calc'!#REF!</f>
        <v>#REF!</v>
      </c>
      <c r="H161" s="115" t="e">
        <f>'Prop Budget Calc'!#REF!</f>
        <v>#REF!</v>
      </c>
      <c r="J161" s="202" t="e">
        <f>'Prop Budget Calc'!#REF!</f>
        <v>#REF!</v>
      </c>
      <c r="K161" s="115" t="e">
        <f>'Prop Budget Calc'!#REF!</f>
        <v>#REF!</v>
      </c>
      <c r="L161" s="115" t="e">
        <f>'Prop Budget Calc'!#REF!</f>
        <v>#REF!</v>
      </c>
      <c r="M161" s="115" t="e">
        <f t="shared" si="106"/>
        <v>#REF!</v>
      </c>
      <c r="N161" s="115"/>
      <c r="O161" s="203" t="e">
        <f>'Prop Budget Calc'!#REF!/12</f>
        <v>#REF!</v>
      </c>
      <c r="P161" s="203" t="e">
        <f>'Prop Budget Calc'!#REF!/12</f>
        <v>#REF!</v>
      </c>
      <c r="Q161" s="203" t="e">
        <f>'Prop Budget Calc'!#REF!/12</f>
        <v>#REF!</v>
      </c>
      <c r="R161" s="203" t="e">
        <f>IF(AND($D161="vacant",$F161=1),'Prop Budget Calc'!#REF!,IF(OR($B161=0,$F161&lt;&gt;1),0,SUMIFS(#REF!,#REF!,'Prop Budget Calc'!#REF!,#REF!,$B161)*'Prop Budget Calc'!#REF!))+IF(AND($D161="vacant",$F161=1),'Prop Budget Calc'!#REF!,IF(OR($B161=0,$F161&lt;&gt;1),0,SUMIFS(#REF!,#REF!,'Prop Budget Calc'!#REF!,#REF!,$B161)*'Prop Budget Calc'!#REF!))+IF(AND($D161="vacant",$F161=1),'Prop Budget Calc'!$BA$1,IF(OR($B161=0,$F161&lt;&gt;1),0,SUMIFS(#REF!,#REF!,'Prop Budget Calc'!BA$4,#REF!,$B161)*'Prop Budget Calc'!$BA$3))+IF(AND($D161="vacant",$F161=1),'Prop Budget Calc'!$BB$1,IF(OR($B161=0,$F161&lt;&gt;1),0,SUMIFS(#REF!,#REF!,'Prop Budget Calc'!BB$4,#REF!,$B161)*'Prop Budget Calc'!$BB$3))</f>
        <v>#REF!</v>
      </c>
      <c r="S161" s="203" t="e">
        <f>IF(AND($D161="vacant",$F161=1),'Prop Budget Calc'!#REF!,IF(OR($B161=0,$F161&lt;&gt;1),0,SUMIFS(#REF!,#REF!,'Prop Budget Calc'!#REF!,#REF!,$B161)*'Prop Budget Calc'!#REF!))+IF(AND($D161="vacant",$F161=1),'Prop Budget Calc'!#REF!,IF(OR($B161=0,$F161&lt;&gt;1),0,SUMIFS(#REF!,#REF!,'Prop Budget Calc'!#REF!,#REF!,$B161)*'Prop Budget Calc'!#REF!))</f>
        <v>#REF!</v>
      </c>
      <c r="T161" s="115" t="e">
        <f>$L161*'Prop Budget Calc'!$AV$2+IF(AND($J161&lt;&gt;"50101", $J161&lt;&gt;"50102"),0,IF($J161="50101",IF(($L161/52*'Prop Budget Calc'!$AW$3)&gt;'Prop Budget Calc'!$AV$1,'Prop Budget Calc'!$AV$1,$L161/52*'Prop Budget Calc'!$AW$3),IF(($L161/52*'Prop Budget Calc'!$AW$3)&gt;'Prop Budget Calc'!$AW$1,'Prop Budget Calc'!$AW$1,$L161/52*'Prop Budget Calc'!$AW$3)))*F161+IF(AND($D161="vacant",$F161=1),'Prop Budget Calc'!$AX$1,IF(OR($B161=0,$F161&lt;&gt;1),0,SUMIFS(#REF!,#REF!,'Prop Budget Calc'!AX$4,#REF!,$B161)*'Prop Budget Calc'!$AX$3))+IF(AND($D161="vacant",$F161=1),'Prop Budget Calc'!$AY$1,IF(OR($B161=0,$F161&lt;&gt;1),0,SUMIFS(#REF!,#REF!,'Prop Budget Calc'!AY$4,#REF!,$B161))*'Prop Budget Calc'!$AY$3)</f>
        <v>#REF!</v>
      </c>
      <c r="U161" s="203" t="e">
        <f t="shared" si="107"/>
        <v>#REF!</v>
      </c>
      <c r="X161" s="126"/>
      <c r="Y161" s="126"/>
      <c r="AA161" s="125" t="e">
        <f t="shared" si="122"/>
        <v>#REF!</v>
      </c>
      <c r="AB161" s="125" t="e">
        <f t="shared" si="122"/>
        <v>#REF!</v>
      </c>
      <c r="AC161" s="125" t="e">
        <f t="shared" si="122"/>
        <v>#REF!</v>
      </c>
      <c r="AD161" s="125" t="e">
        <f t="shared" si="122"/>
        <v>#REF!</v>
      </c>
      <c r="AE161" s="125"/>
      <c r="AF161" s="125" t="e">
        <f t="shared" si="108"/>
        <v>#REF!</v>
      </c>
      <c r="AG161" s="125" t="e">
        <f t="shared" si="109"/>
        <v>#REF!</v>
      </c>
      <c r="AH161" s="125" t="e">
        <f t="shared" si="110"/>
        <v>#REF!</v>
      </c>
      <c r="AI161" s="125" t="e">
        <f t="shared" si="111"/>
        <v>#REF!</v>
      </c>
      <c r="AJ161" s="125" t="e">
        <f t="shared" si="112"/>
        <v>#REF!</v>
      </c>
      <c r="AK161" s="125" t="e">
        <f t="shared" si="113"/>
        <v>#REF!</v>
      </c>
      <c r="AL161" s="205" t="e">
        <f t="shared" si="114"/>
        <v>#REF!</v>
      </c>
      <c r="AM161" s="125" t="e">
        <f t="shared" si="115"/>
        <v>#REF!</v>
      </c>
      <c r="AN161" s="125" t="e">
        <f t="shared" si="118"/>
        <v>#REF!</v>
      </c>
    </row>
    <row r="162" spans="2:40">
      <c r="B162" s="115" t="e">
        <f>'Prop Budget Calc'!#REF!</f>
        <v>#REF!</v>
      </c>
      <c r="C162" s="115" t="e">
        <f>'Prop Budget Calc'!#REF!</f>
        <v>#REF!</v>
      </c>
      <c r="D162" s="115" t="e">
        <f>'Prop Budget Calc'!#REF!</f>
        <v>#REF!</v>
      </c>
      <c r="F162" s="115" t="e">
        <f>'Prop Budget Calc'!#REF!</f>
        <v>#REF!</v>
      </c>
      <c r="H162" s="115" t="e">
        <f>'Prop Budget Calc'!#REF!</f>
        <v>#REF!</v>
      </c>
      <c r="J162" s="202" t="e">
        <f>'Prop Budget Calc'!#REF!</f>
        <v>#REF!</v>
      </c>
      <c r="K162" s="115" t="e">
        <f>'Prop Budget Calc'!#REF!</f>
        <v>#REF!</v>
      </c>
      <c r="L162" s="115" t="e">
        <f>'Prop Budget Calc'!#REF!</f>
        <v>#REF!</v>
      </c>
      <c r="M162" s="115" t="e">
        <f t="shared" si="106"/>
        <v>#REF!</v>
      </c>
      <c r="N162" s="115"/>
      <c r="O162" s="203" t="e">
        <f>'Prop Budget Calc'!#REF!/12</f>
        <v>#REF!</v>
      </c>
      <c r="P162" s="203" t="e">
        <f>'Prop Budget Calc'!#REF!/12</f>
        <v>#REF!</v>
      </c>
      <c r="Q162" s="203" t="e">
        <f>'Prop Budget Calc'!#REF!/12</f>
        <v>#REF!</v>
      </c>
      <c r="R162" s="203" t="e">
        <f>IF(AND($D162="vacant",$F162=1),'Prop Budget Calc'!#REF!,IF(OR($B162=0,$F162&lt;&gt;1),0,SUMIFS(#REF!,#REF!,'Prop Budget Calc'!#REF!,#REF!,$B162)*'Prop Budget Calc'!#REF!))+IF(AND($D162="vacant",$F162=1),'Prop Budget Calc'!#REF!,IF(OR($B162=0,$F162&lt;&gt;1),0,SUMIFS(#REF!,#REF!,'Prop Budget Calc'!#REF!,#REF!,$B162)*'Prop Budget Calc'!#REF!))+IF(AND($D162="vacant",$F162=1),'Prop Budget Calc'!$BA$1,IF(OR($B162=0,$F162&lt;&gt;1),0,SUMIFS(#REF!,#REF!,'Prop Budget Calc'!BA$4,#REF!,$B162)*'Prop Budget Calc'!$BA$3))+IF(AND($D162="vacant",$F162=1),'Prop Budget Calc'!$BB$1,IF(OR($B162=0,$F162&lt;&gt;1),0,SUMIFS(#REF!,#REF!,'Prop Budget Calc'!BB$4,#REF!,$B162)*'Prop Budget Calc'!$BB$3))</f>
        <v>#REF!</v>
      </c>
      <c r="S162" s="203" t="e">
        <f>IF(AND($D162="vacant",$F162=1),'Prop Budget Calc'!#REF!,IF(OR($B162=0,$F162&lt;&gt;1),0,SUMIFS(#REF!,#REF!,'Prop Budget Calc'!#REF!,#REF!,$B162)*'Prop Budget Calc'!#REF!))+IF(AND($D162="vacant",$F162=1),'Prop Budget Calc'!#REF!,IF(OR($B162=0,$F162&lt;&gt;1),0,SUMIFS(#REF!,#REF!,'Prop Budget Calc'!#REF!,#REF!,$B162)*'Prop Budget Calc'!#REF!))</f>
        <v>#REF!</v>
      </c>
      <c r="T162" s="115" t="e">
        <f>$L162*'Prop Budget Calc'!$AV$2+IF(AND($J162&lt;&gt;"50101", $J162&lt;&gt;"50102"),0,IF($J162="50101",IF(($L162/52*'Prop Budget Calc'!$AW$3)&gt;'Prop Budget Calc'!$AV$1,'Prop Budget Calc'!$AV$1,$L162/52*'Prop Budget Calc'!$AW$3),IF(($L162/52*'Prop Budget Calc'!$AW$3)&gt;'Prop Budget Calc'!$AW$1,'Prop Budget Calc'!$AW$1,$L162/52*'Prop Budget Calc'!$AW$3)))*F162+IF(AND($D162="vacant",$F162=1),'Prop Budget Calc'!$AX$1,IF(OR($B162=0,$F162&lt;&gt;1),0,SUMIFS(#REF!,#REF!,'Prop Budget Calc'!AX$4,#REF!,$B162)*'Prop Budget Calc'!$AX$3))+IF(AND($D162="vacant",$F162=1),'Prop Budget Calc'!$AY$1,IF(OR($B162=0,$F162&lt;&gt;1),0,SUMIFS(#REF!,#REF!,'Prop Budget Calc'!AY$4,#REF!,$B162))*'Prop Budget Calc'!$AY$3)</f>
        <v>#REF!</v>
      </c>
      <c r="U162" s="203" t="e">
        <f t="shared" si="107"/>
        <v>#REF!</v>
      </c>
      <c r="X162" s="126"/>
      <c r="Y162" s="126"/>
      <c r="AA162" s="125" t="e">
        <f t="shared" si="122"/>
        <v>#REF!</v>
      </c>
      <c r="AB162" s="125" t="e">
        <f t="shared" si="122"/>
        <v>#REF!</v>
      </c>
      <c r="AC162" s="125" t="e">
        <f t="shared" si="122"/>
        <v>#REF!</v>
      </c>
      <c r="AD162" s="125" t="e">
        <f t="shared" si="122"/>
        <v>#REF!</v>
      </c>
      <c r="AE162" s="125"/>
      <c r="AF162" s="125" t="e">
        <f t="shared" si="108"/>
        <v>#REF!</v>
      </c>
      <c r="AG162" s="125" t="e">
        <f t="shared" si="109"/>
        <v>#REF!</v>
      </c>
      <c r="AH162" s="125" t="e">
        <f t="shared" si="110"/>
        <v>#REF!</v>
      </c>
      <c r="AI162" s="125" t="e">
        <f t="shared" si="111"/>
        <v>#REF!</v>
      </c>
      <c r="AJ162" s="125" t="e">
        <f t="shared" si="112"/>
        <v>#REF!</v>
      </c>
      <c r="AK162" s="125" t="e">
        <f t="shared" si="113"/>
        <v>#REF!</v>
      </c>
      <c r="AL162" s="205" t="e">
        <f t="shared" si="114"/>
        <v>#REF!</v>
      </c>
      <c r="AM162" s="125" t="e">
        <f t="shared" si="115"/>
        <v>#REF!</v>
      </c>
      <c r="AN162" s="125" t="e">
        <f t="shared" si="118"/>
        <v>#REF!</v>
      </c>
    </row>
    <row r="163" spans="2:40">
      <c r="B163" s="115" t="e">
        <f>'Prop Budget Calc'!#REF!</f>
        <v>#REF!</v>
      </c>
      <c r="C163" s="115" t="e">
        <f>'Prop Budget Calc'!#REF!</f>
        <v>#REF!</v>
      </c>
      <c r="D163" s="115" t="e">
        <f>'Prop Budget Calc'!#REF!</f>
        <v>#REF!</v>
      </c>
      <c r="F163" s="115" t="e">
        <f>'Prop Budget Calc'!#REF!</f>
        <v>#REF!</v>
      </c>
      <c r="H163" s="115" t="e">
        <f>'Prop Budget Calc'!#REF!</f>
        <v>#REF!</v>
      </c>
      <c r="J163" s="202" t="e">
        <f>'Prop Budget Calc'!#REF!</f>
        <v>#REF!</v>
      </c>
      <c r="K163" s="115" t="e">
        <f>'Prop Budget Calc'!#REF!</f>
        <v>#REF!</v>
      </c>
      <c r="L163" s="115" t="e">
        <f>'Prop Budget Calc'!#REF!</f>
        <v>#REF!</v>
      </c>
      <c r="M163" s="115" t="e">
        <f t="shared" si="106"/>
        <v>#REF!</v>
      </c>
      <c r="N163" s="115"/>
      <c r="O163" s="203" t="e">
        <f>'Prop Budget Calc'!#REF!/12</f>
        <v>#REF!</v>
      </c>
      <c r="P163" s="203" t="e">
        <f>'Prop Budget Calc'!#REF!/12</f>
        <v>#REF!</v>
      </c>
      <c r="Q163" s="203" t="e">
        <f>'Prop Budget Calc'!#REF!/12</f>
        <v>#REF!</v>
      </c>
      <c r="R163" s="203" t="e">
        <f>IF(AND($D163="vacant",$F163=1),'Prop Budget Calc'!#REF!,IF(OR($B163=0,$F163&lt;&gt;1),0,SUMIFS(#REF!,#REF!,'Prop Budget Calc'!#REF!,#REF!,$B163)*'Prop Budget Calc'!#REF!))+IF(AND($D163="vacant",$F163=1),'Prop Budget Calc'!#REF!,IF(OR($B163=0,$F163&lt;&gt;1),0,SUMIFS(#REF!,#REF!,'Prop Budget Calc'!#REF!,#REF!,$B163)*'Prop Budget Calc'!#REF!))+IF(AND($D163="vacant",$F163=1),'Prop Budget Calc'!$BA$1,IF(OR($B163=0,$F163&lt;&gt;1),0,SUMIFS(#REF!,#REF!,'Prop Budget Calc'!BA$4,#REF!,$B163)*'Prop Budget Calc'!$BA$3))+IF(AND($D163="vacant",$F163=1),'Prop Budget Calc'!$BB$1,IF(OR($B163=0,$F163&lt;&gt;1),0,SUMIFS(#REF!,#REF!,'Prop Budget Calc'!BB$4,#REF!,$B163)*'Prop Budget Calc'!$BB$3))</f>
        <v>#REF!</v>
      </c>
      <c r="S163" s="203" t="e">
        <f>IF(AND($D163="vacant",$F163=1),'Prop Budget Calc'!#REF!,IF(OR($B163=0,$F163&lt;&gt;1),0,SUMIFS(#REF!,#REF!,'Prop Budget Calc'!#REF!,#REF!,$B163)*'Prop Budget Calc'!#REF!))+IF(AND($D163="vacant",$F163=1),'Prop Budget Calc'!#REF!,IF(OR($B163=0,$F163&lt;&gt;1),0,SUMIFS(#REF!,#REF!,'Prop Budget Calc'!#REF!,#REF!,$B163)*'Prop Budget Calc'!#REF!))</f>
        <v>#REF!</v>
      </c>
      <c r="T163" s="115" t="e">
        <f>$L163*'Prop Budget Calc'!$AV$2+IF(AND($J163&lt;&gt;"50101", $J163&lt;&gt;"50102"),0,IF($J163="50101",IF(($L163/52*'Prop Budget Calc'!$AW$3)&gt;'Prop Budget Calc'!$AV$1,'Prop Budget Calc'!$AV$1,$L163/52*'Prop Budget Calc'!$AW$3),IF(($L163/52*'Prop Budget Calc'!$AW$3)&gt;'Prop Budget Calc'!$AW$1,'Prop Budget Calc'!$AW$1,$L163/52*'Prop Budget Calc'!$AW$3)))*F163+IF(AND($D163="vacant",$F163=1),'Prop Budget Calc'!$AX$1,IF(OR($B163=0,$F163&lt;&gt;1),0,SUMIFS(#REF!,#REF!,'Prop Budget Calc'!AX$4,#REF!,$B163)*'Prop Budget Calc'!$AX$3))+IF(AND($D163="vacant",$F163=1),'Prop Budget Calc'!$AY$1,IF(OR($B163=0,$F163&lt;&gt;1),0,SUMIFS(#REF!,#REF!,'Prop Budget Calc'!AY$4,#REF!,$B163))*'Prop Budget Calc'!$AY$3)</f>
        <v>#REF!</v>
      </c>
      <c r="U163" s="203" t="e">
        <f t="shared" si="107"/>
        <v>#REF!</v>
      </c>
      <c r="X163" s="126"/>
      <c r="Y163" s="126"/>
      <c r="AA163" s="125" t="e">
        <f t="shared" si="122"/>
        <v>#REF!</v>
      </c>
      <c r="AB163" s="125" t="e">
        <f t="shared" si="122"/>
        <v>#REF!</v>
      </c>
      <c r="AC163" s="125" t="e">
        <f t="shared" si="122"/>
        <v>#REF!</v>
      </c>
      <c r="AD163" s="125" t="e">
        <f t="shared" si="122"/>
        <v>#REF!</v>
      </c>
      <c r="AE163" s="125"/>
      <c r="AF163" s="125" t="e">
        <f t="shared" si="108"/>
        <v>#REF!</v>
      </c>
      <c r="AG163" s="125" t="e">
        <f t="shared" si="109"/>
        <v>#REF!</v>
      </c>
      <c r="AH163" s="125" t="e">
        <f t="shared" si="110"/>
        <v>#REF!</v>
      </c>
      <c r="AI163" s="125" t="e">
        <f t="shared" si="111"/>
        <v>#REF!</v>
      </c>
      <c r="AJ163" s="125" t="e">
        <f t="shared" si="112"/>
        <v>#REF!</v>
      </c>
      <c r="AK163" s="125" t="e">
        <f t="shared" si="113"/>
        <v>#REF!</v>
      </c>
      <c r="AL163" s="205" t="e">
        <f t="shared" si="114"/>
        <v>#REF!</v>
      </c>
      <c r="AM163" s="125" t="e">
        <f t="shared" si="115"/>
        <v>#REF!</v>
      </c>
      <c r="AN163" s="125" t="e">
        <f t="shared" si="118"/>
        <v>#REF!</v>
      </c>
    </row>
    <row r="164" spans="2:40">
      <c r="J164" s="202"/>
      <c r="K164" s="115"/>
      <c r="N164" s="115"/>
      <c r="O164" s="203"/>
      <c r="P164" s="203"/>
      <c r="Q164" s="203"/>
      <c r="R164" s="203"/>
      <c r="S164" s="203"/>
      <c r="U164" s="203"/>
      <c r="X164" s="126"/>
      <c r="Y164" s="126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205"/>
      <c r="AM164" s="125"/>
      <c r="AN164" s="125"/>
    </row>
    <row r="165" spans="2:40">
      <c r="J165" s="202"/>
      <c r="K165" s="115"/>
      <c r="N165" s="115"/>
      <c r="O165" s="203"/>
      <c r="P165" s="203"/>
      <c r="Q165" s="203"/>
      <c r="R165" s="203"/>
      <c r="S165" s="203"/>
      <c r="U165" s="203"/>
      <c r="X165" s="126"/>
      <c r="Y165" s="126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205"/>
      <c r="AM165" s="125"/>
      <c r="AN165" s="125"/>
    </row>
    <row r="166" spans="2:40">
      <c r="J166" s="202"/>
      <c r="K166" s="115"/>
      <c r="N166" s="115"/>
      <c r="O166" s="203"/>
      <c r="P166" s="203"/>
      <c r="Q166" s="203"/>
      <c r="R166" s="203"/>
      <c r="S166" s="203"/>
      <c r="U166" s="203"/>
      <c r="X166" s="126"/>
      <c r="Y166" s="126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205"/>
      <c r="AM166" s="125"/>
      <c r="AN166" s="125"/>
    </row>
    <row r="167" spans="2:40">
      <c r="B167" s="115" t="e">
        <f>'Prop Budget Calc'!#REF!</f>
        <v>#REF!</v>
      </c>
      <c r="C167" s="115" t="e">
        <f>'Prop Budget Calc'!#REF!</f>
        <v>#REF!</v>
      </c>
      <c r="D167" s="115" t="e">
        <f>'Prop Budget Calc'!#REF!</f>
        <v>#REF!</v>
      </c>
      <c r="F167" s="115" t="e">
        <f>'Prop Budget Calc'!#REF!</f>
        <v>#REF!</v>
      </c>
      <c r="H167" s="115" t="e">
        <f>'Prop Budget Calc'!#REF!</f>
        <v>#REF!</v>
      </c>
      <c r="J167" s="202" t="e">
        <f>'Prop Budget Calc'!#REF!</f>
        <v>#REF!</v>
      </c>
      <c r="K167" s="115" t="e">
        <f>'Prop Budget Calc'!#REF!</f>
        <v>#REF!</v>
      </c>
      <c r="L167" s="115" t="e">
        <f>'Prop Budget Calc'!#REF!</f>
        <v>#REF!</v>
      </c>
      <c r="M167" s="115" t="e">
        <f t="shared" si="106"/>
        <v>#REF!</v>
      </c>
      <c r="N167" s="115"/>
      <c r="O167" s="203" t="e">
        <f>'Prop Budget Calc'!#REF!/12</f>
        <v>#REF!</v>
      </c>
      <c r="P167" s="203" t="e">
        <f>'Prop Budget Calc'!#REF!/12</f>
        <v>#REF!</v>
      </c>
      <c r="Q167" s="203" t="e">
        <f>'Prop Budget Calc'!#REF!/12</f>
        <v>#REF!</v>
      </c>
      <c r="R167" s="203" t="e">
        <f>IF(AND($D167="vacant",$F167=1),'Prop Budget Calc'!#REF!,IF(OR($B167=0,$F167&lt;&gt;1),0,SUMIFS(#REF!,#REF!,'Prop Budget Calc'!#REF!,#REF!,$B167)*'Prop Budget Calc'!#REF!))+IF(AND($D167="vacant",$F167=1),'Prop Budget Calc'!#REF!,IF(OR($B167=0,$F167&lt;&gt;1),0,SUMIFS(#REF!,#REF!,'Prop Budget Calc'!#REF!,#REF!,$B167)*'Prop Budget Calc'!#REF!))+IF(AND($D167="vacant",$F167=1),'Prop Budget Calc'!$BA$1,IF(OR($B167=0,$F167&lt;&gt;1),0,SUMIFS(#REF!,#REF!,'Prop Budget Calc'!BA$4,#REF!,$B167)*'Prop Budget Calc'!$BA$3))+IF(AND($D167="vacant",$F167=1),'Prop Budget Calc'!$BB$1,IF(OR($B167=0,$F167&lt;&gt;1),0,SUMIFS(#REF!,#REF!,'Prop Budget Calc'!BB$4,#REF!,$B167)*'Prop Budget Calc'!$BB$3))</f>
        <v>#REF!</v>
      </c>
      <c r="S167" s="203" t="e">
        <f>IF(AND($D167="vacant",$F167=1),'Prop Budget Calc'!#REF!,IF(OR($B167=0,$F167&lt;&gt;1),0,SUMIFS(#REF!,#REF!,'Prop Budget Calc'!#REF!,#REF!,$B167)*'Prop Budget Calc'!#REF!))+IF(AND($D167="vacant",$F167=1),'Prop Budget Calc'!#REF!,IF(OR($B167=0,$F167&lt;&gt;1),0,SUMIFS(#REF!,#REF!,'Prop Budget Calc'!#REF!,#REF!,$B167)*'Prop Budget Calc'!#REF!))</f>
        <v>#REF!</v>
      </c>
      <c r="T167" s="115" t="e">
        <f>$L167*'Prop Budget Calc'!$AV$2+IF(AND($J167&lt;&gt;"50101", $J167&lt;&gt;"50102"),0,IF($J167="50101",IF(($L167/52*'Prop Budget Calc'!$AW$3)&gt;'Prop Budget Calc'!$AV$1,'Prop Budget Calc'!$AV$1,$L167/52*'Prop Budget Calc'!$AW$3),IF(($L167/52*'Prop Budget Calc'!$AW$3)&gt;'Prop Budget Calc'!$AW$1,'Prop Budget Calc'!$AW$1,$L167/52*'Prop Budget Calc'!$AW$3)))*F167+IF(AND($D167="vacant",$F167=1),'Prop Budget Calc'!$AX$1,IF(OR($B167=0,$F167&lt;&gt;1),0,SUMIFS(#REF!,#REF!,'Prop Budget Calc'!AX$4,#REF!,$B167)*'Prop Budget Calc'!$AX$3))+IF(AND($D167="vacant",$F167=1),'Prop Budget Calc'!$AY$1,IF(OR($B167=0,$F167&lt;&gt;1),0,SUMIFS(#REF!,#REF!,'Prop Budget Calc'!AY$4,#REF!,$B167))*'Prop Budget Calc'!$AY$3)</f>
        <v>#REF!</v>
      </c>
      <c r="U167" s="203" t="e">
        <f t="shared" si="107"/>
        <v>#REF!</v>
      </c>
      <c r="X167" s="126"/>
      <c r="Y167" s="126"/>
      <c r="AA167" s="125" t="e">
        <f t="shared" ref="AA167:AD168" si="123">IF($J167=AA$5,$L167/$AB$1*$AB$2,0)</f>
        <v>#REF!</v>
      </c>
      <c r="AB167" s="125" t="e">
        <f t="shared" si="123"/>
        <v>#REF!</v>
      </c>
      <c r="AC167" s="125" t="e">
        <f t="shared" si="123"/>
        <v>#REF!</v>
      </c>
      <c r="AD167" s="125" t="e">
        <f t="shared" si="123"/>
        <v>#REF!</v>
      </c>
      <c r="AE167" s="125"/>
      <c r="AF167" s="125" t="e">
        <f t="shared" si="108"/>
        <v>#REF!</v>
      </c>
      <c r="AG167" s="125" t="e">
        <f t="shared" si="109"/>
        <v>#REF!</v>
      </c>
      <c r="AH167" s="125" t="e">
        <f t="shared" si="110"/>
        <v>#REF!</v>
      </c>
      <c r="AI167" s="125" t="e">
        <f t="shared" si="111"/>
        <v>#REF!</v>
      </c>
      <c r="AJ167" s="125" t="e">
        <f t="shared" si="112"/>
        <v>#REF!</v>
      </c>
      <c r="AK167" s="125" t="e">
        <f t="shared" si="113"/>
        <v>#REF!</v>
      </c>
      <c r="AL167" s="205" t="e">
        <f t="shared" si="114"/>
        <v>#REF!</v>
      </c>
      <c r="AM167" s="125" t="e">
        <f t="shared" si="115"/>
        <v>#REF!</v>
      </c>
      <c r="AN167" s="125" t="e">
        <f t="shared" si="118"/>
        <v>#REF!</v>
      </c>
    </row>
    <row r="168" spans="2:40">
      <c r="B168" s="115" t="e">
        <f>'Prop Budget Calc'!#REF!</f>
        <v>#REF!</v>
      </c>
      <c r="C168" s="115" t="e">
        <f>'Prop Budget Calc'!#REF!</f>
        <v>#REF!</v>
      </c>
      <c r="D168" s="115" t="e">
        <f>'Prop Budget Calc'!#REF!</f>
        <v>#REF!</v>
      </c>
      <c r="F168" s="115" t="e">
        <f>'Prop Budget Calc'!#REF!</f>
        <v>#REF!</v>
      </c>
      <c r="H168" s="115" t="e">
        <f>'Prop Budget Calc'!#REF!</f>
        <v>#REF!</v>
      </c>
      <c r="J168" s="202" t="e">
        <f>'Prop Budget Calc'!#REF!</f>
        <v>#REF!</v>
      </c>
      <c r="K168" s="115" t="e">
        <f>'Prop Budget Calc'!#REF!</f>
        <v>#REF!</v>
      </c>
      <c r="L168" s="115" t="e">
        <f>'Prop Budget Calc'!#REF!</f>
        <v>#REF!</v>
      </c>
      <c r="M168" s="115" t="e">
        <f t="shared" si="106"/>
        <v>#REF!</v>
      </c>
      <c r="N168" s="115"/>
      <c r="O168" s="203" t="e">
        <f>'Prop Budget Calc'!#REF!/12</f>
        <v>#REF!</v>
      </c>
      <c r="P168" s="203" t="e">
        <f>'Prop Budget Calc'!#REF!/12</f>
        <v>#REF!</v>
      </c>
      <c r="Q168" s="203" t="e">
        <f>'Prop Budget Calc'!#REF!/12</f>
        <v>#REF!</v>
      </c>
      <c r="R168" s="203" t="e">
        <f>IF(AND($D168="vacant",$F168=1),'Prop Budget Calc'!#REF!,IF(OR($B168=0,$F168&lt;&gt;1),0,SUMIFS(#REF!,#REF!,'Prop Budget Calc'!#REF!,#REF!,$B168)*'Prop Budget Calc'!#REF!))+IF(AND($D168="vacant",$F168=1),'Prop Budget Calc'!#REF!,IF(OR($B168=0,$F168&lt;&gt;1),0,SUMIFS(#REF!,#REF!,'Prop Budget Calc'!#REF!,#REF!,$B168)*'Prop Budget Calc'!#REF!))+IF(AND($D168="vacant",$F168=1),'Prop Budget Calc'!$BA$1,IF(OR($B168=0,$F168&lt;&gt;1),0,SUMIFS(#REF!,#REF!,'Prop Budget Calc'!BA$4,#REF!,$B168)*'Prop Budget Calc'!$BA$3))+IF(AND($D168="vacant",$F168=1),'Prop Budget Calc'!$BB$1,IF(OR($B168=0,$F168&lt;&gt;1),0,SUMIFS(#REF!,#REF!,'Prop Budget Calc'!BB$4,#REF!,$B168)*'Prop Budget Calc'!$BB$3))</f>
        <v>#REF!</v>
      </c>
      <c r="S168" s="203" t="e">
        <f>IF(AND($D168="vacant",$F168=1),'Prop Budget Calc'!#REF!,IF(OR($B168=0,$F168&lt;&gt;1),0,SUMIFS(#REF!,#REF!,'Prop Budget Calc'!#REF!,#REF!,$B168)*'Prop Budget Calc'!#REF!))+IF(AND($D168="vacant",$F168=1),'Prop Budget Calc'!#REF!,IF(OR($B168=0,$F168&lt;&gt;1),0,SUMIFS(#REF!,#REF!,'Prop Budget Calc'!#REF!,#REF!,$B168)*'Prop Budget Calc'!#REF!))</f>
        <v>#REF!</v>
      </c>
      <c r="T168" s="115" t="e">
        <f>$L168*'Prop Budget Calc'!$AV$2+IF(AND($J168&lt;&gt;"50101", $J168&lt;&gt;"50102"),0,IF($J168="50101",IF(($L168/52*'Prop Budget Calc'!$AW$3)&gt;'Prop Budget Calc'!$AV$1,'Prop Budget Calc'!$AV$1,$L168/52*'Prop Budget Calc'!$AW$3),IF(($L168/52*'Prop Budget Calc'!$AW$3)&gt;'Prop Budget Calc'!$AW$1,'Prop Budget Calc'!$AW$1,$L168/52*'Prop Budget Calc'!$AW$3)))*F168+IF(AND($D168="vacant",$F168=1),'Prop Budget Calc'!$AX$1,IF(OR($B168=0,$F168&lt;&gt;1),0,SUMIFS(#REF!,#REF!,'Prop Budget Calc'!AX$4,#REF!,$B168)*'Prop Budget Calc'!$AX$3))+IF(AND($D168="vacant",$F168=1),'Prop Budget Calc'!$AY$1,IF(OR($B168=0,$F168&lt;&gt;1),0,SUMIFS(#REF!,#REF!,'Prop Budget Calc'!AY$4,#REF!,$B168))*'Prop Budget Calc'!$AY$3)</f>
        <v>#REF!</v>
      </c>
      <c r="U168" s="203" t="e">
        <f t="shared" si="107"/>
        <v>#REF!</v>
      </c>
      <c r="X168" s="126"/>
      <c r="Y168" s="126"/>
      <c r="AA168" s="125" t="e">
        <f t="shared" si="123"/>
        <v>#REF!</v>
      </c>
      <c r="AB168" s="125" t="e">
        <f t="shared" si="123"/>
        <v>#REF!</v>
      </c>
      <c r="AC168" s="125" t="e">
        <f t="shared" si="123"/>
        <v>#REF!</v>
      </c>
      <c r="AD168" s="125" t="e">
        <f t="shared" si="123"/>
        <v>#REF!</v>
      </c>
      <c r="AE168" s="125"/>
      <c r="AF168" s="125" t="e">
        <f t="shared" si="108"/>
        <v>#REF!</v>
      </c>
      <c r="AG168" s="125" t="e">
        <f t="shared" si="109"/>
        <v>#REF!</v>
      </c>
      <c r="AH168" s="125" t="e">
        <f t="shared" si="110"/>
        <v>#REF!</v>
      </c>
      <c r="AI168" s="125" t="e">
        <f t="shared" si="111"/>
        <v>#REF!</v>
      </c>
      <c r="AJ168" s="125" t="e">
        <f t="shared" si="112"/>
        <v>#REF!</v>
      </c>
      <c r="AK168" s="125" t="e">
        <f t="shared" si="113"/>
        <v>#REF!</v>
      </c>
      <c r="AL168" s="205" t="e">
        <f t="shared" si="114"/>
        <v>#REF!</v>
      </c>
      <c r="AM168" s="125" t="e">
        <f t="shared" si="115"/>
        <v>#REF!</v>
      </c>
      <c r="AN168" s="125" t="e">
        <f t="shared" si="118"/>
        <v>#REF!</v>
      </c>
    </row>
    <row r="169" spans="2:40">
      <c r="J169" s="202"/>
      <c r="K169" s="115"/>
      <c r="N169" s="115"/>
      <c r="O169" s="203"/>
      <c r="P169" s="203"/>
      <c r="Q169" s="203"/>
      <c r="R169" s="203"/>
      <c r="S169" s="203"/>
      <c r="U169" s="203"/>
      <c r="X169" s="126"/>
      <c r="Y169" s="126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205"/>
      <c r="AM169" s="125"/>
      <c r="AN169" s="125"/>
    </row>
    <row r="170" spans="2:40">
      <c r="J170" s="202"/>
      <c r="K170" s="115"/>
      <c r="N170" s="115"/>
      <c r="O170" s="203"/>
      <c r="P170" s="203"/>
      <c r="Q170" s="203"/>
      <c r="R170" s="203"/>
      <c r="S170" s="203"/>
      <c r="U170" s="203"/>
      <c r="X170" s="126"/>
      <c r="Y170" s="126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205"/>
      <c r="AM170" s="125"/>
      <c r="AN170" s="125"/>
    </row>
    <row r="171" spans="2:40">
      <c r="B171" s="115" t="e">
        <f>'Prop Budget Calc'!#REF!</f>
        <v>#REF!</v>
      </c>
      <c r="C171" s="115" t="e">
        <f>'Prop Budget Calc'!#REF!</f>
        <v>#REF!</v>
      </c>
      <c r="D171" s="115" t="e">
        <f>'Prop Budget Calc'!#REF!</f>
        <v>#REF!</v>
      </c>
      <c r="F171" s="115" t="e">
        <f>'Prop Budget Calc'!#REF!</f>
        <v>#REF!</v>
      </c>
      <c r="H171" s="115" t="e">
        <f>'Prop Budget Calc'!#REF!</f>
        <v>#REF!</v>
      </c>
      <c r="J171" s="202" t="e">
        <f>'Prop Budget Calc'!#REF!</f>
        <v>#REF!</v>
      </c>
      <c r="K171" s="115" t="e">
        <f>'Prop Budget Calc'!#REF!</f>
        <v>#REF!</v>
      </c>
      <c r="L171" s="115" t="e">
        <f>'Prop Budget Calc'!#REF!</f>
        <v>#REF!</v>
      </c>
      <c r="M171" s="115" t="e">
        <f t="shared" si="106"/>
        <v>#REF!</v>
      </c>
      <c r="N171" s="115"/>
      <c r="O171" s="203" t="e">
        <f>'Prop Budget Calc'!#REF!/12</f>
        <v>#REF!</v>
      </c>
      <c r="P171" s="203" t="e">
        <f>'Prop Budget Calc'!#REF!/12</f>
        <v>#REF!</v>
      </c>
      <c r="Q171" s="203" t="e">
        <f>'Prop Budget Calc'!#REF!/12</f>
        <v>#REF!</v>
      </c>
      <c r="R171" s="203" t="e">
        <f>IF(AND($D171="vacant",$F171=1),'Prop Budget Calc'!#REF!,IF(OR($B171=0,$F171&lt;&gt;1),0,SUMIFS(#REF!,#REF!,'Prop Budget Calc'!#REF!,#REF!,$B171)*'Prop Budget Calc'!#REF!))+IF(AND($D171="vacant",$F171=1),'Prop Budget Calc'!#REF!,IF(OR($B171=0,$F171&lt;&gt;1),0,SUMIFS(#REF!,#REF!,'Prop Budget Calc'!#REF!,#REF!,$B171)*'Prop Budget Calc'!#REF!))+IF(AND($D171="vacant",$F171=1),'Prop Budget Calc'!$BA$1,IF(OR($B171=0,$F171&lt;&gt;1),0,SUMIFS(#REF!,#REF!,'Prop Budget Calc'!BA$4,#REF!,$B171)*'Prop Budget Calc'!$BA$3))+IF(AND($D171="vacant",$F171=1),'Prop Budget Calc'!$BB$1,IF(OR($B171=0,$F171&lt;&gt;1),0,SUMIFS(#REF!,#REF!,'Prop Budget Calc'!BB$4,#REF!,$B171)*'Prop Budget Calc'!$BB$3))</f>
        <v>#REF!</v>
      </c>
      <c r="S171" s="203" t="e">
        <f>IF(AND($D171="vacant",$F171=1),'Prop Budget Calc'!#REF!,IF(OR($B171=0,$F171&lt;&gt;1),0,SUMIFS(#REF!,#REF!,'Prop Budget Calc'!#REF!,#REF!,$B171)*'Prop Budget Calc'!#REF!))+IF(AND($D171="vacant",$F171=1),'Prop Budget Calc'!#REF!,IF(OR($B171=0,$F171&lt;&gt;1),0,SUMIFS(#REF!,#REF!,'Prop Budget Calc'!#REF!,#REF!,$B171)*'Prop Budget Calc'!#REF!))</f>
        <v>#REF!</v>
      </c>
      <c r="T171" s="115" t="e">
        <f>$L171*'Prop Budget Calc'!$AV$2+IF(AND($J171&lt;&gt;"50101", $J171&lt;&gt;"50102"),0,IF($J171="50101",IF(($L171/52*'Prop Budget Calc'!$AW$3)&gt;'Prop Budget Calc'!$AV$1,'Prop Budget Calc'!$AV$1,$L171/52*'Prop Budget Calc'!$AW$3),IF(($L171/52*'Prop Budget Calc'!$AW$3)&gt;'Prop Budget Calc'!$AW$1,'Prop Budget Calc'!$AW$1,$L171/52*'Prop Budget Calc'!$AW$3)))*F171+IF(AND($D171="vacant",$F171=1),'Prop Budget Calc'!$AX$1,IF(OR($B171=0,$F171&lt;&gt;1),0,SUMIFS(#REF!,#REF!,'Prop Budget Calc'!AX$4,#REF!,$B171)*'Prop Budget Calc'!$AX$3))+IF(AND($D171="vacant",$F171=1),'Prop Budget Calc'!$AY$1,IF(OR($B171=0,$F171&lt;&gt;1),0,SUMIFS(#REF!,#REF!,'Prop Budget Calc'!AY$4,#REF!,$B171))*'Prop Budget Calc'!$AY$3)</f>
        <v>#REF!</v>
      </c>
      <c r="U171" s="203" t="e">
        <f t="shared" si="107"/>
        <v>#REF!</v>
      </c>
      <c r="X171" s="126"/>
      <c r="Y171" s="126"/>
      <c r="AA171" s="125" t="e">
        <f t="shared" ref="AA171:AD172" si="124">IF($J171=AA$5,$L171/$AB$1*$AB$2,0)</f>
        <v>#REF!</v>
      </c>
      <c r="AB171" s="125" t="e">
        <f t="shared" si="124"/>
        <v>#REF!</v>
      </c>
      <c r="AC171" s="125" t="e">
        <f t="shared" si="124"/>
        <v>#REF!</v>
      </c>
      <c r="AD171" s="125" t="e">
        <f t="shared" si="124"/>
        <v>#REF!</v>
      </c>
      <c r="AE171" s="125"/>
      <c r="AF171" s="125" t="e">
        <f t="shared" si="108"/>
        <v>#REF!</v>
      </c>
      <c r="AG171" s="125" t="e">
        <f t="shared" si="109"/>
        <v>#REF!</v>
      </c>
      <c r="AH171" s="125" t="e">
        <f t="shared" si="110"/>
        <v>#REF!</v>
      </c>
      <c r="AI171" s="125" t="e">
        <f t="shared" si="111"/>
        <v>#REF!</v>
      </c>
      <c r="AJ171" s="125" t="e">
        <f t="shared" si="112"/>
        <v>#REF!</v>
      </c>
      <c r="AK171" s="125" t="e">
        <f t="shared" si="113"/>
        <v>#REF!</v>
      </c>
      <c r="AL171" s="205" t="e">
        <f t="shared" si="114"/>
        <v>#REF!</v>
      </c>
      <c r="AM171" s="125" t="e">
        <f t="shared" si="115"/>
        <v>#REF!</v>
      </c>
      <c r="AN171" s="125" t="e">
        <f t="shared" si="118"/>
        <v>#REF!</v>
      </c>
    </row>
    <row r="172" spans="2:40">
      <c r="B172" s="115" t="e">
        <f>'Prop Budget Calc'!#REF!</f>
        <v>#REF!</v>
      </c>
      <c r="C172" s="115" t="e">
        <f>'Prop Budget Calc'!#REF!</f>
        <v>#REF!</v>
      </c>
      <c r="D172" s="115" t="e">
        <f>'Prop Budget Calc'!#REF!</f>
        <v>#REF!</v>
      </c>
      <c r="F172" s="115" t="e">
        <f>'Prop Budget Calc'!#REF!</f>
        <v>#REF!</v>
      </c>
      <c r="H172" s="115" t="e">
        <f>'Prop Budget Calc'!#REF!</f>
        <v>#REF!</v>
      </c>
      <c r="J172" s="202" t="e">
        <f>'Prop Budget Calc'!#REF!</f>
        <v>#REF!</v>
      </c>
      <c r="K172" s="115" t="e">
        <f>'Prop Budget Calc'!#REF!</f>
        <v>#REF!</v>
      </c>
      <c r="L172" s="115" t="e">
        <f>'Prop Budget Calc'!#REF!</f>
        <v>#REF!</v>
      </c>
      <c r="M172" s="115" t="e">
        <f t="shared" si="106"/>
        <v>#REF!</v>
      </c>
      <c r="N172" s="115"/>
      <c r="O172" s="203" t="e">
        <f>'Prop Budget Calc'!#REF!/12</f>
        <v>#REF!</v>
      </c>
      <c r="P172" s="203" t="e">
        <f>'Prop Budget Calc'!#REF!/12</f>
        <v>#REF!</v>
      </c>
      <c r="Q172" s="203" t="e">
        <f>'Prop Budget Calc'!#REF!/12</f>
        <v>#REF!</v>
      </c>
      <c r="R172" s="203" t="e">
        <f>IF(AND($D172="vacant",$F172=1),'Prop Budget Calc'!#REF!,IF(OR($B172=0,$F172&lt;&gt;1),0,SUMIFS(#REF!,#REF!,'Prop Budget Calc'!#REF!,#REF!,$B172)*'Prop Budget Calc'!#REF!))+IF(AND($D172="vacant",$F172=1),'Prop Budget Calc'!#REF!,IF(OR($B172=0,$F172&lt;&gt;1),0,SUMIFS(#REF!,#REF!,'Prop Budget Calc'!#REF!,#REF!,$B172)*'Prop Budget Calc'!#REF!))+IF(AND($D172="vacant",$F172=1),'Prop Budget Calc'!$BA$1,IF(OR($B172=0,$F172&lt;&gt;1),0,SUMIFS(#REF!,#REF!,'Prop Budget Calc'!BA$4,#REF!,$B172)*'Prop Budget Calc'!$BA$3))+IF(AND($D172="vacant",$F172=1),'Prop Budget Calc'!$BB$1,IF(OR($B172=0,$F172&lt;&gt;1),0,SUMIFS(#REF!,#REF!,'Prop Budget Calc'!BB$4,#REF!,$B172)*'Prop Budget Calc'!$BB$3))</f>
        <v>#REF!</v>
      </c>
      <c r="S172" s="203" t="e">
        <f>IF(AND($D172="vacant",$F172=1),'Prop Budget Calc'!#REF!,IF(OR($B172=0,$F172&lt;&gt;1),0,SUMIFS(#REF!,#REF!,'Prop Budget Calc'!#REF!,#REF!,$B172)*'Prop Budget Calc'!#REF!))+IF(AND($D172="vacant",$F172=1),'Prop Budget Calc'!#REF!,IF(OR($B172=0,$F172&lt;&gt;1),0,SUMIFS(#REF!,#REF!,'Prop Budget Calc'!#REF!,#REF!,$B172)*'Prop Budget Calc'!#REF!))</f>
        <v>#REF!</v>
      </c>
      <c r="T172" s="115" t="e">
        <f>$L172*'Prop Budget Calc'!$AV$2+IF(AND($J172&lt;&gt;"50101", $J172&lt;&gt;"50102"),0,IF($J172="50101",IF(($L172/52*'Prop Budget Calc'!$AW$3)&gt;'Prop Budget Calc'!$AV$1,'Prop Budget Calc'!$AV$1,$L172/52*'Prop Budget Calc'!$AW$3),IF(($L172/52*'Prop Budget Calc'!$AW$3)&gt;'Prop Budget Calc'!$AW$1,'Prop Budget Calc'!$AW$1,$L172/52*'Prop Budget Calc'!$AW$3)))*F172+IF(AND($D172="vacant",$F172=1),'Prop Budget Calc'!$AX$1,IF(OR($B172=0,$F172&lt;&gt;1),0,SUMIFS(#REF!,#REF!,'Prop Budget Calc'!AX$4,#REF!,$B172)*'Prop Budget Calc'!$AX$3))+IF(AND($D172="vacant",$F172=1),'Prop Budget Calc'!$AY$1,IF(OR($B172=0,$F172&lt;&gt;1),0,SUMIFS(#REF!,#REF!,'Prop Budget Calc'!AY$4,#REF!,$B172))*'Prop Budget Calc'!$AY$3)</f>
        <v>#REF!</v>
      </c>
      <c r="U172" s="203" t="e">
        <f t="shared" si="107"/>
        <v>#REF!</v>
      </c>
      <c r="X172" s="126"/>
      <c r="Y172" s="126"/>
      <c r="AA172" s="125" t="e">
        <f t="shared" si="124"/>
        <v>#REF!</v>
      </c>
      <c r="AB172" s="125" t="e">
        <f t="shared" si="124"/>
        <v>#REF!</v>
      </c>
      <c r="AC172" s="125" t="e">
        <f t="shared" si="124"/>
        <v>#REF!</v>
      </c>
      <c r="AD172" s="125" t="e">
        <f t="shared" si="124"/>
        <v>#REF!</v>
      </c>
      <c r="AE172" s="125"/>
      <c r="AF172" s="125" t="e">
        <f t="shared" si="108"/>
        <v>#REF!</v>
      </c>
      <c r="AG172" s="125" t="e">
        <f t="shared" si="109"/>
        <v>#REF!</v>
      </c>
      <c r="AH172" s="125" t="e">
        <f t="shared" si="110"/>
        <v>#REF!</v>
      </c>
      <c r="AI172" s="125" t="e">
        <f t="shared" si="111"/>
        <v>#REF!</v>
      </c>
      <c r="AJ172" s="125" t="e">
        <f t="shared" si="112"/>
        <v>#REF!</v>
      </c>
      <c r="AK172" s="125" t="e">
        <f t="shared" si="113"/>
        <v>#REF!</v>
      </c>
      <c r="AL172" s="205" t="e">
        <f t="shared" si="114"/>
        <v>#REF!</v>
      </c>
      <c r="AM172" s="125" t="e">
        <f t="shared" si="115"/>
        <v>#REF!</v>
      </c>
      <c r="AN172" s="125" t="e">
        <f t="shared" si="118"/>
        <v>#REF!</v>
      </c>
    </row>
    <row r="173" spans="2:40">
      <c r="J173" s="202"/>
      <c r="K173" s="115"/>
      <c r="N173" s="115"/>
      <c r="O173" s="203"/>
      <c r="P173" s="203"/>
      <c r="Q173" s="203"/>
      <c r="R173" s="203"/>
      <c r="S173" s="203"/>
      <c r="U173" s="203"/>
      <c r="X173" s="126"/>
      <c r="Y173" s="126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205"/>
      <c r="AM173" s="125"/>
      <c r="AN173" s="125"/>
    </row>
    <row r="174" spans="2:40">
      <c r="J174" s="202"/>
      <c r="K174" s="115"/>
      <c r="N174" s="115"/>
      <c r="O174" s="203"/>
      <c r="P174" s="203"/>
      <c r="Q174" s="203"/>
      <c r="R174" s="203"/>
      <c r="S174" s="203"/>
      <c r="U174" s="203"/>
      <c r="X174" s="126"/>
      <c r="Y174" s="126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205"/>
      <c r="AM174" s="125"/>
      <c r="AN174" s="125"/>
    </row>
    <row r="175" spans="2:40">
      <c r="J175" s="202"/>
      <c r="K175" s="115"/>
      <c r="N175" s="115"/>
      <c r="O175" s="203"/>
      <c r="P175" s="203"/>
      <c r="Q175" s="203"/>
      <c r="R175" s="203"/>
      <c r="S175" s="203"/>
      <c r="U175" s="203"/>
      <c r="X175" s="126"/>
      <c r="Y175" s="126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205"/>
      <c r="AM175" s="125"/>
      <c r="AN175" s="125"/>
    </row>
    <row r="176" spans="2:40">
      <c r="J176" s="202"/>
      <c r="K176" s="115"/>
      <c r="N176" s="115"/>
      <c r="O176" s="203"/>
      <c r="P176" s="203"/>
      <c r="Q176" s="203"/>
      <c r="R176" s="203"/>
      <c r="S176" s="203"/>
      <c r="U176" s="203"/>
      <c r="X176" s="126"/>
      <c r="Y176" s="126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205"/>
      <c r="AM176" s="125"/>
      <c r="AN176" s="125"/>
    </row>
    <row r="177" spans="10:40">
      <c r="J177" s="202"/>
      <c r="K177" s="115"/>
      <c r="N177" s="115"/>
      <c r="O177" s="203"/>
      <c r="P177" s="203"/>
      <c r="Q177" s="203"/>
      <c r="R177" s="203"/>
      <c r="S177" s="203"/>
      <c r="U177" s="203"/>
      <c r="X177" s="126"/>
      <c r="Y177" s="126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205"/>
      <c r="AM177" s="125"/>
      <c r="AN177" s="125"/>
    </row>
    <row r="178" spans="10:40">
      <c r="J178" s="202"/>
      <c r="K178" s="115"/>
      <c r="N178" s="115"/>
      <c r="O178" s="203"/>
      <c r="P178" s="203"/>
      <c r="Q178" s="203"/>
      <c r="R178" s="203"/>
      <c r="S178" s="203"/>
      <c r="U178" s="203"/>
      <c r="X178" s="126"/>
      <c r="Y178" s="126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205"/>
      <c r="AM178" s="125"/>
      <c r="AN178" s="125"/>
    </row>
    <row r="179" spans="10:40">
      <c r="J179" s="202"/>
      <c r="K179" s="115"/>
      <c r="N179" s="115"/>
      <c r="O179" s="203"/>
      <c r="P179" s="203"/>
      <c r="Q179" s="203"/>
      <c r="R179" s="203"/>
      <c r="S179" s="203"/>
      <c r="U179" s="203"/>
      <c r="X179" s="126"/>
      <c r="Y179" s="126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205"/>
      <c r="AM179" s="125"/>
      <c r="AN179" s="125"/>
    </row>
    <row r="180" spans="10:40">
      <c r="J180" s="202"/>
      <c r="K180" s="115"/>
      <c r="N180" s="115"/>
      <c r="O180" s="203"/>
      <c r="P180" s="203"/>
      <c r="Q180" s="203"/>
      <c r="R180" s="203"/>
      <c r="S180" s="203"/>
      <c r="U180" s="203"/>
      <c r="X180" s="126"/>
      <c r="Y180" s="126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205"/>
      <c r="AM180" s="125"/>
      <c r="AN180" s="125"/>
    </row>
    <row r="181" spans="10:40">
      <c r="J181" s="202"/>
      <c r="K181" s="115"/>
      <c r="N181" s="115"/>
      <c r="O181" s="203"/>
      <c r="P181" s="203"/>
      <c r="Q181" s="203"/>
      <c r="R181" s="203"/>
      <c r="S181" s="203"/>
      <c r="U181" s="203"/>
      <c r="X181" s="126"/>
      <c r="Y181" s="126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205"/>
      <c r="AM181" s="125"/>
      <c r="AN181" s="125"/>
    </row>
    <row r="182" spans="10:40">
      <c r="J182" s="202"/>
      <c r="K182" s="115"/>
      <c r="N182" s="115"/>
      <c r="O182" s="203"/>
      <c r="P182" s="203"/>
      <c r="Q182" s="203"/>
      <c r="R182" s="203"/>
      <c r="S182" s="203"/>
      <c r="U182" s="203"/>
      <c r="X182" s="126"/>
      <c r="Y182" s="126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205"/>
      <c r="AM182" s="125"/>
      <c r="AN182" s="125"/>
    </row>
    <row r="183" spans="10:40">
      <c r="J183" s="202"/>
      <c r="K183" s="115"/>
      <c r="N183" s="115"/>
      <c r="O183" s="203"/>
      <c r="P183" s="203"/>
      <c r="Q183" s="203"/>
      <c r="R183" s="203"/>
      <c r="S183" s="203"/>
      <c r="U183" s="203"/>
      <c r="X183" s="126"/>
      <c r="Y183" s="126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205"/>
      <c r="AM183" s="125"/>
      <c r="AN183" s="125"/>
    </row>
    <row r="184" spans="10:40">
      <c r="J184" s="202"/>
      <c r="K184" s="115"/>
      <c r="N184" s="115"/>
      <c r="O184" s="203"/>
      <c r="P184" s="203"/>
      <c r="Q184" s="203"/>
      <c r="R184" s="203"/>
      <c r="S184" s="203"/>
      <c r="U184" s="203"/>
      <c r="X184" s="126"/>
      <c r="Y184" s="126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205"/>
      <c r="AM184" s="125"/>
      <c r="AN184" s="125"/>
    </row>
    <row r="185" spans="10:40">
      <c r="J185" s="202"/>
      <c r="K185" s="115"/>
      <c r="N185" s="115"/>
      <c r="O185" s="203"/>
      <c r="P185" s="203"/>
      <c r="Q185" s="203"/>
      <c r="R185" s="203"/>
      <c r="S185" s="203"/>
      <c r="U185" s="203"/>
      <c r="X185" s="126"/>
      <c r="Y185" s="126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205"/>
      <c r="AM185" s="125"/>
      <c r="AN185" s="125"/>
    </row>
    <row r="186" spans="10:40">
      <c r="J186" s="202"/>
      <c r="K186" s="115"/>
      <c r="N186" s="115"/>
      <c r="O186" s="203"/>
      <c r="P186" s="203"/>
      <c r="Q186" s="203"/>
      <c r="R186" s="203"/>
      <c r="S186" s="203"/>
      <c r="U186" s="203"/>
      <c r="X186" s="126"/>
      <c r="Y186" s="126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205"/>
      <c r="AM186" s="125"/>
      <c r="AN186" s="125"/>
    </row>
    <row r="187" spans="10:40">
      <c r="J187" s="202"/>
      <c r="K187" s="115"/>
      <c r="N187" s="115"/>
      <c r="O187" s="203"/>
      <c r="P187" s="203"/>
      <c r="Q187" s="203"/>
      <c r="R187" s="203"/>
      <c r="S187" s="203"/>
      <c r="U187" s="203"/>
      <c r="X187" s="126"/>
      <c r="Y187" s="126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205"/>
      <c r="AM187" s="125"/>
      <c r="AN187" s="125"/>
    </row>
    <row r="188" spans="10:40">
      <c r="J188" s="202"/>
      <c r="K188" s="115"/>
      <c r="N188" s="115"/>
      <c r="O188" s="203"/>
      <c r="P188" s="203"/>
      <c r="Q188" s="203"/>
      <c r="R188" s="203"/>
      <c r="S188" s="203"/>
      <c r="U188" s="203"/>
      <c r="X188" s="126"/>
      <c r="Y188" s="126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205"/>
      <c r="AM188" s="125"/>
      <c r="AN188" s="125"/>
    </row>
    <row r="189" spans="10:40">
      <c r="J189" s="202"/>
      <c r="K189" s="115"/>
      <c r="N189" s="115"/>
      <c r="O189" s="203"/>
      <c r="P189" s="203"/>
      <c r="Q189" s="203"/>
      <c r="R189" s="203"/>
      <c r="S189" s="203"/>
      <c r="U189" s="203"/>
      <c r="X189" s="126"/>
      <c r="Y189" s="126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205"/>
      <c r="AM189" s="125"/>
      <c r="AN189" s="125"/>
    </row>
    <row r="190" spans="10:40">
      <c r="J190" s="202"/>
      <c r="K190" s="115"/>
      <c r="N190" s="115"/>
      <c r="O190" s="203"/>
      <c r="P190" s="203"/>
      <c r="Q190" s="203"/>
      <c r="R190" s="203"/>
      <c r="S190" s="203"/>
      <c r="U190" s="203"/>
      <c r="X190" s="126"/>
      <c r="Y190" s="126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205"/>
      <c r="AM190" s="125"/>
      <c r="AN190" s="125"/>
    </row>
    <row r="191" spans="10:40">
      <c r="J191" s="202"/>
      <c r="K191" s="115"/>
      <c r="N191" s="115"/>
      <c r="O191" s="203"/>
      <c r="P191" s="203"/>
      <c r="Q191" s="203"/>
      <c r="R191" s="203"/>
      <c r="S191" s="203"/>
      <c r="U191" s="203"/>
      <c r="X191" s="126"/>
      <c r="Y191" s="126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205"/>
      <c r="AM191" s="125"/>
      <c r="AN191" s="125"/>
    </row>
    <row r="192" spans="10:40">
      <c r="J192" s="202"/>
      <c r="K192" s="115"/>
      <c r="N192" s="115"/>
      <c r="O192" s="203"/>
      <c r="P192" s="203"/>
      <c r="Q192" s="203"/>
      <c r="R192" s="203"/>
      <c r="S192" s="203"/>
      <c r="U192" s="203"/>
      <c r="X192" s="126"/>
      <c r="Y192" s="126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205"/>
      <c r="AM192" s="125"/>
      <c r="AN192" s="125"/>
    </row>
    <row r="193" spans="10:40">
      <c r="J193" s="202"/>
      <c r="K193" s="115"/>
      <c r="N193" s="115"/>
      <c r="O193" s="203"/>
      <c r="P193" s="203"/>
      <c r="Q193" s="203"/>
      <c r="R193" s="203"/>
      <c r="S193" s="203"/>
      <c r="U193" s="203"/>
      <c r="X193" s="126"/>
      <c r="Y193" s="126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205"/>
      <c r="AM193" s="125"/>
      <c r="AN193" s="125"/>
    </row>
    <row r="194" spans="10:40">
      <c r="J194" s="202"/>
      <c r="K194" s="115"/>
      <c r="N194" s="115"/>
      <c r="O194" s="203"/>
      <c r="P194" s="203"/>
      <c r="Q194" s="203"/>
      <c r="R194" s="203"/>
      <c r="S194" s="203"/>
      <c r="U194" s="203"/>
      <c r="X194" s="126"/>
      <c r="Y194" s="126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205"/>
      <c r="AM194" s="125"/>
      <c r="AN194" s="125"/>
    </row>
    <row r="195" spans="10:40">
      <c r="J195" s="202"/>
      <c r="K195" s="115"/>
      <c r="N195" s="115"/>
      <c r="O195" s="203"/>
      <c r="P195" s="203"/>
      <c r="Q195" s="203"/>
      <c r="R195" s="203"/>
      <c r="S195" s="203"/>
      <c r="U195" s="203"/>
      <c r="X195" s="126"/>
      <c r="Y195" s="126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205"/>
      <c r="AM195" s="125"/>
      <c r="AN195" s="125"/>
    </row>
    <row r="196" spans="10:40">
      <c r="J196" s="202"/>
      <c r="K196" s="115"/>
      <c r="N196" s="115"/>
      <c r="O196" s="203"/>
      <c r="P196" s="203"/>
      <c r="Q196" s="203"/>
      <c r="R196" s="203"/>
      <c r="S196" s="203"/>
      <c r="U196" s="203"/>
      <c r="X196" s="126"/>
      <c r="Y196" s="126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205"/>
      <c r="AM196" s="125"/>
      <c r="AN196" s="125"/>
    </row>
    <row r="197" spans="10:40">
      <c r="J197" s="202"/>
      <c r="K197" s="115"/>
      <c r="N197" s="115"/>
      <c r="O197" s="203"/>
      <c r="P197" s="203"/>
      <c r="Q197" s="203"/>
      <c r="R197" s="203"/>
      <c r="S197" s="203"/>
      <c r="U197" s="203"/>
      <c r="X197" s="126"/>
      <c r="Y197" s="126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205"/>
      <c r="AM197" s="125"/>
      <c r="AN197" s="125"/>
    </row>
    <row r="198" spans="10:40">
      <c r="J198" s="202"/>
      <c r="K198" s="115"/>
      <c r="N198" s="115"/>
      <c r="O198" s="203"/>
      <c r="P198" s="203"/>
      <c r="Q198" s="203"/>
      <c r="R198" s="203"/>
      <c r="S198" s="203"/>
      <c r="U198" s="203"/>
      <c r="X198" s="126"/>
      <c r="Y198" s="126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205"/>
      <c r="AM198" s="125"/>
      <c r="AN198" s="125"/>
    </row>
    <row r="199" spans="10:40">
      <c r="J199" s="202"/>
      <c r="K199" s="115"/>
      <c r="N199" s="115"/>
      <c r="O199" s="203"/>
      <c r="P199" s="203"/>
      <c r="Q199" s="203"/>
      <c r="R199" s="203"/>
      <c r="S199" s="203"/>
      <c r="U199" s="203"/>
      <c r="X199" s="126"/>
      <c r="Y199" s="126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205"/>
      <c r="AM199" s="125"/>
      <c r="AN199" s="125"/>
    </row>
    <row r="200" spans="10:40">
      <c r="J200" s="202"/>
      <c r="K200" s="115"/>
      <c r="N200" s="115"/>
      <c r="O200" s="203"/>
      <c r="P200" s="203"/>
      <c r="Q200" s="203"/>
      <c r="R200" s="203"/>
      <c r="S200" s="203"/>
      <c r="U200" s="203"/>
      <c r="X200" s="126"/>
      <c r="Y200" s="126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205"/>
      <c r="AM200" s="125"/>
      <c r="AN200" s="125"/>
    </row>
    <row r="201" spans="10:40">
      <c r="J201" s="202"/>
      <c r="K201" s="115"/>
      <c r="N201" s="115"/>
      <c r="O201" s="203"/>
      <c r="P201" s="203"/>
      <c r="Q201" s="203"/>
      <c r="R201" s="203"/>
      <c r="S201" s="203"/>
      <c r="U201" s="203"/>
      <c r="X201" s="126"/>
      <c r="Y201" s="126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205"/>
      <c r="AM201" s="125"/>
      <c r="AN201" s="125"/>
    </row>
    <row r="202" spans="10:40">
      <c r="J202" s="202"/>
      <c r="K202" s="115"/>
      <c r="N202" s="115"/>
      <c r="O202" s="203"/>
      <c r="P202" s="203"/>
      <c r="Q202" s="203"/>
      <c r="R202" s="203"/>
      <c r="S202" s="203"/>
      <c r="U202" s="203"/>
      <c r="X202" s="126"/>
      <c r="Y202" s="126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205"/>
      <c r="AM202" s="125"/>
      <c r="AN202" s="125"/>
    </row>
    <row r="203" spans="10:40">
      <c r="J203" s="202"/>
      <c r="K203" s="115"/>
      <c r="N203" s="115"/>
      <c r="O203" s="203"/>
      <c r="P203" s="203"/>
      <c r="Q203" s="203"/>
      <c r="R203" s="203"/>
      <c r="S203" s="203"/>
      <c r="U203" s="203"/>
      <c r="X203" s="126"/>
      <c r="Y203" s="126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205"/>
      <c r="AM203" s="125"/>
      <c r="AN203" s="125"/>
    </row>
    <row r="204" spans="10:40">
      <c r="J204" s="202"/>
      <c r="K204" s="115"/>
      <c r="N204" s="115"/>
      <c r="O204" s="203"/>
      <c r="P204" s="203"/>
      <c r="Q204" s="203"/>
      <c r="R204" s="203"/>
      <c r="S204" s="203"/>
      <c r="U204" s="203"/>
      <c r="X204" s="126"/>
      <c r="Y204" s="126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205"/>
      <c r="AM204" s="125"/>
      <c r="AN204" s="125"/>
    </row>
    <row r="205" spans="10:40">
      <c r="J205" s="202"/>
      <c r="K205" s="115"/>
      <c r="N205" s="115"/>
      <c r="O205" s="203"/>
      <c r="P205" s="203"/>
      <c r="Q205" s="203"/>
      <c r="R205" s="203"/>
      <c r="S205" s="203"/>
      <c r="U205" s="203"/>
      <c r="X205" s="126"/>
      <c r="Y205" s="126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205"/>
      <c r="AM205" s="125"/>
      <c r="AN205" s="125"/>
    </row>
    <row r="206" spans="10:40">
      <c r="J206" s="202"/>
      <c r="K206" s="115"/>
      <c r="N206" s="115"/>
      <c r="O206" s="203"/>
      <c r="P206" s="203"/>
      <c r="Q206" s="203"/>
      <c r="R206" s="203"/>
      <c r="S206" s="203"/>
      <c r="U206" s="203"/>
      <c r="X206" s="126"/>
      <c r="Y206" s="126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205"/>
      <c r="AM206" s="125"/>
      <c r="AN206" s="125"/>
    </row>
    <row r="207" spans="10:40">
      <c r="J207" s="202"/>
      <c r="K207" s="115"/>
      <c r="N207" s="115"/>
      <c r="O207" s="203"/>
      <c r="P207" s="203"/>
      <c r="Q207" s="203"/>
      <c r="R207" s="203"/>
      <c r="S207" s="203"/>
      <c r="U207" s="203"/>
      <c r="X207" s="126"/>
      <c r="Y207" s="126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205"/>
      <c r="AM207" s="125"/>
      <c r="AN207" s="125"/>
    </row>
    <row r="208" spans="10:40">
      <c r="J208" s="202"/>
      <c r="K208" s="115"/>
      <c r="N208" s="115"/>
      <c r="O208" s="203"/>
      <c r="P208" s="203"/>
      <c r="Q208" s="203"/>
      <c r="R208" s="203"/>
      <c r="S208" s="203"/>
      <c r="U208" s="203"/>
      <c r="X208" s="126"/>
      <c r="Y208" s="126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205"/>
      <c r="AM208" s="125"/>
      <c r="AN208" s="125"/>
    </row>
    <row r="209" spans="10:40">
      <c r="J209" s="202"/>
      <c r="K209" s="115"/>
      <c r="N209" s="115"/>
      <c r="O209" s="203"/>
      <c r="P209" s="203"/>
      <c r="Q209" s="203"/>
      <c r="R209" s="203"/>
      <c r="S209" s="203"/>
      <c r="U209" s="203"/>
      <c r="X209" s="126"/>
      <c r="Y209" s="126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205"/>
      <c r="AM209" s="125"/>
      <c r="AN209" s="125"/>
    </row>
    <row r="210" spans="10:40">
      <c r="J210" s="202"/>
      <c r="K210" s="115"/>
      <c r="N210" s="115"/>
      <c r="O210" s="203"/>
      <c r="P210" s="203"/>
      <c r="Q210" s="203"/>
      <c r="R210" s="203"/>
      <c r="S210" s="203"/>
      <c r="U210" s="203"/>
      <c r="X210" s="126"/>
      <c r="Y210" s="126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205"/>
      <c r="AM210" s="125"/>
      <c r="AN210" s="125"/>
    </row>
    <row r="211" spans="10:40">
      <c r="J211" s="202"/>
      <c r="K211" s="115"/>
      <c r="N211" s="115"/>
      <c r="O211" s="203"/>
      <c r="P211" s="203"/>
      <c r="Q211" s="203"/>
      <c r="R211" s="203"/>
      <c r="S211" s="203"/>
      <c r="U211" s="203"/>
      <c r="X211" s="126"/>
      <c r="Y211" s="126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205"/>
      <c r="AM211" s="125"/>
      <c r="AN211" s="125"/>
    </row>
    <row r="212" spans="10:40">
      <c r="J212" s="202"/>
      <c r="K212" s="115"/>
      <c r="N212" s="115"/>
      <c r="O212" s="203"/>
      <c r="P212" s="203"/>
      <c r="Q212" s="203"/>
      <c r="R212" s="203"/>
      <c r="S212" s="203"/>
      <c r="U212" s="203"/>
      <c r="X212" s="126"/>
      <c r="Y212" s="126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205"/>
      <c r="AM212" s="125"/>
      <c r="AN212" s="125"/>
    </row>
    <row r="213" spans="10:40">
      <c r="J213" s="202"/>
      <c r="K213" s="115"/>
      <c r="N213" s="115"/>
      <c r="O213" s="203"/>
      <c r="P213" s="203"/>
      <c r="Q213" s="203"/>
      <c r="R213" s="203"/>
      <c r="S213" s="203"/>
      <c r="U213" s="203"/>
      <c r="X213" s="126"/>
      <c r="Y213" s="126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205"/>
      <c r="AM213" s="125"/>
      <c r="AN213" s="125"/>
    </row>
    <row r="214" spans="10:40">
      <c r="J214" s="202"/>
      <c r="K214" s="115"/>
      <c r="N214" s="115"/>
      <c r="O214" s="203"/>
      <c r="P214" s="203"/>
      <c r="Q214" s="203"/>
      <c r="R214" s="203"/>
      <c r="S214" s="203"/>
      <c r="U214" s="203"/>
      <c r="X214" s="126"/>
      <c r="Y214" s="126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205"/>
      <c r="AM214" s="125"/>
      <c r="AN214" s="125"/>
    </row>
    <row r="215" spans="10:40">
      <c r="J215" s="202"/>
      <c r="K215" s="115"/>
      <c r="N215" s="115"/>
      <c r="O215" s="203"/>
      <c r="P215" s="203"/>
      <c r="Q215" s="203"/>
      <c r="R215" s="203"/>
      <c r="S215" s="203"/>
      <c r="U215" s="203"/>
      <c r="X215" s="126"/>
      <c r="Y215" s="126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205"/>
      <c r="AM215" s="125"/>
      <c r="AN215" s="125"/>
    </row>
    <row r="216" spans="10:40">
      <c r="J216" s="202"/>
      <c r="K216" s="115"/>
      <c r="N216" s="115"/>
      <c r="O216" s="203"/>
      <c r="P216" s="203"/>
      <c r="Q216" s="203"/>
      <c r="R216" s="203"/>
      <c r="S216" s="203"/>
      <c r="U216" s="203"/>
      <c r="X216" s="126"/>
      <c r="Y216" s="126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205"/>
      <c r="AM216" s="125"/>
      <c r="AN216" s="125"/>
    </row>
    <row r="217" spans="10:40">
      <c r="J217" s="202"/>
      <c r="K217" s="115"/>
      <c r="N217" s="115"/>
      <c r="O217" s="203"/>
      <c r="P217" s="203"/>
      <c r="Q217" s="203"/>
      <c r="R217" s="203"/>
      <c r="S217" s="203"/>
      <c r="U217" s="203"/>
      <c r="X217" s="126"/>
      <c r="Y217" s="126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205"/>
      <c r="AM217" s="125"/>
      <c r="AN217" s="125"/>
    </row>
    <row r="218" spans="10:40">
      <c r="J218" s="202"/>
      <c r="K218" s="115"/>
      <c r="N218" s="115"/>
      <c r="O218" s="203"/>
      <c r="P218" s="203"/>
      <c r="Q218" s="203"/>
      <c r="R218" s="203"/>
      <c r="S218" s="203"/>
      <c r="U218" s="203"/>
      <c r="X218" s="126"/>
      <c r="Y218" s="126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205"/>
      <c r="AM218" s="125"/>
      <c r="AN218" s="125"/>
    </row>
    <row r="219" spans="10:40">
      <c r="J219" s="202"/>
      <c r="K219" s="115"/>
      <c r="N219" s="115"/>
      <c r="O219" s="203"/>
      <c r="P219" s="203"/>
      <c r="Q219" s="203"/>
      <c r="R219" s="203"/>
      <c r="S219" s="203"/>
      <c r="U219" s="203"/>
      <c r="X219" s="126"/>
      <c r="Y219" s="126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205"/>
      <c r="AM219" s="125"/>
      <c r="AN219" s="125"/>
    </row>
    <row r="220" spans="10:40">
      <c r="J220" s="202"/>
      <c r="K220" s="115"/>
      <c r="N220" s="115"/>
      <c r="O220" s="203"/>
      <c r="P220" s="203"/>
      <c r="Q220" s="203"/>
      <c r="R220" s="203"/>
      <c r="S220" s="203"/>
      <c r="U220" s="203"/>
      <c r="X220" s="126"/>
      <c r="Y220" s="126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205"/>
      <c r="AM220" s="125"/>
      <c r="AN220" s="125"/>
    </row>
    <row r="221" spans="10:40">
      <c r="J221" s="202"/>
      <c r="K221" s="115"/>
      <c r="N221" s="115"/>
      <c r="O221" s="203"/>
      <c r="P221" s="203"/>
      <c r="Q221" s="203"/>
      <c r="R221" s="203"/>
      <c r="S221" s="203"/>
      <c r="U221" s="203"/>
      <c r="X221" s="126"/>
      <c r="Y221" s="126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205"/>
      <c r="AM221" s="125"/>
      <c r="AN221" s="125"/>
    </row>
    <row r="222" spans="10:40">
      <c r="J222" s="202"/>
      <c r="K222" s="115"/>
      <c r="N222" s="115"/>
      <c r="O222" s="203"/>
      <c r="P222" s="203"/>
      <c r="Q222" s="203"/>
      <c r="R222" s="203"/>
      <c r="S222" s="203"/>
      <c r="U222" s="203"/>
      <c r="X222" s="126"/>
      <c r="Y222" s="126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205"/>
      <c r="AM222" s="125"/>
      <c r="AN222" s="125"/>
    </row>
    <row r="223" spans="10:40">
      <c r="J223" s="202"/>
      <c r="K223" s="115"/>
      <c r="N223" s="115"/>
      <c r="O223" s="203"/>
      <c r="P223" s="203"/>
      <c r="Q223" s="203"/>
      <c r="R223" s="203"/>
      <c r="S223" s="203"/>
      <c r="U223" s="203"/>
      <c r="X223" s="126"/>
      <c r="Y223" s="126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205"/>
      <c r="AM223" s="125"/>
      <c r="AN223" s="125"/>
    </row>
    <row r="224" spans="10:40">
      <c r="J224" s="202"/>
      <c r="K224" s="115"/>
      <c r="N224" s="115"/>
      <c r="O224" s="203"/>
      <c r="P224" s="203"/>
      <c r="Q224" s="203"/>
      <c r="R224" s="203"/>
      <c r="S224" s="203"/>
      <c r="U224" s="203"/>
      <c r="X224" s="126"/>
      <c r="Y224" s="126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205"/>
      <c r="AM224" s="125"/>
      <c r="AN224" s="125"/>
    </row>
    <row r="225" spans="10:40">
      <c r="J225" s="202"/>
      <c r="K225" s="115"/>
      <c r="N225" s="115"/>
      <c r="O225" s="203"/>
      <c r="P225" s="203"/>
      <c r="Q225" s="203"/>
      <c r="R225" s="203"/>
      <c r="S225" s="203"/>
      <c r="U225" s="203"/>
      <c r="X225" s="126"/>
      <c r="Y225" s="126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205"/>
      <c r="AM225" s="125"/>
      <c r="AN225" s="125"/>
    </row>
    <row r="226" spans="10:40">
      <c r="J226" s="202"/>
      <c r="K226" s="115"/>
      <c r="N226" s="115"/>
      <c r="O226" s="203"/>
      <c r="P226" s="203"/>
      <c r="Q226" s="203"/>
      <c r="R226" s="203"/>
      <c r="S226" s="203"/>
      <c r="U226" s="203"/>
      <c r="X226" s="126"/>
      <c r="Y226" s="126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205"/>
      <c r="AM226" s="125"/>
      <c r="AN226" s="125"/>
    </row>
    <row r="227" spans="10:40">
      <c r="J227" s="202"/>
      <c r="K227" s="115"/>
      <c r="N227" s="115"/>
      <c r="O227" s="203"/>
      <c r="P227" s="203"/>
      <c r="Q227" s="203"/>
      <c r="R227" s="203"/>
      <c r="S227" s="203"/>
      <c r="U227" s="203"/>
      <c r="X227" s="126"/>
      <c r="Y227" s="126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205"/>
      <c r="AM227" s="125"/>
      <c r="AN227" s="125"/>
    </row>
    <row r="228" spans="10:40">
      <c r="J228" s="202"/>
      <c r="K228" s="115"/>
      <c r="N228" s="115"/>
      <c r="O228" s="203"/>
      <c r="P228" s="203"/>
      <c r="Q228" s="203"/>
      <c r="R228" s="203"/>
      <c r="S228" s="203"/>
      <c r="U228" s="203"/>
      <c r="X228" s="126"/>
      <c r="Y228" s="126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205"/>
      <c r="AM228" s="125"/>
      <c r="AN228" s="125"/>
    </row>
    <row r="229" spans="10:40">
      <c r="J229" s="202"/>
      <c r="K229" s="115"/>
      <c r="N229" s="115"/>
      <c r="O229" s="203"/>
      <c r="P229" s="203"/>
      <c r="Q229" s="203"/>
      <c r="R229" s="203"/>
      <c r="S229" s="203"/>
      <c r="U229" s="203"/>
      <c r="X229" s="126"/>
      <c r="Y229" s="126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205"/>
      <c r="AM229" s="125"/>
      <c r="AN229" s="125"/>
    </row>
    <row r="230" spans="10:40">
      <c r="J230" s="202"/>
      <c r="K230" s="115"/>
      <c r="N230" s="115"/>
      <c r="O230" s="203"/>
      <c r="P230" s="203"/>
      <c r="Q230" s="203"/>
      <c r="R230" s="203"/>
      <c r="S230" s="203"/>
      <c r="U230" s="203"/>
      <c r="X230" s="126"/>
      <c r="Y230" s="126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205"/>
      <c r="AM230" s="125"/>
      <c r="AN230" s="125"/>
    </row>
    <row r="231" spans="10:40">
      <c r="J231" s="202"/>
      <c r="K231" s="115"/>
      <c r="N231" s="115"/>
      <c r="O231" s="203"/>
      <c r="P231" s="203"/>
      <c r="Q231" s="203"/>
      <c r="R231" s="203"/>
      <c r="S231" s="203"/>
      <c r="U231" s="203"/>
      <c r="X231" s="126"/>
      <c r="Y231" s="126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205"/>
      <c r="AM231" s="125"/>
      <c r="AN231" s="125"/>
    </row>
    <row r="232" spans="10:40">
      <c r="J232" s="202"/>
      <c r="K232" s="115"/>
      <c r="N232" s="115"/>
      <c r="O232" s="203"/>
      <c r="P232" s="203"/>
      <c r="Q232" s="203"/>
      <c r="R232" s="203"/>
      <c r="S232" s="203"/>
      <c r="U232" s="203"/>
      <c r="X232" s="126"/>
      <c r="Y232" s="126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205"/>
      <c r="AM232" s="125"/>
      <c r="AN232" s="125"/>
    </row>
    <row r="233" spans="10:40">
      <c r="J233" s="202"/>
      <c r="K233" s="115"/>
      <c r="N233" s="115"/>
      <c r="O233" s="203"/>
      <c r="P233" s="203"/>
      <c r="Q233" s="203"/>
      <c r="R233" s="203"/>
      <c r="S233" s="203"/>
      <c r="U233" s="203"/>
      <c r="X233" s="126"/>
      <c r="Y233" s="126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205"/>
      <c r="AM233" s="125"/>
      <c r="AN233" s="125"/>
    </row>
    <row r="234" spans="10:40">
      <c r="J234" s="202"/>
      <c r="K234" s="115"/>
      <c r="N234" s="115"/>
      <c r="O234" s="203"/>
      <c r="P234" s="203"/>
      <c r="Q234" s="203"/>
      <c r="R234" s="203"/>
      <c r="S234" s="203"/>
      <c r="U234" s="203"/>
      <c r="X234" s="126"/>
      <c r="Y234" s="126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205"/>
      <c r="AM234" s="125"/>
      <c r="AN234" s="125"/>
    </row>
    <row r="235" spans="10:40">
      <c r="J235" s="202"/>
      <c r="K235" s="115"/>
      <c r="N235" s="115"/>
      <c r="O235" s="203"/>
      <c r="P235" s="203"/>
      <c r="Q235" s="203"/>
      <c r="R235" s="203"/>
      <c r="S235" s="203"/>
      <c r="U235" s="203"/>
      <c r="X235" s="126"/>
      <c r="Y235" s="126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205"/>
      <c r="AM235" s="125"/>
      <c r="AN235" s="125"/>
    </row>
    <row r="236" spans="10:40">
      <c r="J236" s="202"/>
      <c r="K236" s="115"/>
      <c r="N236" s="115"/>
      <c r="O236" s="203"/>
      <c r="P236" s="203"/>
      <c r="Q236" s="203"/>
      <c r="R236" s="203"/>
      <c r="S236" s="203"/>
      <c r="U236" s="203"/>
      <c r="X236" s="126"/>
      <c r="Y236" s="126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205"/>
      <c r="AM236" s="125"/>
      <c r="AN236" s="125"/>
    </row>
    <row r="237" spans="10:40">
      <c r="J237" s="202"/>
      <c r="K237" s="115"/>
      <c r="N237" s="115"/>
      <c r="O237" s="203"/>
      <c r="P237" s="203"/>
      <c r="Q237" s="203"/>
      <c r="R237" s="203"/>
      <c r="S237" s="203"/>
      <c r="U237" s="203"/>
      <c r="X237" s="126"/>
      <c r="Y237" s="126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205"/>
      <c r="AM237" s="125"/>
      <c r="AN237" s="125"/>
    </row>
    <row r="238" spans="10:40">
      <c r="J238" s="202"/>
      <c r="K238" s="115"/>
      <c r="N238" s="115"/>
      <c r="O238" s="203"/>
      <c r="P238" s="203"/>
      <c r="Q238" s="203"/>
      <c r="R238" s="203"/>
      <c r="S238" s="203"/>
      <c r="U238" s="203"/>
      <c r="X238" s="126"/>
      <c r="Y238" s="126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205"/>
      <c r="AM238" s="125"/>
      <c r="AN238" s="125"/>
    </row>
    <row r="239" spans="10:40">
      <c r="J239" s="202"/>
      <c r="K239" s="115"/>
      <c r="N239" s="115"/>
      <c r="O239" s="203"/>
      <c r="P239" s="203"/>
      <c r="Q239" s="203"/>
      <c r="R239" s="203"/>
      <c r="S239" s="203"/>
      <c r="U239" s="203"/>
      <c r="X239" s="126"/>
      <c r="Y239" s="126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205"/>
      <c r="AM239" s="125"/>
      <c r="AN239" s="125"/>
    </row>
    <row r="240" spans="10:40">
      <c r="J240" s="202"/>
      <c r="K240" s="115"/>
      <c r="N240" s="115"/>
      <c r="O240" s="203"/>
      <c r="P240" s="203"/>
      <c r="Q240" s="203"/>
      <c r="R240" s="203"/>
      <c r="S240" s="203"/>
      <c r="U240" s="203"/>
      <c r="X240" s="126"/>
      <c r="Y240" s="126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205"/>
      <c r="AM240" s="125"/>
      <c r="AN240" s="125"/>
    </row>
    <row r="241" spans="10:40">
      <c r="J241" s="202"/>
      <c r="K241" s="115"/>
      <c r="N241" s="115"/>
      <c r="O241" s="203"/>
      <c r="P241" s="203"/>
      <c r="Q241" s="203"/>
      <c r="R241" s="203"/>
      <c r="S241" s="203"/>
      <c r="U241" s="203"/>
      <c r="X241" s="126"/>
      <c r="Y241" s="126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205"/>
      <c r="AM241" s="125"/>
      <c r="AN241" s="125"/>
    </row>
    <row r="242" spans="10:40">
      <c r="J242" s="202"/>
      <c r="K242" s="115"/>
      <c r="N242" s="115"/>
      <c r="O242" s="203"/>
      <c r="P242" s="203"/>
      <c r="Q242" s="203"/>
      <c r="R242" s="203"/>
      <c r="S242" s="203"/>
      <c r="U242" s="203"/>
      <c r="X242" s="126"/>
      <c r="Y242" s="126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205"/>
      <c r="AM242" s="125"/>
      <c r="AN242" s="125"/>
    </row>
    <row r="243" spans="10:40">
      <c r="J243" s="202"/>
      <c r="K243" s="115"/>
      <c r="N243" s="115"/>
      <c r="O243" s="203"/>
      <c r="P243" s="203"/>
      <c r="Q243" s="203"/>
      <c r="R243" s="203"/>
      <c r="S243" s="203"/>
      <c r="U243" s="203"/>
      <c r="X243" s="126"/>
      <c r="Y243" s="126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205"/>
      <c r="AM243" s="125"/>
      <c r="AN243" s="125"/>
    </row>
    <row r="244" spans="10:40">
      <c r="J244" s="202"/>
      <c r="K244" s="115"/>
      <c r="N244" s="115"/>
      <c r="O244" s="203"/>
      <c r="P244" s="203"/>
      <c r="Q244" s="203"/>
      <c r="R244" s="203"/>
      <c r="S244" s="203"/>
      <c r="U244" s="203"/>
      <c r="X244" s="126"/>
      <c r="Y244" s="126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205"/>
      <c r="AM244" s="125"/>
      <c r="AN244" s="125"/>
    </row>
    <row r="245" spans="10:40">
      <c r="J245" s="202"/>
      <c r="K245" s="115"/>
      <c r="N245" s="115"/>
      <c r="O245" s="203"/>
      <c r="P245" s="203"/>
      <c r="Q245" s="203"/>
      <c r="R245" s="203"/>
      <c r="S245" s="203"/>
      <c r="U245" s="203"/>
      <c r="X245" s="126"/>
      <c r="Y245" s="126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205"/>
      <c r="AM245" s="125"/>
      <c r="AN245" s="125"/>
    </row>
    <row r="246" spans="10:40">
      <c r="J246" s="202"/>
      <c r="K246" s="115"/>
      <c r="N246" s="115"/>
      <c r="O246" s="203"/>
      <c r="P246" s="203"/>
      <c r="Q246" s="203"/>
      <c r="R246" s="203"/>
      <c r="S246" s="203"/>
      <c r="U246" s="203"/>
      <c r="X246" s="126"/>
      <c r="Y246" s="126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205"/>
      <c r="AM246" s="125"/>
      <c r="AN246" s="125"/>
    </row>
    <row r="247" spans="10:40">
      <c r="J247" s="202"/>
      <c r="K247" s="115"/>
      <c r="N247" s="115"/>
      <c r="O247" s="203"/>
      <c r="P247" s="203"/>
      <c r="Q247" s="203"/>
      <c r="R247" s="203"/>
      <c r="S247" s="203"/>
      <c r="U247" s="203"/>
      <c r="X247" s="126"/>
      <c r="Y247" s="126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205"/>
      <c r="AM247" s="125"/>
      <c r="AN247" s="125"/>
    </row>
    <row r="248" spans="10:40">
      <c r="J248" s="202"/>
      <c r="K248" s="115"/>
      <c r="N248" s="115"/>
      <c r="O248" s="203"/>
      <c r="P248" s="203"/>
      <c r="Q248" s="203"/>
      <c r="R248" s="203"/>
      <c r="S248" s="203"/>
      <c r="U248" s="203"/>
      <c r="X248" s="126"/>
      <c r="Y248" s="126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205"/>
      <c r="AM248" s="125"/>
      <c r="AN248" s="125"/>
    </row>
    <row r="249" spans="10:40">
      <c r="J249" s="202"/>
      <c r="K249" s="115"/>
      <c r="N249" s="115"/>
      <c r="O249" s="203"/>
      <c r="P249" s="203"/>
      <c r="Q249" s="203"/>
      <c r="R249" s="203"/>
      <c r="S249" s="203"/>
      <c r="U249" s="203"/>
      <c r="X249" s="126"/>
      <c r="Y249" s="126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205"/>
      <c r="AM249" s="125"/>
      <c r="AN249" s="125"/>
    </row>
    <row r="250" spans="10:40">
      <c r="J250" s="202"/>
      <c r="K250" s="115"/>
      <c r="N250" s="115"/>
      <c r="O250" s="203"/>
      <c r="P250" s="203"/>
      <c r="Q250" s="203"/>
      <c r="R250" s="203"/>
      <c r="S250" s="203"/>
      <c r="U250" s="203"/>
      <c r="X250" s="126"/>
      <c r="Y250" s="126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205"/>
      <c r="AM250" s="125"/>
      <c r="AN250" s="125"/>
    </row>
    <row r="251" spans="10:40">
      <c r="J251" s="202"/>
      <c r="K251" s="115"/>
      <c r="N251" s="115"/>
      <c r="O251" s="203"/>
      <c r="P251" s="203"/>
      <c r="Q251" s="203"/>
      <c r="R251" s="203"/>
      <c r="S251" s="203"/>
      <c r="U251" s="203"/>
      <c r="X251" s="126"/>
      <c r="Y251" s="126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205"/>
      <c r="AM251" s="125"/>
      <c r="AN251" s="125"/>
    </row>
    <row r="252" spans="10:40">
      <c r="J252" s="202"/>
      <c r="K252" s="115"/>
      <c r="N252" s="115"/>
      <c r="O252" s="203"/>
      <c r="P252" s="203"/>
      <c r="Q252" s="203"/>
      <c r="R252" s="203"/>
      <c r="S252" s="203"/>
      <c r="U252" s="203"/>
      <c r="X252" s="126"/>
      <c r="Y252" s="126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205"/>
      <c r="AM252" s="125"/>
      <c r="AN252" s="125"/>
    </row>
    <row r="253" spans="10:40">
      <c r="J253" s="202"/>
      <c r="K253" s="115"/>
      <c r="N253" s="115"/>
      <c r="O253" s="203"/>
      <c r="P253" s="203"/>
      <c r="Q253" s="203"/>
      <c r="R253" s="203"/>
      <c r="S253" s="203"/>
      <c r="U253" s="203"/>
      <c r="X253" s="126"/>
      <c r="Y253" s="126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205"/>
      <c r="AM253" s="125"/>
      <c r="AN253" s="125"/>
    </row>
    <row r="254" spans="10:40">
      <c r="J254" s="202"/>
      <c r="K254" s="115"/>
      <c r="N254" s="115"/>
      <c r="O254" s="203"/>
      <c r="P254" s="203"/>
      <c r="Q254" s="203"/>
      <c r="R254" s="203"/>
      <c r="S254" s="203"/>
      <c r="U254" s="203"/>
      <c r="X254" s="126"/>
      <c r="Y254" s="126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205"/>
      <c r="AM254" s="125"/>
      <c r="AN254" s="125"/>
    </row>
    <row r="255" spans="10:40">
      <c r="J255" s="202"/>
      <c r="K255" s="115"/>
      <c r="N255" s="115"/>
      <c r="O255" s="203"/>
      <c r="P255" s="203"/>
      <c r="Q255" s="203"/>
      <c r="R255" s="203"/>
      <c r="S255" s="203"/>
      <c r="U255" s="203"/>
      <c r="X255" s="126"/>
      <c r="Y255" s="126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205"/>
      <c r="AM255" s="125"/>
      <c r="AN255" s="125"/>
    </row>
    <row r="256" spans="10:40">
      <c r="J256" s="202"/>
      <c r="K256" s="115"/>
      <c r="N256" s="115"/>
      <c r="O256" s="203"/>
      <c r="P256" s="203"/>
      <c r="Q256" s="203"/>
      <c r="R256" s="203"/>
      <c r="S256" s="203"/>
      <c r="U256" s="203"/>
      <c r="X256" s="126"/>
      <c r="Y256" s="126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205"/>
      <c r="AM256" s="125"/>
      <c r="AN256" s="125"/>
    </row>
    <row r="257" spans="10:40">
      <c r="J257" s="202"/>
      <c r="K257" s="115"/>
      <c r="N257" s="115"/>
      <c r="O257" s="203"/>
      <c r="P257" s="203"/>
      <c r="Q257" s="203"/>
      <c r="R257" s="203"/>
      <c r="S257" s="203"/>
      <c r="U257" s="203"/>
      <c r="X257" s="126"/>
      <c r="Y257" s="126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205"/>
      <c r="AM257" s="125"/>
      <c r="AN257" s="125"/>
    </row>
    <row r="258" spans="10:40">
      <c r="J258" s="202"/>
      <c r="K258" s="115"/>
      <c r="N258" s="115"/>
      <c r="O258" s="203"/>
      <c r="P258" s="203"/>
      <c r="Q258" s="203"/>
      <c r="R258" s="203"/>
      <c r="S258" s="203"/>
      <c r="U258" s="203"/>
      <c r="X258" s="126"/>
      <c r="Y258" s="126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205"/>
      <c r="AM258" s="125"/>
      <c r="AN258" s="125"/>
    </row>
    <row r="259" spans="10:40">
      <c r="J259" s="202"/>
      <c r="K259" s="115"/>
      <c r="N259" s="115"/>
      <c r="O259" s="203"/>
      <c r="P259" s="203"/>
      <c r="Q259" s="203"/>
      <c r="R259" s="203"/>
      <c r="S259" s="203"/>
      <c r="U259" s="203"/>
      <c r="X259" s="126"/>
      <c r="Y259" s="126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205"/>
      <c r="AM259" s="125"/>
      <c r="AN259" s="125"/>
    </row>
    <row r="260" spans="10:40">
      <c r="J260" s="202"/>
      <c r="K260" s="115"/>
      <c r="N260" s="115"/>
      <c r="O260" s="203"/>
      <c r="P260" s="203"/>
      <c r="Q260" s="203"/>
      <c r="R260" s="203"/>
      <c r="S260" s="203"/>
      <c r="U260" s="203"/>
      <c r="X260" s="126"/>
      <c r="Y260" s="126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205"/>
      <c r="AM260" s="125"/>
      <c r="AN260" s="125"/>
    </row>
    <row r="261" spans="10:40">
      <c r="J261" s="202"/>
      <c r="K261" s="115"/>
      <c r="N261" s="115"/>
      <c r="O261" s="203"/>
      <c r="P261" s="203"/>
      <c r="Q261" s="203"/>
      <c r="R261" s="203"/>
      <c r="S261" s="203"/>
      <c r="U261" s="203"/>
      <c r="X261" s="126"/>
      <c r="Y261" s="126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205"/>
      <c r="AM261" s="125"/>
      <c r="AN261" s="125"/>
    </row>
    <row r="262" spans="10:40">
      <c r="J262" s="202"/>
      <c r="K262" s="115"/>
      <c r="N262" s="115"/>
      <c r="O262" s="203"/>
      <c r="P262" s="203"/>
      <c r="Q262" s="203"/>
      <c r="R262" s="203"/>
      <c r="S262" s="203"/>
      <c r="U262" s="203"/>
      <c r="X262" s="126"/>
      <c r="Y262" s="126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205"/>
      <c r="AM262" s="125"/>
      <c r="AN262" s="125"/>
    </row>
    <row r="263" spans="10:40">
      <c r="J263" s="202"/>
      <c r="K263" s="115"/>
      <c r="N263" s="115"/>
      <c r="O263" s="203"/>
      <c r="P263" s="203"/>
      <c r="Q263" s="203"/>
      <c r="R263" s="203"/>
      <c r="S263" s="203"/>
      <c r="U263" s="203"/>
      <c r="X263" s="126"/>
      <c r="Y263" s="126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205"/>
      <c r="AM263" s="125"/>
      <c r="AN263" s="125"/>
    </row>
    <row r="264" spans="10:40">
      <c r="J264" s="202"/>
      <c r="K264" s="115"/>
      <c r="N264" s="115"/>
      <c r="O264" s="203"/>
      <c r="P264" s="203"/>
      <c r="Q264" s="203"/>
      <c r="R264" s="203"/>
      <c r="S264" s="203"/>
      <c r="U264" s="203"/>
      <c r="X264" s="126"/>
      <c r="Y264" s="126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205"/>
      <c r="AM264" s="125"/>
      <c r="AN264" s="125"/>
    </row>
    <row r="265" spans="10:40">
      <c r="J265" s="202"/>
      <c r="K265" s="115"/>
      <c r="N265" s="115"/>
      <c r="O265" s="203"/>
      <c r="P265" s="203"/>
      <c r="Q265" s="203"/>
      <c r="R265" s="203"/>
      <c r="S265" s="203"/>
      <c r="U265" s="203"/>
      <c r="X265" s="126"/>
      <c r="Y265" s="126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205"/>
      <c r="AM265" s="125"/>
      <c r="AN265" s="125"/>
    </row>
    <row r="266" spans="10:40">
      <c r="J266" s="202"/>
      <c r="K266" s="115"/>
      <c r="N266" s="115"/>
      <c r="O266" s="203"/>
      <c r="P266" s="203"/>
      <c r="Q266" s="203"/>
      <c r="R266" s="203"/>
      <c r="S266" s="203"/>
      <c r="U266" s="203"/>
      <c r="X266" s="126"/>
      <c r="Y266" s="126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205"/>
      <c r="AM266" s="125"/>
      <c r="AN266" s="125"/>
    </row>
    <row r="267" spans="10:40">
      <c r="J267" s="202"/>
      <c r="K267" s="115"/>
      <c r="N267" s="115"/>
      <c r="O267" s="203"/>
      <c r="P267" s="203"/>
      <c r="Q267" s="203"/>
      <c r="R267" s="203"/>
      <c r="S267" s="203"/>
      <c r="U267" s="203"/>
      <c r="X267" s="126"/>
      <c r="Y267" s="126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205"/>
      <c r="AM267" s="125"/>
      <c r="AN267" s="125"/>
    </row>
    <row r="268" spans="10:40">
      <c r="J268" s="202"/>
      <c r="K268" s="115"/>
      <c r="N268" s="115"/>
      <c r="O268" s="203"/>
      <c r="P268" s="203"/>
      <c r="Q268" s="203"/>
      <c r="R268" s="203"/>
      <c r="S268" s="203"/>
      <c r="U268" s="203"/>
      <c r="X268" s="126"/>
      <c r="Y268" s="126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205"/>
      <c r="AM268" s="125"/>
      <c r="AN268" s="125"/>
    </row>
    <row r="269" spans="10:40">
      <c r="J269" s="202"/>
      <c r="K269" s="115"/>
      <c r="N269" s="115"/>
      <c r="O269" s="203"/>
      <c r="P269" s="203"/>
      <c r="Q269" s="203"/>
      <c r="R269" s="203"/>
      <c r="S269" s="203"/>
      <c r="U269" s="203"/>
      <c r="X269" s="126"/>
      <c r="Y269" s="126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205"/>
      <c r="AM269" s="125"/>
      <c r="AN269" s="125"/>
    </row>
    <row r="270" spans="10:40">
      <c r="J270" s="202"/>
      <c r="K270" s="115"/>
      <c r="N270" s="115"/>
      <c r="O270" s="203"/>
      <c r="P270" s="203"/>
      <c r="Q270" s="203"/>
      <c r="R270" s="203"/>
      <c r="S270" s="203"/>
      <c r="U270" s="203"/>
      <c r="X270" s="126"/>
      <c r="Y270" s="126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205"/>
      <c r="AM270" s="125"/>
      <c r="AN270" s="125"/>
    </row>
    <row r="271" spans="10:40">
      <c r="J271" s="202"/>
      <c r="K271" s="115"/>
      <c r="N271" s="115"/>
      <c r="O271" s="203"/>
      <c r="P271" s="203"/>
      <c r="Q271" s="203"/>
      <c r="R271" s="203"/>
      <c r="S271" s="203"/>
      <c r="U271" s="203"/>
      <c r="X271" s="126"/>
      <c r="Y271" s="126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205"/>
      <c r="AM271" s="125"/>
      <c r="AN271" s="125"/>
    </row>
    <row r="272" spans="10:40">
      <c r="J272" s="202"/>
      <c r="K272" s="115"/>
      <c r="N272" s="115"/>
      <c r="O272" s="203"/>
      <c r="P272" s="203"/>
      <c r="Q272" s="203"/>
      <c r="R272" s="203"/>
      <c r="S272" s="203"/>
      <c r="U272" s="203"/>
      <c r="X272" s="126"/>
      <c r="Y272" s="126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205"/>
      <c r="AM272" s="125"/>
      <c r="AN272" s="125"/>
    </row>
    <row r="273" spans="10:40">
      <c r="J273" s="202"/>
      <c r="K273" s="115"/>
      <c r="N273" s="115"/>
      <c r="O273" s="203"/>
      <c r="P273" s="203"/>
      <c r="Q273" s="203"/>
      <c r="R273" s="203"/>
      <c r="S273" s="203"/>
      <c r="U273" s="203"/>
      <c r="X273" s="126"/>
      <c r="Y273" s="126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205"/>
      <c r="AM273" s="125"/>
      <c r="AN273" s="125"/>
    </row>
    <row r="274" spans="10:40">
      <c r="J274" s="202"/>
      <c r="K274" s="115"/>
      <c r="N274" s="115"/>
      <c r="O274" s="203"/>
      <c r="P274" s="203"/>
      <c r="Q274" s="203"/>
      <c r="R274" s="203"/>
      <c r="S274" s="203"/>
      <c r="U274" s="203"/>
      <c r="X274" s="126"/>
      <c r="Y274" s="126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205"/>
      <c r="AM274" s="125"/>
      <c r="AN274" s="125"/>
    </row>
    <row r="275" spans="10:40">
      <c r="J275" s="202"/>
      <c r="K275" s="115"/>
      <c r="N275" s="115"/>
      <c r="O275" s="203"/>
      <c r="P275" s="203"/>
      <c r="Q275" s="203"/>
      <c r="R275" s="203"/>
      <c r="S275" s="203"/>
      <c r="U275" s="203"/>
      <c r="X275" s="126"/>
      <c r="Y275" s="126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205"/>
      <c r="AM275" s="125"/>
      <c r="AN275" s="125"/>
    </row>
    <row r="276" spans="10:40">
      <c r="J276" s="202"/>
      <c r="K276" s="115"/>
      <c r="N276" s="115"/>
      <c r="O276" s="203"/>
      <c r="P276" s="203"/>
      <c r="Q276" s="203"/>
      <c r="R276" s="203"/>
      <c r="S276" s="203"/>
      <c r="U276" s="203"/>
      <c r="X276" s="126"/>
      <c r="Y276" s="126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205"/>
      <c r="AM276" s="125"/>
      <c r="AN276" s="125"/>
    </row>
    <row r="277" spans="10:40">
      <c r="J277" s="202"/>
      <c r="K277" s="115"/>
      <c r="N277" s="115"/>
      <c r="O277" s="203"/>
      <c r="P277" s="203"/>
      <c r="Q277" s="203"/>
      <c r="R277" s="203"/>
      <c r="S277" s="203"/>
      <c r="U277" s="203"/>
      <c r="X277" s="126"/>
      <c r="Y277" s="126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205"/>
      <c r="AM277" s="125"/>
      <c r="AN277" s="125"/>
    </row>
    <row r="278" spans="10:40">
      <c r="J278" s="202"/>
      <c r="K278" s="115"/>
      <c r="N278" s="115"/>
      <c r="O278" s="203"/>
      <c r="P278" s="203"/>
      <c r="Q278" s="203"/>
      <c r="R278" s="203"/>
      <c r="S278" s="203"/>
      <c r="U278" s="203"/>
      <c r="X278" s="126"/>
      <c r="Y278" s="126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205"/>
      <c r="AM278" s="125"/>
      <c r="AN278" s="125"/>
    </row>
    <row r="279" spans="10:40">
      <c r="J279" s="202"/>
      <c r="K279" s="115"/>
      <c r="N279" s="115"/>
      <c r="O279" s="203"/>
      <c r="P279" s="203"/>
      <c r="Q279" s="203"/>
      <c r="R279" s="203"/>
      <c r="S279" s="203"/>
      <c r="U279" s="203"/>
      <c r="X279" s="126"/>
      <c r="Y279" s="126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205"/>
      <c r="AM279" s="125"/>
      <c r="AN279" s="125"/>
    </row>
    <row r="280" spans="10:40">
      <c r="J280" s="202"/>
      <c r="K280" s="115"/>
      <c r="N280" s="115"/>
      <c r="O280" s="203"/>
      <c r="P280" s="203"/>
      <c r="Q280" s="203"/>
      <c r="R280" s="203"/>
      <c r="S280" s="203"/>
      <c r="U280" s="203"/>
      <c r="X280" s="126"/>
      <c r="Y280" s="126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205"/>
      <c r="AM280" s="125"/>
      <c r="AN280" s="125"/>
    </row>
    <row r="281" spans="10:40">
      <c r="J281" s="202"/>
      <c r="K281" s="115"/>
      <c r="N281" s="115"/>
      <c r="O281" s="203"/>
      <c r="P281" s="203"/>
      <c r="Q281" s="203"/>
      <c r="R281" s="203"/>
      <c r="S281" s="203"/>
      <c r="U281" s="203"/>
      <c r="X281" s="126"/>
      <c r="Y281" s="126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205"/>
      <c r="AM281" s="125"/>
      <c r="AN281" s="125"/>
    </row>
    <row r="282" spans="10:40">
      <c r="J282" s="202"/>
      <c r="K282" s="115"/>
      <c r="N282" s="115"/>
      <c r="O282" s="203"/>
      <c r="P282" s="203"/>
      <c r="Q282" s="203"/>
      <c r="R282" s="203"/>
      <c r="S282" s="203"/>
      <c r="U282" s="203"/>
      <c r="X282" s="126"/>
      <c r="Y282" s="126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205"/>
      <c r="AM282" s="125"/>
      <c r="AN282" s="125"/>
    </row>
    <row r="283" spans="10:40">
      <c r="J283" s="202"/>
      <c r="K283" s="115"/>
      <c r="N283" s="115"/>
      <c r="O283" s="203"/>
      <c r="P283" s="203"/>
      <c r="Q283" s="203"/>
      <c r="R283" s="203"/>
      <c r="S283" s="203"/>
      <c r="U283" s="203"/>
      <c r="X283" s="126"/>
      <c r="Y283" s="126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205"/>
      <c r="AM283" s="125"/>
      <c r="AN283" s="125"/>
    </row>
    <row r="284" spans="10:40">
      <c r="J284" s="202"/>
      <c r="K284" s="115"/>
      <c r="N284" s="115"/>
      <c r="O284" s="203"/>
      <c r="P284" s="203"/>
      <c r="Q284" s="203"/>
      <c r="R284" s="203"/>
      <c r="S284" s="203"/>
      <c r="U284" s="203"/>
      <c r="X284" s="126"/>
      <c r="Y284" s="126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205"/>
      <c r="AM284" s="125"/>
      <c r="AN284" s="125"/>
    </row>
    <row r="285" spans="10:40">
      <c r="J285" s="202"/>
      <c r="K285" s="115"/>
      <c r="N285" s="115"/>
      <c r="O285" s="203"/>
      <c r="P285" s="203"/>
      <c r="Q285" s="203"/>
      <c r="R285" s="203"/>
      <c r="S285" s="203"/>
      <c r="U285" s="203"/>
      <c r="X285" s="126"/>
      <c r="Y285" s="126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205"/>
      <c r="AM285" s="125"/>
      <c r="AN285" s="125"/>
    </row>
    <row r="286" spans="10:40">
      <c r="J286" s="202"/>
      <c r="K286" s="115"/>
      <c r="N286" s="115"/>
      <c r="O286" s="203"/>
      <c r="P286" s="203"/>
      <c r="Q286" s="203"/>
      <c r="R286" s="203"/>
      <c r="S286" s="203"/>
      <c r="U286" s="203"/>
      <c r="X286" s="126"/>
      <c r="Y286" s="126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205"/>
      <c r="AM286" s="125"/>
      <c r="AN286" s="125"/>
    </row>
    <row r="287" spans="10:40">
      <c r="J287" s="202"/>
      <c r="K287" s="115"/>
      <c r="N287" s="115"/>
      <c r="O287" s="203"/>
      <c r="P287" s="203"/>
      <c r="Q287" s="203"/>
      <c r="R287" s="203"/>
      <c r="S287" s="203"/>
      <c r="U287" s="203"/>
      <c r="X287" s="126"/>
      <c r="Y287" s="126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205"/>
      <c r="AM287" s="125"/>
      <c r="AN287" s="125"/>
    </row>
    <row r="288" spans="10:40">
      <c r="J288" s="202"/>
      <c r="K288" s="115"/>
      <c r="N288" s="115"/>
      <c r="O288" s="203"/>
      <c r="P288" s="203"/>
      <c r="Q288" s="203"/>
      <c r="R288" s="203"/>
      <c r="S288" s="203"/>
      <c r="U288" s="203"/>
      <c r="X288" s="126"/>
      <c r="Y288" s="126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205"/>
      <c r="AM288" s="125"/>
      <c r="AN288" s="125"/>
    </row>
    <row r="289" spans="10:40">
      <c r="J289" s="202"/>
      <c r="K289" s="115"/>
      <c r="N289" s="115"/>
      <c r="O289" s="203"/>
      <c r="P289" s="203"/>
      <c r="Q289" s="203"/>
      <c r="R289" s="203"/>
      <c r="S289" s="203"/>
      <c r="U289" s="203"/>
      <c r="X289" s="126"/>
      <c r="Y289" s="126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205"/>
      <c r="AM289" s="125"/>
      <c r="AN289" s="125"/>
    </row>
    <row r="290" spans="10:40">
      <c r="J290" s="202"/>
      <c r="K290" s="115"/>
      <c r="N290" s="115"/>
      <c r="O290" s="203"/>
      <c r="P290" s="203"/>
      <c r="Q290" s="203"/>
      <c r="R290" s="203"/>
      <c r="S290" s="203"/>
      <c r="U290" s="203"/>
      <c r="X290" s="126"/>
      <c r="Y290" s="126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205"/>
      <c r="AM290" s="125"/>
      <c r="AN290" s="125"/>
    </row>
    <row r="291" spans="10:40">
      <c r="J291" s="202"/>
      <c r="K291" s="115"/>
      <c r="N291" s="115"/>
      <c r="O291" s="203"/>
      <c r="P291" s="203"/>
      <c r="Q291" s="203"/>
      <c r="R291" s="203"/>
      <c r="S291" s="203"/>
      <c r="U291" s="203"/>
      <c r="X291" s="126"/>
      <c r="Y291" s="126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205"/>
      <c r="AM291" s="125"/>
      <c r="AN291" s="125"/>
    </row>
    <row r="292" spans="10:40">
      <c r="J292" s="202"/>
      <c r="K292" s="115"/>
      <c r="N292" s="115"/>
      <c r="O292" s="203"/>
      <c r="P292" s="203"/>
      <c r="Q292" s="203"/>
      <c r="R292" s="203"/>
      <c r="S292" s="203"/>
      <c r="U292" s="203"/>
      <c r="X292" s="126"/>
      <c r="Y292" s="126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205"/>
      <c r="AM292" s="125"/>
      <c r="AN292" s="125"/>
    </row>
    <row r="293" spans="10:40">
      <c r="J293" s="202"/>
      <c r="K293" s="115"/>
      <c r="N293" s="115"/>
      <c r="O293" s="203"/>
      <c r="P293" s="203"/>
      <c r="Q293" s="203"/>
      <c r="R293" s="203"/>
      <c r="S293" s="203"/>
      <c r="U293" s="203"/>
      <c r="X293" s="126"/>
      <c r="Y293" s="126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205"/>
      <c r="AM293" s="125"/>
      <c r="AN293" s="125"/>
    </row>
    <row r="294" spans="10:40">
      <c r="J294" s="202"/>
      <c r="K294" s="115"/>
      <c r="N294" s="115"/>
      <c r="O294" s="203"/>
      <c r="P294" s="203"/>
      <c r="Q294" s="203"/>
      <c r="R294" s="203"/>
      <c r="S294" s="203"/>
      <c r="U294" s="203"/>
      <c r="X294" s="126"/>
      <c r="Y294" s="126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205"/>
      <c r="AM294" s="125"/>
      <c r="AN294" s="125"/>
    </row>
    <row r="295" spans="10:40">
      <c r="J295" s="202"/>
      <c r="K295" s="115"/>
      <c r="N295" s="115"/>
      <c r="O295" s="203"/>
      <c r="P295" s="203"/>
      <c r="Q295" s="203"/>
      <c r="R295" s="203"/>
      <c r="S295" s="203"/>
      <c r="U295" s="203"/>
      <c r="X295" s="126"/>
      <c r="Y295" s="126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205"/>
      <c r="AM295" s="125"/>
      <c r="AN295" s="125"/>
    </row>
    <row r="296" spans="10:40">
      <c r="J296" s="202"/>
      <c r="K296" s="115"/>
      <c r="N296" s="115"/>
      <c r="O296" s="203"/>
      <c r="P296" s="203"/>
      <c r="Q296" s="203"/>
      <c r="R296" s="203"/>
      <c r="S296" s="203"/>
      <c r="U296" s="203"/>
      <c r="X296" s="126"/>
      <c r="Y296" s="126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205"/>
      <c r="AM296" s="125"/>
      <c r="AN296" s="125"/>
    </row>
    <row r="297" spans="10:40">
      <c r="J297" s="202"/>
      <c r="K297" s="115"/>
      <c r="N297" s="115"/>
      <c r="O297" s="203"/>
      <c r="P297" s="203"/>
      <c r="Q297" s="203"/>
      <c r="R297" s="203"/>
      <c r="S297" s="203"/>
      <c r="U297" s="203"/>
      <c r="X297" s="126"/>
      <c r="Y297" s="126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205"/>
      <c r="AM297" s="125"/>
      <c r="AN297" s="125"/>
    </row>
    <row r="298" spans="10:40">
      <c r="J298" s="202"/>
      <c r="K298" s="115"/>
      <c r="N298" s="115"/>
      <c r="O298" s="203"/>
      <c r="P298" s="203"/>
      <c r="Q298" s="203"/>
      <c r="R298" s="203"/>
      <c r="S298" s="203"/>
      <c r="U298" s="203"/>
      <c r="X298" s="126"/>
      <c r="Y298" s="126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205"/>
      <c r="AM298" s="125"/>
      <c r="AN298" s="125"/>
    </row>
    <row r="299" spans="10:40">
      <c r="J299" s="202"/>
      <c r="K299" s="115"/>
      <c r="N299" s="115"/>
      <c r="O299" s="203"/>
      <c r="P299" s="203"/>
      <c r="Q299" s="203"/>
      <c r="R299" s="203"/>
      <c r="S299" s="203"/>
      <c r="U299" s="203"/>
      <c r="X299" s="126"/>
      <c r="Y299" s="126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205"/>
      <c r="AM299" s="125"/>
      <c r="AN299" s="125"/>
    </row>
    <row r="300" spans="10:40">
      <c r="J300" s="202"/>
      <c r="K300" s="115"/>
      <c r="N300" s="115"/>
      <c r="O300" s="203"/>
      <c r="P300" s="203"/>
      <c r="Q300" s="203"/>
      <c r="R300" s="203"/>
      <c r="S300" s="203"/>
      <c r="U300" s="203"/>
      <c r="X300" s="126"/>
      <c r="Y300" s="126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205"/>
      <c r="AM300" s="125"/>
      <c r="AN300" s="125"/>
    </row>
    <row r="301" spans="10:40">
      <c r="J301" s="202"/>
      <c r="K301" s="115"/>
      <c r="N301" s="115"/>
      <c r="O301" s="203"/>
      <c r="P301" s="203"/>
      <c r="Q301" s="203"/>
      <c r="R301" s="203"/>
      <c r="S301" s="203"/>
      <c r="U301" s="203"/>
      <c r="X301" s="126"/>
      <c r="Y301" s="126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205"/>
      <c r="AM301" s="125"/>
      <c r="AN301" s="125"/>
    </row>
    <row r="302" spans="10:40">
      <c r="J302" s="202"/>
      <c r="K302" s="115"/>
      <c r="N302" s="115"/>
      <c r="O302" s="203"/>
      <c r="P302" s="203"/>
      <c r="Q302" s="203"/>
      <c r="R302" s="203"/>
      <c r="S302" s="203"/>
      <c r="U302" s="203"/>
      <c r="X302" s="126"/>
      <c r="Y302" s="126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205"/>
      <c r="AM302" s="125"/>
      <c r="AN302" s="125"/>
    </row>
    <row r="303" spans="10:40">
      <c r="J303" s="202"/>
      <c r="K303" s="115"/>
      <c r="N303" s="115"/>
      <c r="O303" s="203"/>
      <c r="P303" s="203"/>
      <c r="Q303" s="203"/>
      <c r="R303" s="203"/>
      <c r="S303" s="203"/>
      <c r="U303" s="203"/>
      <c r="X303" s="126"/>
      <c r="Y303" s="126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205"/>
      <c r="AM303" s="125"/>
      <c r="AN303" s="125"/>
    </row>
    <row r="304" spans="10:40">
      <c r="J304" s="202"/>
      <c r="K304" s="115"/>
      <c r="N304" s="115"/>
      <c r="O304" s="203"/>
      <c r="P304" s="203"/>
      <c r="Q304" s="203"/>
      <c r="R304" s="203"/>
      <c r="S304" s="203"/>
      <c r="U304" s="203"/>
      <c r="X304" s="126"/>
      <c r="Y304" s="126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205"/>
      <c r="AM304" s="125"/>
      <c r="AN304" s="125"/>
    </row>
    <row r="305" spans="10:40">
      <c r="J305" s="202"/>
      <c r="K305" s="115"/>
      <c r="N305" s="115"/>
      <c r="O305" s="203"/>
      <c r="P305" s="203"/>
      <c r="Q305" s="203"/>
      <c r="R305" s="203"/>
      <c r="S305" s="203"/>
      <c r="U305" s="203"/>
      <c r="X305" s="126"/>
      <c r="Y305" s="126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205"/>
      <c r="AM305" s="125"/>
      <c r="AN305" s="125"/>
    </row>
    <row r="306" spans="10:40">
      <c r="J306" s="202"/>
      <c r="K306" s="115"/>
      <c r="N306" s="115"/>
      <c r="O306" s="203"/>
      <c r="P306" s="203"/>
      <c r="Q306" s="203"/>
      <c r="R306" s="203"/>
      <c r="S306" s="203"/>
      <c r="U306" s="203"/>
      <c r="X306" s="126"/>
      <c r="Y306" s="126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205"/>
      <c r="AM306" s="125"/>
      <c r="AN306" s="125"/>
    </row>
    <row r="307" spans="10:40">
      <c r="J307" s="202"/>
      <c r="K307" s="115"/>
      <c r="N307" s="115"/>
      <c r="O307" s="203"/>
      <c r="P307" s="203"/>
      <c r="Q307" s="203"/>
      <c r="R307" s="203"/>
      <c r="S307" s="203"/>
      <c r="U307" s="203"/>
      <c r="X307" s="126"/>
      <c r="Y307" s="126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205"/>
      <c r="AM307" s="125"/>
      <c r="AN307" s="125"/>
    </row>
    <row r="308" spans="10:40">
      <c r="J308" s="202"/>
      <c r="K308" s="115"/>
      <c r="N308" s="115"/>
      <c r="O308" s="203"/>
      <c r="P308" s="203"/>
      <c r="Q308" s="203"/>
      <c r="R308" s="203"/>
      <c r="S308" s="203"/>
      <c r="U308" s="203"/>
      <c r="X308" s="126"/>
      <c r="Y308" s="126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205"/>
      <c r="AM308" s="125"/>
      <c r="AN308" s="125"/>
    </row>
    <row r="309" spans="10:40">
      <c r="J309" s="202"/>
      <c r="K309" s="115"/>
      <c r="N309" s="115"/>
      <c r="O309" s="203"/>
      <c r="P309" s="203"/>
      <c r="Q309" s="203"/>
      <c r="R309" s="203"/>
      <c r="S309" s="203"/>
      <c r="U309" s="203"/>
      <c r="X309" s="126"/>
      <c r="Y309" s="126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205"/>
      <c r="AM309" s="125"/>
      <c r="AN309" s="125"/>
    </row>
    <row r="310" spans="10:40">
      <c r="J310" s="202"/>
      <c r="K310" s="115"/>
      <c r="N310" s="115"/>
      <c r="O310" s="203"/>
      <c r="P310" s="203"/>
      <c r="Q310" s="203"/>
      <c r="R310" s="203"/>
      <c r="S310" s="203"/>
      <c r="U310" s="203"/>
      <c r="X310" s="126"/>
      <c r="Y310" s="126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205"/>
      <c r="AM310" s="125"/>
      <c r="AN310" s="125"/>
    </row>
    <row r="311" spans="10:40">
      <c r="J311" s="202"/>
      <c r="K311" s="115"/>
      <c r="N311" s="115"/>
      <c r="O311" s="203"/>
      <c r="P311" s="203"/>
      <c r="Q311" s="203"/>
      <c r="R311" s="203"/>
      <c r="S311" s="203"/>
      <c r="U311" s="203"/>
      <c r="X311" s="126"/>
      <c r="Y311" s="126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205"/>
      <c r="AM311" s="125"/>
      <c r="AN311" s="125"/>
    </row>
    <row r="312" spans="10:40">
      <c r="J312" s="202"/>
      <c r="K312" s="115"/>
      <c r="N312" s="115"/>
      <c r="O312" s="203"/>
      <c r="P312" s="203"/>
      <c r="Q312" s="203"/>
      <c r="R312" s="203"/>
      <c r="S312" s="203"/>
      <c r="U312" s="203"/>
      <c r="X312" s="126"/>
      <c r="Y312" s="126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205"/>
      <c r="AM312" s="125"/>
      <c r="AN312" s="125"/>
    </row>
    <row r="313" spans="10:40">
      <c r="J313" s="202"/>
      <c r="K313" s="115"/>
      <c r="N313" s="115"/>
      <c r="O313" s="203"/>
      <c r="P313" s="203"/>
      <c r="Q313" s="203"/>
      <c r="R313" s="203"/>
      <c r="S313" s="203"/>
      <c r="U313" s="203"/>
      <c r="X313" s="126"/>
      <c r="Y313" s="126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205"/>
      <c r="AM313" s="125"/>
      <c r="AN313" s="125"/>
    </row>
    <row r="314" spans="10:40">
      <c r="J314" s="202"/>
      <c r="K314" s="115"/>
      <c r="N314" s="115"/>
      <c r="O314" s="203"/>
      <c r="P314" s="203"/>
      <c r="Q314" s="203"/>
      <c r="R314" s="203"/>
      <c r="S314" s="203"/>
      <c r="U314" s="203"/>
      <c r="X314" s="126"/>
      <c r="Y314" s="126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205"/>
      <c r="AM314" s="125"/>
      <c r="AN314" s="125"/>
    </row>
    <row r="315" spans="10:40">
      <c r="J315" s="202"/>
      <c r="K315" s="115"/>
      <c r="N315" s="115"/>
      <c r="O315" s="203"/>
      <c r="P315" s="203"/>
      <c r="Q315" s="203"/>
      <c r="R315" s="203"/>
      <c r="S315" s="203"/>
      <c r="U315" s="203"/>
      <c r="X315" s="126"/>
      <c r="Y315" s="126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205"/>
      <c r="AM315" s="125"/>
      <c r="AN315" s="125"/>
    </row>
    <row r="316" spans="10:40">
      <c r="J316" s="202"/>
      <c r="K316" s="115"/>
      <c r="N316" s="115"/>
      <c r="O316" s="203"/>
      <c r="P316" s="203"/>
      <c r="Q316" s="203"/>
      <c r="R316" s="203"/>
      <c r="S316" s="203"/>
      <c r="U316" s="203"/>
      <c r="X316" s="126"/>
      <c r="Y316" s="126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205"/>
      <c r="AM316" s="125"/>
      <c r="AN316" s="125"/>
    </row>
    <row r="317" spans="10:40">
      <c r="J317" s="202"/>
      <c r="K317" s="115"/>
      <c r="N317" s="115"/>
      <c r="O317" s="203"/>
      <c r="P317" s="203"/>
      <c r="Q317" s="203"/>
      <c r="R317" s="203"/>
      <c r="S317" s="203"/>
      <c r="U317" s="203"/>
      <c r="X317" s="126"/>
      <c r="Y317" s="126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205"/>
      <c r="AM317" s="125"/>
      <c r="AN317" s="125"/>
    </row>
    <row r="318" spans="10:40">
      <c r="J318" s="202"/>
      <c r="K318" s="115"/>
      <c r="N318" s="115"/>
      <c r="O318" s="203"/>
      <c r="P318" s="203"/>
      <c r="Q318" s="203"/>
      <c r="R318" s="203"/>
      <c r="S318" s="203"/>
      <c r="U318" s="203"/>
      <c r="X318" s="126"/>
      <c r="Y318" s="126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205"/>
      <c r="AM318" s="125"/>
      <c r="AN318" s="125"/>
    </row>
    <row r="319" spans="10:40">
      <c r="J319" s="202"/>
      <c r="K319" s="115"/>
      <c r="N319" s="115"/>
      <c r="O319" s="203"/>
      <c r="P319" s="203"/>
      <c r="Q319" s="203"/>
      <c r="R319" s="203"/>
      <c r="S319" s="203"/>
      <c r="U319" s="203"/>
      <c r="X319" s="126"/>
      <c r="Y319" s="126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205"/>
      <c r="AM319" s="125"/>
      <c r="AN319" s="125"/>
    </row>
    <row r="320" spans="10:40">
      <c r="J320" s="202"/>
      <c r="K320" s="115"/>
      <c r="N320" s="115"/>
      <c r="O320" s="203"/>
      <c r="P320" s="203"/>
      <c r="Q320" s="203"/>
      <c r="R320" s="203"/>
      <c r="S320" s="203"/>
      <c r="U320" s="203"/>
      <c r="X320" s="126"/>
      <c r="Y320" s="126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205"/>
      <c r="AM320" s="125"/>
      <c r="AN320" s="125"/>
    </row>
    <row r="321" spans="10:40">
      <c r="J321" s="202"/>
      <c r="K321" s="115"/>
      <c r="N321" s="115"/>
      <c r="O321" s="203"/>
      <c r="P321" s="203"/>
      <c r="Q321" s="203"/>
      <c r="R321" s="203"/>
      <c r="S321" s="203"/>
      <c r="U321" s="203"/>
      <c r="X321" s="126"/>
      <c r="Y321" s="126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205"/>
      <c r="AM321" s="125"/>
      <c r="AN321" s="125"/>
    </row>
    <row r="322" spans="10:40">
      <c r="J322" s="202"/>
      <c r="K322" s="115"/>
      <c r="N322" s="115"/>
      <c r="O322" s="203"/>
      <c r="P322" s="203"/>
      <c r="Q322" s="203"/>
      <c r="R322" s="203"/>
      <c r="S322" s="203"/>
      <c r="U322" s="203"/>
      <c r="X322" s="126"/>
      <c r="Y322" s="126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205"/>
      <c r="AM322" s="125"/>
      <c r="AN322" s="125"/>
    </row>
    <row r="323" spans="10:40">
      <c r="J323" s="202"/>
      <c r="K323" s="115"/>
      <c r="N323" s="115"/>
      <c r="O323" s="203"/>
      <c r="P323" s="203"/>
      <c r="Q323" s="203"/>
      <c r="R323" s="203"/>
      <c r="S323" s="203"/>
      <c r="U323" s="203"/>
      <c r="X323" s="126"/>
      <c r="Y323" s="126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205"/>
      <c r="AM323" s="125"/>
      <c r="AN323" s="125"/>
    </row>
    <row r="324" spans="10:40">
      <c r="J324" s="202"/>
      <c r="K324" s="115"/>
      <c r="N324" s="115"/>
      <c r="O324" s="203"/>
      <c r="P324" s="203"/>
      <c r="Q324" s="203"/>
      <c r="R324" s="203"/>
      <c r="S324" s="203"/>
      <c r="U324" s="203"/>
      <c r="X324" s="126"/>
      <c r="Y324" s="126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205"/>
      <c r="AM324" s="125"/>
      <c r="AN324" s="125"/>
    </row>
    <row r="325" spans="10:40">
      <c r="J325" s="202"/>
      <c r="K325" s="115"/>
      <c r="N325" s="115"/>
      <c r="O325" s="203"/>
      <c r="P325" s="203"/>
      <c r="Q325" s="203"/>
      <c r="R325" s="203"/>
      <c r="S325" s="203"/>
      <c r="U325" s="203"/>
      <c r="X325" s="126"/>
      <c r="Y325" s="126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205"/>
      <c r="AM325" s="125"/>
      <c r="AN325" s="125"/>
    </row>
    <row r="326" spans="10:40">
      <c r="J326" s="202"/>
      <c r="K326" s="115"/>
      <c r="N326" s="115"/>
      <c r="O326" s="203"/>
      <c r="P326" s="203"/>
      <c r="Q326" s="203"/>
      <c r="R326" s="203"/>
      <c r="S326" s="203"/>
      <c r="U326" s="203"/>
      <c r="X326" s="126"/>
      <c r="Y326" s="126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205"/>
      <c r="AM326" s="125"/>
      <c r="AN326" s="125"/>
    </row>
    <row r="327" spans="10:40">
      <c r="J327" s="202"/>
      <c r="K327" s="115"/>
      <c r="N327" s="115"/>
      <c r="O327" s="203"/>
      <c r="P327" s="203"/>
      <c r="Q327" s="203"/>
      <c r="R327" s="203"/>
      <c r="S327" s="203"/>
      <c r="U327" s="203"/>
      <c r="X327" s="126"/>
      <c r="Y327" s="126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205"/>
      <c r="AM327" s="125"/>
      <c r="AN327" s="125"/>
    </row>
    <row r="328" spans="10:40">
      <c r="J328" s="202"/>
      <c r="K328" s="115"/>
      <c r="N328" s="115"/>
      <c r="O328" s="203"/>
      <c r="P328" s="203"/>
      <c r="Q328" s="203"/>
      <c r="R328" s="203"/>
      <c r="S328" s="203"/>
      <c r="U328" s="203"/>
      <c r="X328" s="126"/>
      <c r="Y328" s="126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205"/>
      <c r="AM328" s="125"/>
      <c r="AN328" s="125"/>
    </row>
    <row r="329" spans="10:40">
      <c r="J329" s="202"/>
      <c r="K329" s="115"/>
      <c r="N329" s="115"/>
      <c r="O329" s="203"/>
      <c r="P329" s="203"/>
      <c r="Q329" s="203"/>
      <c r="R329" s="203"/>
      <c r="S329" s="203"/>
      <c r="U329" s="203"/>
      <c r="X329" s="126"/>
      <c r="Y329" s="126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205"/>
      <c r="AM329" s="125"/>
      <c r="AN329" s="125"/>
    </row>
    <row r="330" spans="10:40">
      <c r="J330" s="202"/>
      <c r="K330" s="115"/>
      <c r="N330" s="115"/>
      <c r="O330" s="203"/>
      <c r="P330" s="203"/>
      <c r="Q330" s="203"/>
      <c r="R330" s="203"/>
      <c r="S330" s="203"/>
      <c r="U330" s="203"/>
      <c r="X330" s="126"/>
      <c r="Y330" s="126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205"/>
      <c r="AM330" s="125"/>
      <c r="AN330" s="125"/>
    </row>
    <row r="331" spans="10:40">
      <c r="J331" s="202"/>
      <c r="K331" s="115"/>
      <c r="N331" s="115"/>
      <c r="O331" s="203"/>
      <c r="P331" s="203"/>
      <c r="Q331" s="203"/>
      <c r="R331" s="203"/>
      <c r="S331" s="203"/>
      <c r="U331" s="203"/>
      <c r="X331" s="126"/>
      <c r="Y331" s="126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205"/>
      <c r="AM331" s="125"/>
      <c r="AN331" s="125"/>
    </row>
    <row r="332" spans="10:40">
      <c r="J332" s="202"/>
      <c r="K332" s="115"/>
      <c r="N332" s="115"/>
      <c r="O332" s="203"/>
      <c r="P332" s="203"/>
      <c r="Q332" s="203"/>
      <c r="R332" s="203"/>
      <c r="S332" s="203"/>
      <c r="U332" s="203"/>
      <c r="X332" s="126"/>
      <c r="Y332" s="126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205"/>
      <c r="AM332" s="125"/>
      <c r="AN332" s="125"/>
    </row>
    <row r="333" spans="10:40">
      <c r="J333" s="202"/>
      <c r="K333" s="115"/>
      <c r="N333" s="115"/>
      <c r="O333" s="203"/>
      <c r="P333" s="203"/>
      <c r="Q333" s="203"/>
      <c r="R333" s="203"/>
      <c r="S333" s="203"/>
      <c r="U333" s="203"/>
      <c r="X333" s="126"/>
      <c r="Y333" s="126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205"/>
      <c r="AM333" s="125"/>
      <c r="AN333" s="125"/>
    </row>
    <row r="334" spans="10:40">
      <c r="J334" s="202"/>
      <c r="K334" s="115"/>
      <c r="N334" s="115"/>
      <c r="O334" s="203"/>
      <c r="P334" s="203"/>
      <c r="Q334" s="203"/>
      <c r="R334" s="203"/>
      <c r="S334" s="203"/>
      <c r="U334" s="203"/>
      <c r="X334" s="126"/>
      <c r="Y334" s="126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205"/>
      <c r="AM334" s="125"/>
      <c r="AN334" s="125"/>
    </row>
    <row r="335" spans="10:40">
      <c r="J335" s="202"/>
      <c r="K335" s="115"/>
      <c r="N335" s="115"/>
      <c r="O335" s="203"/>
      <c r="P335" s="203"/>
      <c r="Q335" s="203"/>
      <c r="R335" s="203"/>
      <c r="S335" s="203"/>
      <c r="U335" s="203"/>
      <c r="X335" s="126"/>
      <c r="Y335" s="126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205"/>
      <c r="AM335" s="125"/>
      <c r="AN335" s="125"/>
    </row>
    <row r="336" spans="10:40">
      <c r="J336" s="202"/>
      <c r="K336" s="115"/>
      <c r="N336" s="115"/>
      <c r="O336" s="203"/>
      <c r="P336" s="203"/>
      <c r="Q336" s="203"/>
      <c r="R336" s="203"/>
      <c r="S336" s="203"/>
      <c r="U336" s="203"/>
      <c r="X336" s="126"/>
      <c r="Y336" s="126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205"/>
      <c r="AM336" s="125"/>
      <c r="AN336" s="125"/>
    </row>
    <row r="337" spans="10:40">
      <c r="J337" s="202"/>
      <c r="K337" s="115"/>
      <c r="N337" s="115"/>
      <c r="O337" s="203"/>
      <c r="P337" s="203"/>
      <c r="Q337" s="203"/>
      <c r="R337" s="203"/>
      <c r="S337" s="203"/>
      <c r="U337" s="203"/>
      <c r="X337" s="126"/>
      <c r="Y337" s="126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205"/>
      <c r="AM337" s="125"/>
      <c r="AN337" s="125"/>
    </row>
    <row r="338" spans="10:40">
      <c r="J338" s="202"/>
      <c r="K338" s="115"/>
      <c r="N338" s="115"/>
      <c r="O338" s="203"/>
      <c r="P338" s="203"/>
      <c r="Q338" s="203"/>
      <c r="R338" s="203"/>
      <c r="S338" s="203"/>
      <c r="U338" s="203"/>
      <c r="X338" s="126"/>
      <c r="Y338" s="126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205"/>
      <c r="AM338" s="125"/>
      <c r="AN338" s="125"/>
    </row>
    <row r="339" spans="10:40">
      <c r="J339" s="202"/>
      <c r="K339" s="115"/>
      <c r="N339" s="115"/>
      <c r="O339" s="203"/>
      <c r="P339" s="203"/>
      <c r="Q339" s="203"/>
      <c r="R339" s="203"/>
      <c r="S339" s="203"/>
      <c r="U339" s="203"/>
      <c r="X339" s="126"/>
      <c r="Y339" s="126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205"/>
      <c r="AM339" s="125"/>
      <c r="AN339" s="125"/>
    </row>
    <row r="340" spans="10:40">
      <c r="J340" s="202"/>
      <c r="K340" s="115"/>
      <c r="N340" s="115"/>
      <c r="O340" s="203"/>
      <c r="P340" s="203"/>
      <c r="Q340" s="203"/>
      <c r="R340" s="203"/>
      <c r="S340" s="203"/>
      <c r="U340" s="203"/>
      <c r="X340" s="126"/>
      <c r="Y340" s="126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205"/>
      <c r="AM340" s="125"/>
      <c r="AN340" s="125"/>
    </row>
    <row r="341" spans="10:40">
      <c r="J341" s="202"/>
      <c r="K341" s="115"/>
      <c r="N341" s="115"/>
      <c r="O341" s="203"/>
      <c r="P341" s="203"/>
      <c r="Q341" s="203"/>
      <c r="R341" s="203"/>
      <c r="S341" s="203"/>
      <c r="U341" s="203"/>
      <c r="X341" s="126"/>
      <c r="Y341" s="126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205"/>
      <c r="AM341" s="125"/>
      <c r="AN341" s="125"/>
    </row>
    <row r="342" spans="10:40">
      <c r="J342" s="202"/>
      <c r="K342" s="115"/>
      <c r="N342" s="115"/>
      <c r="O342" s="203"/>
      <c r="P342" s="203"/>
      <c r="Q342" s="203"/>
      <c r="R342" s="203"/>
      <c r="S342" s="203"/>
      <c r="U342" s="203"/>
      <c r="X342" s="126"/>
      <c r="Y342" s="126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205"/>
      <c r="AM342" s="125"/>
      <c r="AN342" s="125"/>
    </row>
    <row r="343" spans="10:40">
      <c r="J343" s="202"/>
      <c r="K343" s="115"/>
      <c r="N343" s="115"/>
      <c r="O343" s="203"/>
      <c r="P343" s="203"/>
      <c r="Q343" s="203"/>
      <c r="R343" s="203"/>
      <c r="S343" s="203"/>
      <c r="U343" s="203"/>
      <c r="X343" s="126"/>
      <c r="Y343" s="126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205"/>
      <c r="AM343" s="125"/>
      <c r="AN343" s="125"/>
    </row>
    <row r="344" spans="10:40">
      <c r="J344" s="202"/>
      <c r="K344" s="115"/>
      <c r="N344" s="115"/>
      <c r="O344" s="203"/>
      <c r="P344" s="203"/>
      <c r="Q344" s="203"/>
      <c r="R344" s="203"/>
      <c r="S344" s="203"/>
      <c r="U344" s="203"/>
      <c r="X344" s="126"/>
      <c r="Y344" s="126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205"/>
      <c r="AM344" s="125"/>
      <c r="AN344" s="125"/>
    </row>
    <row r="345" spans="10:40">
      <c r="J345" s="202"/>
      <c r="K345" s="115"/>
      <c r="N345" s="115"/>
      <c r="O345" s="203"/>
      <c r="P345" s="203"/>
      <c r="Q345" s="203"/>
      <c r="R345" s="203"/>
      <c r="S345" s="203"/>
      <c r="U345" s="203"/>
      <c r="X345" s="126"/>
      <c r="Y345" s="126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205"/>
      <c r="AM345" s="125"/>
      <c r="AN345" s="125"/>
    </row>
    <row r="346" spans="10:40">
      <c r="J346" s="202"/>
      <c r="K346" s="115"/>
      <c r="N346" s="115"/>
      <c r="O346" s="203"/>
      <c r="P346" s="203"/>
      <c r="Q346" s="203"/>
      <c r="R346" s="203"/>
      <c r="S346" s="203"/>
      <c r="U346" s="203"/>
      <c r="X346" s="126"/>
      <c r="Y346" s="126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205"/>
      <c r="AM346" s="125"/>
      <c r="AN346" s="125"/>
    </row>
    <row r="347" spans="10:40">
      <c r="J347" s="202"/>
      <c r="K347" s="115"/>
      <c r="N347" s="115"/>
      <c r="O347" s="203"/>
      <c r="P347" s="203"/>
      <c r="Q347" s="203"/>
      <c r="R347" s="203"/>
      <c r="S347" s="203"/>
      <c r="U347" s="203"/>
      <c r="X347" s="126"/>
      <c r="Y347" s="126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205"/>
      <c r="AM347" s="125"/>
      <c r="AN347" s="125"/>
    </row>
    <row r="348" spans="10:40">
      <c r="J348" s="202"/>
      <c r="K348" s="115"/>
      <c r="N348" s="115"/>
      <c r="O348" s="203"/>
      <c r="P348" s="203"/>
      <c r="Q348" s="203"/>
      <c r="R348" s="203"/>
      <c r="S348" s="203"/>
      <c r="U348" s="203"/>
      <c r="X348" s="126"/>
      <c r="Y348" s="126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205"/>
      <c r="AM348" s="125"/>
      <c r="AN348" s="125"/>
    </row>
    <row r="349" spans="10:40">
      <c r="J349" s="202"/>
      <c r="K349" s="115"/>
      <c r="N349" s="115"/>
      <c r="O349" s="203"/>
      <c r="P349" s="203"/>
      <c r="Q349" s="203"/>
      <c r="R349" s="203"/>
      <c r="S349" s="203"/>
      <c r="U349" s="203"/>
      <c r="X349" s="126"/>
      <c r="Y349" s="126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205"/>
      <c r="AM349" s="125"/>
      <c r="AN349" s="125"/>
    </row>
    <row r="350" spans="10:40">
      <c r="J350" s="202"/>
      <c r="K350" s="115"/>
      <c r="N350" s="115"/>
      <c r="O350" s="203"/>
      <c r="P350" s="203"/>
      <c r="Q350" s="203"/>
      <c r="R350" s="203"/>
      <c r="S350" s="203"/>
      <c r="U350" s="203"/>
      <c r="X350" s="126"/>
      <c r="Y350" s="126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205"/>
      <c r="AM350" s="125"/>
      <c r="AN350" s="125"/>
    </row>
    <row r="351" spans="10:40">
      <c r="J351" s="202"/>
      <c r="K351" s="115"/>
      <c r="N351" s="115"/>
      <c r="O351" s="203"/>
      <c r="P351" s="203"/>
      <c r="Q351" s="203"/>
      <c r="R351" s="203"/>
      <c r="S351" s="203"/>
      <c r="U351" s="203"/>
      <c r="X351" s="126"/>
      <c r="Y351" s="126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205"/>
      <c r="AM351" s="125"/>
      <c r="AN351" s="125"/>
    </row>
    <row r="352" spans="10:40">
      <c r="J352" s="202"/>
      <c r="K352" s="115"/>
      <c r="N352" s="115"/>
      <c r="O352" s="203"/>
      <c r="P352" s="203"/>
      <c r="Q352" s="203"/>
      <c r="R352" s="203"/>
      <c r="S352" s="203"/>
      <c r="U352" s="203"/>
      <c r="X352" s="126"/>
      <c r="Y352" s="126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205"/>
      <c r="AM352" s="125"/>
      <c r="AN352" s="125"/>
    </row>
    <row r="353" spans="10:40">
      <c r="J353" s="202"/>
      <c r="K353" s="115"/>
      <c r="N353" s="115"/>
      <c r="O353" s="203"/>
      <c r="P353" s="203"/>
      <c r="Q353" s="203"/>
      <c r="R353" s="203"/>
      <c r="S353" s="203"/>
      <c r="U353" s="203"/>
      <c r="X353" s="126"/>
      <c r="Y353" s="126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205"/>
      <c r="AM353" s="125"/>
      <c r="AN353" s="125"/>
    </row>
    <row r="354" spans="10:40">
      <c r="J354" s="202"/>
      <c r="K354" s="115"/>
      <c r="N354" s="115"/>
      <c r="O354" s="203"/>
      <c r="P354" s="203"/>
      <c r="Q354" s="203"/>
      <c r="R354" s="203"/>
      <c r="S354" s="203"/>
      <c r="U354" s="203"/>
      <c r="X354" s="126"/>
      <c r="Y354" s="126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205"/>
      <c r="AM354" s="125"/>
      <c r="AN354" s="125"/>
    </row>
    <row r="355" spans="10:40">
      <c r="J355" s="202"/>
      <c r="K355" s="115"/>
      <c r="N355" s="115"/>
      <c r="O355" s="203"/>
      <c r="P355" s="203"/>
      <c r="Q355" s="203"/>
      <c r="R355" s="203"/>
      <c r="S355" s="203"/>
      <c r="U355" s="203"/>
      <c r="X355" s="126"/>
      <c r="Y355" s="126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205"/>
      <c r="AM355" s="125"/>
      <c r="AN355" s="125"/>
    </row>
    <row r="356" spans="10:40">
      <c r="J356" s="202"/>
      <c r="K356" s="115"/>
      <c r="N356" s="115"/>
      <c r="O356" s="203"/>
      <c r="P356" s="203"/>
      <c r="Q356" s="203"/>
      <c r="R356" s="203"/>
      <c r="S356" s="203"/>
      <c r="U356" s="203"/>
      <c r="X356" s="126"/>
      <c r="Y356" s="126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205"/>
      <c r="AM356" s="125"/>
      <c r="AN356" s="125"/>
    </row>
    <row r="357" spans="10:40">
      <c r="J357" s="202"/>
      <c r="K357" s="115"/>
      <c r="N357" s="115"/>
      <c r="O357" s="203"/>
      <c r="P357" s="203"/>
      <c r="Q357" s="203"/>
      <c r="R357" s="203"/>
      <c r="S357" s="203"/>
      <c r="U357" s="203"/>
      <c r="X357" s="126"/>
      <c r="Y357" s="126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205"/>
      <c r="AM357" s="125"/>
      <c r="AN357" s="125"/>
    </row>
    <row r="358" spans="10:40">
      <c r="J358" s="202"/>
      <c r="K358" s="115"/>
      <c r="N358" s="115"/>
      <c r="O358" s="203"/>
      <c r="P358" s="203"/>
      <c r="Q358" s="203"/>
      <c r="R358" s="203"/>
      <c r="S358" s="203"/>
      <c r="U358" s="203"/>
      <c r="X358" s="126"/>
      <c r="Y358" s="126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205"/>
      <c r="AM358" s="125"/>
      <c r="AN358" s="125"/>
    </row>
    <row r="359" spans="10:40">
      <c r="J359" s="202"/>
      <c r="K359" s="115"/>
      <c r="N359" s="115"/>
      <c r="O359" s="203"/>
      <c r="P359" s="203"/>
      <c r="Q359" s="203"/>
      <c r="R359" s="203"/>
      <c r="S359" s="203"/>
      <c r="U359" s="203"/>
      <c r="X359" s="126"/>
      <c r="Y359" s="126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205"/>
      <c r="AM359" s="125"/>
      <c r="AN359" s="125"/>
    </row>
    <row r="360" spans="10:40">
      <c r="J360" s="202"/>
      <c r="K360" s="115"/>
      <c r="N360" s="115"/>
      <c r="O360" s="203"/>
      <c r="P360" s="203"/>
      <c r="Q360" s="203"/>
      <c r="R360" s="203"/>
      <c r="S360" s="203"/>
      <c r="U360" s="203"/>
      <c r="X360" s="126"/>
      <c r="Y360" s="126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205"/>
      <c r="AM360" s="125"/>
      <c r="AN360" s="125"/>
    </row>
    <row r="361" spans="10:40">
      <c r="J361" s="202"/>
      <c r="K361" s="115"/>
      <c r="N361" s="115"/>
      <c r="O361" s="203"/>
      <c r="P361" s="203"/>
      <c r="Q361" s="203"/>
      <c r="R361" s="203"/>
      <c r="S361" s="203"/>
      <c r="U361" s="203"/>
      <c r="X361" s="126"/>
      <c r="Y361" s="126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205"/>
      <c r="AM361" s="125"/>
      <c r="AN361" s="125"/>
    </row>
    <row r="362" spans="10:40">
      <c r="J362" s="202"/>
      <c r="K362" s="115"/>
      <c r="N362" s="115"/>
      <c r="O362" s="203"/>
      <c r="P362" s="203"/>
      <c r="Q362" s="203"/>
      <c r="R362" s="203"/>
      <c r="S362" s="203"/>
      <c r="U362" s="203"/>
      <c r="X362" s="126"/>
      <c r="Y362" s="126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205"/>
      <c r="AM362" s="125"/>
      <c r="AN362" s="125"/>
    </row>
    <row r="363" spans="10:40">
      <c r="J363" s="202"/>
      <c r="K363" s="115"/>
      <c r="N363" s="115"/>
      <c r="O363" s="203"/>
      <c r="P363" s="203"/>
      <c r="Q363" s="203"/>
      <c r="R363" s="203"/>
      <c r="S363" s="203"/>
      <c r="U363" s="203"/>
      <c r="X363" s="126"/>
      <c r="Y363" s="126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205"/>
      <c r="AM363" s="125"/>
      <c r="AN363" s="125"/>
    </row>
    <row r="364" spans="10:40">
      <c r="J364" s="202"/>
      <c r="K364" s="115"/>
      <c r="N364" s="115"/>
      <c r="O364" s="203"/>
      <c r="P364" s="203"/>
      <c r="Q364" s="203"/>
      <c r="R364" s="203"/>
      <c r="S364" s="203"/>
      <c r="U364" s="203"/>
      <c r="X364" s="126"/>
      <c r="Y364" s="126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205"/>
      <c r="AM364" s="125"/>
      <c r="AN364" s="125"/>
    </row>
    <row r="365" spans="10:40">
      <c r="J365" s="202"/>
      <c r="K365" s="115"/>
      <c r="N365" s="115"/>
      <c r="O365" s="203"/>
      <c r="P365" s="203"/>
      <c r="Q365" s="203"/>
      <c r="R365" s="203"/>
      <c r="S365" s="203"/>
      <c r="U365" s="203"/>
      <c r="X365" s="126"/>
      <c r="Y365" s="126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205"/>
      <c r="AM365" s="125"/>
      <c r="AN365" s="125"/>
    </row>
    <row r="366" spans="10:40">
      <c r="J366" s="202"/>
      <c r="K366" s="115"/>
      <c r="N366" s="115"/>
      <c r="O366" s="203"/>
      <c r="P366" s="203"/>
      <c r="Q366" s="203"/>
      <c r="R366" s="203"/>
      <c r="S366" s="203"/>
      <c r="U366" s="203"/>
      <c r="X366" s="126"/>
      <c r="Y366" s="126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205"/>
      <c r="AM366" s="125"/>
      <c r="AN366" s="125"/>
    </row>
    <row r="367" spans="10:40">
      <c r="J367" s="202"/>
      <c r="K367" s="115"/>
      <c r="N367" s="115"/>
      <c r="O367" s="203"/>
      <c r="P367" s="203"/>
      <c r="Q367" s="203"/>
      <c r="R367" s="203"/>
      <c r="S367" s="203"/>
      <c r="U367" s="203"/>
      <c r="X367" s="126"/>
      <c r="Y367" s="126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205"/>
      <c r="AM367" s="125"/>
      <c r="AN367" s="125"/>
    </row>
    <row r="368" spans="10:40">
      <c r="J368" s="202"/>
      <c r="K368" s="115"/>
      <c r="N368" s="115"/>
      <c r="O368" s="203"/>
      <c r="P368" s="203"/>
      <c r="Q368" s="203"/>
      <c r="R368" s="203"/>
      <c r="S368" s="203"/>
      <c r="U368" s="203"/>
      <c r="X368" s="126"/>
      <c r="Y368" s="126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205"/>
      <c r="AM368" s="125"/>
      <c r="AN368" s="125"/>
    </row>
    <row r="369" spans="10:40">
      <c r="J369" s="202"/>
      <c r="K369" s="115"/>
      <c r="N369" s="115"/>
      <c r="O369" s="203"/>
      <c r="P369" s="203"/>
      <c r="Q369" s="203"/>
      <c r="R369" s="203"/>
      <c r="S369" s="203"/>
      <c r="U369" s="203"/>
      <c r="X369" s="126"/>
      <c r="Y369" s="126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205"/>
      <c r="AM369" s="125"/>
      <c r="AN369" s="125"/>
    </row>
    <row r="370" spans="10:40">
      <c r="J370" s="202"/>
      <c r="K370" s="115"/>
      <c r="N370" s="115"/>
      <c r="O370" s="203"/>
      <c r="P370" s="203"/>
      <c r="Q370" s="203"/>
      <c r="R370" s="203"/>
      <c r="S370" s="203"/>
      <c r="U370" s="203"/>
      <c r="X370" s="126"/>
      <c r="Y370" s="126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205"/>
      <c r="AM370" s="125"/>
      <c r="AN370" s="125"/>
    </row>
    <row r="371" spans="10:40">
      <c r="J371" s="202"/>
      <c r="K371" s="115"/>
      <c r="N371" s="115"/>
      <c r="O371" s="203"/>
      <c r="P371" s="203"/>
      <c r="Q371" s="203"/>
      <c r="R371" s="203"/>
      <c r="S371" s="203"/>
      <c r="U371" s="203"/>
      <c r="X371" s="126"/>
      <c r="Y371" s="126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205"/>
      <c r="AM371" s="125"/>
      <c r="AN371" s="125"/>
    </row>
    <row r="372" spans="10:40">
      <c r="J372" s="202"/>
      <c r="K372" s="115"/>
      <c r="N372" s="115"/>
      <c r="O372" s="203"/>
      <c r="P372" s="203"/>
      <c r="Q372" s="203"/>
      <c r="R372" s="203"/>
      <c r="S372" s="203"/>
      <c r="U372" s="203"/>
      <c r="X372" s="126"/>
      <c r="Y372" s="126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205"/>
      <c r="AM372" s="125"/>
      <c r="AN372" s="125"/>
    </row>
    <row r="373" spans="10:40">
      <c r="J373" s="202"/>
      <c r="K373" s="115"/>
      <c r="N373" s="115"/>
      <c r="O373" s="203"/>
      <c r="P373" s="203"/>
      <c r="Q373" s="203"/>
      <c r="R373" s="203"/>
      <c r="S373" s="203"/>
      <c r="U373" s="203"/>
      <c r="X373" s="126"/>
      <c r="Y373" s="126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205"/>
      <c r="AM373" s="125"/>
      <c r="AN373" s="125"/>
    </row>
    <row r="374" spans="10:40">
      <c r="J374" s="202"/>
      <c r="K374" s="115"/>
      <c r="N374" s="115"/>
      <c r="O374" s="203"/>
      <c r="P374" s="203"/>
      <c r="Q374" s="203"/>
      <c r="R374" s="203"/>
      <c r="S374" s="203"/>
      <c r="U374" s="203"/>
      <c r="X374" s="126"/>
      <c r="Y374" s="126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205"/>
      <c r="AM374" s="125"/>
      <c r="AN374" s="125"/>
    </row>
    <row r="375" spans="10:40">
      <c r="J375" s="202"/>
      <c r="K375" s="115"/>
      <c r="N375" s="115"/>
      <c r="O375" s="203"/>
      <c r="P375" s="203"/>
      <c r="Q375" s="203"/>
      <c r="R375" s="203"/>
      <c r="S375" s="203"/>
      <c r="U375" s="203"/>
      <c r="X375" s="126"/>
      <c r="Y375" s="126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205"/>
      <c r="AM375" s="125"/>
      <c r="AN375" s="125"/>
    </row>
    <row r="376" spans="10:40">
      <c r="J376" s="202"/>
      <c r="K376" s="115"/>
      <c r="N376" s="115"/>
      <c r="O376" s="203"/>
      <c r="P376" s="203"/>
      <c r="Q376" s="203"/>
      <c r="R376" s="203"/>
      <c r="S376" s="203"/>
      <c r="U376" s="203"/>
      <c r="X376" s="126"/>
      <c r="Y376" s="126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205"/>
      <c r="AM376" s="125"/>
      <c r="AN376" s="125"/>
    </row>
    <row r="377" spans="10:40">
      <c r="J377" s="202"/>
      <c r="K377" s="115"/>
      <c r="N377" s="115"/>
      <c r="O377" s="203"/>
      <c r="P377" s="203"/>
      <c r="Q377" s="203"/>
      <c r="R377" s="203"/>
      <c r="S377" s="203"/>
      <c r="U377" s="203"/>
      <c r="X377" s="126"/>
      <c r="Y377" s="126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205"/>
      <c r="AM377" s="125"/>
      <c r="AN377" s="125"/>
    </row>
    <row r="378" spans="10:40">
      <c r="J378" s="202"/>
      <c r="K378" s="115"/>
      <c r="N378" s="115"/>
      <c r="O378" s="203"/>
      <c r="P378" s="203"/>
      <c r="Q378" s="203"/>
      <c r="R378" s="203"/>
      <c r="S378" s="203"/>
      <c r="U378" s="203"/>
      <c r="X378" s="126"/>
      <c r="Y378" s="126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205"/>
      <c r="AM378" s="125"/>
      <c r="AN378" s="125"/>
    </row>
    <row r="379" spans="10:40">
      <c r="J379" s="202"/>
      <c r="K379" s="115"/>
      <c r="N379" s="115"/>
      <c r="O379" s="203"/>
      <c r="P379" s="203"/>
      <c r="Q379" s="203"/>
      <c r="R379" s="203"/>
      <c r="S379" s="203"/>
      <c r="U379" s="203"/>
      <c r="X379" s="126"/>
      <c r="Y379" s="126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205"/>
      <c r="AM379" s="125"/>
      <c r="AN379" s="125"/>
    </row>
    <row r="380" spans="10:40">
      <c r="J380" s="202"/>
      <c r="K380" s="115"/>
      <c r="N380" s="115"/>
      <c r="O380" s="203"/>
      <c r="P380" s="203"/>
      <c r="Q380" s="203"/>
      <c r="R380" s="203"/>
      <c r="S380" s="203"/>
      <c r="U380" s="203"/>
      <c r="X380" s="126"/>
      <c r="Y380" s="126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205"/>
      <c r="AM380" s="125"/>
      <c r="AN380" s="125"/>
    </row>
    <row r="381" spans="10:40">
      <c r="J381" s="202"/>
      <c r="K381" s="115"/>
      <c r="N381" s="115"/>
      <c r="O381" s="203"/>
      <c r="P381" s="203"/>
      <c r="Q381" s="203"/>
      <c r="R381" s="203"/>
      <c r="S381" s="203"/>
      <c r="U381" s="203"/>
      <c r="X381" s="126"/>
      <c r="Y381" s="126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205"/>
      <c r="AM381" s="125"/>
      <c r="AN381" s="125"/>
    </row>
    <row r="382" spans="10:40">
      <c r="J382" s="202"/>
      <c r="K382" s="115"/>
      <c r="N382" s="115"/>
      <c r="O382" s="203"/>
      <c r="P382" s="203"/>
      <c r="Q382" s="203"/>
      <c r="R382" s="203"/>
      <c r="S382" s="203"/>
      <c r="U382" s="203"/>
      <c r="X382" s="126"/>
      <c r="Y382" s="126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205"/>
      <c r="AM382" s="125"/>
      <c r="AN382" s="125"/>
    </row>
    <row r="383" spans="10:40">
      <c r="J383" s="202"/>
      <c r="K383" s="115"/>
      <c r="N383" s="115"/>
      <c r="O383" s="203"/>
      <c r="P383" s="203"/>
      <c r="Q383" s="203"/>
      <c r="R383" s="203"/>
      <c r="S383" s="203"/>
      <c r="U383" s="203"/>
      <c r="X383" s="126"/>
      <c r="Y383" s="126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205"/>
      <c r="AM383" s="125"/>
      <c r="AN383" s="125"/>
    </row>
    <row r="384" spans="10:40">
      <c r="J384" s="202"/>
      <c r="K384" s="115"/>
      <c r="N384" s="115"/>
      <c r="O384" s="203"/>
      <c r="P384" s="203"/>
      <c r="Q384" s="203"/>
      <c r="R384" s="203"/>
      <c r="S384" s="203"/>
      <c r="U384" s="203"/>
      <c r="X384" s="126"/>
      <c r="Y384" s="126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205"/>
      <c r="AM384" s="125"/>
      <c r="AN384" s="125"/>
    </row>
    <row r="385" spans="10:40">
      <c r="J385" s="202"/>
      <c r="K385" s="115"/>
      <c r="N385" s="115"/>
      <c r="O385" s="203"/>
      <c r="P385" s="203"/>
      <c r="Q385" s="203"/>
      <c r="R385" s="203"/>
      <c r="S385" s="203"/>
      <c r="U385" s="203"/>
      <c r="X385" s="126"/>
      <c r="Y385" s="126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205"/>
      <c r="AM385" s="125"/>
      <c r="AN385" s="125"/>
    </row>
    <row r="386" spans="10:40">
      <c r="J386" s="202"/>
      <c r="K386" s="115"/>
      <c r="N386" s="115"/>
      <c r="O386" s="203"/>
      <c r="P386" s="203"/>
      <c r="Q386" s="203"/>
      <c r="R386" s="203"/>
      <c r="S386" s="203"/>
      <c r="U386" s="203"/>
      <c r="X386" s="126"/>
      <c r="Y386" s="126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205"/>
      <c r="AM386" s="125"/>
      <c r="AN386" s="125"/>
    </row>
    <row r="387" spans="10:40">
      <c r="J387" s="202"/>
      <c r="K387" s="115"/>
      <c r="N387" s="115"/>
      <c r="O387" s="203"/>
      <c r="P387" s="203"/>
      <c r="Q387" s="203"/>
      <c r="R387" s="203"/>
      <c r="S387" s="203"/>
      <c r="U387" s="203"/>
      <c r="X387" s="126"/>
      <c r="Y387" s="126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205"/>
      <c r="AM387" s="125"/>
      <c r="AN387" s="125"/>
    </row>
    <row r="388" spans="10:40">
      <c r="J388" s="202"/>
      <c r="K388" s="115"/>
      <c r="N388" s="115"/>
      <c r="O388" s="203"/>
      <c r="P388" s="203"/>
      <c r="Q388" s="203"/>
      <c r="R388" s="203"/>
      <c r="S388" s="203"/>
      <c r="U388" s="203"/>
      <c r="X388" s="126"/>
      <c r="Y388" s="126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205"/>
      <c r="AM388" s="125"/>
      <c r="AN388" s="125"/>
    </row>
    <row r="389" spans="10:40">
      <c r="J389" s="202"/>
      <c r="K389" s="115"/>
      <c r="N389" s="115"/>
      <c r="O389" s="203"/>
      <c r="P389" s="203"/>
      <c r="Q389" s="203"/>
      <c r="R389" s="203"/>
      <c r="S389" s="203"/>
      <c r="U389" s="203"/>
      <c r="X389" s="126"/>
      <c r="Y389" s="126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205"/>
      <c r="AM389" s="125"/>
      <c r="AN389" s="125"/>
    </row>
    <row r="390" spans="10:40">
      <c r="J390" s="202"/>
      <c r="K390" s="115"/>
      <c r="N390" s="115"/>
      <c r="O390" s="203"/>
      <c r="P390" s="203"/>
      <c r="Q390" s="203"/>
      <c r="R390" s="203"/>
      <c r="S390" s="203"/>
      <c r="U390" s="203"/>
      <c r="X390" s="126"/>
      <c r="Y390" s="126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205"/>
      <c r="AM390" s="125"/>
      <c r="AN390" s="125"/>
    </row>
    <row r="391" spans="10:40">
      <c r="J391" s="202"/>
      <c r="K391" s="115"/>
      <c r="N391" s="115"/>
      <c r="O391" s="203"/>
      <c r="P391" s="203"/>
      <c r="Q391" s="203"/>
      <c r="R391" s="203"/>
      <c r="S391" s="203"/>
      <c r="U391" s="203"/>
      <c r="X391" s="126"/>
      <c r="Y391" s="126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205"/>
      <c r="AM391" s="125"/>
      <c r="AN391" s="125"/>
    </row>
    <row r="392" spans="10:40">
      <c r="J392" s="202"/>
      <c r="K392" s="115"/>
      <c r="N392" s="115"/>
      <c r="O392" s="203"/>
      <c r="P392" s="203"/>
      <c r="Q392" s="203"/>
      <c r="R392" s="203"/>
      <c r="S392" s="203"/>
      <c r="U392" s="203"/>
      <c r="X392" s="126"/>
      <c r="Y392" s="126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205"/>
      <c r="AM392" s="125"/>
      <c r="AN392" s="125"/>
    </row>
    <row r="393" spans="10:40">
      <c r="J393" s="202"/>
      <c r="K393" s="115"/>
      <c r="N393" s="115"/>
      <c r="O393" s="203"/>
      <c r="P393" s="203"/>
      <c r="Q393" s="203"/>
      <c r="R393" s="203"/>
      <c r="S393" s="203"/>
      <c r="U393" s="203"/>
      <c r="X393" s="126"/>
      <c r="Y393" s="126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205"/>
      <c r="AM393" s="125"/>
      <c r="AN393" s="125"/>
    </row>
    <row r="394" spans="10:40">
      <c r="J394" s="202"/>
      <c r="K394" s="115"/>
      <c r="N394" s="115"/>
      <c r="O394" s="203"/>
      <c r="P394" s="203"/>
      <c r="Q394" s="203"/>
      <c r="R394" s="203"/>
      <c r="S394" s="203"/>
      <c r="U394" s="203"/>
      <c r="X394" s="126"/>
      <c r="Y394" s="126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205"/>
      <c r="AM394" s="125"/>
      <c r="AN394" s="125"/>
    </row>
    <row r="395" spans="10:40">
      <c r="J395" s="202"/>
      <c r="K395" s="115"/>
      <c r="N395" s="115"/>
      <c r="O395" s="203"/>
      <c r="P395" s="203"/>
      <c r="Q395" s="203"/>
      <c r="R395" s="203"/>
      <c r="S395" s="203"/>
      <c r="U395" s="203"/>
      <c r="X395" s="126"/>
      <c r="Y395" s="126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205"/>
      <c r="AM395" s="125"/>
      <c r="AN395" s="125"/>
    </row>
    <row r="396" spans="10:40">
      <c r="J396" s="202"/>
      <c r="K396" s="115"/>
      <c r="N396" s="115"/>
      <c r="O396" s="203"/>
      <c r="P396" s="203"/>
      <c r="Q396" s="203"/>
      <c r="R396" s="203"/>
      <c r="S396" s="203"/>
      <c r="U396" s="203"/>
      <c r="X396" s="126"/>
      <c r="Y396" s="126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205"/>
      <c r="AM396" s="125"/>
      <c r="AN396" s="125"/>
    </row>
    <row r="397" spans="10:40">
      <c r="J397" s="202"/>
      <c r="K397" s="115"/>
      <c r="N397" s="115"/>
      <c r="O397" s="203"/>
      <c r="P397" s="203"/>
      <c r="Q397" s="203"/>
      <c r="R397" s="203"/>
      <c r="S397" s="203"/>
      <c r="U397" s="203"/>
      <c r="X397" s="126"/>
      <c r="Y397" s="126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205"/>
      <c r="AM397" s="125"/>
      <c r="AN397" s="125"/>
    </row>
    <row r="398" spans="10:40">
      <c r="J398" s="202"/>
      <c r="K398" s="115"/>
      <c r="N398" s="115"/>
      <c r="O398" s="203"/>
      <c r="P398" s="203"/>
      <c r="Q398" s="203"/>
      <c r="R398" s="203"/>
      <c r="S398" s="203"/>
      <c r="U398" s="203"/>
      <c r="X398" s="126"/>
      <c r="Y398" s="126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205"/>
      <c r="AM398" s="125"/>
      <c r="AN398" s="125"/>
    </row>
    <row r="399" spans="10:40">
      <c r="J399" s="202"/>
      <c r="K399" s="115"/>
      <c r="N399" s="115"/>
      <c r="O399" s="203"/>
      <c r="P399" s="203"/>
      <c r="Q399" s="203"/>
      <c r="R399" s="203"/>
      <c r="S399" s="203"/>
      <c r="U399" s="203"/>
      <c r="X399" s="126"/>
      <c r="Y399" s="126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205"/>
      <c r="AM399" s="125"/>
      <c r="AN399" s="125"/>
    </row>
    <row r="400" spans="10:40">
      <c r="J400" s="202"/>
      <c r="K400" s="115"/>
      <c r="N400" s="115"/>
      <c r="O400" s="203"/>
      <c r="P400" s="203"/>
      <c r="Q400" s="203"/>
      <c r="R400" s="203"/>
      <c r="S400" s="203"/>
      <c r="U400" s="203"/>
      <c r="X400" s="126"/>
      <c r="Y400" s="126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205"/>
      <c r="AM400" s="125"/>
      <c r="AN400" s="125"/>
    </row>
    <row r="401" spans="10:40">
      <c r="J401" s="202"/>
      <c r="K401" s="115"/>
      <c r="N401" s="115"/>
      <c r="O401" s="203"/>
      <c r="P401" s="203"/>
      <c r="Q401" s="203"/>
      <c r="R401" s="203"/>
      <c r="S401" s="203"/>
      <c r="U401" s="203"/>
      <c r="X401" s="126"/>
      <c r="Y401" s="126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205"/>
      <c r="AM401" s="125"/>
      <c r="AN401" s="125"/>
    </row>
    <row r="402" spans="10:40">
      <c r="J402" s="202"/>
      <c r="K402" s="115"/>
      <c r="N402" s="115"/>
      <c r="O402" s="203"/>
      <c r="P402" s="203"/>
      <c r="Q402" s="203"/>
      <c r="R402" s="203"/>
      <c r="S402" s="203"/>
      <c r="U402" s="203"/>
      <c r="X402" s="126"/>
      <c r="Y402" s="126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205"/>
      <c r="AM402" s="125"/>
      <c r="AN402" s="125"/>
    </row>
    <row r="403" spans="10:40">
      <c r="J403" s="202"/>
      <c r="K403" s="115"/>
      <c r="N403" s="115"/>
      <c r="O403" s="203"/>
      <c r="P403" s="203"/>
      <c r="Q403" s="203"/>
      <c r="R403" s="203"/>
      <c r="S403" s="203"/>
      <c r="U403" s="203"/>
      <c r="X403" s="126"/>
      <c r="Y403" s="126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205"/>
      <c r="AM403" s="125"/>
      <c r="AN403" s="125"/>
    </row>
    <row r="404" spans="10:40">
      <c r="J404" s="202"/>
      <c r="K404" s="115"/>
      <c r="N404" s="115"/>
      <c r="O404" s="203"/>
      <c r="P404" s="203"/>
      <c r="Q404" s="203"/>
      <c r="R404" s="203"/>
      <c r="S404" s="203"/>
      <c r="U404" s="203"/>
      <c r="X404" s="126"/>
      <c r="Y404" s="126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205"/>
      <c r="AM404" s="125"/>
      <c r="AN404" s="125"/>
    </row>
    <row r="405" spans="10:40">
      <c r="J405" s="202"/>
      <c r="K405" s="115"/>
      <c r="N405" s="115"/>
      <c r="O405" s="203"/>
      <c r="P405" s="203"/>
      <c r="Q405" s="203"/>
      <c r="R405" s="203"/>
      <c r="S405" s="203"/>
      <c r="U405" s="203"/>
      <c r="X405" s="126"/>
      <c r="Y405" s="126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205"/>
      <c r="AM405" s="125"/>
      <c r="AN405" s="125"/>
    </row>
    <row r="406" spans="10:40">
      <c r="J406" s="202"/>
      <c r="K406" s="115"/>
      <c r="N406" s="115"/>
      <c r="O406" s="203"/>
      <c r="P406" s="203"/>
      <c r="Q406" s="203"/>
      <c r="R406" s="203"/>
      <c r="S406" s="203"/>
      <c r="U406" s="203"/>
      <c r="X406" s="126"/>
      <c r="Y406" s="126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205"/>
      <c r="AM406" s="125"/>
      <c r="AN406" s="125"/>
    </row>
    <row r="407" spans="10:40">
      <c r="J407" s="202"/>
      <c r="K407" s="115"/>
      <c r="N407" s="115"/>
      <c r="O407" s="203"/>
      <c r="P407" s="203"/>
      <c r="Q407" s="203"/>
      <c r="R407" s="203"/>
      <c r="S407" s="203"/>
      <c r="U407" s="203"/>
      <c r="X407" s="126"/>
      <c r="Y407" s="126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205"/>
      <c r="AM407" s="125"/>
      <c r="AN407" s="125"/>
    </row>
    <row r="408" spans="10:40">
      <c r="J408" s="202"/>
      <c r="K408" s="115"/>
      <c r="N408" s="115"/>
      <c r="O408" s="203"/>
      <c r="P408" s="203"/>
      <c r="Q408" s="203"/>
      <c r="R408" s="203"/>
      <c r="S408" s="203"/>
      <c r="U408" s="203"/>
      <c r="X408" s="126"/>
      <c r="Y408" s="126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205"/>
      <c r="AM408" s="125"/>
      <c r="AN408" s="125"/>
    </row>
    <row r="409" spans="10:40">
      <c r="J409" s="202"/>
      <c r="K409" s="115"/>
      <c r="N409" s="115"/>
      <c r="O409" s="203"/>
      <c r="P409" s="203"/>
      <c r="Q409" s="203"/>
      <c r="R409" s="203"/>
      <c r="S409" s="203"/>
      <c r="U409" s="203"/>
      <c r="X409" s="126"/>
      <c r="Y409" s="126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205"/>
      <c r="AM409" s="125"/>
      <c r="AN409" s="125"/>
    </row>
    <row r="410" spans="10:40">
      <c r="J410" s="202"/>
      <c r="K410" s="115"/>
      <c r="N410" s="115"/>
      <c r="O410" s="203"/>
      <c r="P410" s="203"/>
      <c r="Q410" s="203"/>
      <c r="R410" s="203"/>
      <c r="S410" s="203"/>
      <c r="U410" s="203"/>
      <c r="X410" s="126"/>
      <c r="Y410" s="126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205"/>
      <c r="AM410" s="125"/>
      <c r="AN410" s="125"/>
    </row>
    <row r="411" spans="10:40">
      <c r="J411" s="202"/>
      <c r="K411" s="115"/>
      <c r="N411" s="115"/>
      <c r="O411" s="203"/>
      <c r="P411" s="203"/>
      <c r="Q411" s="203"/>
      <c r="R411" s="203"/>
      <c r="S411" s="203"/>
      <c r="U411" s="203"/>
      <c r="X411" s="126"/>
      <c r="Y411" s="126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205"/>
      <c r="AM411" s="125"/>
      <c r="AN411" s="125"/>
    </row>
    <row r="412" spans="10:40">
      <c r="J412" s="202"/>
      <c r="K412" s="115"/>
      <c r="N412" s="115"/>
      <c r="O412" s="203"/>
      <c r="P412" s="203"/>
      <c r="Q412" s="203"/>
      <c r="R412" s="203"/>
      <c r="S412" s="203"/>
      <c r="U412" s="203"/>
      <c r="X412" s="126"/>
      <c r="Y412" s="126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205"/>
      <c r="AM412" s="125"/>
      <c r="AN412" s="125"/>
    </row>
    <row r="413" spans="10:40">
      <c r="J413" s="202"/>
      <c r="K413" s="115"/>
      <c r="N413" s="115"/>
      <c r="O413" s="203"/>
      <c r="P413" s="203"/>
      <c r="Q413" s="203"/>
      <c r="R413" s="203"/>
      <c r="S413" s="203"/>
      <c r="U413" s="203"/>
      <c r="X413" s="126"/>
      <c r="Y413" s="126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205"/>
      <c r="AM413" s="125"/>
      <c r="AN413" s="125"/>
    </row>
    <row r="414" spans="10:40">
      <c r="J414" s="202"/>
      <c r="K414" s="115"/>
      <c r="N414" s="115"/>
      <c r="O414" s="203"/>
      <c r="P414" s="203"/>
      <c r="Q414" s="203"/>
      <c r="R414" s="203"/>
      <c r="S414" s="203"/>
      <c r="U414" s="203"/>
      <c r="X414" s="126"/>
      <c r="Y414" s="126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205"/>
      <c r="AM414" s="125"/>
      <c r="AN414" s="125"/>
    </row>
    <row r="415" spans="10:40">
      <c r="J415" s="202"/>
      <c r="K415" s="115"/>
      <c r="N415" s="115"/>
      <c r="O415" s="203"/>
      <c r="P415" s="203"/>
      <c r="Q415" s="203"/>
      <c r="R415" s="203"/>
      <c r="S415" s="203"/>
      <c r="U415" s="203"/>
      <c r="X415" s="126"/>
      <c r="Y415" s="126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205"/>
      <c r="AM415" s="125"/>
      <c r="AN415" s="125"/>
    </row>
    <row r="416" spans="10:40">
      <c r="J416" s="202"/>
      <c r="K416" s="115"/>
      <c r="N416" s="115"/>
      <c r="O416" s="203"/>
      <c r="P416" s="203"/>
      <c r="Q416" s="203"/>
      <c r="R416" s="203"/>
      <c r="S416" s="203"/>
      <c r="U416" s="203"/>
      <c r="X416" s="126"/>
      <c r="Y416" s="126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205"/>
      <c r="AM416" s="125"/>
      <c r="AN416" s="125"/>
    </row>
    <row r="417" spans="10:40">
      <c r="J417" s="202"/>
      <c r="K417" s="115"/>
      <c r="N417" s="115"/>
      <c r="O417" s="203"/>
      <c r="P417" s="203"/>
      <c r="Q417" s="203"/>
      <c r="R417" s="203"/>
      <c r="S417" s="203"/>
      <c r="U417" s="203"/>
      <c r="X417" s="126"/>
      <c r="Y417" s="126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205"/>
      <c r="AM417" s="125"/>
      <c r="AN417" s="125"/>
    </row>
    <row r="418" spans="10:40">
      <c r="J418" s="202"/>
      <c r="K418" s="115"/>
      <c r="N418" s="115"/>
      <c r="O418" s="203"/>
      <c r="P418" s="203"/>
      <c r="Q418" s="203"/>
      <c r="R418" s="203"/>
      <c r="S418" s="203"/>
      <c r="U418" s="203"/>
      <c r="X418" s="126"/>
      <c r="Y418" s="126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205"/>
      <c r="AM418" s="125"/>
      <c r="AN418" s="125"/>
    </row>
    <row r="419" spans="10:40">
      <c r="J419" s="202"/>
      <c r="K419" s="115"/>
      <c r="N419" s="115"/>
      <c r="O419" s="203"/>
      <c r="P419" s="203"/>
      <c r="Q419" s="203"/>
      <c r="R419" s="203"/>
      <c r="S419" s="203"/>
      <c r="U419" s="203"/>
      <c r="X419" s="126"/>
      <c r="Y419" s="126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205"/>
      <c r="AM419" s="125"/>
      <c r="AN419" s="125"/>
    </row>
    <row r="420" spans="10:40">
      <c r="J420" s="202"/>
      <c r="K420" s="115"/>
      <c r="N420" s="115"/>
      <c r="O420" s="203"/>
      <c r="P420" s="203"/>
      <c r="Q420" s="203"/>
      <c r="R420" s="203"/>
      <c r="S420" s="203"/>
      <c r="U420" s="203"/>
      <c r="X420" s="126"/>
      <c r="Y420" s="126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205"/>
      <c r="AM420" s="125"/>
      <c r="AN420" s="125"/>
    </row>
    <row r="421" spans="10:40">
      <c r="J421" s="202"/>
      <c r="K421" s="115"/>
      <c r="N421" s="115"/>
      <c r="O421" s="203"/>
      <c r="P421" s="203"/>
      <c r="Q421" s="203"/>
      <c r="R421" s="203"/>
      <c r="S421" s="203"/>
      <c r="U421" s="203"/>
      <c r="X421" s="126"/>
      <c r="Y421" s="126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205"/>
      <c r="AM421" s="125"/>
      <c r="AN421" s="125"/>
    </row>
    <row r="422" spans="10:40">
      <c r="J422" s="202"/>
      <c r="K422" s="115"/>
      <c r="N422" s="115"/>
      <c r="O422" s="203"/>
      <c r="P422" s="203"/>
      <c r="Q422" s="203"/>
      <c r="R422" s="203"/>
      <c r="S422" s="203"/>
      <c r="U422" s="203"/>
      <c r="X422" s="126"/>
      <c r="Y422" s="126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205"/>
      <c r="AM422" s="125"/>
      <c r="AN422" s="125"/>
    </row>
    <row r="423" spans="10:40">
      <c r="J423" s="202"/>
      <c r="K423" s="115"/>
      <c r="N423" s="115"/>
      <c r="O423" s="203"/>
      <c r="P423" s="203"/>
      <c r="Q423" s="203"/>
      <c r="R423" s="203"/>
      <c r="S423" s="203"/>
      <c r="U423" s="203"/>
      <c r="X423" s="126"/>
      <c r="Y423" s="126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205"/>
      <c r="AM423" s="125"/>
      <c r="AN423" s="125"/>
    </row>
    <row r="424" spans="10:40">
      <c r="J424" s="202"/>
      <c r="K424" s="115"/>
      <c r="N424" s="115"/>
      <c r="O424" s="203"/>
      <c r="P424" s="203"/>
      <c r="Q424" s="203"/>
      <c r="R424" s="203"/>
      <c r="S424" s="203"/>
      <c r="U424" s="203"/>
      <c r="X424" s="126"/>
      <c r="Y424" s="126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205"/>
      <c r="AM424" s="125"/>
      <c r="AN424" s="125"/>
    </row>
    <row r="425" spans="10:40">
      <c r="J425" s="202"/>
      <c r="K425" s="115"/>
      <c r="N425" s="115"/>
      <c r="O425" s="203"/>
      <c r="P425" s="203"/>
      <c r="Q425" s="203"/>
      <c r="R425" s="203"/>
      <c r="S425" s="203"/>
      <c r="U425" s="203"/>
      <c r="X425" s="126"/>
      <c r="Y425" s="126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205"/>
      <c r="AM425" s="125"/>
      <c r="AN425" s="125"/>
    </row>
    <row r="426" spans="10:40">
      <c r="J426" s="202"/>
      <c r="K426" s="115"/>
      <c r="N426" s="115"/>
      <c r="O426" s="203"/>
      <c r="P426" s="203"/>
      <c r="Q426" s="203"/>
      <c r="R426" s="203"/>
      <c r="S426" s="203"/>
      <c r="U426" s="203"/>
      <c r="X426" s="126"/>
      <c r="Y426" s="126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205"/>
      <c r="AM426" s="125"/>
      <c r="AN426" s="125"/>
    </row>
    <row r="427" spans="10:40">
      <c r="J427" s="202"/>
      <c r="K427" s="115"/>
      <c r="N427" s="115"/>
      <c r="O427" s="203"/>
      <c r="P427" s="203"/>
      <c r="Q427" s="203"/>
      <c r="R427" s="203"/>
      <c r="S427" s="203"/>
      <c r="U427" s="203"/>
      <c r="X427" s="126"/>
      <c r="Y427" s="126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205"/>
      <c r="AM427" s="125"/>
      <c r="AN427" s="125"/>
    </row>
    <row r="428" spans="10:40">
      <c r="J428" s="202"/>
      <c r="K428" s="115"/>
      <c r="N428" s="115"/>
      <c r="O428" s="203"/>
      <c r="P428" s="203"/>
      <c r="Q428" s="203"/>
      <c r="R428" s="203"/>
      <c r="S428" s="203"/>
      <c r="U428" s="203"/>
      <c r="X428" s="126"/>
      <c r="Y428" s="126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205"/>
      <c r="AM428" s="125"/>
      <c r="AN428" s="125"/>
    </row>
    <row r="429" spans="10:40">
      <c r="J429" s="202"/>
      <c r="K429" s="115"/>
      <c r="N429" s="115"/>
      <c r="O429" s="203"/>
      <c r="P429" s="203"/>
      <c r="Q429" s="203"/>
      <c r="R429" s="203"/>
      <c r="S429" s="203"/>
      <c r="U429" s="203"/>
      <c r="X429" s="126"/>
      <c r="Y429" s="126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205"/>
      <c r="AM429" s="125"/>
      <c r="AN429" s="125"/>
    </row>
    <row r="430" spans="10:40">
      <c r="J430" s="202"/>
      <c r="K430" s="115"/>
      <c r="N430" s="115"/>
      <c r="O430" s="203"/>
      <c r="P430" s="203"/>
      <c r="Q430" s="203"/>
      <c r="R430" s="203"/>
      <c r="S430" s="203"/>
      <c r="U430" s="203"/>
      <c r="X430" s="126"/>
      <c r="Y430" s="126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205"/>
      <c r="AM430" s="125"/>
      <c r="AN430" s="125"/>
    </row>
    <row r="431" spans="10:40">
      <c r="J431" s="202"/>
      <c r="K431" s="115"/>
      <c r="N431" s="115"/>
      <c r="O431" s="203"/>
      <c r="P431" s="203"/>
      <c r="Q431" s="203"/>
      <c r="R431" s="203"/>
      <c r="S431" s="203"/>
      <c r="U431" s="203"/>
      <c r="X431" s="126"/>
      <c r="Y431" s="126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205"/>
      <c r="AM431" s="125"/>
      <c r="AN431" s="125"/>
    </row>
    <row r="432" spans="10:40">
      <c r="J432" s="202"/>
      <c r="K432" s="115"/>
      <c r="N432" s="115"/>
      <c r="O432" s="203"/>
      <c r="P432" s="203"/>
      <c r="Q432" s="203"/>
      <c r="R432" s="203"/>
      <c r="S432" s="203"/>
      <c r="U432" s="203"/>
      <c r="X432" s="126"/>
      <c r="Y432" s="126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205"/>
      <c r="AM432" s="125"/>
      <c r="AN432" s="125"/>
    </row>
    <row r="433" spans="10:40">
      <c r="J433" s="202"/>
      <c r="K433" s="115"/>
      <c r="N433" s="115"/>
      <c r="O433" s="203"/>
      <c r="P433" s="203"/>
      <c r="Q433" s="203"/>
      <c r="R433" s="203"/>
      <c r="S433" s="203"/>
      <c r="U433" s="203"/>
      <c r="X433" s="126"/>
      <c r="Y433" s="126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205"/>
      <c r="AM433" s="125"/>
      <c r="AN433" s="125"/>
    </row>
    <row r="434" spans="10:40">
      <c r="J434" s="202"/>
      <c r="K434" s="115"/>
      <c r="N434" s="115"/>
      <c r="O434" s="203"/>
      <c r="P434" s="203"/>
      <c r="Q434" s="203"/>
      <c r="R434" s="203"/>
      <c r="S434" s="203"/>
      <c r="U434" s="203"/>
      <c r="X434" s="126"/>
      <c r="Y434" s="126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205"/>
      <c r="AM434" s="125"/>
      <c r="AN434" s="125"/>
    </row>
    <row r="435" spans="10:40">
      <c r="J435" s="202"/>
      <c r="K435" s="115"/>
      <c r="N435" s="115"/>
      <c r="O435" s="203"/>
      <c r="P435" s="203"/>
      <c r="Q435" s="203"/>
      <c r="R435" s="203"/>
      <c r="S435" s="203"/>
      <c r="U435" s="203"/>
      <c r="X435" s="126"/>
      <c r="Y435" s="126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205"/>
      <c r="AM435" s="125"/>
      <c r="AN435" s="125"/>
    </row>
    <row r="436" spans="10:40">
      <c r="J436" s="202"/>
      <c r="K436" s="115"/>
      <c r="N436" s="115"/>
      <c r="O436" s="203"/>
      <c r="P436" s="203"/>
      <c r="Q436" s="203"/>
      <c r="R436" s="203"/>
      <c r="S436" s="203"/>
      <c r="U436" s="203"/>
      <c r="X436" s="126"/>
      <c r="Y436" s="126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205"/>
      <c r="AM436" s="125"/>
      <c r="AN436" s="125"/>
    </row>
    <row r="437" spans="10:40">
      <c r="J437" s="202"/>
      <c r="K437" s="115"/>
      <c r="N437" s="115"/>
      <c r="O437" s="203"/>
      <c r="P437" s="203"/>
      <c r="Q437" s="203"/>
      <c r="R437" s="203"/>
      <c r="S437" s="203"/>
      <c r="U437" s="203"/>
      <c r="X437" s="126"/>
      <c r="Y437" s="126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205"/>
      <c r="AM437" s="125"/>
      <c r="AN437" s="125"/>
    </row>
    <row r="438" spans="10:40">
      <c r="J438" s="202"/>
      <c r="K438" s="115"/>
      <c r="N438" s="115"/>
      <c r="O438" s="203"/>
      <c r="P438" s="203"/>
      <c r="Q438" s="203"/>
      <c r="R438" s="203"/>
      <c r="S438" s="203"/>
      <c r="U438" s="203"/>
      <c r="X438" s="126"/>
      <c r="Y438" s="126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205"/>
      <c r="AM438" s="125"/>
      <c r="AN438" s="125"/>
    </row>
    <row r="439" spans="10:40">
      <c r="J439" s="202"/>
      <c r="K439" s="115"/>
      <c r="N439" s="115"/>
      <c r="O439" s="203"/>
      <c r="P439" s="203"/>
      <c r="Q439" s="203"/>
      <c r="R439" s="203"/>
      <c r="S439" s="203"/>
      <c r="U439" s="203"/>
      <c r="X439" s="126"/>
      <c r="Y439" s="126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205"/>
      <c r="AM439" s="125"/>
      <c r="AN439" s="125"/>
    </row>
    <row r="440" spans="10:40">
      <c r="J440" s="202"/>
      <c r="K440" s="115"/>
      <c r="N440" s="115"/>
      <c r="O440" s="203"/>
      <c r="P440" s="203"/>
      <c r="Q440" s="203"/>
      <c r="R440" s="203"/>
      <c r="S440" s="203"/>
      <c r="U440" s="203"/>
      <c r="X440" s="126"/>
      <c r="Y440" s="126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205"/>
      <c r="AM440" s="125"/>
      <c r="AN440" s="125"/>
    </row>
    <row r="441" spans="10:40">
      <c r="J441" s="202"/>
      <c r="K441" s="115"/>
      <c r="N441" s="115"/>
      <c r="O441" s="203"/>
      <c r="P441" s="203"/>
      <c r="Q441" s="203"/>
      <c r="R441" s="203"/>
      <c r="S441" s="203"/>
      <c r="U441" s="203"/>
      <c r="X441" s="126"/>
      <c r="Y441" s="126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205"/>
      <c r="AM441" s="125"/>
      <c r="AN441" s="125"/>
    </row>
    <row r="442" spans="10:40">
      <c r="J442" s="202"/>
      <c r="K442" s="115"/>
      <c r="N442" s="115"/>
      <c r="O442" s="203"/>
      <c r="P442" s="203"/>
      <c r="Q442" s="203"/>
      <c r="R442" s="203"/>
      <c r="S442" s="203"/>
      <c r="U442" s="203"/>
      <c r="X442" s="126"/>
      <c r="Y442" s="126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205"/>
      <c r="AM442" s="125"/>
      <c r="AN442" s="125"/>
    </row>
    <row r="443" spans="10:40">
      <c r="J443" s="202"/>
      <c r="K443" s="115"/>
      <c r="N443" s="115"/>
      <c r="O443" s="203"/>
      <c r="P443" s="203"/>
      <c r="Q443" s="203"/>
      <c r="R443" s="203"/>
      <c r="S443" s="203"/>
      <c r="U443" s="203"/>
      <c r="X443" s="126"/>
      <c r="Y443" s="126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205"/>
      <c r="AM443" s="125"/>
      <c r="AN443" s="125"/>
    </row>
    <row r="444" spans="10:40">
      <c r="J444" s="202"/>
      <c r="K444" s="115"/>
      <c r="N444" s="115"/>
      <c r="O444" s="203"/>
      <c r="P444" s="203"/>
      <c r="Q444" s="203"/>
      <c r="R444" s="203"/>
      <c r="S444" s="203"/>
      <c r="U444" s="203"/>
      <c r="X444" s="126"/>
      <c r="Y444" s="126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205"/>
      <c r="AM444" s="125"/>
      <c r="AN444" s="125"/>
    </row>
    <row r="445" spans="10:40">
      <c r="J445" s="202"/>
      <c r="K445" s="115"/>
      <c r="N445" s="115"/>
      <c r="O445" s="203"/>
      <c r="P445" s="203"/>
      <c r="Q445" s="203"/>
      <c r="R445" s="203"/>
      <c r="S445" s="203"/>
      <c r="U445" s="203"/>
      <c r="X445" s="126"/>
      <c r="Y445" s="126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205"/>
      <c r="AM445" s="125"/>
      <c r="AN445" s="125"/>
    </row>
    <row r="446" spans="10:40">
      <c r="J446" s="202"/>
      <c r="K446" s="115"/>
      <c r="N446" s="115"/>
      <c r="O446" s="203"/>
      <c r="P446" s="203"/>
      <c r="Q446" s="203"/>
      <c r="R446" s="203"/>
      <c r="S446" s="203"/>
      <c r="U446" s="203"/>
      <c r="X446" s="126"/>
      <c r="Y446" s="126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205"/>
      <c r="AM446" s="125"/>
      <c r="AN446" s="125"/>
    </row>
    <row r="447" spans="10:40">
      <c r="J447" s="202"/>
      <c r="K447" s="115"/>
      <c r="N447" s="115"/>
      <c r="O447" s="203"/>
      <c r="P447" s="203"/>
      <c r="Q447" s="203"/>
      <c r="R447" s="203"/>
      <c r="S447" s="203"/>
      <c r="U447" s="203"/>
      <c r="X447" s="126"/>
      <c r="Y447" s="126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205"/>
      <c r="AM447" s="125"/>
      <c r="AN447" s="125"/>
    </row>
    <row r="448" spans="10:40">
      <c r="J448" s="202"/>
      <c r="K448" s="115"/>
      <c r="N448" s="115"/>
      <c r="O448" s="203"/>
      <c r="P448" s="203"/>
      <c r="Q448" s="203"/>
      <c r="R448" s="203"/>
      <c r="S448" s="203"/>
      <c r="U448" s="203"/>
      <c r="X448" s="126"/>
      <c r="Y448" s="126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205"/>
      <c r="AM448" s="125"/>
      <c r="AN448" s="125"/>
    </row>
    <row r="449" spans="10:40">
      <c r="J449" s="202"/>
      <c r="K449" s="115"/>
      <c r="N449" s="115"/>
      <c r="O449" s="203"/>
      <c r="P449" s="203"/>
      <c r="Q449" s="203"/>
      <c r="R449" s="203"/>
      <c r="S449" s="203"/>
      <c r="U449" s="203"/>
      <c r="X449" s="126"/>
      <c r="Y449" s="126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205"/>
      <c r="AM449" s="125"/>
      <c r="AN449" s="125"/>
    </row>
    <row r="450" spans="10:40">
      <c r="J450" s="202"/>
      <c r="K450" s="115"/>
      <c r="N450" s="115"/>
      <c r="O450" s="203"/>
      <c r="P450" s="203"/>
      <c r="Q450" s="203"/>
      <c r="R450" s="203"/>
      <c r="S450" s="203"/>
      <c r="U450" s="203"/>
      <c r="X450" s="126"/>
      <c r="Y450" s="126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205"/>
      <c r="AM450" s="125"/>
      <c r="AN450" s="125"/>
    </row>
    <row r="451" spans="10:40">
      <c r="J451" s="202"/>
      <c r="K451" s="115"/>
      <c r="N451" s="115"/>
      <c r="O451" s="203"/>
      <c r="P451" s="203"/>
      <c r="Q451" s="203"/>
      <c r="R451" s="203"/>
      <c r="S451" s="203"/>
      <c r="U451" s="203"/>
      <c r="X451" s="126"/>
      <c r="Y451" s="126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205"/>
      <c r="AM451" s="125"/>
      <c r="AN451" s="125"/>
    </row>
    <row r="452" spans="10:40">
      <c r="J452" s="202"/>
      <c r="K452" s="115"/>
      <c r="N452" s="115"/>
      <c r="O452" s="203"/>
      <c r="P452" s="203"/>
      <c r="Q452" s="203"/>
      <c r="R452" s="203"/>
      <c r="S452" s="203"/>
      <c r="U452" s="203"/>
      <c r="X452" s="126"/>
      <c r="Y452" s="126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205"/>
      <c r="AM452" s="125"/>
      <c r="AN452" s="125"/>
    </row>
    <row r="453" spans="10:40">
      <c r="J453" s="202"/>
      <c r="K453" s="115"/>
      <c r="N453" s="115"/>
      <c r="O453" s="203"/>
      <c r="P453" s="203"/>
      <c r="Q453" s="203"/>
      <c r="R453" s="203"/>
      <c r="S453" s="203"/>
      <c r="U453" s="203"/>
      <c r="X453" s="126"/>
      <c r="Y453" s="126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205"/>
      <c r="AM453" s="125"/>
      <c r="AN453" s="125"/>
    </row>
    <row r="454" spans="10:40">
      <c r="J454" s="202"/>
      <c r="K454" s="115"/>
      <c r="N454" s="115"/>
      <c r="O454" s="203"/>
      <c r="P454" s="203"/>
      <c r="Q454" s="203"/>
      <c r="R454" s="203"/>
      <c r="S454" s="203"/>
      <c r="U454" s="203"/>
      <c r="X454" s="126"/>
      <c r="Y454" s="126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205"/>
      <c r="AM454" s="125"/>
      <c r="AN454" s="125"/>
    </row>
    <row r="455" spans="10:40">
      <c r="J455" s="202"/>
      <c r="K455" s="115"/>
      <c r="N455" s="115"/>
      <c r="O455" s="203"/>
      <c r="P455" s="203"/>
      <c r="Q455" s="203"/>
      <c r="R455" s="203"/>
      <c r="S455" s="203"/>
      <c r="U455" s="203"/>
      <c r="X455" s="126"/>
      <c r="Y455" s="126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205"/>
      <c r="AM455" s="125"/>
      <c r="AN455" s="125"/>
    </row>
    <row r="456" spans="10:40">
      <c r="J456" s="202"/>
      <c r="K456" s="115"/>
      <c r="N456" s="115"/>
      <c r="O456" s="203"/>
      <c r="P456" s="203"/>
      <c r="Q456" s="203"/>
      <c r="R456" s="203"/>
      <c r="S456" s="203"/>
      <c r="U456" s="203"/>
      <c r="X456" s="126"/>
      <c r="Y456" s="126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205"/>
      <c r="AM456" s="125"/>
      <c r="AN456" s="125"/>
    </row>
    <row r="457" spans="10:40">
      <c r="J457" s="202"/>
      <c r="K457" s="115"/>
      <c r="N457" s="115"/>
      <c r="O457" s="203"/>
      <c r="P457" s="203"/>
      <c r="Q457" s="203"/>
      <c r="R457" s="203"/>
      <c r="S457" s="203"/>
      <c r="U457" s="203"/>
      <c r="X457" s="126"/>
      <c r="Y457" s="126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205"/>
      <c r="AM457" s="125"/>
      <c r="AN457" s="125"/>
    </row>
    <row r="458" spans="10:40">
      <c r="J458" s="202"/>
      <c r="K458" s="115"/>
      <c r="N458" s="115"/>
      <c r="O458" s="203"/>
      <c r="P458" s="203"/>
      <c r="Q458" s="203"/>
      <c r="R458" s="203"/>
      <c r="S458" s="203"/>
      <c r="U458" s="203"/>
      <c r="X458" s="126"/>
      <c r="Y458" s="126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205"/>
      <c r="AM458" s="125"/>
      <c r="AN458" s="125"/>
    </row>
    <row r="459" spans="10:40">
      <c r="J459" s="202"/>
      <c r="K459" s="115"/>
      <c r="N459" s="115"/>
      <c r="O459" s="203"/>
      <c r="P459" s="203"/>
      <c r="Q459" s="203"/>
      <c r="R459" s="203"/>
      <c r="S459" s="203"/>
      <c r="U459" s="203"/>
      <c r="X459" s="126"/>
      <c r="Y459" s="126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205"/>
      <c r="AM459" s="125"/>
      <c r="AN459" s="125"/>
    </row>
    <row r="460" spans="10:40">
      <c r="J460" s="202"/>
      <c r="K460" s="115"/>
      <c r="N460" s="115"/>
      <c r="O460" s="203"/>
      <c r="P460" s="203"/>
      <c r="Q460" s="203"/>
      <c r="R460" s="203"/>
      <c r="S460" s="203"/>
      <c r="U460" s="203"/>
      <c r="X460" s="126"/>
      <c r="Y460" s="126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205"/>
      <c r="AM460" s="125"/>
      <c r="AN460" s="125"/>
    </row>
    <row r="461" spans="10:40">
      <c r="J461" s="202"/>
      <c r="K461" s="115"/>
      <c r="N461" s="115"/>
      <c r="O461" s="203"/>
      <c r="P461" s="203"/>
      <c r="Q461" s="203"/>
      <c r="R461" s="203"/>
      <c r="S461" s="203"/>
      <c r="U461" s="203"/>
      <c r="X461" s="126"/>
      <c r="Y461" s="126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205"/>
      <c r="AM461" s="125"/>
      <c r="AN461" s="125"/>
    </row>
    <row r="462" spans="10:40">
      <c r="J462" s="202"/>
      <c r="K462" s="115"/>
      <c r="N462" s="115"/>
      <c r="O462" s="203"/>
      <c r="P462" s="203"/>
      <c r="Q462" s="203"/>
      <c r="R462" s="203"/>
      <c r="S462" s="203"/>
      <c r="U462" s="203"/>
      <c r="X462" s="126"/>
      <c r="Y462" s="126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205"/>
      <c r="AM462" s="125"/>
      <c r="AN462" s="125"/>
    </row>
    <row r="463" spans="10:40">
      <c r="J463" s="202"/>
      <c r="K463" s="115"/>
      <c r="N463" s="115"/>
      <c r="O463" s="203"/>
      <c r="P463" s="203"/>
      <c r="Q463" s="203"/>
      <c r="R463" s="203"/>
      <c r="S463" s="203"/>
      <c r="U463" s="203"/>
      <c r="X463" s="126"/>
      <c r="Y463" s="126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205"/>
      <c r="AM463" s="125"/>
      <c r="AN463" s="125"/>
    </row>
    <row r="464" spans="10:40">
      <c r="J464" s="202"/>
      <c r="K464" s="115"/>
      <c r="N464" s="115"/>
      <c r="O464" s="203"/>
      <c r="P464" s="203"/>
      <c r="Q464" s="203"/>
      <c r="R464" s="203"/>
      <c r="S464" s="203"/>
      <c r="U464" s="203"/>
      <c r="X464" s="126"/>
      <c r="Y464" s="126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205"/>
      <c r="AM464" s="125"/>
      <c r="AN464" s="125"/>
    </row>
    <row r="465" spans="10:40">
      <c r="J465" s="202"/>
      <c r="K465" s="115"/>
      <c r="N465" s="115"/>
      <c r="O465" s="203"/>
      <c r="P465" s="203"/>
      <c r="Q465" s="203"/>
      <c r="R465" s="203"/>
      <c r="S465" s="203"/>
      <c r="U465" s="203"/>
      <c r="X465" s="126"/>
      <c r="Y465" s="126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/>
      <c r="AL465" s="205"/>
      <c r="AM465" s="125"/>
      <c r="AN465" s="125"/>
    </row>
    <row r="466" spans="10:40">
      <c r="J466" s="202"/>
      <c r="K466" s="115"/>
      <c r="N466" s="115"/>
      <c r="O466" s="203"/>
      <c r="P466" s="203"/>
      <c r="Q466" s="203"/>
      <c r="R466" s="203"/>
      <c r="S466" s="203"/>
      <c r="U466" s="203"/>
      <c r="X466" s="126"/>
      <c r="Y466" s="126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205"/>
      <c r="AM466" s="125"/>
      <c r="AN466" s="125"/>
    </row>
    <row r="467" spans="10:40">
      <c r="J467" s="202"/>
      <c r="K467" s="115"/>
      <c r="N467" s="115"/>
      <c r="O467" s="203"/>
      <c r="P467" s="203"/>
      <c r="Q467" s="203"/>
      <c r="R467" s="203"/>
      <c r="S467" s="203"/>
      <c r="U467" s="203"/>
      <c r="X467" s="126"/>
      <c r="Y467" s="126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205"/>
      <c r="AM467" s="125"/>
      <c r="AN467" s="125"/>
    </row>
    <row r="468" spans="10:40">
      <c r="J468" s="202"/>
      <c r="K468" s="115"/>
      <c r="N468" s="115"/>
      <c r="O468" s="203"/>
      <c r="P468" s="203"/>
      <c r="Q468" s="203"/>
      <c r="R468" s="203"/>
      <c r="S468" s="203"/>
      <c r="U468" s="203"/>
      <c r="X468" s="126"/>
      <c r="Y468" s="126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205"/>
      <c r="AM468" s="125"/>
      <c r="AN468" s="125"/>
    </row>
    <row r="469" spans="10:40">
      <c r="J469" s="202"/>
      <c r="K469" s="115"/>
      <c r="N469" s="115"/>
      <c r="O469" s="203"/>
      <c r="P469" s="203"/>
      <c r="Q469" s="203"/>
      <c r="R469" s="203"/>
      <c r="S469" s="203"/>
      <c r="U469" s="203"/>
      <c r="X469" s="126"/>
      <c r="Y469" s="126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205"/>
      <c r="AM469" s="125"/>
      <c r="AN469" s="125"/>
    </row>
    <row r="470" spans="10:40">
      <c r="J470" s="202"/>
      <c r="K470" s="115"/>
      <c r="N470" s="115"/>
      <c r="O470" s="203"/>
      <c r="P470" s="203"/>
      <c r="Q470" s="203"/>
      <c r="R470" s="203"/>
      <c r="S470" s="203"/>
      <c r="U470" s="203"/>
      <c r="X470" s="126"/>
      <c r="Y470" s="126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205"/>
      <c r="AM470" s="125"/>
      <c r="AN470" s="125"/>
    </row>
    <row r="471" spans="10:40">
      <c r="J471" s="202"/>
      <c r="K471" s="115"/>
      <c r="N471" s="115"/>
      <c r="O471" s="203"/>
      <c r="P471" s="203"/>
      <c r="Q471" s="203"/>
      <c r="R471" s="203"/>
      <c r="S471" s="203"/>
      <c r="U471" s="203"/>
      <c r="X471" s="126"/>
      <c r="Y471" s="126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205"/>
      <c r="AM471" s="125"/>
      <c r="AN471" s="125"/>
    </row>
    <row r="472" spans="10:40">
      <c r="J472" s="202"/>
      <c r="K472" s="115"/>
      <c r="N472" s="115"/>
      <c r="O472" s="203"/>
      <c r="P472" s="203"/>
      <c r="Q472" s="203"/>
      <c r="R472" s="203"/>
      <c r="S472" s="203"/>
      <c r="U472" s="203"/>
      <c r="X472" s="126"/>
      <c r="Y472" s="126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205"/>
      <c r="AM472" s="125"/>
      <c r="AN472" s="125"/>
    </row>
    <row r="473" spans="10:40">
      <c r="J473" s="202"/>
      <c r="K473" s="115"/>
      <c r="N473" s="115"/>
      <c r="O473" s="203"/>
      <c r="P473" s="203"/>
      <c r="Q473" s="203"/>
      <c r="R473" s="203"/>
      <c r="S473" s="203"/>
      <c r="U473" s="203"/>
      <c r="X473" s="126"/>
      <c r="Y473" s="126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205"/>
      <c r="AM473" s="125"/>
      <c r="AN473" s="125"/>
    </row>
  </sheetData>
  <mergeCells count="1">
    <mergeCell ref="O1:P1"/>
  </mergeCells>
  <conditionalFormatting sqref="B23 B67 B65 B63 B69 B35 B6:B16 B18:B20 B28:B31 B33 B39:B40 B42:B47 B52 B54:B60 B71:B72">
    <cfRule type="cellIs" dxfId="0" priority="8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59999389629810485"/>
  </sheetPr>
  <dimension ref="A2:Y695"/>
  <sheetViews>
    <sheetView zoomScale="80" zoomScaleNormal="80" workbookViewId="0">
      <pane xSplit="2" ySplit="3" topLeftCell="C159" activePane="bottomRight" state="frozen"/>
      <selection pane="topRight" activeCell="C1" sqref="C1"/>
      <selection pane="bottomLeft" activeCell="A4" sqref="A4"/>
      <selection pane="bottomRight" activeCell="C71" sqref="C71"/>
    </sheetView>
  </sheetViews>
  <sheetFormatPr defaultColWidth="8.90625" defaultRowHeight="15.6"/>
  <cols>
    <col min="1" max="1" width="13.1796875" style="129" customWidth="1"/>
    <col min="2" max="2" width="8.90625" style="129"/>
    <col min="3" max="3" width="14.453125" style="129" customWidth="1"/>
    <col min="4" max="4" width="12.6328125" style="129" customWidth="1"/>
    <col min="5" max="5" width="11.54296875" style="129" customWidth="1"/>
    <col min="6" max="6" width="11.1796875" style="129" customWidth="1"/>
    <col min="7" max="8" width="9.81640625" style="129" customWidth="1"/>
    <col min="9" max="9" width="10" style="129" customWidth="1"/>
    <col min="10" max="10" width="8.90625" style="129"/>
    <col min="11" max="11" width="8.6328125" style="129" customWidth="1"/>
    <col min="12" max="12" width="10.81640625" style="129" customWidth="1"/>
    <col min="13" max="13" width="12.81640625" style="129" customWidth="1"/>
    <col min="14" max="14" width="10.90625" style="129" customWidth="1"/>
    <col min="15" max="15" width="10.08984375" style="129" customWidth="1"/>
    <col min="16" max="16" width="8.81640625" style="129" customWidth="1"/>
    <col min="17" max="17" width="11.6328125" style="129" customWidth="1"/>
    <col min="18" max="18" width="11.36328125" style="129" customWidth="1"/>
    <col min="19" max="19" width="16.1796875" style="129" customWidth="1"/>
    <col min="20" max="20" width="12.453125" style="129" bestFit="1" customWidth="1"/>
    <col min="21" max="22" width="8.90625" style="129"/>
    <col min="23" max="23" width="11" style="129" bestFit="1" customWidth="1"/>
    <col min="24" max="25" width="9" style="129" bestFit="1" customWidth="1"/>
    <col min="26" max="16384" width="8.90625" style="129"/>
  </cols>
  <sheetData>
    <row r="2" spans="1:20">
      <c r="C2" s="130" t="s">
        <v>97</v>
      </c>
      <c r="D2" s="130" t="s">
        <v>98</v>
      </c>
      <c r="E2" s="130" t="s">
        <v>99</v>
      </c>
      <c r="F2" s="130" t="s">
        <v>100</v>
      </c>
      <c r="G2" s="130" t="s">
        <v>24</v>
      </c>
      <c r="H2" s="130" t="s">
        <v>1915</v>
      </c>
      <c r="I2" s="130" t="s">
        <v>101</v>
      </c>
      <c r="J2" s="130" t="s">
        <v>102</v>
      </c>
      <c r="K2" s="130" t="s">
        <v>25</v>
      </c>
      <c r="L2" s="130" t="s">
        <v>103</v>
      </c>
      <c r="M2" s="130" t="s">
        <v>104</v>
      </c>
      <c r="N2" s="131" t="s">
        <v>39</v>
      </c>
      <c r="O2" s="130" t="s">
        <v>40</v>
      </c>
      <c r="P2" s="130" t="s">
        <v>41</v>
      </c>
      <c r="Q2" s="130" t="s">
        <v>14</v>
      </c>
    </row>
    <row r="3" spans="1:20">
      <c r="C3" s="130" t="s">
        <v>53</v>
      </c>
      <c r="D3" s="130" t="s">
        <v>47</v>
      </c>
      <c r="E3" s="130" t="s">
        <v>54</v>
      </c>
      <c r="F3" s="130" t="s">
        <v>56</v>
      </c>
      <c r="G3" s="130" t="s">
        <v>59</v>
      </c>
      <c r="H3" s="476" t="s">
        <v>1914</v>
      </c>
      <c r="I3" s="130" t="s">
        <v>58</v>
      </c>
      <c r="J3" s="130"/>
      <c r="K3" s="130">
        <v>50115</v>
      </c>
      <c r="L3" s="130" t="s">
        <v>32</v>
      </c>
      <c r="M3" s="130" t="s">
        <v>57</v>
      </c>
      <c r="N3" s="130">
        <v>50610</v>
      </c>
      <c r="O3" s="128" t="s">
        <v>60</v>
      </c>
      <c r="P3" s="128" t="s">
        <v>61</v>
      </c>
      <c r="Q3" s="128" t="s">
        <v>62</v>
      </c>
    </row>
    <row r="5" spans="1:20">
      <c r="C5" s="128" t="s">
        <v>53</v>
      </c>
      <c r="D5" s="128" t="s">
        <v>47</v>
      </c>
      <c r="E5" s="132" t="s">
        <v>54</v>
      </c>
      <c r="F5" s="132" t="s">
        <v>56</v>
      </c>
      <c r="G5" s="128" t="s">
        <v>59</v>
      </c>
      <c r="H5" s="128" t="s">
        <v>59</v>
      </c>
      <c r="I5" s="128" t="s">
        <v>59</v>
      </c>
      <c r="J5" s="128"/>
      <c r="K5" s="128">
        <v>50115</v>
      </c>
      <c r="L5" s="128" t="s">
        <v>314</v>
      </c>
      <c r="M5" s="128"/>
      <c r="N5" s="128" t="s">
        <v>315</v>
      </c>
      <c r="O5" s="128" t="s">
        <v>60</v>
      </c>
      <c r="P5" s="128" t="s">
        <v>61</v>
      </c>
      <c r="Q5" s="128" t="s">
        <v>62</v>
      </c>
    </row>
    <row r="6" spans="1:20" ht="16.2" thickBot="1"/>
    <row r="7" spans="1:20" ht="16.2" thickBot="1">
      <c r="C7" s="133" t="s">
        <v>327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245"/>
    </row>
    <row r="9" spans="1:20">
      <c r="A9" s="130" t="s">
        <v>759</v>
      </c>
      <c r="C9" s="135">
        <f>SUMIFS('YTD Personnel'!$G:$G,'YTD Personnel'!$B:$B,'YEP Summaries'!$A9,'YTD Personnel'!$C:$C,'YEP Summaries'!C$3)</f>
        <v>350262</v>
      </c>
      <c r="D9" s="135">
        <f>SUMIFS('YTD Personnel'!$G:$G,'YTD Personnel'!$B:$B,'YEP Summaries'!$A9,'YTD Personnel'!$C:$C,'YEP Summaries'!D$3)</f>
        <v>48650</v>
      </c>
      <c r="E9" s="135">
        <f>SUMIFS('YTD Personnel'!$G:$G,'YTD Personnel'!$B:$B,'YEP Summaries'!$A9,'YTD Personnel'!$C:$C,'YEP Summaries'!E$3)</f>
        <v>3500</v>
      </c>
      <c r="F9" s="135">
        <f>SUMIFS('YTD Personnel'!$G:$G,'YTD Personnel'!$B:$B,'YEP Summaries'!$A9,'YTD Personnel'!$C:$C,'YEP Summaries'!F$3)</f>
        <v>0</v>
      </c>
      <c r="G9" s="135">
        <f>SUMIFS('YTD Personnel'!$G:$G,'YTD Personnel'!$B:$B,'YEP Summaries'!$A9,'YTD Personnel'!$C:$C,'YEP Summaries'!G$3)</f>
        <v>2439</v>
      </c>
      <c r="H9" s="135">
        <f>SUMIFS('YTD Personnel'!$G:$G,'YTD Personnel'!$B:$B,'YEP Summaries'!$A9,'YTD Personnel'!$C:$C,'YEP Summaries'!H$3)</f>
        <v>0</v>
      </c>
      <c r="I9" s="135">
        <f>SUMIFS('YTD Personnel'!$G:$G,'YTD Personnel'!$B:$B,'YEP Summaries'!$A9,'YTD Personnel'!$C:$C,'YEP Summaries'!I$3)</f>
        <v>0</v>
      </c>
      <c r="J9" s="135">
        <f>SUMIFS('YTD Personnel'!$G:$G,'YTD Personnel'!$B:$B,'YEP Summaries'!$A9,'YTD Personnel'!$C:$C,'YEP Summaries'!J$3)</f>
        <v>0</v>
      </c>
      <c r="K9" s="135">
        <f>SUMIFS('YTD Personnel'!$G:$G,'YTD Personnel'!$B:$B,'YEP Summaries'!$A9,'YTD Personnel'!$C:$C,'YEP Summaries'!K$3)</f>
        <v>0</v>
      </c>
      <c r="L9" s="135">
        <f>SUMIFS('YTD Personnel'!$G:$G,'YTD Personnel'!$B:$B,'YEP Summaries'!$A9,'YTD Personnel'!$C:$C,'YEP Summaries'!L$3)</f>
        <v>7200</v>
      </c>
      <c r="M9" s="135">
        <f>SUMIFS('YTD Personnel'!$G:$G,'YTD Personnel'!$B:$B,'YEP Summaries'!$A9,'YTD Personnel'!$C:$C,'YEP Summaries'!M$3)</f>
        <v>0</v>
      </c>
      <c r="N9" s="135">
        <f>SUMIFS('YTD Personnel'!$G:$G,'YTD Personnel'!$B:$B,'YEP Summaries'!$A9,'YTD Personnel'!$C:$C,'YEP Summaries'!N$3)</f>
        <v>22380</v>
      </c>
      <c r="O9" s="135">
        <f>SUMIFS('YTD Personnel'!$G:$G,'YTD Personnel'!$B:$B,'YEP Summaries'!$A9,'YTD Personnel'!$C:$C,'YEP Summaries'!O$3)</f>
        <v>41860</v>
      </c>
      <c r="P9" s="135">
        <f>SUMIFS('YTD Personnel'!$G:$G,'YTD Personnel'!$B:$B,'YEP Summaries'!$A9,'YTD Personnel'!$C:$C,'YEP Summaries'!P$3)</f>
        <v>592</v>
      </c>
      <c r="Q9" s="135">
        <f>SUMIFS('YTD Personnel'!$G:$G,'YTD Personnel'!$B:$B,'YEP Summaries'!$A9,'YTD Personnel'!$C:$C,'YEP Summaries'!Q$3)</f>
        <v>68525</v>
      </c>
      <c r="R9" s="135">
        <f t="shared" ref="R9:R37" si="0">SUM(C9:Q9)</f>
        <v>545408</v>
      </c>
    </row>
    <row r="10" spans="1:20">
      <c r="A10" s="130" t="s">
        <v>760</v>
      </c>
      <c r="C10" s="135">
        <f>SUMIFS('YTD Personnel'!$G:$G,'YTD Personnel'!$B:$B,'YEP Summaries'!$A10,'YTD Personnel'!$C:$C,'YEP Summaries'!C$3)</f>
        <v>0</v>
      </c>
      <c r="D10" s="135">
        <f>SUMIFS('YTD Personnel'!$G:$G,'YTD Personnel'!$B:$B,'YEP Summaries'!$A10,'YTD Personnel'!$C:$C,'YEP Summaries'!D$3)</f>
        <v>0</v>
      </c>
      <c r="E10" s="135">
        <f>SUMIFS('YTD Personnel'!$G:$G,'YTD Personnel'!$B:$B,'YEP Summaries'!$A10,'YTD Personnel'!$C:$C,'YEP Summaries'!E$3)</f>
        <v>1600</v>
      </c>
      <c r="F10" s="135">
        <f>SUMIFS('YTD Personnel'!$G:$G,'YTD Personnel'!$B:$B,'YEP Summaries'!$A10,'YTD Personnel'!$C:$C,'YEP Summaries'!F$3)</f>
        <v>0</v>
      </c>
      <c r="G10" s="135">
        <f>SUMIFS('YTD Personnel'!$G:$G,'YTD Personnel'!$B:$B,'YEP Summaries'!$A10,'YTD Personnel'!$C:$C,'YEP Summaries'!G$3)</f>
        <v>0</v>
      </c>
      <c r="H10" s="135">
        <f>SUMIFS('YTD Personnel'!$G:$G,'YTD Personnel'!$B:$B,'YEP Summaries'!$A10,'YTD Personnel'!$C:$C,'YEP Summaries'!H$3)</f>
        <v>0</v>
      </c>
      <c r="I10" s="135">
        <f>SUMIFS('YTD Personnel'!$G:$G,'YTD Personnel'!$B:$B,'YEP Summaries'!$A10,'YTD Personnel'!$C:$C,'YEP Summaries'!I$3)</f>
        <v>0</v>
      </c>
      <c r="J10" s="135">
        <f>SUMIFS('YTD Personnel'!$G:$G,'YTD Personnel'!$B:$B,'YEP Summaries'!$A10,'YTD Personnel'!$C:$C,'YEP Summaries'!J$3)</f>
        <v>0</v>
      </c>
      <c r="K10" s="135">
        <f>SUMIFS('YTD Personnel'!$G:$G,'YTD Personnel'!$B:$B,'YEP Summaries'!$A10,'YTD Personnel'!$C:$C,'YEP Summaries'!K$3)</f>
        <v>0</v>
      </c>
      <c r="L10" s="135">
        <f>SUMIFS('YTD Personnel'!$G:$G,'YTD Personnel'!$B:$B,'YEP Summaries'!$A10,'YTD Personnel'!$C:$C,'YEP Summaries'!L$3)</f>
        <v>0</v>
      </c>
      <c r="M10" s="135">
        <f>SUMIFS('YTD Personnel'!$G:$G,'YTD Personnel'!$B:$B,'YEP Summaries'!$A10,'YTD Personnel'!$C:$C,'YEP Summaries'!M$3)</f>
        <v>0</v>
      </c>
      <c r="N10" s="135">
        <f>SUMIFS('YTD Personnel'!$G:$G,'YTD Personnel'!$B:$B,'YEP Summaries'!$A10,'YTD Personnel'!$C:$C,'YEP Summaries'!N$3)</f>
        <v>130</v>
      </c>
      <c r="O10" s="135">
        <f>SUMIFS('YTD Personnel'!$G:$G,'YTD Personnel'!$B:$B,'YEP Summaries'!$A10,'YTD Personnel'!$C:$C,'YEP Summaries'!O$3)</f>
        <v>3</v>
      </c>
      <c r="P10" s="135">
        <f>SUMIFS('YTD Personnel'!$G:$G,'YTD Personnel'!$B:$B,'YEP Summaries'!$A10,'YTD Personnel'!$C:$C,'YEP Summaries'!P$3)</f>
        <v>24</v>
      </c>
      <c r="Q10" s="135">
        <f>SUMIFS('YTD Personnel'!$G:$G,'YTD Personnel'!$B:$B,'YEP Summaries'!$A10,'YTD Personnel'!$C:$C,'YEP Summaries'!Q$3)</f>
        <v>265</v>
      </c>
      <c r="R10" s="135">
        <f t="shared" si="0"/>
        <v>2022</v>
      </c>
    </row>
    <row r="11" spans="1:20">
      <c r="A11" s="130" t="s">
        <v>761</v>
      </c>
      <c r="C11" s="135">
        <f>SUMIFS('YTD Personnel'!$G:$G,'YTD Personnel'!$B:$B,'YEP Summaries'!$A11,'YTD Personnel'!$C:$C,'YEP Summaries'!C$3)</f>
        <v>176278</v>
      </c>
      <c r="D11" s="135">
        <f>SUMIFS('YTD Personnel'!$G:$G,'YTD Personnel'!$B:$B,'YEP Summaries'!$A11,'YTD Personnel'!$C:$C,'YEP Summaries'!D$3)</f>
        <v>0</v>
      </c>
      <c r="E11" s="135">
        <f>SUMIFS('YTD Personnel'!$G:$G,'YTD Personnel'!$B:$B,'YEP Summaries'!$A11,'YTD Personnel'!$C:$C,'YEP Summaries'!E$3)</f>
        <v>0</v>
      </c>
      <c r="F11" s="135">
        <f>SUMIFS('YTD Personnel'!$G:$G,'YTD Personnel'!$B:$B,'YEP Summaries'!$A11,'YTD Personnel'!$C:$C,'YEP Summaries'!F$3)</f>
        <v>0</v>
      </c>
      <c r="G11" s="135">
        <f>SUMIFS('YTD Personnel'!$G:$G,'YTD Personnel'!$B:$B,'YEP Summaries'!$A11,'YTD Personnel'!$C:$C,'YEP Summaries'!G$3)</f>
        <v>1197</v>
      </c>
      <c r="H11" s="135">
        <f>SUMIFS('YTD Personnel'!$G:$G,'YTD Personnel'!$B:$B,'YEP Summaries'!$A11,'YTD Personnel'!$C:$C,'YEP Summaries'!H$3)</f>
        <v>0</v>
      </c>
      <c r="I11" s="135">
        <f>SUMIFS('YTD Personnel'!$G:$G,'YTD Personnel'!$B:$B,'YEP Summaries'!$A11,'YTD Personnel'!$C:$C,'YEP Summaries'!I$3)</f>
        <v>0</v>
      </c>
      <c r="J11" s="135">
        <f>SUMIFS('YTD Personnel'!$G:$G,'YTD Personnel'!$B:$B,'YEP Summaries'!$A11,'YTD Personnel'!$C:$C,'YEP Summaries'!J$3)</f>
        <v>0</v>
      </c>
      <c r="K11" s="135">
        <f>SUMIFS('YTD Personnel'!$G:$G,'YTD Personnel'!$B:$B,'YEP Summaries'!$A11,'YTD Personnel'!$C:$C,'YEP Summaries'!K$3)</f>
        <v>0</v>
      </c>
      <c r="L11" s="135">
        <f>SUMIFS('YTD Personnel'!$G:$G,'YTD Personnel'!$B:$B,'YEP Summaries'!$A11,'YTD Personnel'!$C:$C,'YEP Summaries'!L$3)</f>
        <v>0</v>
      </c>
      <c r="M11" s="135">
        <f>SUMIFS('YTD Personnel'!$G:$G,'YTD Personnel'!$B:$B,'YEP Summaries'!$A11,'YTD Personnel'!$C:$C,'YEP Summaries'!M$3)</f>
        <v>0</v>
      </c>
      <c r="N11" s="135">
        <f>SUMIFS('YTD Personnel'!$G:$G,'YTD Personnel'!$B:$B,'YEP Summaries'!$A11,'YTD Personnel'!$C:$C,'YEP Summaries'!N$3)</f>
        <v>13670</v>
      </c>
      <c r="O11" s="135">
        <f>SUMIFS('YTD Personnel'!$G:$G,'YTD Personnel'!$B:$B,'YEP Summaries'!$A11,'YTD Personnel'!$C:$C,'YEP Summaries'!O$3)</f>
        <v>31331</v>
      </c>
      <c r="P11" s="135">
        <f>SUMIFS('YTD Personnel'!$G:$G,'YTD Personnel'!$B:$B,'YEP Summaries'!$A11,'YTD Personnel'!$C:$C,'YEP Summaries'!P$3)</f>
        <v>255</v>
      </c>
      <c r="Q11" s="135">
        <f>SUMIFS('YTD Personnel'!$G:$G,'YTD Personnel'!$B:$B,'YEP Summaries'!$A11,'YTD Personnel'!$C:$C,'YEP Summaries'!Q$3)</f>
        <v>29526</v>
      </c>
      <c r="R11" s="135">
        <f t="shared" si="0"/>
        <v>252257</v>
      </c>
    </row>
    <row r="12" spans="1:20">
      <c r="A12" s="130" t="s">
        <v>762</v>
      </c>
      <c r="C12" s="135">
        <f>SUMIFS('YTD Personnel'!$G:$G,'YTD Personnel'!$B:$B,'YEP Summaries'!$A12,'YTD Personnel'!$C:$C,'YEP Summaries'!C$3)</f>
        <v>165724</v>
      </c>
      <c r="D12" s="135">
        <f>SUMIFS('YTD Personnel'!$G:$G,'YTD Personnel'!$B:$B,'YEP Summaries'!$A12,'YTD Personnel'!$C:$C,'YEP Summaries'!D$3)</f>
        <v>0</v>
      </c>
      <c r="E12" s="135">
        <f>SUMIFS('YTD Personnel'!$G:$G,'YTD Personnel'!$B:$B,'YEP Summaries'!$A12,'YTD Personnel'!$C:$C,'YEP Summaries'!E$3)</f>
        <v>0</v>
      </c>
      <c r="F12" s="135">
        <f>SUMIFS('YTD Personnel'!$G:$G,'YTD Personnel'!$B:$B,'YEP Summaries'!$A12,'YTD Personnel'!$C:$C,'YEP Summaries'!F$3)</f>
        <v>0</v>
      </c>
      <c r="G12" s="135">
        <f>SUMIFS('YTD Personnel'!$G:$G,'YTD Personnel'!$B:$B,'YEP Summaries'!$A12,'YTD Personnel'!$C:$C,'YEP Summaries'!G$3)</f>
        <v>830</v>
      </c>
      <c r="H12" s="135">
        <f>SUMIFS('YTD Personnel'!$G:$G,'YTD Personnel'!$B:$B,'YEP Summaries'!$A12,'YTD Personnel'!$C:$C,'YEP Summaries'!H$3)</f>
        <v>0</v>
      </c>
      <c r="I12" s="135">
        <f>SUMIFS('YTD Personnel'!$G:$G,'YTD Personnel'!$B:$B,'YEP Summaries'!$A12,'YTD Personnel'!$C:$C,'YEP Summaries'!I$3)</f>
        <v>0</v>
      </c>
      <c r="J12" s="135">
        <f>SUMIFS('YTD Personnel'!$G:$G,'YTD Personnel'!$B:$B,'YEP Summaries'!$A12,'YTD Personnel'!$C:$C,'YEP Summaries'!J$3)</f>
        <v>0</v>
      </c>
      <c r="K12" s="135">
        <f>SUMIFS('YTD Personnel'!$G:$G,'YTD Personnel'!$B:$B,'YEP Summaries'!$A12,'YTD Personnel'!$C:$C,'YEP Summaries'!K$3)</f>
        <v>0</v>
      </c>
      <c r="L12" s="135">
        <f>SUMIFS('YTD Personnel'!$G:$G,'YTD Personnel'!$B:$B,'YEP Summaries'!$A12,'YTD Personnel'!$C:$C,'YEP Summaries'!L$3)</f>
        <v>0</v>
      </c>
      <c r="M12" s="135">
        <f>SUMIFS('YTD Personnel'!$G:$G,'YTD Personnel'!$B:$B,'YEP Summaries'!$A12,'YTD Personnel'!$C:$C,'YEP Summaries'!M$3)</f>
        <v>0</v>
      </c>
      <c r="N12" s="135">
        <f>SUMIFS('YTD Personnel'!$G:$G,'YTD Personnel'!$B:$B,'YEP Summaries'!$A12,'YTD Personnel'!$C:$C,'YEP Summaries'!N$3)</f>
        <v>12920</v>
      </c>
      <c r="O12" s="135">
        <f>SUMIFS('YTD Personnel'!$G:$G,'YTD Personnel'!$B:$B,'YEP Summaries'!$A12,'YTD Personnel'!$C:$C,'YEP Summaries'!O$3)</f>
        <v>32569</v>
      </c>
      <c r="P12" s="135">
        <f>SUMIFS('YTD Personnel'!$G:$G,'YTD Personnel'!$B:$B,'YEP Summaries'!$A12,'YTD Personnel'!$C:$C,'YEP Summaries'!P$3)</f>
        <v>241</v>
      </c>
      <c r="Q12" s="135">
        <f>SUMIFS('YTD Personnel'!$G:$G,'YTD Personnel'!$B:$B,'YEP Summaries'!$A12,'YTD Personnel'!$C:$C,'YEP Summaries'!Q$3)</f>
        <v>27920</v>
      </c>
      <c r="R12" s="135">
        <f t="shared" si="0"/>
        <v>240204</v>
      </c>
    </row>
    <row r="13" spans="1:20">
      <c r="A13" s="130" t="s">
        <v>763</v>
      </c>
      <c r="C13" s="135">
        <f>SUMIFS('YTD Personnel'!$G:$G,'YTD Personnel'!$B:$B,'YEP Summaries'!$A13,'YTD Personnel'!$C:$C,'YEP Summaries'!C$3)</f>
        <v>0</v>
      </c>
      <c r="D13" s="135">
        <f>SUMIFS('YTD Personnel'!$G:$G,'YTD Personnel'!$B:$B,'YEP Summaries'!$A13,'YTD Personnel'!$C:$C,'YEP Summaries'!D$3)</f>
        <v>0</v>
      </c>
      <c r="E13" s="135">
        <f>SUMIFS('YTD Personnel'!$G:$G,'YTD Personnel'!$B:$B,'YEP Summaries'!$A13,'YTD Personnel'!$C:$C,'YEP Summaries'!E$3)</f>
        <v>18340</v>
      </c>
      <c r="F13" s="135">
        <f>SUMIFS('YTD Personnel'!$G:$G,'YTD Personnel'!$B:$B,'YEP Summaries'!$A13,'YTD Personnel'!$C:$C,'YEP Summaries'!F$3)</f>
        <v>0</v>
      </c>
      <c r="G13" s="135">
        <f>SUMIFS('YTD Personnel'!$G:$G,'YTD Personnel'!$B:$B,'YEP Summaries'!$A13,'YTD Personnel'!$C:$C,'YEP Summaries'!G$3)</f>
        <v>0</v>
      </c>
      <c r="H13" s="135">
        <f>SUMIFS('YTD Personnel'!$G:$G,'YTD Personnel'!$B:$B,'YEP Summaries'!$A13,'YTD Personnel'!$C:$C,'YEP Summaries'!H$3)</f>
        <v>0</v>
      </c>
      <c r="I13" s="135">
        <f>SUMIFS('YTD Personnel'!$G:$G,'YTD Personnel'!$B:$B,'YEP Summaries'!$A13,'YTD Personnel'!$C:$C,'YEP Summaries'!I$3)</f>
        <v>0</v>
      </c>
      <c r="J13" s="135">
        <f>SUMIFS('YTD Personnel'!$G:$G,'YTD Personnel'!$B:$B,'YEP Summaries'!$A13,'YTD Personnel'!$C:$C,'YEP Summaries'!J$3)</f>
        <v>0</v>
      </c>
      <c r="K13" s="135">
        <f>SUMIFS('YTD Personnel'!$G:$G,'YTD Personnel'!$B:$B,'YEP Summaries'!$A13,'YTD Personnel'!$C:$C,'YEP Summaries'!K$3)</f>
        <v>0</v>
      </c>
      <c r="L13" s="135">
        <f>SUMIFS('YTD Personnel'!$G:$G,'YTD Personnel'!$B:$B,'YEP Summaries'!$A13,'YTD Personnel'!$C:$C,'YEP Summaries'!L$3)</f>
        <v>0</v>
      </c>
      <c r="M13" s="135">
        <f>SUMIFS('YTD Personnel'!$G:$G,'YTD Personnel'!$B:$B,'YEP Summaries'!$A13,'YTD Personnel'!$C:$C,'YEP Summaries'!M$3)</f>
        <v>0</v>
      </c>
      <c r="N13" s="135">
        <f>SUMIFS('YTD Personnel'!$G:$G,'YTD Personnel'!$B:$B,'YEP Summaries'!$A13,'YTD Personnel'!$C:$C,'YEP Summaries'!N$3)</f>
        <v>1410</v>
      </c>
      <c r="O13" s="135">
        <f>SUMIFS('YTD Personnel'!$G:$G,'YTD Personnel'!$B:$B,'YEP Summaries'!$A13,'YTD Personnel'!$C:$C,'YEP Summaries'!O$3)</f>
        <v>33</v>
      </c>
      <c r="P13" s="135">
        <f>SUMIFS('YTD Personnel'!$G:$G,'YTD Personnel'!$B:$B,'YEP Summaries'!$A13,'YTD Personnel'!$C:$C,'YEP Summaries'!P$3)</f>
        <v>278</v>
      </c>
      <c r="Q13" s="135">
        <f>SUMIFS('YTD Personnel'!$G:$G,'YTD Personnel'!$B:$B,'YEP Summaries'!$A13,'YTD Personnel'!$C:$C,'YEP Summaries'!Q$3)</f>
        <v>3033</v>
      </c>
      <c r="R13" s="135">
        <f t="shared" si="0"/>
        <v>23094</v>
      </c>
    </row>
    <row r="14" spans="1:20">
      <c r="A14" s="130" t="s">
        <v>764</v>
      </c>
      <c r="C14" s="135">
        <f>SUMIFS('YTD Personnel'!$G:$G,'YTD Personnel'!$B:$B,'YEP Summaries'!$A14,'YTD Personnel'!$C:$C,'YEP Summaries'!C$3)</f>
        <v>90928</v>
      </c>
      <c r="D14" s="135">
        <f>SUMIFS('YTD Personnel'!$G:$G,'YTD Personnel'!$B:$B,'YEP Summaries'!$A14,'YTD Personnel'!$C:$C,'YEP Summaries'!D$3)</f>
        <v>85259</v>
      </c>
      <c r="E14" s="135">
        <f>SUMIFS('YTD Personnel'!$G:$G,'YTD Personnel'!$B:$B,'YEP Summaries'!$A14,'YTD Personnel'!$C:$C,'YEP Summaries'!E$3)</f>
        <v>3000</v>
      </c>
      <c r="F14" s="135">
        <f>SUMIFS('YTD Personnel'!$G:$G,'YTD Personnel'!$B:$B,'YEP Summaries'!$A14,'YTD Personnel'!$C:$C,'YEP Summaries'!F$3)</f>
        <v>0</v>
      </c>
      <c r="G14" s="135">
        <f>SUMIFS('YTD Personnel'!$G:$G,'YTD Personnel'!$B:$B,'YEP Summaries'!$A14,'YTD Personnel'!$C:$C,'YEP Summaries'!G$3)</f>
        <v>2044</v>
      </c>
      <c r="H14" s="135">
        <f>SUMIFS('YTD Personnel'!$G:$G,'YTD Personnel'!$B:$B,'YEP Summaries'!$A14,'YTD Personnel'!$C:$C,'YEP Summaries'!H$3)</f>
        <v>0</v>
      </c>
      <c r="I14" s="135">
        <f>SUMIFS('YTD Personnel'!$G:$G,'YTD Personnel'!$B:$B,'YEP Summaries'!$A14,'YTD Personnel'!$C:$C,'YEP Summaries'!I$3)</f>
        <v>0</v>
      </c>
      <c r="J14" s="135">
        <f>SUMIFS('YTD Personnel'!$G:$G,'YTD Personnel'!$B:$B,'YEP Summaries'!$A14,'YTD Personnel'!$C:$C,'YEP Summaries'!J$3)</f>
        <v>0</v>
      </c>
      <c r="K14" s="135">
        <f>SUMIFS('YTD Personnel'!$G:$G,'YTD Personnel'!$B:$B,'YEP Summaries'!$A14,'YTD Personnel'!$C:$C,'YEP Summaries'!K$3)</f>
        <v>0</v>
      </c>
      <c r="L14" s="135">
        <f>SUMIFS('YTD Personnel'!$G:$G,'YTD Personnel'!$B:$B,'YEP Summaries'!$A14,'YTD Personnel'!$C:$C,'YEP Summaries'!L$3)</f>
        <v>0</v>
      </c>
      <c r="M14" s="135">
        <f>SUMIFS('YTD Personnel'!$G:$G,'YTD Personnel'!$B:$B,'YEP Summaries'!$A14,'YTD Personnel'!$C:$C,'YEP Summaries'!M$3)</f>
        <v>0</v>
      </c>
      <c r="N14" s="135">
        <f>SUMIFS('YTD Personnel'!$G:$G,'YTD Personnel'!$B:$B,'YEP Summaries'!$A14,'YTD Personnel'!$C:$C,'YEP Summaries'!N$3)</f>
        <v>14120</v>
      </c>
      <c r="O14" s="135">
        <f>SUMIFS('YTD Personnel'!$G:$G,'YTD Personnel'!$B:$B,'YEP Summaries'!$A14,'YTD Personnel'!$C:$C,'YEP Summaries'!O$3)</f>
        <v>33003</v>
      </c>
      <c r="P14" s="135">
        <f>SUMIFS('YTD Personnel'!$G:$G,'YTD Personnel'!$B:$B,'YEP Summaries'!$A14,'YTD Personnel'!$C:$C,'YEP Summaries'!P$3)</f>
        <v>3545</v>
      </c>
      <c r="Q14" s="135">
        <f>SUMIFS('YTD Personnel'!$G:$G,'YTD Personnel'!$B:$B,'YEP Summaries'!$A14,'YTD Personnel'!$C:$C,'YEP Summaries'!Q$3)</f>
        <v>30489</v>
      </c>
      <c r="R14" s="135">
        <f t="shared" si="0"/>
        <v>262388</v>
      </c>
    </row>
    <row r="15" spans="1:20">
      <c r="A15" s="130" t="s">
        <v>765</v>
      </c>
      <c r="C15" s="135">
        <f>SUMIFS('YTD Personnel'!$G:$G,'YTD Personnel'!$B:$B,'YEP Summaries'!$A15,'YTD Personnel'!$C:$C,'YEP Summaries'!C$3)</f>
        <v>570486</v>
      </c>
      <c r="D15" s="135">
        <f>SUMIFS('YTD Personnel'!$G:$G,'YTD Personnel'!$B:$B,'YEP Summaries'!$A15,'YTD Personnel'!$C:$C,'YEP Summaries'!D$3)</f>
        <v>47487</v>
      </c>
      <c r="E15" s="135">
        <f>SUMIFS('YTD Personnel'!$G:$G,'YTD Personnel'!$B:$B,'YEP Summaries'!$A15,'YTD Personnel'!$C:$C,'YEP Summaries'!E$3)</f>
        <v>3500</v>
      </c>
      <c r="F15" s="135">
        <f>SUMIFS('YTD Personnel'!$G:$G,'YTD Personnel'!$B:$B,'YEP Summaries'!$A15,'YTD Personnel'!$C:$C,'YEP Summaries'!F$3)</f>
        <v>0</v>
      </c>
      <c r="G15" s="135">
        <f>SUMIFS('YTD Personnel'!$G:$G,'YTD Personnel'!$B:$B,'YEP Summaries'!$A15,'YTD Personnel'!$C:$C,'YEP Summaries'!G$3)</f>
        <v>4124</v>
      </c>
      <c r="H15" s="135">
        <f>SUMIFS('YTD Personnel'!$G:$G,'YTD Personnel'!$B:$B,'YEP Summaries'!$A15,'YTD Personnel'!$C:$C,'YEP Summaries'!H$3)</f>
        <v>0</v>
      </c>
      <c r="I15" s="135">
        <f>SUMIFS('YTD Personnel'!$G:$G,'YTD Personnel'!$B:$B,'YEP Summaries'!$A15,'YTD Personnel'!$C:$C,'YEP Summaries'!I$3)</f>
        <v>0</v>
      </c>
      <c r="J15" s="135">
        <f>SUMIFS('YTD Personnel'!$G:$G,'YTD Personnel'!$B:$B,'YEP Summaries'!$A15,'YTD Personnel'!$C:$C,'YEP Summaries'!J$3)</f>
        <v>0</v>
      </c>
      <c r="K15" s="135">
        <f>SUMIFS('YTD Personnel'!$G:$G,'YTD Personnel'!$B:$B,'YEP Summaries'!$A15,'YTD Personnel'!$C:$C,'YEP Summaries'!K$3)</f>
        <v>0</v>
      </c>
      <c r="L15" s="135">
        <f>SUMIFS('YTD Personnel'!$G:$G,'YTD Personnel'!$B:$B,'YEP Summaries'!$A15,'YTD Personnel'!$C:$C,'YEP Summaries'!L$3)</f>
        <v>0</v>
      </c>
      <c r="M15" s="135">
        <f>SUMIFS('YTD Personnel'!$G:$G,'YTD Personnel'!$B:$B,'YEP Summaries'!$A15,'YTD Personnel'!$C:$C,'YEP Summaries'!M$3)</f>
        <v>0</v>
      </c>
      <c r="N15" s="135">
        <f>SUMIFS('YTD Personnel'!$G:$G,'YTD Personnel'!$B:$B,'YEP Summaries'!$A15,'YTD Personnel'!$C:$C,'YEP Summaries'!N$3)</f>
        <v>46520</v>
      </c>
      <c r="O15" s="135">
        <f>SUMIFS('YTD Personnel'!$G:$G,'YTD Personnel'!$B:$B,'YEP Summaries'!$A15,'YTD Personnel'!$C:$C,'YEP Summaries'!O$3)</f>
        <v>112611</v>
      </c>
      <c r="P15" s="135">
        <f>SUMIFS('YTD Personnel'!$G:$G,'YTD Personnel'!$B:$B,'YEP Summaries'!$A15,'YTD Personnel'!$C:$C,'YEP Summaries'!P$3)</f>
        <v>897</v>
      </c>
      <c r="Q15" s="135">
        <f>SUMIFS('YTD Personnel'!$G:$G,'YTD Personnel'!$B:$B,'YEP Summaries'!$A15,'YTD Personnel'!$C:$C,'YEP Summaries'!Q$3)</f>
        <v>103816</v>
      </c>
      <c r="R15" s="135">
        <f t="shared" si="0"/>
        <v>889441</v>
      </c>
      <c r="T15" s="270"/>
    </row>
    <row r="16" spans="1:20">
      <c r="A16" s="130" t="s">
        <v>767</v>
      </c>
      <c r="C16" s="135">
        <f>SUMIFS('YTD Personnel'!$G:$G,'YTD Personnel'!$B:$B,'YEP Summaries'!$A16,'YTD Personnel'!$C:$C,'YEP Summaries'!C$3)</f>
        <v>184445</v>
      </c>
      <c r="D16" s="135">
        <f>SUMIFS('YTD Personnel'!$G:$G,'YTD Personnel'!$B:$B,'YEP Summaries'!$A16,'YTD Personnel'!$C:$C,'YEP Summaries'!D$3)</f>
        <v>0</v>
      </c>
      <c r="E16" s="135">
        <f>SUMIFS('YTD Personnel'!$G:$G,'YTD Personnel'!$B:$B,'YEP Summaries'!$A16,'YTD Personnel'!$C:$C,'YEP Summaries'!E$3)</f>
        <v>0</v>
      </c>
      <c r="F16" s="135">
        <f>SUMIFS('YTD Personnel'!$G:$G,'YTD Personnel'!$B:$B,'YEP Summaries'!$A16,'YTD Personnel'!$C:$C,'YEP Summaries'!F$3)</f>
        <v>0</v>
      </c>
      <c r="G16" s="135">
        <f>SUMIFS('YTD Personnel'!$G:$G,'YTD Personnel'!$B:$B,'YEP Summaries'!$A16,'YTD Personnel'!$C:$C,'YEP Summaries'!G$3)</f>
        <v>564</v>
      </c>
      <c r="H16" s="135">
        <f>SUMIFS('YTD Personnel'!$G:$G,'YTD Personnel'!$B:$B,'YEP Summaries'!$A16,'YTD Personnel'!$C:$C,'YEP Summaries'!H$3)</f>
        <v>0</v>
      </c>
      <c r="I16" s="135">
        <f>SUMIFS('YTD Personnel'!$G:$G,'YTD Personnel'!$B:$B,'YEP Summaries'!$A16,'YTD Personnel'!$C:$C,'YEP Summaries'!I$3)</f>
        <v>0</v>
      </c>
      <c r="J16" s="135">
        <f>SUMIFS('YTD Personnel'!$G:$G,'YTD Personnel'!$B:$B,'YEP Summaries'!$A16,'YTD Personnel'!$C:$C,'YEP Summaries'!J$3)</f>
        <v>0</v>
      </c>
      <c r="K16" s="135">
        <f>SUMIFS('YTD Personnel'!$G:$G,'YTD Personnel'!$B:$B,'YEP Summaries'!$A16,'YTD Personnel'!$C:$C,'YEP Summaries'!K$3)</f>
        <v>0</v>
      </c>
      <c r="L16" s="135">
        <f>SUMIFS('YTD Personnel'!$G:$G,'YTD Personnel'!$B:$B,'YEP Summaries'!$A16,'YTD Personnel'!$C:$C,'YEP Summaries'!L$3)</f>
        <v>4800</v>
      </c>
      <c r="M16" s="135">
        <f>SUMIFS('YTD Personnel'!$G:$G,'YTD Personnel'!$B:$B,'YEP Summaries'!$A16,'YTD Personnel'!$C:$C,'YEP Summaries'!M$3)</f>
        <v>0</v>
      </c>
      <c r="N16" s="135">
        <f>SUMIFS('YTD Personnel'!$G:$G,'YTD Personnel'!$B:$B,'YEP Summaries'!$A16,'YTD Personnel'!$C:$C,'YEP Summaries'!N$3)</f>
        <v>15900</v>
      </c>
      <c r="O16" s="135">
        <f>SUMIFS('YTD Personnel'!$G:$G,'YTD Personnel'!$B:$B,'YEP Summaries'!$A16,'YTD Personnel'!$C:$C,'YEP Summaries'!O$3)</f>
        <v>42798</v>
      </c>
      <c r="P16" s="135">
        <f>SUMIFS('YTD Personnel'!$G:$G,'YTD Personnel'!$B:$B,'YEP Summaries'!$A16,'YTD Personnel'!$C:$C,'YEP Summaries'!P$3)</f>
        <v>297</v>
      </c>
      <c r="Q16" s="135">
        <f>SUMIFS('YTD Personnel'!$G:$G,'YTD Personnel'!$B:$B,'YEP Summaries'!$A16,'YTD Personnel'!$C:$C,'YEP Summaries'!Q$3)</f>
        <v>31767</v>
      </c>
      <c r="R16" s="135">
        <f>SUM(C16:Q16)</f>
        <v>280571</v>
      </c>
    </row>
    <row r="17" spans="1:18">
      <c r="A17" s="130" t="s">
        <v>766</v>
      </c>
      <c r="C17" s="135">
        <f>SUMIFS('YTD Personnel'!$G:$G,'YTD Personnel'!$B:$B,'YEP Summaries'!$A17,'YTD Personnel'!$C:$C,'YEP Summaries'!C$3)</f>
        <v>307483</v>
      </c>
      <c r="D17" s="135">
        <f>SUMIFS('YTD Personnel'!$G:$G,'YTD Personnel'!$B:$B,'YEP Summaries'!$A17,'YTD Personnel'!$C:$C,'YEP Summaries'!D$3)</f>
        <v>43203</v>
      </c>
      <c r="E17" s="135">
        <f>SUMIFS('YTD Personnel'!$G:$G,'YTD Personnel'!$B:$B,'YEP Summaries'!$A17,'YTD Personnel'!$C:$C,'YEP Summaries'!E$3)</f>
        <v>500</v>
      </c>
      <c r="F17" s="135">
        <f>SUMIFS('YTD Personnel'!$G:$G,'YTD Personnel'!$B:$B,'YEP Summaries'!$A17,'YTD Personnel'!$C:$C,'YEP Summaries'!F$3)</f>
        <v>0</v>
      </c>
      <c r="G17" s="135">
        <f>SUMIFS('YTD Personnel'!$G:$G,'YTD Personnel'!$B:$B,'YEP Summaries'!$A17,'YTD Personnel'!$C:$C,'YEP Summaries'!G$3)</f>
        <v>1511</v>
      </c>
      <c r="H17" s="135">
        <f>SUMIFS('YTD Personnel'!$G:$G,'YTD Personnel'!$B:$B,'YEP Summaries'!$A17,'YTD Personnel'!$C:$C,'YEP Summaries'!H$3)</f>
        <v>0</v>
      </c>
      <c r="I17" s="135">
        <f>SUMIFS('YTD Personnel'!$G:$G,'YTD Personnel'!$B:$B,'YEP Summaries'!$A17,'YTD Personnel'!$C:$C,'YEP Summaries'!I$3)</f>
        <v>0</v>
      </c>
      <c r="J17" s="135">
        <f>SUMIFS('YTD Personnel'!$G:$G,'YTD Personnel'!$B:$B,'YEP Summaries'!$A17,'YTD Personnel'!$C:$C,'YEP Summaries'!J$3)</f>
        <v>0</v>
      </c>
      <c r="K17" s="135">
        <f>SUMIFS('YTD Personnel'!$G:$G,'YTD Personnel'!$B:$B,'YEP Summaries'!$A17,'YTD Personnel'!$C:$C,'YEP Summaries'!K$3)</f>
        <v>0</v>
      </c>
      <c r="L17" s="135">
        <f>SUMIFS('YTD Personnel'!$G:$G,'YTD Personnel'!$B:$B,'YEP Summaries'!$A17,'YTD Personnel'!$C:$C,'YEP Summaries'!L$3)</f>
        <v>0</v>
      </c>
      <c r="M17" s="135">
        <f>SUMIFS('YTD Personnel'!$G:$G,'YTD Personnel'!$B:$B,'YEP Summaries'!$A17,'YTD Personnel'!$C:$C,'YEP Summaries'!M$3)</f>
        <v>0</v>
      </c>
      <c r="N17" s="135">
        <f>SUMIFS('YTD Personnel'!$G:$G,'YTD Personnel'!$B:$B,'YEP Summaries'!$A17,'YTD Personnel'!$C:$C,'YEP Summaries'!N$3)</f>
        <v>29290</v>
      </c>
      <c r="O17" s="135">
        <f>SUMIFS('YTD Personnel'!$G:$G,'YTD Personnel'!$B:$B,'YEP Summaries'!$A17,'YTD Personnel'!$C:$C,'YEP Summaries'!O$3)</f>
        <v>79672</v>
      </c>
      <c r="P17" s="135">
        <f>SUMIFS('YTD Personnel'!$G:$G,'YTD Personnel'!$B:$B,'YEP Summaries'!$A17,'YTD Personnel'!$C:$C,'YEP Summaries'!P$3)</f>
        <v>548</v>
      </c>
      <c r="Q17" s="135">
        <f>SUMIFS('YTD Personnel'!$G:$G,'YTD Personnel'!$B:$B,'YEP Summaries'!$A17,'YTD Personnel'!$C:$C,'YEP Summaries'!Q$3)</f>
        <v>58741</v>
      </c>
      <c r="R17" s="135">
        <f t="shared" si="0"/>
        <v>520948</v>
      </c>
    </row>
    <row r="18" spans="1:18">
      <c r="A18" s="130" t="s">
        <v>768</v>
      </c>
      <c r="C18" s="135">
        <f>SUMIFS('YTD Personnel'!$G:$G,'YTD Personnel'!$B:$B,'YEP Summaries'!$A18,'YTD Personnel'!$C:$C,'YEP Summaries'!C$3)</f>
        <v>333214</v>
      </c>
      <c r="D18" s="135">
        <f>SUMIFS('YTD Personnel'!$G:$G,'YTD Personnel'!$B:$B,'YEP Summaries'!$A18,'YTD Personnel'!$C:$C,'YEP Summaries'!D$3)</f>
        <v>43203</v>
      </c>
      <c r="E18" s="135">
        <f>SUMIFS('YTD Personnel'!$G:$G,'YTD Personnel'!$B:$B,'YEP Summaries'!$A18,'YTD Personnel'!$C:$C,'YEP Summaries'!E$3)</f>
        <v>0</v>
      </c>
      <c r="F18" s="135">
        <f>SUMIFS('YTD Personnel'!$G:$G,'YTD Personnel'!$B:$B,'YEP Summaries'!$A18,'YTD Personnel'!$C:$C,'YEP Summaries'!F$3)</f>
        <v>0</v>
      </c>
      <c r="G18" s="135">
        <f>SUMIFS('YTD Personnel'!$G:$G,'YTD Personnel'!$B:$B,'YEP Summaries'!$A18,'YTD Personnel'!$C:$C,'YEP Summaries'!G$3)</f>
        <v>740</v>
      </c>
      <c r="H18" s="135">
        <f>SUMIFS('YTD Personnel'!$G:$G,'YTD Personnel'!$B:$B,'YEP Summaries'!$A18,'YTD Personnel'!$C:$C,'YEP Summaries'!H$3)</f>
        <v>0</v>
      </c>
      <c r="I18" s="135">
        <f>SUMIFS('YTD Personnel'!$G:$G,'YTD Personnel'!$B:$B,'YEP Summaries'!$A18,'YTD Personnel'!$C:$C,'YEP Summaries'!I$3)</f>
        <v>0</v>
      </c>
      <c r="J18" s="135">
        <f>SUMIFS('YTD Personnel'!$G:$G,'YTD Personnel'!$B:$B,'YEP Summaries'!$A18,'YTD Personnel'!$C:$C,'YEP Summaries'!J$3)</f>
        <v>0</v>
      </c>
      <c r="K18" s="135">
        <f>SUMIFS('YTD Personnel'!$G:$G,'YTD Personnel'!$B:$B,'YEP Summaries'!$A18,'YTD Personnel'!$C:$C,'YEP Summaries'!K$3)</f>
        <v>0</v>
      </c>
      <c r="L18" s="135">
        <f>SUMIFS('YTD Personnel'!$G:$G,'YTD Personnel'!$B:$B,'YEP Summaries'!$A18,'YTD Personnel'!$C:$C,'YEP Summaries'!L$3)</f>
        <v>4800</v>
      </c>
      <c r="M18" s="135">
        <f>SUMIFS('YTD Personnel'!$G:$G,'YTD Personnel'!$B:$B,'YEP Summaries'!$A18,'YTD Personnel'!$C:$C,'YEP Summaries'!M$3)</f>
        <v>0</v>
      </c>
      <c r="N18" s="135">
        <f>SUMIFS('YTD Personnel'!$G:$G,'YTD Personnel'!$B:$B,'YEP Summaries'!$A18,'YTD Personnel'!$C:$C,'YEP Summaries'!N$3)</f>
        <v>29340</v>
      </c>
      <c r="O18" s="135">
        <f>SUMIFS('YTD Personnel'!$G:$G,'YTD Personnel'!$B:$B,'YEP Summaries'!$A18,'YTD Personnel'!$C:$C,'YEP Summaries'!O$3)</f>
        <v>57301</v>
      </c>
      <c r="P18" s="135">
        <f>SUMIFS('YTD Personnel'!$G:$G,'YTD Personnel'!$B:$B,'YEP Summaries'!$A18,'YTD Personnel'!$C:$C,'YEP Summaries'!P$3)</f>
        <v>547</v>
      </c>
      <c r="Q18" s="135">
        <f>SUMIFS('YTD Personnel'!$G:$G,'YTD Personnel'!$B:$B,'YEP Summaries'!$A18,'YTD Personnel'!$C:$C,'YEP Summaries'!Q$3)</f>
        <v>63347</v>
      </c>
      <c r="R18" s="135">
        <f t="shared" si="0"/>
        <v>532492</v>
      </c>
    </row>
    <row r="19" spans="1:18">
      <c r="A19" s="130" t="s">
        <v>769</v>
      </c>
      <c r="C19" s="135">
        <f>SUMIFS('YTD Personnel'!$G:$G,'YTD Personnel'!$B:$B,'YEP Summaries'!$A19,'YTD Personnel'!$C:$C,'YEP Summaries'!C$3)</f>
        <v>59829</v>
      </c>
      <c r="D19" s="135">
        <f>SUMIFS('YTD Personnel'!$G:$G,'YTD Personnel'!$B:$B,'YEP Summaries'!$A19,'YTD Personnel'!$C:$C,'YEP Summaries'!D$3)</f>
        <v>178279</v>
      </c>
      <c r="E19" s="135">
        <f>SUMIFS('YTD Personnel'!$G:$G,'YTD Personnel'!$B:$B,'YEP Summaries'!$A19,'YTD Personnel'!$C:$C,'YEP Summaries'!E$3)</f>
        <v>2782</v>
      </c>
      <c r="F19" s="135">
        <f>SUMIFS('YTD Personnel'!$G:$G,'YTD Personnel'!$B:$B,'YEP Summaries'!$A19,'YTD Personnel'!$C:$C,'YEP Summaries'!F$3)</f>
        <v>0</v>
      </c>
      <c r="G19" s="135">
        <f>SUMIFS('YTD Personnel'!$G:$G,'YTD Personnel'!$B:$B,'YEP Summaries'!$A19,'YTD Personnel'!$C:$C,'YEP Summaries'!G$3)</f>
        <v>1068</v>
      </c>
      <c r="H19" s="135">
        <f>SUMIFS('YTD Personnel'!$G:$G,'YTD Personnel'!$B:$B,'YEP Summaries'!$A19,'YTD Personnel'!$C:$C,'YEP Summaries'!H$3)</f>
        <v>0</v>
      </c>
      <c r="I19" s="135">
        <f>SUMIFS('YTD Personnel'!$G:$G,'YTD Personnel'!$B:$B,'YEP Summaries'!$A19,'YTD Personnel'!$C:$C,'YEP Summaries'!I$3)</f>
        <v>0</v>
      </c>
      <c r="J19" s="135">
        <f>SUMIFS('YTD Personnel'!$G:$G,'YTD Personnel'!$B:$B,'YEP Summaries'!$A19,'YTD Personnel'!$C:$C,'YEP Summaries'!J$3)</f>
        <v>0</v>
      </c>
      <c r="K19" s="135">
        <f>SUMIFS('YTD Personnel'!$G:$G,'YTD Personnel'!$B:$B,'YEP Summaries'!$A19,'YTD Personnel'!$C:$C,'YEP Summaries'!K$3)</f>
        <v>0</v>
      </c>
      <c r="L19" s="135">
        <f>SUMIFS('YTD Personnel'!$G:$G,'YTD Personnel'!$B:$B,'YEP Summaries'!$A19,'YTD Personnel'!$C:$C,'YEP Summaries'!L$3)</f>
        <v>0</v>
      </c>
      <c r="M19" s="135">
        <f>SUMIFS('YTD Personnel'!$G:$G,'YTD Personnel'!$B:$B,'YEP Summaries'!$A19,'YTD Personnel'!$C:$C,'YEP Summaries'!M$3)</f>
        <v>0</v>
      </c>
      <c r="N19" s="135">
        <f>SUMIFS('YTD Personnel'!$G:$G,'YTD Personnel'!$B:$B,'YEP Summaries'!$A19,'YTD Personnel'!$C:$C,'YEP Summaries'!N$3)</f>
        <v>18600</v>
      </c>
      <c r="O19" s="135">
        <f>SUMIFS('YTD Personnel'!$G:$G,'YTD Personnel'!$B:$B,'YEP Summaries'!$A19,'YTD Personnel'!$C:$C,'YEP Summaries'!O$3)</f>
        <v>62837</v>
      </c>
      <c r="P19" s="135">
        <f>SUMIFS('YTD Personnel'!$G:$G,'YTD Personnel'!$B:$B,'YEP Summaries'!$A19,'YTD Personnel'!$C:$C,'YEP Summaries'!P$3)</f>
        <v>427</v>
      </c>
      <c r="Q19" s="135">
        <f>SUMIFS('YTD Personnel'!$G:$G,'YTD Personnel'!$B:$B,'YEP Summaries'!$A19,'YTD Personnel'!$C:$C,'YEP Summaries'!Q$3)</f>
        <v>40122</v>
      </c>
      <c r="R19" s="135">
        <f t="shared" si="0"/>
        <v>363944</v>
      </c>
    </row>
    <row r="20" spans="1:18">
      <c r="A20" s="130" t="s">
        <v>770</v>
      </c>
      <c r="C20" s="135">
        <f>SUMIFS('YTD Personnel'!$G:$G,'YTD Personnel'!$B:$B,'YEP Summaries'!$A20,'YTD Personnel'!$C:$C,'YEP Summaries'!C$3)</f>
        <v>81016</v>
      </c>
      <c r="D20" s="135">
        <f>SUMIFS('YTD Personnel'!$G:$G,'YTD Personnel'!$B:$B,'YEP Summaries'!$A20,'YTD Personnel'!$C:$C,'YEP Summaries'!D$3)</f>
        <v>110335</v>
      </c>
      <c r="E20" s="135">
        <f>SUMIFS('YTD Personnel'!$G:$G,'YTD Personnel'!$B:$B,'YEP Summaries'!$A20,'YTD Personnel'!$C:$C,'YEP Summaries'!E$3)</f>
        <v>8344</v>
      </c>
      <c r="F20" s="135">
        <f>SUMIFS('YTD Personnel'!$G:$G,'YTD Personnel'!$B:$B,'YEP Summaries'!$A20,'YTD Personnel'!$C:$C,'YEP Summaries'!F$3)</f>
        <v>0</v>
      </c>
      <c r="G20" s="135">
        <f>SUMIFS('YTD Personnel'!$G:$G,'YTD Personnel'!$B:$B,'YEP Summaries'!$A20,'YTD Personnel'!$C:$C,'YEP Summaries'!G$3)</f>
        <v>3064</v>
      </c>
      <c r="H20" s="135">
        <f>SUMIFS('YTD Personnel'!$G:$G,'YTD Personnel'!$B:$B,'YEP Summaries'!$A20,'YTD Personnel'!$C:$C,'YEP Summaries'!H$3)</f>
        <v>0</v>
      </c>
      <c r="I20" s="135">
        <f>SUMIFS('YTD Personnel'!$G:$G,'YTD Personnel'!$B:$B,'YEP Summaries'!$A20,'YTD Personnel'!$C:$C,'YEP Summaries'!I$3)</f>
        <v>0</v>
      </c>
      <c r="J20" s="135">
        <f>SUMIFS('YTD Personnel'!$G:$G,'YTD Personnel'!$B:$B,'YEP Summaries'!$A20,'YTD Personnel'!$C:$C,'YEP Summaries'!J$3)</f>
        <v>0</v>
      </c>
      <c r="K20" s="135">
        <f>SUMIFS('YTD Personnel'!$G:$G,'YTD Personnel'!$B:$B,'YEP Summaries'!$A20,'YTD Personnel'!$C:$C,'YEP Summaries'!K$3)</f>
        <v>0</v>
      </c>
      <c r="L20" s="135">
        <f>SUMIFS('YTD Personnel'!$G:$G,'YTD Personnel'!$B:$B,'YEP Summaries'!$A20,'YTD Personnel'!$C:$C,'YEP Summaries'!L$3)</f>
        <v>0</v>
      </c>
      <c r="M20" s="135">
        <f>SUMIFS('YTD Personnel'!$G:$G,'YTD Personnel'!$B:$B,'YEP Summaries'!$A20,'YTD Personnel'!$C:$C,'YEP Summaries'!M$3)</f>
        <v>0</v>
      </c>
      <c r="N20" s="135">
        <f>SUMIFS('YTD Personnel'!$G:$G,'YTD Personnel'!$B:$B,'YEP Summaries'!$A20,'YTD Personnel'!$C:$C,'YEP Summaries'!N$3)</f>
        <v>15670</v>
      </c>
      <c r="O20" s="135">
        <f>SUMIFS('YTD Personnel'!$G:$G,'YTD Personnel'!$B:$B,'YEP Summaries'!$A20,'YTD Personnel'!$C:$C,'YEP Summaries'!O$3)</f>
        <v>44238</v>
      </c>
      <c r="P20" s="135">
        <f>SUMIFS('YTD Personnel'!$G:$G,'YTD Personnel'!$B:$B,'YEP Summaries'!$A20,'YTD Personnel'!$C:$C,'YEP Summaries'!P$3)</f>
        <v>621</v>
      </c>
      <c r="Q20" s="135">
        <f>SUMIFS('YTD Personnel'!$G:$G,'YTD Personnel'!$B:$B,'YEP Summaries'!$A20,'YTD Personnel'!$C:$C,'YEP Summaries'!Q$3)</f>
        <v>33842</v>
      </c>
      <c r="R20" s="135">
        <f t="shared" ref="R20" si="1">SUM(C20:Q20)</f>
        <v>297130</v>
      </c>
    </row>
    <row r="21" spans="1:18">
      <c r="A21" s="130" t="s">
        <v>771</v>
      </c>
      <c r="C21" s="135">
        <f>SUMIFS('YTD Personnel'!$G:$G,'YTD Personnel'!$B:$B,'YEP Summaries'!$A21,'YTD Personnel'!$C:$C,'YEP Summaries'!C$3)</f>
        <v>291275</v>
      </c>
      <c r="D21" s="135">
        <f>SUMIFS('YTD Personnel'!$G:$G,'YTD Personnel'!$B:$B,'YEP Summaries'!$A21,'YTD Personnel'!$C:$C,'YEP Summaries'!D$3)</f>
        <v>98412</v>
      </c>
      <c r="E21" s="135">
        <f>SUMIFS('YTD Personnel'!$G:$G,'YTD Personnel'!$B:$B,'YEP Summaries'!$A21,'YTD Personnel'!$C:$C,'YEP Summaries'!E$3)</f>
        <v>2500</v>
      </c>
      <c r="F21" s="135">
        <f>SUMIFS('YTD Personnel'!$G:$G,'YTD Personnel'!$B:$B,'YEP Summaries'!$A21,'YTD Personnel'!$C:$C,'YEP Summaries'!F$3)</f>
        <v>0</v>
      </c>
      <c r="G21" s="135">
        <f>SUMIFS('YTD Personnel'!$G:$G,'YTD Personnel'!$B:$B,'YEP Summaries'!$A21,'YTD Personnel'!$C:$C,'YEP Summaries'!G$3)</f>
        <v>2968</v>
      </c>
      <c r="H21" s="135">
        <f>SUMIFS('YTD Personnel'!$G:$G,'YTD Personnel'!$B:$B,'YEP Summaries'!$A21,'YTD Personnel'!$C:$C,'YEP Summaries'!H$3)</f>
        <v>0</v>
      </c>
      <c r="I21" s="135">
        <f>SUMIFS('YTD Personnel'!$G:$G,'YTD Personnel'!$B:$B,'YEP Summaries'!$A21,'YTD Personnel'!$C:$C,'YEP Summaries'!I$3)</f>
        <v>0</v>
      </c>
      <c r="J21" s="135">
        <f>SUMIFS('YTD Personnel'!$G:$G,'YTD Personnel'!$B:$B,'YEP Summaries'!$A21,'YTD Personnel'!$C:$C,'YEP Summaries'!J$3)</f>
        <v>0</v>
      </c>
      <c r="K21" s="135">
        <f>SUMIFS('YTD Personnel'!$G:$G,'YTD Personnel'!$B:$B,'YEP Summaries'!$A21,'YTD Personnel'!$C:$C,'YEP Summaries'!K$3)</f>
        <v>3280</v>
      </c>
      <c r="L21" s="135">
        <f>SUMIFS('YTD Personnel'!$G:$G,'YTD Personnel'!$B:$B,'YEP Summaries'!$A21,'YTD Personnel'!$C:$C,'YEP Summaries'!L$3)</f>
        <v>0</v>
      </c>
      <c r="M21" s="135">
        <f>SUMIFS('YTD Personnel'!$G:$G,'YTD Personnel'!$B:$B,'YEP Summaries'!$A21,'YTD Personnel'!$C:$C,'YEP Summaries'!M$3)</f>
        <v>0</v>
      </c>
      <c r="N21" s="135">
        <f>SUMIFS('YTD Personnel'!$G:$G,'YTD Personnel'!$B:$B,'YEP Summaries'!$A21,'YTD Personnel'!$C:$C,'YEP Summaries'!N$3)</f>
        <v>27558</v>
      </c>
      <c r="O21" s="135">
        <f>SUMIFS('YTD Personnel'!$G:$G,'YTD Personnel'!$B:$B,'YEP Summaries'!$A21,'YTD Personnel'!$C:$C,'YEP Summaries'!O$3)</f>
        <v>58614</v>
      </c>
      <c r="P21" s="135">
        <f>SUMIFS('YTD Personnel'!$G:$G,'YTD Personnel'!$B:$B,'YEP Summaries'!$A21,'YTD Personnel'!$C:$C,'YEP Summaries'!P$3)</f>
        <v>5287</v>
      </c>
      <c r="Q21" s="135">
        <f>SUMIFS('YTD Personnel'!$G:$G,'YTD Personnel'!$B:$B,'YEP Summaries'!$A21,'YTD Personnel'!$C:$C,'YEP Summaries'!Q$3)</f>
        <v>66283</v>
      </c>
      <c r="R21" s="135">
        <f t="shared" si="0"/>
        <v>556177</v>
      </c>
    </row>
    <row r="22" spans="1:18">
      <c r="A22" s="130" t="s">
        <v>772</v>
      </c>
      <c r="C22" s="135">
        <f>SUMIFS('YTD Personnel'!$G:$G,'YTD Personnel'!$B:$B,'YEP Summaries'!$A22,'YTD Personnel'!$C:$C,'YEP Summaries'!C$3)</f>
        <v>128378</v>
      </c>
      <c r="D22" s="135">
        <f>SUMIFS('YTD Personnel'!$G:$G,'YTD Personnel'!$B:$B,'YEP Summaries'!$A22,'YTD Personnel'!$C:$C,'YEP Summaries'!D$3)</f>
        <v>4316767</v>
      </c>
      <c r="E22" s="135">
        <f>SUMIFS('YTD Personnel'!$G:$G,'YTD Personnel'!$B:$B,'YEP Summaries'!$A22,'YTD Personnel'!$C:$C,'YEP Summaries'!E$3)</f>
        <v>198518</v>
      </c>
      <c r="F22" s="135">
        <f>SUMIFS('YTD Personnel'!$G:$G,'YTD Personnel'!$B:$B,'YEP Summaries'!$A22,'YTD Personnel'!$C:$C,'YEP Summaries'!F$3)</f>
        <v>0</v>
      </c>
      <c r="G22" s="135">
        <f>SUMIFS('YTD Personnel'!$G:$G,'YTD Personnel'!$B:$B,'YEP Summaries'!$A22,'YTD Personnel'!$C:$C,'YEP Summaries'!G$3)</f>
        <v>28591</v>
      </c>
      <c r="H22" s="135">
        <f>SUMIFS('YTD Personnel'!$G:$G,'YTD Personnel'!$B:$B,'YEP Summaries'!$A22,'YTD Personnel'!$C:$C,'YEP Summaries'!H$3)</f>
        <v>0</v>
      </c>
      <c r="I22" s="135">
        <f>SUMIFS('YTD Personnel'!$G:$G,'YTD Personnel'!$B:$B,'YEP Summaries'!$A22,'YTD Personnel'!$C:$C,'YEP Summaries'!I$3)</f>
        <v>0</v>
      </c>
      <c r="J22" s="135">
        <f>SUMIFS('YTD Personnel'!$G:$G,'YTD Personnel'!$B:$B,'YEP Summaries'!$A22,'YTD Personnel'!$C:$C,'YEP Summaries'!J$3)</f>
        <v>0</v>
      </c>
      <c r="K22" s="135">
        <f>SUMIFS('YTD Personnel'!$G:$G,'YTD Personnel'!$B:$B,'YEP Summaries'!$A22,'YTD Personnel'!$C:$C,'YEP Summaries'!K$3)</f>
        <v>34200</v>
      </c>
      <c r="L22" s="135">
        <f>SUMIFS('YTD Personnel'!$G:$G,'YTD Personnel'!$B:$B,'YEP Summaries'!$A22,'YTD Personnel'!$C:$C,'YEP Summaries'!L$3)</f>
        <v>0</v>
      </c>
      <c r="M22" s="135">
        <f>SUMIFS('YTD Personnel'!$G:$G,'YTD Personnel'!$B:$B,'YEP Summaries'!$A22,'YTD Personnel'!$C:$C,'YEP Summaries'!M$3)</f>
        <v>0</v>
      </c>
      <c r="N22" s="135">
        <f>SUMIFS('YTD Personnel'!$G:$G,'YTD Personnel'!$B:$B,'YEP Summaries'!$A22,'YTD Personnel'!$C:$C,'YEP Summaries'!N$3)</f>
        <v>348570</v>
      </c>
      <c r="O22" s="135">
        <f>SUMIFS('YTD Personnel'!$G:$G,'YTD Personnel'!$B:$B,'YEP Summaries'!$A22,'YTD Personnel'!$C:$C,'YEP Summaries'!O$3)</f>
        <v>738721</v>
      </c>
      <c r="P22" s="135">
        <f>SUMIFS('YTD Personnel'!$G:$G,'YTD Personnel'!$B:$B,'YEP Summaries'!$A22,'YTD Personnel'!$C:$C,'YEP Summaries'!P$3)</f>
        <v>73460</v>
      </c>
      <c r="Q22" s="135">
        <f>SUMIFS('YTD Personnel'!$G:$G,'YTD Personnel'!$B:$B,'YEP Summaries'!$A22,'YTD Personnel'!$C:$C,'YEP Summaries'!Q$3)</f>
        <v>779847</v>
      </c>
      <c r="R22" s="135">
        <f t="shared" si="0"/>
        <v>6647052</v>
      </c>
    </row>
    <row r="23" spans="1:18">
      <c r="A23" s="130" t="s">
        <v>773</v>
      </c>
      <c r="C23" s="135">
        <f>SUMIFS('YTD Personnel'!$G:$G,'YTD Personnel'!$B:$B,'YEP Summaries'!$A23,'YTD Personnel'!$C:$C,'YEP Summaries'!C$3)</f>
        <v>171476</v>
      </c>
      <c r="D23" s="135">
        <f>SUMIFS('YTD Personnel'!$G:$G,'YTD Personnel'!$B:$B,'YEP Summaries'!$A23,'YTD Personnel'!$C:$C,'YEP Summaries'!D$3)</f>
        <v>1343714</v>
      </c>
      <c r="E23" s="135">
        <f>SUMIFS('YTD Personnel'!$G:$G,'YTD Personnel'!$B:$B,'YEP Summaries'!$A23,'YTD Personnel'!$C:$C,'YEP Summaries'!E$3)</f>
        <v>101942</v>
      </c>
      <c r="F23" s="135">
        <f>SUMIFS('YTD Personnel'!$G:$G,'YTD Personnel'!$B:$B,'YEP Summaries'!$A23,'YTD Personnel'!$C:$C,'YEP Summaries'!F$3)</f>
        <v>0</v>
      </c>
      <c r="G23" s="135">
        <f>SUMIFS('YTD Personnel'!$G:$G,'YTD Personnel'!$B:$B,'YEP Summaries'!$A23,'YTD Personnel'!$C:$C,'YEP Summaries'!G$3)</f>
        <v>12621</v>
      </c>
      <c r="H23" s="135">
        <f>SUMIFS('YTD Personnel'!$G:$G,'YTD Personnel'!$B:$B,'YEP Summaries'!$A23,'YTD Personnel'!$C:$C,'YEP Summaries'!H$3)</f>
        <v>0</v>
      </c>
      <c r="I23" s="135">
        <f>SUMIFS('YTD Personnel'!$G:$G,'YTD Personnel'!$B:$B,'YEP Summaries'!$A23,'YTD Personnel'!$C:$C,'YEP Summaries'!I$3)</f>
        <v>0</v>
      </c>
      <c r="J23" s="135">
        <f>SUMIFS('YTD Personnel'!$G:$G,'YTD Personnel'!$B:$B,'YEP Summaries'!$A23,'YTD Personnel'!$C:$C,'YEP Summaries'!J$3)</f>
        <v>0</v>
      </c>
      <c r="K23" s="135">
        <f>SUMIFS('YTD Personnel'!$G:$G,'YTD Personnel'!$B:$B,'YEP Summaries'!$A23,'YTD Personnel'!$C:$C,'YEP Summaries'!K$3)</f>
        <v>97602</v>
      </c>
      <c r="L23" s="135">
        <f>SUMIFS('YTD Personnel'!$G:$G,'YTD Personnel'!$B:$B,'YEP Summaries'!$A23,'YTD Personnel'!$C:$C,'YEP Summaries'!L$3)</f>
        <v>0</v>
      </c>
      <c r="M23" s="135">
        <f>SUMIFS('YTD Personnel'!$G:$G,'YTD Personnel'!$B:$B,'YEP Summaries'!$A23,'YTD Personnel'!$C:$C,'YEP Summaries'!M$3)</f>
        <v>0</v>
      </c>
      <c r="N23" s="135">
        <f>SUMIFS('YTD Personnel'!$G:$G,'YTD Personnel'!$B:$B,'YEP Summaries'!$A23,'YTD Personnel'!$C:$C,'YEP Summaries'!N$3)</f>
        <v>132360</v>
      </c>
      <c r="O23" s="135">
        <f>SUMIFS('YTD Personnel'!$G:$G,'YTD Personnel'!$B:$B,'YEP Summaries'!$A23,'YTD Personnel'!$C:$C,'YEP Summaries'!O$3)</f>
        <v>285654</v>
      </c>
      <c r="P23" s="135">
        <f>SUMIFS('YTD Personnel'!$G:$G,'YTD Personnel'!$B:$B,'YEP Summaries'!$A23,'YTD Personnel'!$C:$C,'YEP Summaries'!P$3)</f>
        <v>6256</v>
      </c>
      <c r="Q23" s="135">
        <f>SUMIFS('YTD Personnel'!$G:$G,'YTD Personnel'!$B:$B,'YEP Summaries'!$A23,'YTD Personnel'!$C:$C,'YEP Summaries'!Q$3)</f>
        <v>285876</v>
      </c>
      <c r="R23" s="135">
        <f t="shared" si="0"/>
        <v>2437501</v>
      </c>
    </row>
    <row r="24" spans="1:18">
      <c r="A24" s="130" t="s">
        <v>774</v>
      </c>
      <c r="C24" s="135">
        <f>SUMIFS('YTD Personnel'!$G:$G,'YTD Personnel'!$B:$B,'YEP Summaries'!$A24,'YTD Personnel'!$C:$C,'YEP Summaries'!C$3)</f>
        <v>0</v>
      </c>
      <c r="D24" s="135">
        <f>SUMIFS('YTD Personnel'!$G:$G,'YTD Personnel'!$B:$B,'YEP Summaries'!$A24,'YTD Personnel'!$C:$C,'YEP Summaries'!D$3)</f>
        <v>171638</v>
      </c>
      <c r="E24" s="135">
        <f>SUMIFS('YTD Personnel'!$G:$G,'YTD Personnel'!$B:$B,'YEP Summaries'!$A24,'YTD Personnel'!$C:$C,'YEP Summaries'!E$3)</f>
        <v>10511</v>
      </c>
      <c r="F24" s="135">
        <f>SUMIFS('YTD Personnel'!$G:$G,'YTD Personnel'!$B:$B,'YEP Summaries'!$A24,'YTD Personnel'!$C:$C,'YEP Summaries'!F$3)</f>
        <v>0</v>
      </c>
      <c r="G24" s="135">
        <f>SUMIFS('YTD Personnel'!$G:$G,'YTD Personnel'!$B:$B,'YEP Summaries'!$A24,'YTD Personnel'!$C:$C,'YEP Summaries'!G$3)</f>
        <v>475</v>
      </c>
      <c r="H24" s="135">
        <f>SUMIFS('YTD Personnel'!$G:$G,'YTD Personnel'!$B:$B,'YEP Summaries'!$A24,'YTD Personnel'!$C:$C,'YEP Summaries'!H$3)</f>
        <v>0</v>
      </c>
      <c r="I24" s="135">
        <f>SUMIFS('YTD Personnel'!$G:$G,'YTD Personnel'!$B:$B,'YEP Summaries'!$A24,'YTD Personnel'!$C:$C,'YEP Summaries'!I$3)</f>
        <v>0</v>
      </c>
      <c r="J24" s="135">
        <f>SUMIFS('YTD Personnel'!$G:$G,'YTD Personnel'!$B:$B,'YEP Summaries'!$A24,'YTD Personnel'!$C:$C,'YEP Summaries'!J$3)</f>
        <v>0</v>
      </c>
      <c r="K24" s="135">
        <f>SUMIFS('YTD Personnel'!$G:$G,'YTD Personnel'!$B:$B,'YEP Summaries'!$A24,'YTD Personnel'!$C:$C,'YEP Summaries'!K$3)</f>
        <v>21200</v>
      </c>
      <c r="L24" s="135">
        <f>SUMIFS('YTD Personnel'!$G:$G,'YTD Personnel'!$B:$B,'YEP Summaries'!$A24,'YTD Personnel'!$C:$C,'YEP Summaries'!L$3)</f>
        <v>0</v>
      </c>
      <c r="M24" s="135">
        <f>SUMIFS('YTD Personnel'!$G:$G,'YTD Personnel'!$B:$B,'YEP Summaries'!$A24,'YTD Personnel'!$C:$C,'YEP Summaries'!M$3)</f>
        <v>0</v>
      </c>
      <c r="N24" s="135">
        <f>SUMIFS('YTD Personnel'!$G:$G,'YTD Personnel'!$B:$B,'YEP Summaries'!$A24,'YTD Personnel'!$C:$C,'YEP Summaries'!N$3)</f>
        <v>15610</v>
      </c>
      <c r="O24" s="135">
        <f>SUMIFS('YTD Personnel'!$G:$G,'YTD Personnel'!$B:$B,'YEP Summaries'!$A24,'YTD Personnel'!$C:$C,'YEP Summaries'!O$3)</f>
        <v>54959</v>
      </c>
      <c r="P24" s="135">
        <f>SUMIFS('YTD Personnel'!$G:$G,'YTD Personnel'!$B:$B,'YEP Summaries'!$A24,'YTD Personnel'!$C:$C,'YEP Summaries'!P$3)</f>
        <v>4441</v>
      </c>
      <c r="Q24" s="135">
        <f>SUMIFS('YTD Personnel'!$G:$G,'YTD Personnel'!$B:$B,'YEP Summaries'!$A24,'YTD Personnel'!$C:$C,'YEP Summaries'!Q$3)</f>
        <v>33712</v>
      </c>
      <c r="R24" s="135">
        <f t="shared" si="0"/>
        <v>312546</v>
      </c>
    </row>
    <row r="25" spans="1:18">
      <c r="A25" s="130" t="s">
        <v>775</v>
      </c>
      <c r="C25" s="135">
        <f>SUMIFS('YTD Personnel'!$G:$G,'YTD Personnel'!$B:$B,'YEP Summaries'!$A25,'YTD Personnel'!$C:$C,'YEP Summaries'!C$3)</f>
        <v>12687</v>
      </c>
      <c r="D25" s="135">
        <f>SUMIFS('YTD Personnel'!$G:$G,'YTD Personnel'!$B:$B,'YEP Summaries'!$A25,'YTD Personnel'!$C:$C,'YEP Summaries'!D$3)</f>
        <v>496028</v>
      </c>
      <c r="E25" s="135">
        <f>SUMIFS('YTD Personnel'!$G:$G,'YTD Personnel'!$B:$B,'YEP Summaries'!$A25,'YTD Personnel'!$C:$C,'YEP Summaries'!E$3)</f>
        <v>12214</v>
      </c>
      <c r="F25" s="135">
        <f>SUMIFS('YTD Personnel'!$G:$G,'YTD Personnel'!$B:$B,'YEP Summaries'!$A25,'YTD Personnel'!$C:$C,'YEP Summaries'!F$3)</f>
        <v>0</v>
      </c>
      <c r="G25" s="135">
        <f>SUMIFS('YTD Personnel'!$G:$G,'YTD Personnel'!$B:$B,'YEP Summaries'!$A25,'YTD Personnel'!$C:$C,'YEP Summaries'!G$3)</f>
        <v>1520</v>
      </c>
      <c r="H25" s="135">
        <f>SUMIFS('YTD Personnel'!$G:$G,'YTD Personnel'!$B:$B,'YEP Summaries'!$A25,'YTD Personnel'!$C:$C,'YEP Summaries'!H$3)</f>
        <v>0</v>
      </c>
      <c r="I25" s="135">
        <f>SUMIFS('YTD Personnel'!$G:$G,'YTD Personnel'!$B:$B,'YEP Summaries'!$A25,'YTD Personnel'!$C:$C,'YEP Summaries'!I$3)</f>
        <v>0</v>
      </c>
      <c r="J25" s="135">
        <f>SUMIFS('YTD Personnel'!$G:$G,'YTD Personnel'!$B:$B,'YEP Summaries'!$A25,'YTD Personnel'!$C:$C,'YEP Summaries'!J$3)</f>
        <v>0</v>
      </c>
      <c r="K25" s="135">
        <f>SUMIFS('YTD Personnel'!$G:$G,'YTD Personnel'!$B:$B,'YEP Summaries'!$A25,'YTD Personnel'!$C:$C,'YEP Summaries'!K$3)</f>
        <v>49321</v>
      </c>
      <c r="L25" s="135">
        <f>SUMIFS('YTD Personnel'!$G:$G,'YTD Personnel'!$B:$B,'YEP Summaries'!$A25,'YTD Personnel'!$C:$C,'YEP Summaries'!L$3)</f>
        <v>0</v>
      </c>
      <c r="M25" s="135">
        <f>SUMIFS('YTD Personnel'!$G:$G,'YTD Personnel'!$B:$B,'YEP Summaries'!$A25,'YTD Personnel'!$C:$C,'YEP Summaries'!M$3)</f>
        <v>0</v>
      </c>
      <c r="N25" s="135">
        <f>SUMIFS('YTD Personnel'!$G:$G,'YTD Personnel'!$B:$B,'YEP Summaries'!$A25,'YTD Personnel'!$C:$C,'YEP Summaries'!N$3)</f>
        <v>43892</v>
      </c>
      <c r="O25" s="135">
        <f>SUMIFS('YTD Personnel'!$G:$G,'YTD Personnel'!$B:$B,'YEP Summaries'!$A25,'YTD Personnel'!$C:$C,'YEP Summaries'!O$3)</f>
        <v>141602</v>
      </c>
      <c r="P25" s="135">
        <f>SUMIFS('YTD Personnel'!$G:$G,'YTD Personnel'!$B:$B,'YEP Summaries'!$A25,'YTD Personnel'!$C:$C,'YEP Summaries'!P$3)</f>
        <v>8688</v>
      </c>
      <c r="Q25" s="135">
        <f>SUMIFS('YTD Personnel'!$G:$G,'YTD Personnel'!$B:$B,'YEP Summaries'!$A25,'YTD Personnel'!$C:$C,'YEP Summaries'!Q$3)</f>
        <v>94762</v>
      </c>
      <c r="R25" s="135">
        <f t="shared" si="0"/>
        <v>860714</v>
      </c>
    </row>
    <row r="26" spans="1:18">
      <c r="A26" s="130" t="s">
        <v>776</v>
      </c>
      <c r="C26" s="135">
        <f>SUMIFS('YTD Personnel'!$G:$G,'YTD Personnel'!$B:$B,'YEP Summaries'!$A26,'YTD Personnel'!$C:$C,'YEP Summaries'!C$3)</f>
        <v>304846</v>
      </c>
      <c r="D26" s="135">
        <f>SUMIFS('YTD Personnel'!$G:$G,'YTD Personnel'!$B:$B,'YEP Summaries'!$A26,'YTD Personnel'!$C:$C,'YEP Summaries'!D$3)</f>
        <v>414741</v>
      </c>
      <c r="E26" s="135">
        <f>SUMIFS('YTD Personnel'!$G:$G,'YTD Personnel'!$B:$B,'YEP Summaries'!$A26,'YTD Personnel'!$C:$C,'YEP Summaries'!E$3)</f>
        <v>9000</v>
      </c>
      <c r="F26" s="135">
        <f>SUMIFS('YTD Personnel'!$G:$G,'YTD Personnel'!$B:$B,'YEP Summaries'!$A26,'YTD Personnel'!$C:$C,'YEP Summaries'!F$3)</f>
        <v>0</v>
      </c>
      <c r="G26" s="135">
        <f>SUMIFS('YTD Personnel'!$G:$G,'YTD Personnel'!$B:$B,'YEP Summaries'!$A26,'YTD Personnel'!$C:$C,'YEP Summaries'!G$3)</f>
        <v>4899</v>
      </c>
      <c r="H26" s="135">
        <f>SUMIFS('YTD Personnel'!$G:$G,'YTD Personnel'!$B:$B,'YEP Summaries'!$A26,'YTD Personnel'!$C:$C,'YEP Summaries'!H$3)</f>
        <v>0</v>
      </c>
      <c r="I26" s="135">
        <f>SUMIFS('YTD Personnel'!$G:$G,'YTD Personnel'!$B:$B,'YEP Summaries'!$A26,'YTD Personnel'!$C:$C,'YEP Summaries'!I$3)</f>
        <v>0</v>
      </c>
      <c r="J26" s="135">
        <f>SUMIFS('YTD Personnel'!$G:$G,'YTD Personnel'!$B:$B,'YEP Summaries'!$A26,'YTD Personnel'!$C:$C,'YEP Summaries'!J$3)</f>
        <v>0</v>
      </c>
      <c r="K26" s="135">
        <f>SUMIFS('YTD Personnel'!$G:$G,'YTD Personnel'!$B:$B,'YEP Summaries'!$A26,'YTD Personnel'!$C:$C,'YEP Summaries'!K$3)</f>
        <v>4800</v>
      </c>
      <c r="L26" s="135">
        <f>SUMIFS('YTD Personnel'!$G:$G,'YTD Personnel'!$B:$B,'YEP Summaries'!$A26,'YTD Personnel'!$C:$C,'YEP Summaries'!L$3)</f>
        <v>0</v>
      </c>
      <c r="M26" s="135">
        <f>SUMIFS('YTD Personnel'!$G:$G,'YTD Personnel'!$B:$B,'YEP Summaries'!$A26,'YTD Personnel'!$C:$C,'YEP Summaries'!M$3)</f>
        <v>0</v>
      </c>
      <c r="N26" s="135">
        <f>SUMIFS('YTD Personnel'!$G:$G,'YTD Personnel'!$B:$B,'YEP Summaries'!$A26,'YTD Personnel'!$C:$C,'YEP Summaries'!N$3)</f>
        <v>53070</v>
      </c>
      <c r="O26" s="135">
        <f>SUMIFS('YTD Personnel'!$G:$G,'YTD Personnel'!$B:$B,'YEP Summaries'!$A26,'YTD Personnel'!$C:$C,'YEP Summaries'!O$3)</f>
        <v>57581</v>
      </c>
      <c r="P26" s="135">
        <f>SUMIFS('YTD Personnel'!$G:$G,'YTD Personnel'!$B:$B,'YEP Summaries'!$A26,'YTD Personnel'!$C:$C,'YEP Summaries'!P$3)</f>
        <v>11937</v>
      </c>
      <c r="Q26" s="135">
        <f>SUMIFS('YTD Personnel'!$G:$G,'YTD Personnel'!$B:$B,'YEP Summaries'!$A26,'YTD Personnel'!$C:$C,'YEP Summaries'!Q$3)</f>
        <v>122959</v>
      </c>
      <c r="R26" s="135">
        <f t="shared" si="0"/>
        <v>983833</v>
      </c>
    </row>
    <row r="27" spans="1:18">
      <c r="A27" s="130" t="s">
        <v>777</v>
      </c>
      <c r="C27" s="135">
        <f>SUMIFS('YTD Personnel'!$G:$G,'YTD Personnel'!$B:$B,'YEP Summaries'!$A27,'YTD Personnel'!$C:$C,'YEP Summaries'!C$3)</f>
        <v>0</v>
      </c>
      <c r="D27" s="135">
        <f>SUMIFS('YTD Personnel'!$G:$G,'YTD Personnel'!$B:$B,'YEP Summaries'!$A27,'YTD Personnel'!$C:$C,'YEP Summaries'!D$3)</f>
        <v>4706591</v>
      </c>
      <c r="E27" s="135">
        <f>SUMIFS('YTD Personnel'!$G:$G,'YTD Personnel'!$B:$B,'YEP Summaries'!$A27,'YTD Personnel'!$C:$C,'YEP Summaries'!E$3)</f>
        <v>595020</v>
      </c>
      <c r="F27" s="135">
        <f>SUMIFS('YTD Personnel'!$G:$G,'YTD Personnel'!$B:$B,'YEP Summaries'!$A27,'YTD Personnel'!$C:$C,'YEP Summaries'!F$3)</f>
        <v>0</v>
      </c>
      <c r="G27" s="135">
        <f>SUMIFS('YTD Personnel'!$G:$G,'YTD Personnel'!$B:$B,'YEP Summaries'!$A27,'YTD Personnel'!$C:$C,'YEP Summaries'!G$3)</f>
        <v>33647</v>
      </c>
      <c r="H27" s="135">
        <f>SUMIFS('YTD Personnel'!$G:$G,'YTD Personnel'!$B:$B,'YEP Summaries'!$A27,'YTD Personnel'!$C:$C,'YEP Summaries'!H$3)</f>
        <v>0</v>
      </c>
      <c r="I27" s="135">
        <f>SUMIFS('YTD Personnel'!$G:$G,'YTD Personnel'!$B:$B,'YEP Summaries'!$A27,'YTD Personnel'!$C:$C,'YEP Summaries'!I$3)</f>
        <v>0</v>
      </c>
      <c r="J27" s="135">
        <f>SUMIFS('YTD Personnel'!$G:$G,'YTD Personnel'!$B:$B,'YEP Summaries'!$A27,'YTD Personnel'!$C:$C,'YEP Summaries'!J$3)</f>
        <v>0</v>
      </c>
      <c r="K27" s="135">
        <f>SUMIFS('YTD Personnel'!$G:$G,'YTD Personnel'!$B:$B,'YEP Summaries'!$A27,'YTD Personnel'!$C:$C,'YEP Summaries'!K$3)</f>
        <v>32700</v>
      </c>
      <c r="L27" s="135">
        <f>SUMIFS('YTD Personnel'!$G:$G,'YTD Personnel'!$B:$B,'YEP Summaries'!$A27,'YTD Personnel'!$C:$C,'YEP Summaries'!L$3)</f>
        <v>0</v>
      </c>
      <c r="M27" s="135">
        <f>SUMIFS('YTD Personnel'!$G:$G,'YTD Personnel'!$B:$B,'YEP Summaries'!$A27,'YTD Personnel'!$C:$C,'YEP Summaries'!M$3)</f>
        <v>0</v>
      </c>
      <c r="N27" s="135">
        <f>SUMIFS('YTD Personnel'!$G:$G,'YTD Personnel'!$B:$B,'YEP Summaries'!$A27,'YTD Personnel'!$C:$C,'YEP Summaries'!N$3)</f>
        <v>373810</v>
      </c>
      <c r="O27" s="135">
        <f>SUMIFS('YTD Personnel'!$G:$G,'YTD Personnel'!$B:$B,'YEP Summaries'!$A27,'YTD Personnel'!$C:$C,'YEP Summaries'!O$3)</f>
        <v>784832</v>
      </c>
      <c r="P27" s="135">
        <f>SUMIFS('YTD Personnel'!$G:$G,'YTD Personnel'!$B:$B,'YEP Summaries'!$A27,'YTD Personnel'!$C:$C,'YEP Summaries'!P$3)</f>
        <v>91097</v>
      </c>
      <c r="Q27" s="135">
        <f>SUMIFS('YTD Personnel'!$G:$G,'YTD Personnel'!$B:$B,'YEP Summaries'!$A27,'YTD Personnel'!$C:$C,'YEP Summaries'!Q$3)</f>
        <v>888218</v>
      </c>
      <c r="R27" s="135">
        <f t="shared" si="0"/>
        <v>7505915</v>
      </c>
    </row>
    <row r="28" spans="1:18">
      <c r="A28" s="130" t="s">
        <v>778</v>
      </c>
      <c r="C28" s="135">
        <f>SUMIFS('YTD Personnel'!$G:$G,'YTD Personnel'!$B:$B,'YEP Summaries'!$A28,'YTD Personnel'!$C:$C,'YEP Summaries'!C$3)</f>
        <v>296089</v>
      </c>
      <c r="D28" s="135">
        <f>SUMIFS('YTD Personnel'!$G:$G,'YTD Personnel'!$B:$B,'YEP Summaries'!$A28,'YTD Personnel'!$C:$C,'YEP Summaries'!D$3)</f>
        <v>39806</v>
      </c>
      <c r="E28" s="135">
        <f>SUMIFS('YTD Personnel'!$G:$G,'YTD Personnel'!$B:$B,'YEP Summaries'!$A28,'YTD Personnel'!$C:$C,'YEP Summaries'!E$3)</f>
        <v>600</v>
      </c>
      <c r="F28" s="135">
        <f>SUMIFS('YTD Personnel'!$G:$G,'YTD Personnel'!$B:$B,'YEP Summaries'!$A28,'YTD Personnel'!$C:$C,'YEP Summaries'!F$3)</f>
        <v>0</v>
      </c>
      <c r="G28" s="135">
        <f>SUMIFS('YTD Personnel'!$G:$G,'YTD Personnel'!$B:$B,'YEP Summaries'!$A28,'YTD Personnel'!$C:$C,'YEP Summaries'!G$3)</f>
        <v>1281</v>
      </c>
      <c r="H28" s="135">
        <f>SUMIFS('YTD Personnel'!$G:$G,'YTD Personnel'!$B:$B,'YEP Summaries'!$A28,'YTD Personnel'!$C:$C,'YEP Summaries'!H$3)</f>
        <v>0</v>
      </c>
      <c r="I28" s="135">
        <f>SUMIFS('YTD Personnel'!$G:$G,'YTD Personnel'!$B:$B,'YEP Summaries'!$A28,'YTD Personnel'!$C:$C,'YEP Summaries'!I$3)</f>
        <v>0</v>
      </c>
      <c r="J28" s="135">
        <f>SUMIFS('YTD Personnel'!$G:$G,'YTD Personnel'!$B:$B,'YEP Summaries'!$A28,'YTD Personnel'!$C:$C,'YEP Summaries'!J$3)</f>
        <v>0</v>
      </c>
      <c r="K28" s="135">
        <f>SUMIFS('YTD Personnel'!$G:$G,'YTD Personnel'!$B:$B,'YEP Summaries'!$A28,'YTD Personnel'!$C:$C,'YEP Summaries'!K$3)</f>
        <v>0</v>
      </c>
      <c r="L28" s="135">
        <f>SUMIFS('YTD Personnel'!$G:$G,'YTD Personnel'!$B:$B,'YEP Summaries'!$A28,'YTD Personnel'!$C:$C,'YEP Summaries'!L$3)</f>
        <v>4800</v>
      </c>
      <c r="M28" s="135">
        <f>SUMIFS('YTD Personnel'!$G:$G,'YTD Personnel'!$B:$B,'YEP Summaries'!$A28,'YTD Personnel'!$C:$C,'YEP Summaries'!M$3)</f>
        <v>0</v>
      </c>
      <c r="N28" s="135">
        <f>SUMIFS('YTD Personnel'!$G:$G,'YTD Personnel'!$B:$B,'YEP Summaries'!$A28,'YTD Personnel'!$C:$C,'YEP Summaries'!N$3)</f>
        <v>23470</v>
      </c>
      <c r="O28" s="135">
        <f>SUMIFS('YTD Personnel'!$G:$G,'YTD Personnel'!$B:$B,'YEP Summaries'!$A28,'YTD Personnel'!$C:$C,'YEP Summaries'!O$3)</f>
        <v>45459</v>
      </c>
      <c r="P28" s="135">
        <f>SUMIFS('YTD Personnel'!$G:$G,'YTD Personnel'!$B:$B,'YEP Summaries'!$A28,'YTD Personnel'!$C:$C,'YEP Summaries'!P$3)</f>
        <v>494</v>
      </c>
      <c r="Q28" s="135">
        <f>SUMIFS('YTD Personnel'!$G:$G,'YTD Personnel'!$B:$B,'YEP Summaries'!$A28,'YTD Personnel'!$C:$C,'YEP Summaries'!Q$3)</f>
        <v>57208</v>
      </c>
      <c r="R28" s="135">
        <f t="shared" si="0"/>
        <v>469207</v>
      </c>
    </row>
    <row r="29" spans="1:18">
      <c r="A29" s="130" t="s">
        <v>779</v>
      </c>
      <c r="C29" s="135">
        <f>SUMIFS('YTD Personnel'!$G:$G,'YTD Personnel'!$B:$B,'YEP Summaries'!$A29,'YTD Personnel'!$C:$C,'YEP Summaries'!C$3)</f>
        <v>275540</v>
      </c>
      <c r="D29" s="135">
        <f>SUMIFS('YTD Personnel'!$G:$G,'YTD Personnel'!$B:$B,'YEP Summaries'!$A29,'YTD Personnel'!$C:$C,'YEP Summaries'!D$3)</f>
        <v>120433</v>
      </c>
      <c r="E29" s="135">
        <f>SUMIFS('YTD Personnel'!$G:$G,'YTD Personnel'!$B:$B,'YEP Summaries'!$A29,'YTD Personnel'!$C:$C,'YEP Summaries'!E$3)</f>
        <v>16000</v>
      </c>
      <c r="F29" s="135">
        <f>SUMIFS('YTD Personnel'!$G:$G,'YTD Personnel'!$B:$B,'YEP Summaries'!$A29,'YTD Personnel'!$C:$C,'YEP Summaries'!F$3)</f>
        <v>0</v>
      </c>
      <c r="G29" s="135">
        <f>SUMIFS('YTD Personnel'!$G:$G,'YTD Personnel'!$B:$B,'YEP Summaries'!$A29,'YTD Personnel'!$C:$C,'YEP Summaries'!G$3)</f>
        <v>2469</v>
      </c>
      <c r="H29" s="135">
        <f>SUMIFS('YTD Personnel'!$G:$G,'YTD Personnel'!$B:$B,'YEP Summaries'!$A29,'YTD Personnel'!$C:$C,'YEP Summaries'!H$3)</f>
        <v>0</v>
      </c>
      <c r="I29" s="135">
        <f>SUMIFS('YTD Personnel'!$G:$G,'YTD Personnel'!$B:$B,'YEP Summaries'!$A29,'YTD Personnel'!$C:$C,'YEP Summaries'!I$3)</f>
        <v>0</v>
      </c>
      <c r="J29" s="135">
        <f>SUMIFS('YTD Personnel'!$G:$G,'YTD Personnel'!$B:$B,'YEP Summaries'!$A29,'YTD Personnel'!$C:$C,'YEP Summaries'!J$3)</f>
        <v>0</v>
      </c>
      <c r="K29" s="135">
        <f>SUMIFS('YTD Personnel'!$G:$G,'YTD Personnel'!$B:$B,'YEP Summaries'!$A29,'YTD Personnel'!$C:$C,'YEP Summaries'!K$3)</f>
        <v>0</v>
      </c>
      <c r="L29" s="135">
        <f>SUMIFS('YTD Personnel'!$G:$G,'YTD Personnel'!$B:$B,'YEP Summaries'!$A29,'YTD Personnel'!$C:$C,'YEP Summaries'!L$3)</f>
        <v>4200</v>
      </c>
      <c r="M29" s="135">
        <f>SUMIFS('YTD Personnel'!$G:$G,'YTD Personnel'!$B:$B,'YEP Summaries'!$A29,'YTD Personnel'!$C:$C,'YEP Summaries'!M$3)</f>
        <v>0</v>
      </c>
      <c r="N29" s="135">
        <f>SUMIFS('YTD Personnel'!$G:$G,'YTD Personnel'!$B:$B,'YEP Summaries'!$A29,'YTD Personnel'!$C:$C,'YEP Summaries'!N$3)</f>
        <v>31380</v>
      </c>
      <c r="O29" s="135">
        <f>SUMIFS('YTD Personnel'!$G:$G,'YTD Personnel'!$B:$B,'YEP Summaries'!$A29,'YTD Personnel'!$C:$C,'YEP Summaries'!O$3)</f>
        <v>64125</v>
      </c>
      <c r="P29" s="135">
        <f>SUMIFS('YTD Personnel'!$G:$G,'YTD Personnel'!$B:$B,'YEP Summaries'!$A29,'YTD Personnel'!$C:$C,'YEP Summaries'!P$3)</f>
        <v>1087</v>
      </c>
      <c r="Q29" s="135">
        <f>SUMIFS('YTD Personnel'!$G:$G,'YTD Personnel'!$B:$B,'YEP Summaries'!$A29,'YTD Personnel'!$C:$C,'YEP Summaries'!Q$3)</f>
        <v>69757</v>
      </c>
      <c r="R29" s="135">
        <f t="shared" si="0"/>
        <v>584991</v>
      </c>
    </row>
    <row r="30" spans="1:18">
      <c r="A30" s="130" t="s">
        <v>780</v>
      </c>
      <c r="C30" s="135">
        <f>SUMIFS('YTD Personnel'!$G:$G,'YTD Personnel'!$B:$B,'YEP Summaries'!$A30,'YTD Personnel'!$C:$C,'YEP Summaries'!C$3)</f>
        <v>52801</v>
      </c>
      <c r="D30" s="135">
        <f>SUMIFS('YTD Personnel'!$G:$G,'YTD Personnel'!$B:$B,'YEP Summaries'!$A30,'YTD Personnel'!$C:$C,'YEP Summaries'!D$3)</f>
        <v>345820</v>
      </c>
      <c r="E30" s="135">
        <f>SUMIFS('YTD Personnel'!$G:$G,'YTD Personnel'!$B:$B,'YEP Summaries'!$A30,'YTD Personnel'!$C:$C,'YEP Summaries'!E$3)</f>
        <v>31051</v>
      </c>
      <c r="F30" s="135">
        <f>SUMIFS('YTD Personnel'!$G:$G,'YTD Personnel'!$B:$B,'YEP Summaries'!$A30,'YTD Personnel'!$C:$C,'YEP Summaries'!F$3)</f>
        <v>0</v>
      </c>
      <c r="G30" s="135">
        <f>SUMIFS('YTD Personnel'!$G:$G,'YTD Personnel'!$B:$B,'YEP Summaries'!$A30,'YTD Personnel'!$C:$C,'YEP Summaries'!G$3)</f>
        <v>960</v>
      </c>
      <c r="H30" s="135">
        <f>SUMIFS('YTD Personnel'!$G:$G,'YTD Personnel'!$B:$B,'YEP Summaries'!$A30,'YTD Personnel'!$C:$C,'YEP Summaries'!H$3)</f>
        <v>0</v>
      </c>
      <c r="I30" s="135">
        <f>SUMIFS('YTD Personnel'!$G:$G,'YTD Personnel'!$B:$B,'YEP Summaries'!$A30,'YTD Personnel'!$C:$C,'YEP Summaries'!I$3)</f>
        <v>0</v>
      </c>
      <c r="J30" s="135">
        <f>SUMIFS('YTD Personnel'!$G:$G,'YTD Personnel'!$B:$B,'YEP Summaries'!$A30,'YTD Personnel'!$C:$C,'YEP Summaries'!J$3)</f>
        <v>0</v>
      </c>
      <c r="K30" s="135">
        <f>SUMIFS('YTD Personnel'!$G:$G,'YTD Personnel'!$B:$B,'YEP Summaries'!$A30,'YTD Personnel'!$C:$C,'YEP Summaries'!K$3)</f>
        <v>0</v>
      </c>
      <c r="L30" s="135">
        <f>SUMIFS('YTD Personnel'!$G:$G,'YTD Personnel'!$B:$B,'YEP Summaries'!$A30,'YTD Personnel'!$C:$C,'YEP Summaries'!L$3)</f>
        <v>0</v>
      </c>
      <c r="M30" s="135">
        <f>SUMIFS('YTD Personnel'!$G:$G,'YTD Personnel'!$B:$B,'YEP Summaries'!$A30,'YTD Personnel'!$C:$C,'YEP Summaries'!M$3)</f>
        <v>0</v>
      </c>
      <c r="N30" s="135">
        <f>SUMIFS('YTD Personnel'!$G:$G,'YTD Personnel'!$B:$B,'YEP Summaries'!$A30,'YTD Personnel'!$C:$C,'YEP Summaries'!N$3)</f>
        <v>32980</v>
      </c>
      <c r="O30" s="135">
        <f>SUMIFS('YTD Personnel'!$G:$G,'YTD Personnel'!$B:$B,'YEP Summaries'!$A30,'YTD Personnel'!$C:$C,'YEP Summaries'!O$3)</f>
        <v>133793</v>
      </c>
      <c r="P30" s="135">
        <f>SUMIFS('YTD Personnel'!$G:$G,'YTD Personnel'!$B:$B,'YEP Summaries'!$A30,'YTD Personnel'!$C:$C,'YEP Summaries'!P$3)</f>
        <v>11439</v>
      </c>
      <c r="Q30" s="135">
        <f>SUMIFS('YTD Personnel'!$G:$G,'YTD Personnel'!$B:$B,'YEP Summaries'!$A30,'YTD Personnel'!$C:$C,'YEP Summaries'!Q$3)</f>
        <v>71226</v>
      </c>
      <c r="R30" s="135">
        <f t="shared" si="0"/>
        <v>680070</v>
      </c>
    </row>
    <row r="31" spans="1:18">
      <c r="A31" s="130" t="s">
        <v>781</v>
      </c>
      <c r="C31" s="135">
        <f>SUMIFS('YTD Personnel'!$G:$G,'YTD Personnel'!$B:$B,'YEP Summaries'!$A31,'YTD Personnel'!$C:$C,'YEP Summaries'!C$3)</f>
        <v>379921</v>
      </c>
      <c r="D31" s="135">
        <f>SUMIFS('YTD Personnel'!$G:$G,'YTD Personnel'!$B:$B,'YEP Summaries'!$A31,'YTD Personnel'!$C:$C,'YEP Summaries'!D$3)</f>
        <v>309030</v>
      </c>
      <c r="E31" s="135">
        <f>SUMIFS('YTD Personnel'!$G:$G,'YTD Personnel'!$B:$B,'YEP Summaries'!$A31,'YTD Personnel'!$C:$C,'YEP Summaries'!E$3)</f>
        <v>250</v>
      </c>
      <c r="F31" s="135">
        <f>SUMIFS('YTD Personnel'!$G:$G,'YTD Personnel'!$B:$B,'YEP Summaries'!$A31,'YTD Personnel'!$C:$C,'YEP Summaries'!F$3)</f>
        <v>0</v>
      </c>
      <c r="G31" s="135">
        <f>SUMIFS('YTD Personnel'!$G:$G,'YTD Personnel'!$B:$B,'YEP Summaries'!$A31,'YTD Personnel'!$C:$C,'YEP Summaries'!G$3)</f>
        <v>5518</v>
      </c>
      <c r="H31" s="135">
        <f>SUMIFS('YTD Personnel'!$G:$G,'YTD Personnel'!$B:$B,'YEP Summaries'!$A31,'YTD Personnel'!$C:$C,'YEP Summaries'!H$3)</f>
        <v>0</v>
      </c>
      <c r="I31" s="135">
        <f>SUMIFS('YTD Personnel'!$G:$G,'YTD Personnel'!$B:$B,'YEP Summaries'!$A31,'YTD Personnel'!$C:$C,'YEP Summaries'!I$3)</f>
        <v>0</v>
      </c>
      <c r="J31" s="135">
        <f>SUMIFS('YTD Personnel'!$G:$G,'YTD Personnel'!$B:$B,'YEP Summaries'!$A31,'YTD Personnel'!$C:$C,'YEP Summaries'!J$3)</f>
        <v>0</v>
      </c>
      <c r="K31" s="135">
        <f>SUMIFS('YTD Personnel'!$G:$G,'YTD Personnel'!$B:$B,'YEP Summaries'!$A31,'YTD Personnel'!$C:$C,'YEP Summaries'!K$3)</f>
        <v>0</v>
      </c>
      <c r="L31" s="135">
        <f>SUMIFS('YTD Personnel'!$G:$G,'YTD Personnel'!$B:$B,'YEP Summaries'!$A31,'YTD Personnel'!$C:$C,'YEP Summaries'!L$3)</f>
        <v>0</v>
      </c>
      <c r="M31" s="135">
        <f>SUMIFS('YTD Personnel'!$G:$G,'YTD Personnel'!$B:$B,'YEP Summaries'!$A31,'YTD Personnel'!$C:$C,'YEP Summaries'!M$3)</f>
        <v>0</v>
      </c>
      <c r="N31" s="135">
        <f>SUMIFS('YTD Personnel'!$G:$G,'YTD Personnel'!$B:$B,'YEP Summaries'!$A31,'YTD Personnel'!$C:$C,'YEP Summaries'!N$3)</f>
        <v>63640</v>
      </c>
      <c r="O31" s="135">
        <f>SUMIFS('YTD Personnel'!$G:$G,'YTD Personnel'!$B:$B,'YEP Summaries'!$A31,'YTD Personnel'!$C:$C,'YEP Summaries'!O$3)</f>
        <v>118648</v>
      </c>
      <c r="P31" s="135">
        <f>SUMIFS('YTD Personnel'!$G:$G,'YTD Personnel'!$B:$B,'YEP Summaries'!$A31,'YTD Personnel'!$C:$C,'YEP Summaries'!P$3)</f>
        <v>1561</v>
      </c>
      <c r="Q31" s="135">
        <f>SUMIFS('YTD Personnel'!$G:$G,'YTD Personnel'!$B:$B,'YEP Summaries'!$A31,'YTD Personnel'!$C:$C,'YEP Summaries'!Q$3)</f>
        <v>115281</v>
      </c>
      <c r="R31" s="135">
        <f t="shared" si="0"/>
        <v>993849</v>
      </c>
    </row>
    <row r="32" spans="1:18">
      <c r="A32" s="130" t="s">
        <v>782</v>
      </c>
      <c r="C32" s="135">
        <f>SUMIFS('YTD Personnel'!$G:$G,'YTD Personnel'!$B:$B,'YEP Summaries'!$A32,'YTD Personnel'!$C:$C,'YEP Summaries'!C$3)</f>
        <v>140380</v>
      </c>
      <c r="D32" s="135">
        <f>SUMIFS('YTD Personnel'!$G:$G,'YTD Personnel'!$B:$B,'YEP Summaries'!$A32,'YTD Personnel'!$C:$C,'YEP Summaries'!D$3)</f>
        <v>79694</v>
      </c>
      <c r="E32" s="135">
        <f>SUMIFS('YTD Personnel'!$G:$G,'YTD Personnel'!$B:$B,'YEP Summaries'!$A32,'YTD Personnel'!$C:$C,'YEP Summaries'!E$3)</f>
        <v>500</v>
      </c>
      <c r="F32" s="135">
        <f>SUMIFS('YTD Personnel'!$G:$G,'YTD Personnel'!$B:$B,'YEP Summaries'!$A32,'YTD Personnel'!$C:$C,'YEP Summaries'!F$3)</f>
        <v>0</v>
      </c>
      <c r="G32" s="135">
        <f>SUMIFS('YTD Personnel'!$G:$G,'YTD Personnel'!$B:$B,'YEP Summaries'!$A32,'YTD Personnel'!$C:$C,'YEP Summaries'!G$3)</f>
        <v>651</v>
      </c>
      <c r="H32" s="135">
        <f>SUMIFS('YTD Personnel'!$G:$G,'YTD Personnel'!$B:$B,'YEP Summaries'!$A32,'YTD Personnel'!$C:$C,'YEP Summaries'!H$3)</f>
        <v>0</v>
      </c>
      <c r="I32" s="135">
        <f>SUMIFS('YTD Personnel'!$G:$G,'YTD Personnel'!$B:$B,'YEP Summaries'!$A32,'YTD Personnel'!$C:$C,'YEP Summaries'!I$3)</f>
        <v>0</v>
      </c>
      <c r="J32" s="135">
        <f>SUMIFS('YTD Personnel'!$G:$G,'YTD Personnel'!$B:$B,'YEP Summaries'!$A32,'YTD Personnel'!$C:$C,'YEP Summaries'!J$3)</f>
        <v>0</v>
      </c>
      <c r="K32" s="135">
        <f>SUMIFS('YTD Personnel'!$G:$G,'YTD Personnel'!$B:$B,'YEP Summaries'!$A32,'YTD Personnel'!$C:$C,'YEP Summaries'!K$3)</f>
        <v>0</v>
      </c>
      <c r="L32" s="135">
        <f>SUMIFS('YTD Personnel'!$G:$G,'YTD Personnel'!$B:$B,'YEP Summaries'!$A32,'YTD Personnel'!$C:$C,'YEP Summaries'!L$3)</f>
        <v>0</v>
      </c>
      <c r="M32" s="135">
        <f>SUMIFS('YTD Personnel'!$G:$G,'YTD Personnel'!$B:$B,'YEP Summaries'!$A32,'YTD Personnel'!$C:$C,'YEP Summaries'!M$3)</f>
        <v>0</v>
      </c>
      <c r="N32" s="135">
        <f>SUMIFS('YTD Personnel'!$G:$G,'YTD Personnel'!$B:$B,'YEP Summaries'!$A32,'YTD Personnel'!$C:$C,'YEP Summaries'!N$3)</f>
        <v>16240</v>
      </c>
      <c r="O32" s="135">
        <f>SUMIFS('YTD Personnel'!$G:$G,'YTD Personnel'!$B:$B,'YEP Summaries'!$A32,'YTD Personnel'!$C:$C,'YEP Summaries'!O$3)</f>
        <v>21963</v>
      </c>
      <c r="P32" s="135">
        <f>SUMIFS('YTD Personnel'!$G:$G,'YTD Personnel'!$B:$B,'YEP Summaries'!$A32,'YTD Personnel'!$C:$C,'YEP Summaries'!P$3)</f>
        <v>318</v>
      </c>
      <c r="Q32" s="135">
        <f>SUMIFS('YTD Personnel'!$G:$G,'YTD Personnel'!$B:$B,'YEP Summaries'!$A32,'YTD Personnel'!$C:$C,'YEP Summaries'!Q$3)</f>
        <v>36762</v>
      </c>
      <c r="R32" s="135">
        <f t="shared" si="0"/>
        <v>296508</v>
      </c>
    </row>
    <row r="33" spans="1:20">
      <c r="A33" s="130" t="s">
        <v>783</v>
      </c>
      <c r="C33" s="135">
        <f>SUMIFS('YTD Personnel'!$G:$G,'YTD Personnel'!$B:$B,'YEP Summaries'!$A33,'YTD Personnel'!$C:$C,'YEP Summaries'!C$3)</f>
        <v>0</v>
      </c>
      <c r="D33" s="135">
        <f>SUMIFS('YTD Personnel'!$G:$G,'YTD Personnel'!$B:$B,'YEP Summaries'!$A33,'YTD Personnel'!$C:$C,'YEP Summaries'!D$3)</f>
        <v>407955</v>
      </c>
      <c r="E33" s="135">
        <f>SUMIFS('YTD Personnel'!$G:$G,'YTD Personnel'!$B:$B,'YEP Summaries'!$A33,'YTD Personnel'!$C:$C,'YEP Summaries'!E$3)</f>
        <v>19000</v>
      </c>
      <c r="F33" s="135">
        <f>SUMIFS('YTD Personnel'!$G:$G,'YTD Personnel'!$B:$B,'YEP Summaries'!$A33,'YTD Personnel'!$C:$C,'YEP Summaries'!F$3)</f>
        <v>0</v>
      </c>
      <c r="G33" s="135">
        <f>SUMIFS('YTD Personnel'!$G:$G,'YTD Personnel'!$B:$B,'YEP Summaries'!$A33,'YTD Personnel'!$C:$C,'YEP Summaries'!G$3)</f>
        <v>6432</v>
      </c>
      <c r="H33" s="135">
        <f>SUMIFS('YTD Personnel'!$G:$G,'YTD Personnel'!$B:$B,'YEP Summaries'!$A33,'YTD Personnel'!$C:$C,'YEP Summaries'!H$3)</f>
        <v>0</v>
      </c>
      <c r="I33" s="135">
        <f>SUMIFS('YTD Personnel'!$G:$G,'YTD Personnel'!$B:$B,'YEP Summaries'!$A33,'YTD Personnel'!$C:$C,'YEP Summaries'!I$3)</f>
        <v>0</v>
      </c>
      <c r="J33" s="135">
        <f>SUMIFS('YTD Personnel'!$G:$G,'YTD Personnel'!$B:$B,'YEP Summaries'!$A33,'YTD Personnel'!$C:$C,'YEP Summaries'!J$3)</f>
        <v>0</v>
      </c>
      <c r="K33" s="135">
        <f>SUMIFS('YTD Personnel'!$G:$G,'YTD Personnel'!$B:$B,'YEP Summaries'!$A33,'YTD Personnel'!$C:$C,'YEP Summaries'!K$3)</f>
        <v>0</v>
      </c>
      <c r="L33" s="135">
        <f>SUMIFS('YTD Personnel'!$G:$G,'YTD Personnel'!$B:$B,'YEP Summaries'!$A33,'YTD Personnel'!$C:$C,'YEP Summaries'!L$3)</f>
        <v>0</v>
      </c>
      <c r="M33" s="135">
        <f>SUMIFS('YTD Personnel'!$G:$G,'YTD Personnel'!$B:$B,'YEP Summaries'!$A33,'YTD Personnel'!$C:$C,'YEP Summaries'!M$3)</f>
        <v>0</v>
      </c>
      <c r="N33" s="135">
        <f>SUMIFS('YTD Personnel'!$G:$G,'YTD Personnel'!$B:$B,'YEP Summaries'!$A33,'YTD Personnel'!$C:$C,'YEP Summaries'!N$3)</f>
        <v>33395</v>
      </c>
      <c r="O33" s="135">
        <f>SUMIFS('YTD Personnel'!$G:$G,'YTD Personnel'!$B:$B,'YEP Summaries'!$A33,'YTD Personnel'!$C:$C,'YEP Summaries'!O$3)</f>
        <v>80706</v>
      </c>
      <c r="P33" s="135">
        <f>SUMIFS('YTD Personnel'!$G:$G,'YTD Personnel'!$B:$B,'YEP Summaries'!$A33,'YTD Personnel'!$C:$C,'YEP Summaries'!P$3)</f>
        <v>5467</v>
      </c>
      <c r="Q33" s="135">
        <f>SUMIFS('YTD Personnel'!$G:$G,'YTD Personnel'!$B:$B,'YEP Summaries'!$A33,'YTD Personnel'!$C:$C,'YEP Summaries'!Q$3)</f>
        <v>72057</v>
      </c>
      <c r="R33" s="135">
        <f t="shared" si="0"/>
        <v>625012</v>
      </c>
    </row>
    <row r="34" spans="1:20">
      <c r="A34" s="130" t="s">
        <v>784</v>
      </c>
      <c r="C34" s="135">
        <f>SUMIFS('YTD Personnel'!$G:$G,'YTD Personnel'!$B:$B,'YEP Summaries'!$A34,'YTD Personnel'!$C:$C,'YEP Summaries'!C$3)</f>
        <v>63889</v>
      </c>
      <c r="D34" s="135">
        <f>SUMIFS('YTD Personnel'!$G:$G,'YTD Personnel'!$B:$B,'YEP Summaries'!$A34,'YTD Personnel'!$C:$C,'YEP Summaries'!D$3)</f>
        <v>0</v>
      </c>
      <c r="E34" s="135">
        <f>SUMIFS('YTD Personnel'!$G:$G,'YTD Personnel'!$B:$B,'YEP Summaries'!$A34,'YTD Personnel'!$C:$C,'YEP Summaries'!E$3)</f>
        <v>0</v>
      </c>
      <c r="F34" s="135">
        <f>SUMIFS('YTD Personnel'!$G:$G,'YTD Personnel'!$B:$B,'YEP Summaries'!$A34,'YTD Personnel'!$C:$C,'YEP Summaries'!F$3)</f>
        <v>0</v>
      </c>
      <c r="G34" s="135">
        <f>SUMIFS('YTD Personnel'!$G:$G,'YTD Personnel'!$B:$B,'YEP Summaries'!$A34,'YTD Personnel'!$C:$C,'YEP Summaries'!G$3)</f>
        <v>504</v>
      </c>
      <c r="H34" s="135">
        <f>SUMIFS('YTD Personnel'!$G:$G,'YTD Personnel'!$B:$B,'YEP Summaries'!$A34,'YTD Personnel'!$C:$C,'YEP Summaries'!H$3)</f>
        <v>0</v>
      </c>
      <c r="I34" s="135">
        <f>SUMIFS('YTD Personnel'!$G:$G,'YTD Personnel'!$B:$B,'YEP Summaries'!$A34,'YTD Personnel'!$C:$C,'YEP Summaries'!I$3)</f>
        <v>0</v>
      </c>
      <c r="J34" s="135">
        <f>SUMIFS('YTD Personnel'!$G:$G,'YTD Personnel'!$B:$B,'YEP Summaries'!$A34,'YTD Personnel'!$C:$C,'YEP Summaries'!J$3)</f>
        <v>0</v>
      </c>
      <c r="K34" s="135">
        <f>SUMIFS('YTD Personnel'!$G:$G,'YTD Personnel'!$B:$B,'YEP Summaries'!$A34,'YTD Personnel'!$C:$C,'YEP Summaries'!K$3)</f>
        <v>0</v>
      </c>
      <c r="L34" s="135">
        <f>SUMIFS('YTD Personnel'!$G:$G,'YTD Personnel'!$B:$B,'YEP Summaries'!$A34,'YTD Personnel'!$C:$C,'YEP Summaries'!L$3)</f>
        <v>0</v>
      </c>
      <c r="M34" s="135">
        <f>SUMIFS('YTD Personnel'!$G:$G,'YTD Personnel'!$B:$B,'YEP Summaries'!$A34,'YTD Personnel'!$C:$C,'YEP Summaries'!M$3)</f>
        <v>0</v>
      </c>
      <c r="N34" s="135">
        <f>SUMIFS('YTD Personnel'!$G:$G,'YTD Personnel'!$B:$B,'YEP Summaries'!$A34,'YTD Personnel'!$C:$C,'YEP Summaries'!N$3)</f>
        <v>5010</v>
      </c>
      <c r="O34" s="135">
        <f>SUMIFS('YTD Personnel'!$G:$G,'YTD Personnel'!$B:$B,'YEP Summaries'!$A34,'YTD Personnel'!$C:$C,'YEP Summaries'!O$3)</f>
        <v>11077</v>
      </c>
      <c r="P34" s="135">
        <f>SUMIFS('YTD Personnel'!$G:$G,'YTD Personnel'!$B:$B,'YEP Summaries'!$A34,'YTD Personnel'!$C:$C,'YEP Summaries'!P$3)</f>
        <v>94</v>
      </c>
      <c r="Q34" s="135">
        <f>SUMIFS('YTD Personnel'!$G:$G,'YTD Personnel'!$B:$B,'YEP Summaries'!$A34,'YTD Personnel'!$C:$C,'YEP Summaries'!Q$3)</f>
        <v>10822</v>
      </c>
      <c r="R34" s="135">
        <f t="shared" si="0"/>
        <v>91396</v>
      </c>
    </row>
    <row r="35" spans="1:20">
      <c r="A35" s="130" t="s">
        <v>785</v>
      </c>
      <c r="C35" s="135">
        <f>SUMIFS('YTD Personnel'!$G:$G,'YTD Personnel'!$B:$B,'YEP Summaries'!$A35,'YTD Personnel'!$C:$C,'YEP Summaries'!C$3)</f>
        <v>130925</v>
      </c>
      <c r="D35" s="135">
        <f>SUMIFS('YTD Personnel'!$G:$G,'YTD Personnel'!$B:$B,'YEP Summaries'!$A35,'YTD Personnel'!$C:$C,'YEP Summaries'!D$3)</f>
        <v>75390</v>
      </c>
      <c r="E35" s="135">
        <f>SUMIFS('YTD Personnel'!$G:$G,'YTD Personnel'!$B:$B,'YEP Summaries'!$A35,'YTD Personnel'!$C:$C,'YEP Summaries'!E$3)</f>
        <v>500</v>
      </c>
      <c r="F35" s="135">
        <f>SUMIFS('YTD Personnel'!$G:$G,'YTD Personnel'!$B:$B,'YEP Summaries'!$A35,'YTD Personnel'!$C:$C,'YEP Summaries'!F$3)</f>
        <v>0</v>
      </c>
      <c r="G35" s="135">
        <f>SUMIFS('YTD Personnel'!$G:$G,'YTD Personnel'!$B:$B,'YEP Summaries'!$A35,'YTD Personnel'!$C:$C,'YEP Summaries'!G$3)</f>
        <v>1550</v>
      </c>
      <c r="H35" s="135">
        <f>SUMIFS('YTD Personnel'!$G:$G,'YTD Personnel'!$B:$B,'YEP Summaries'!$A35,'YTD Personnel'!$C:$C,'YEP Summaries'!H$3)</f>
        <v>0</v>
      </c>
      <c r="I35" s="135">
        <f>SUMIFS('YTD Personnel'!$G:$G,'YTD Personnel'!$B:$B,'YEP Summaries'!$A35,'YTD Personnel'!$C:$C,'YEP Summaries'!I$3)</f>
        <v>0</v>
      </c>
      <c r="J35" s="135">
        <f>SUMIFS('YTD Personnel'!$G:$G,'YTD Personnel'!$B:$B,'YEP Summaries'!$A35,'YTD Personnel'!$C:$C,'YEP Summaries'!J$3)</f>
        <v>0</v>
      </c>
      <c r="K35" s="135">
        <f>SUMIFS('YTD Personnel'!$G:$G,'YTD Personnel'!$B:$B,'YEP Summaries'!$A35,'YTD Personnel'!$C:$C,'YEP Summaries'!K$3)</f>
        <v>0</v>
      </c>
      <c r="L35" s="135">
        <f>SUMIFS('YTD Personnel'!$G:$G,'YTD Personnel'!$B:$B,'YEP Summaries'!$A35,'YTD Personnel'!$C:$C,'YEP Summaries'!L$3)</f>
        <v>0</v>
      </c>
      <c r="M35" s="135">
        <f>SUMIFS('YTD Personnel'!$G:$G,'YTD Personnel'!$B:$B,'YEP Summaries'!$A35,'YTD Personnel'!$C:$C,'YEP Summaries'!M$3)</f>
        <v>0</v>
      </c>
      <c r="N35" s="135">
        <f>SUMIFS('YTD Personnel'!$G:$G,'YTD Personnel'!$B:$B,'YEP Summaries'!$A35,'YTD Personnel'!$C:$C,'YEP Summaries'!N$3)</f>
        <v>18670</v>
      </c>
      <c r="O35" s="135">
        <f>SUMIFS('YTD Personnel'!$G:$G,'YTD Personnel'!$B:$B,'YEP Summaries'!$A35,'YTD Personnel'!$C:$C,'YEP Summaries'!O$3)</f>
        <v>59307</v>
      </c>
      <c r="P35" s="135">
        <f>SUMIFS('YTD Personnel'!$G:$G,'YTD Personnel'!$B:$B,'YEP Summaries'!$A35,'YTD Personnel'!$C:$C,'YEP Summaries'!P$3)</f>
        <v>354</v>
      </c>
      <c r="Q35" s="135">
        <f>SUMIFS('YTD Personnel'!$G:$G,'YTD Personnel'!$B:$B,'YEP Summaries'!$A35,'YTD Personnel'!$C:$C,'YEP Summaries'!Q$3)</f>
        <v>34737</v>
      </c>
      <c r="R35" s="135">
        <f t="shared" si="0"/>
        <v>321433</v>
      </c>
    </row>
    <row r="36" spans="1:20">
      <c r="A36" s="130" t="s">
        <v>786</v>
      </c>
      <c r="C36" s="135">
        <f>SUMIFS('YTD Personnel'!$G:$G,'YTD Personnel'!$B:$B,'YEP Summaries'!$A36,'YTD Personnel'!$C:$C,'YEP Summaries'!C$3)</f>
        <v>0</v>
      </c>
      <c r="D36" s="135">
        <f>SUMIFS('YTD Personnel'!$G:$G,'YTD Personnel'!$B:$B,'YEP Summaries'!$A36,'YTD Personnel'!$C:$C,'YEP Summaries'!D$3)</f>
        <v>201948</v>
      </c>
      <c r="E36" s="135">
        <f>SUMIFS('YTD Personnel'!$G:$G,'YTD Personnel'!$B:$B,'YEP Summaries'!$A36,'YTD Personnel'!$C:$C,'YEP Summaries'!E$3)</f>
        <v>5000</v>
      </c>
      <c r="F36" s="135">
        <f>SUMIFS('YTD Personnel'!$G:$G,'YTD Personnel'!$B:$B,'YEP Summaries'!$A36,'YTD Personnel'!$C:$C,'YEP Summaries'!F$3)</f>
        <v>0</v>
      </c>
      <c r="G36" s="135">
        <f>SUMIFS('YTD Personnel'!$G:$G,'YTD Personnel'!$B:$B,'YEP Summaries'!$A36,'YTD Personnel'!$C:$C,'YEP Summaries'!G$3)</f>
        <v>1722</v>
      </c>
      <c r="H36" s="135">
        <f>SUMIFS('YTD Personnel'!$G:$G,'YTD Personnel'!$B:$B,'YEP Summaries'!$A36,'YTD Personnel'!$C:$C,'YEP Summaries'!H$3)</f>
        <v>0</v>
      </c>
      <c r="I36" s="135">
        <f>SUMIFS('YTD Personnel'!$G:$G,'YTD Personnel'!$B:$B,'YEP Summaries'!$A36,'YTD Personnel'!$C:$C,'YEP Summaries'!I$3)</f>
        <v>0</v>
      </c>
      <c r="J36" s="135">
        <f>SUMIFS('YTD Personnel'!$G:$G,'YTD Personnel'!$B:$B,'YEP Summaries'!$A36,'YTD Personnel'!$C:$C,'YEP Summaries'!J$3)</f>
        <v>0</v>
      </c>
      <c r="K36" s="135">
        <f>SUMIFS('YTD Personnel'!$G:$G,'YTD Personnel'!$B:$B,'YEP Summaries'!$A36,'YTD Personnel'!$C:$C,'YEP Summaries'!K$3)</f>
        <v>0</v>
      </c>
      <c r="L36" s="135">
        <f>SUMIFS('YTD Personnel'!$G:$G,'YTD Personnel'!$B:$B,'YEP Summaries'!$A36,'YTD Personnel'!$C:$C,'YEP Summaries'!L$3)</f>
        <v>0</v>
      </c>
      <c r="M36" s="135">
        <f>SUMIFS('YTD Personnel'!$G:$G,'YTD Personnel'!$B:$B,'YEP Summaries'!$A36,'YTD Personnel'!$C:$C,'YEP Summaries'!M$3)</f>
        <v>0</v>
      </c>
      <c r="N36" s="135">
        <f>SUMIFS('YTD Personnel'!$G:$G,'YTD Personnel'!$B:$B,'YEP Summaries'!$A36,'YTD Personnel'!$C:$C,'YEP Summaries'!N$3)</f>
        <v>16080</v>
      </c>
      <c r="O36" s="135">
        <f>SUMIFS('YTD Personnel'!$G:$G,'YTD Personnel'!$B:$B,'YEP Summaries'!$A36,'YTD Personnel'!$C:$C,'YEP Summaries'!O$3)</f>
        <v>54588</v>
      </c>
      <c r="P36" s="135">
        <f>SUMIFS('YTD Personnel'!$G:$G,'YTD Personnel'!$B:$B,'YEP Summaries'!$A36,'YTD Personnel'!$C:$C,'YEP Summaries'!P$3)</f>
        <v>2633</v>
      </c>
      <c r="Q36" s="135">
        <f>SUMIFS('YTD Personnel'!$G:$G,'YTD Personnel'!$B:$B,'YEP Summaries'!$A36,'YTD Personnel'!$C:$C,'YEP Summaries'!Q$3)</f>
        <v>34705</v>
      </c>
      <c r="R36" s="135">
        <f t="shared" si="0"/>
        <v>316676</v>
      </c>
    </row>
    <row r="37" spans="1:20">
      <c r="A37" s="130" t="s">
        <v>787</v>
      </c>
      <c r="C37" s="135">
        <f>SUMIFS('YTD Personnel'!$G:$G,'YTD Personnel'!$B:$B,'YEP Summaries'!$A37,'YTD Personnel'!$C:$C,'YEP Summaries'!C$3)</f>
        <v>0</v>
      </c>
      <c r="D37" s="135">
        <f>SUMIFS('YTD Personnel'!$G:$G,'YTD Personnel'!$B:$B,'YEP Summaries'!$A37,'YTD Personnel'!$C:$C,'YEP Summaries'!D$3)</f>
        <v>23572</v>
      </c>
      <c r="E37" s="135">
        <f>SUMIFS('YTD Personnel'!$G:$G,'YTD Personnel'!$B:$B,'YEP Summaries'!$A37,'YTD Personnel'!$C:$C,'YEP Summaries'!E$3)</f>
        <v>300</v>
      </c>
      <c r="F37" s="135">
        <f>SUMIFS('YTD Personnel'!$G:$G,'YTD Personnel'!$B:$B,'YEP Summaries'!$A37,'YTD Personnel'!$C:$C,'YEP Summaries'!F$3)</f>
        <v>0</v>
      </c>
      <c r="G37" s="135">
        <f>SUMIFS('YTD Personnel'!$G:$G,'YTD Personnel'!$B:$B,'YEP Summaries'!$A37,'YTD Personnel'!$C:$C,'YEP Summaries'!G$3)</f>
        <v>115</v>
      </c>
      <c r="H37" s="135">
        <f>SUMIFS('YTD Personnel'!$G:$G,'YTD Personnel'!$B:$B,'YEP Summaries'!$A37,'YTD Personnel'!$C:$C,'YEP Summaries'!H$3)</f>
        <v>0</v>
      </c>
      <c r="I37" s="135">
        <f>SUMIFS('YTD Personnel'!$G:$G,'YTD Personnel'!$B:$B,'YEP Summaries'!$A37,'YTD Personnel'!$C:$C,'YEP Summaries'!I$3)</f>
        <v>0</v>
      </c>
      <c r="J37" s="135">
        <f>SUMIFS('YTD Personnel'!$G:$G,'YTD Personnel'!$B:$B,'YEP Summaries'!$A37,'YTD Personnel'!$C:$C,'YEP Summaries'!J$3)</f>
        <v>0</v>
      </c>
      <c r="K37" s="135">
        <f>SUMIFS('YTD Personnel'!$G:$G,'YTD Personnel'!$B:$B,'YEP Summaries'!$A37,'YTD Personnel'!$C:$C,'YEP Summaries'!K$3)</f>
        <v>0</v>
      </c>
      <c r="L37" s="135">
        <f>SUMIFS('YTD Personnel'!$G:$G,'YTD Personnel'!$B:$B,'YEP Summaries'!$A37,'YTD Personnel'!$C:$C,'YEP Summaries'!L$3)</f>
        <v>0</v>
      </c>
      <c r="M37" s="135">
        <f>SUMIFS('YTD Personnel'!$G:$G,'YTD Personnel'!$B:$B,'YEP Summaries'!$A37,'YTD Personnel'!$C:$C,'YEP Summaries'!M$3)</f>
        <v>0</v>
      </c>
      <c r="N37" s="135">
        <f>SUMIFS('YTD Personnel'!$G:$G,'YTD Personnel'!$B:$B,'YEP Summaries'!$A37,'YTD Personnel'!$C:$C,'YEP Summaries'!N$3)</f>
        <v>1846</v>
      </c>
      <c r="O37" s="135">
        <f>SUMIFS('YTD Personnel'!$G:$G,'YTD Personnel'!$B:$B,'YEP Summaries'!$A37,'YTD Personnel'!$C:$C,'YEP Summaries'!O$3)</f>
        <v>6455</v>
      </c>
      <c r="P37" s="135">
        <f>SUMIFS('YTD Personnel'!$G:$G,'YTD Personnel'!$B:$B,'YEP Summaries'!$A37,'YTD Personnel'!$C:$C,'YEP Summaries'!P$3)</f>
        <v>301</v>
      </c>
      <c r="Q37" s="135">
        <f>SUMIFS('YTD Personnel'!$G:$G,'YTD Personnel'!$B:$B,'YEP Summaries'!$A37,'YTD Personnel'!$C:$C,'YEP Summaries'!Q$3)</f>
        <v>3967</v>
      </c>
      <c r="R37" s="135">
        <f t="shared" si="0"/>
        <v>36556</v>
      </c>
    </row>
    <row r="38" spans="1:20">
      <c r="A38" s="130"/>
      <c r="C38" s="135">
        <f t="shared" ref="C38:R38" si="2">SUM(C9:C37)</f>
        <v>4567872</v>
      </c>
      <c r="D38" s="135">
        <f t="shared" si="2"/>
        <v>13707955</v>
      </c>
      <c r="E38" s="135">
        <f t="shared" si="2"/>
        <v>1044472</v>
      </c>
      <c r="F38" s="135">
        <f t="shared" si="2"/>
        <v>0</v>
      </c>
      <c r="G38" s="135">
        <f t="shared" si="2"/>
        <v>123504</v>
      </c>
      <c r="H38" s="135">
        <f t="shared" ref="H38" si="3">SUM(H9:H37)</f>
        <v>0</v>
      </c>
      <c r="I38" s="135">
        <f t="shared" si="2"/>
        <v>0</v>
      </c>
      <c r="J38" s="135">
        <f t="shared" si="2"/>
        <v>0</v>
      </c>
      <c r="K38" s="135">
        <f t="shared" si="2"/>
        <v>243103</v>
      </c>
      <c r="L38" s="135">
        <f t="shared" si="2"/>
        <v>25800</v>
      </c>
      <c r="M38" s="135">
        <f t="shared" si="2"/>
        <v>0</v>
      </c>
      <c r="N38" s="135">
        <f t="shared" si="2"/>
        <v>1457531</v>
      </c>
      <c r="O38" s="135">
        <f t="shared" si="2"/>
        <v>3256340</v>
      </c>
      <c r="P38" s="135">
        <f t="shared" si="2"/>
        <v>233186</v>
      </c>
      <c r="Q38" s="135">
        <f t="shared" si="2"/>
        <v>3269572</v>
      </c>
      <c r="R38" s="135">
        <f t="shared" si="2"/>
        <v>27929335</v>
      </c>
      <c r="T38" s="247">
        <f>R38*0.045</f>
        <v>1256820.075</v>
      </c>
    </row>
    <row r="39" spans="1:20">
      <c r="A39" s="130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</row>
    <row r="40" spans="1:20">
      <c r="A40" s="130" t="s">
        <v>1913</v>
      </c>
      <c r="C40" s="135">
        <f>SUMIFS('YTD Personnel'!$G:$G,'YTD Personnel'!$B:$B,'YEP Summaries'!$A40,'YTD Personnel'!$C:$C,'YEP Summaries'!C$3)</f>
        <v>0</v>
      </c>
      <c r="D40" s="135">
        <f>SUMIFS('YTD Personnel'!$G:$G,'YTD Personnel'!$B:$B,'YEP Summaries'!$A40,'YTD Personnel'!$C:$C,'YEP Summaries'!D$3)</f>
        <v>0</v>
      </c>
      <c r="E40" s="135">
        <f>SUMIFS('YTD Personnel'!$G:$G,'YTD Personnel'!$B:$B,'YEP Summaries'!$A40,'YTD Personnel'!$C:$C,'YEP Summaries'!E$3)</f>
        <v>750</v>
      </c>
      <c r="F40" s="135">
        <f>SUMIFS('YTD Personnel'!$G:$G,'YTD Personnel'!$B:$B,'YEP Summaries'!$A40,'YTD Personnel'!$C:$C,'YEP Summaries'!F$3)</f>
        <v>0</v>
      </c>
      <c r="G40" s="135">
        <f>SUMIFS('YTD Personnel'!$G:$G,'YTD Personnel'!$B:$B,'YEP Summaries'!$A40,'YTD Personnel'!$C:$C,'YEP Summaries'!G$3)</f>
        <v>0</v>
      </c>
      <c r="H40" s="135">
        <f>SUMIFS('YTD Personnel'!$G:$G,'YTD Personnel'!$B:$B,'YEP Summaries'!$A40,'YTD Personnel'!$C:$C,'YEP Summaries'!H$3)</f>
        <v>0</v>
      </c>
      <c r="I40" s="135">
        <f>SUMIFS('YTD Personnel'!$G:$G,'YTD Personnel'!$B:$B,'YEP Summaries'!$A40,'YTD Personnel'!$C:$C,'YEP Summaries'!I$3)</f>
        <v>0</v>
      </c>
      <c r="J40" s="135">
        <f>SUMIFS('YTD Personnel'!$G:$G,'YTD Personnel'!$B:$B,'YEP Summaries'!$A40,'YTD Personnel'!$C:$C,'YEP Summaries'!J$3)</f>
        <v>0</v>
      </c>
      <c r="K40" s="135">
        <f>SUMIFS('YTD Personnel'!$G:$G,'YTD Personnel'!$B:$B,'YEP Summaries'!$A40,'YTD Personnel'!$C:$C,'YEP Summaries'!K$3)</f>
        <v>0</v>
      </c>
      <c r="L40" s="135">
        <f>SUMIFS('YTD Personnel'!$G:$G,'YTD Personnel'!$B:$B,'YEP Summaries'!$A40,'YTD Personnel'!$C:$C,'YEP Summaries'!L$3)</f>
        <v>0</v>
      </c>
      <c r="M40" s="135">
        <f>SUMIFS('YTD Personnel'!$G:$G,'YTD Personnel'!$B:$B,'YEP Summaries'!$A40,'YTD Personnel'!$C:$C,'YEP Summaries'!M$3)</f>
        <v>0</v>
      </c>
      <c r="N40" s="135">
        <f>SUMIFS('YTD Personnel'!$G:$G,'YTD Personnel'!$B:$B,'YEP Summaries'!$A40,'YTD Personnel'!$C:$C,'YEP Summaries'!N$3)</f>
        <v>80</v>
      </c>
      <c r="O40" s="135">
        <f>SUMIFS('YTD Personnel'!$G:$G,'YTD Personnel'!$B:$B,'YEP Summaries'!$A40,'YTD Personnel'!$C:$C,'YEP Summaries'!O$3)</f>
        <v>2</v>
      </c>
      <c r="P40" s="135">
        <f>SUMIFS('YTD Personnel'!$G:$G,'YTD Personnel'!$B:$B,'YEP Summaries'!$A40,'YTD Personnel'!$C:$C,'YEP Summaries'!P$3)</f>
        <v>17</v>
      </c>
      <c r="Q40" s="135">
        <f>SUMIFS('YTD Personnel'!$G:$G,'YTD Personnel'!$B:$B,'YEP Summaries'!$A40,'YTD Personnel'!$C:$C,'YEP Summaries'!Q$3)</f>
        <v>124</v>
      </c>
      <c r="R40" s="135">
        <f t="shared" ref="R40" si="4">SUM(C40:Q40)</f>
        <v>973</v>
      </c>
    </row>
    <row r="41" spans="1:20">
      <c r="A41" s="130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</row>
    <row r="42" spans="1:20">
      <c r="A42" s="130" t="s">
        <v>789</v>
      </c>
      <c r="C42" s="135">
        <f>SUMIFS('YTD Personnel'!$G:$G,'YTD Personnel'!$B:$B,'YEP Summaries'!$A42,'YTD Personnel'!$C:$C,'YEP Summaries'!C$3)</f>
        <v>84823</v>
      </c>
      <c r="D42" s="135">
        <f>SUMIFS('YTD Personnel'!$G:$G,'YTD Personnel'!$B:$B,'YEP Summaries'!$A42,'YTD Personnel'!$C:$C,'YEP Summaries'!D$3)</f>
        <v>0</v>
      </c>
      <c r="E42" s="135">
        <f>SUMIFS('YTD Personnel'!$G:$G,'YTD Personnel'!$B:$B,'YEP Summaries'!$A42,'YTD Personnel'!$C:$C,'YEP Summaries'!E$3)</f>
        <v>0</v>
      </c>
      <c r="F42" s="135">
        <f>SUMIFS('YTD Personnel'!$G:$G,'YTD Personnel'!$B:$B,'YEP Summaries'!$A42,'YTD Personnel'!$C:$C,'YEP Summaries'!F$3)</f>
        <v>0</v>
      </c>
      <c r="G42" s="135">
        <f>SUMIFS('YTD Personnel'!$G:$G,'YTD Personnel'!$B:$B,'YEP Summaries'!$A42,'YTD Personnel'!$C:$C,'YEP Summaries'!G$3)</f>
        <v>995</v>
      </c>
      <c r="H42" s="135">
        <f>SUMIFS('YTD Personnel'!$G:$G,'YTD Personnel'!$B:$B,'YEP Summaries'!$A42,'YTD Personnel'!$C:$C,'YEP Summaries'!H$3)</f>
        <v>0</v>
      </c>
      <c r="I42" s="135">
        <f>SUMIFS('YTD Personnel'!$G:$G,'YTD Personnel'!$B:$B,'YEP Summaries'!$A42,'YTD Personnel'!$C:$C,'YEP Summaries'!I$3)</f>
        <v>0</v>
      </c>
      <c r="J42" s="135">
        <f>SUMIFS('YTD Personnel'!$G:$G,'YTD Personnel'!$B:$B,'YEP Summaries'!$A42,'YTD Personnel'!$C:$C,'YEP Summaries'!J$3)</f>
        <v>0</v>
      </c>
      <c r="K42" s="135">
        <f>SUMIFS('YTD Personnel'!$G:$G,'YTD Personnel'!$B:$B,'YEP Summaries'!$A42,'YTD Personnel'!$C:$C,'YEP Summaries'!K$3)</f>
        <v>0</v>
      </c>
      <c r="L42" s="135">
        <f>SUMIFS('YTD Personnel'!$G:$G,'YTD Personnel'!$B:$B,'YEP Summaries'!$A42,'YTD Personnel'!$C:$C,'YEP Summaries'!L$3)</f>
        <v>0</v>
      </c>
      <c r="M42" s="135">
        <f>SUMIFS('YTD Personnel'!$G:$G,'YTD Personnel'!$B:$B,'YEP Summaries'!$A42,'YTD Personnel'!$C:$C,'YEP Summaries'!M$3)</f>
        <v>0</v>
      </c>
      <c r="N42" s="135">
        <f>SUMIFS('YTD Personnel'!$G:$G,'YTD Personnel'!$B:$B,'YEP Summaries'!$A42,'YTD Personnel'!$C:$C,'YEP Summaries'!N$3)</f>
        <v>6570</v>
      </c>
      <c r="O42" s="135">
        <f>SUMIFS('YTD Personnel'!$G:$G,'YTD Personnel'!$B:$B,'YEP Summaries'!$A42,'YTD Personnel'!$C:$C,'YEP Summaries'!O$3)</f>
        <v>11044</v>
      </c>
      <c r="P42" s="135">
        <f>SUMIFS('YTD Personnel'!$G:$G,'YTD Personnel'!$B:$B,'YEP Summaries'!$A42,'YTD Personnel'!$C:$C,'YEP Summaries'!P$3)</f>
        <v>123</v>
      </c>
      <c r="Q42" s="135">
        <f>SUMIFS('YTD Personnel'!$G:$G,'YTD Personnel'!$B:$B,'YEP Summaries'!$A42,'YTD Personnel'!$C:$C,'YEP Summaries'!Q$3)</f>
        <v>14070</v>
      </c>
      <c r="R42" s="135">
        <f t="shared" ref="R42" si="5">SUM(C42:Q42)</f>
        <v>117625</v>
      </c>
    </row>
    <row r="43" spans="1:20">
      <c r="A43" s="130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</row>
    <row r="44" spans="1:20">
      <c r="A44" s="130" t="s">
        <v>790</v>
      </c>
      <c r="C44" s="135">
        <f>SUMIFS('YTD Personnel'!$G:$G,'YTD Personnel'!$B:$B,'YEP Summaries'!$A44,'YTD Personnel'!$C:$C,'YEP Summaries'!C$3)</f>
        <v>382461</v>
      </c>
      <c r="D44" s="135">
        <f>SUMIFS('YTD Personnel'!$G:$G,'YTD Personnel'!$B:$B,'YEP Summaries'!$A44,'YTD Personnel'!$C:$C,'YEP Summaries'!D$3)</f>
        <v>51603</v>
      </c>
      <c r="E44" s="135">
        <f>SUMIFS('YTD Personnel'!$G:$G,'YTD Personnel'!$B:$B,'YEP Summaries'!$A44,'YTD Personnel'!$C:$C,'YEP Summaries'!E$3)</f>
        <v>3000</v>
      </c>
      <c r="F44" s="135">
        <f>SUMIFS('YTD Personnel'!$G:$G,'YTD Personnel'!$B:$B,'YEP Summaries'!$A44,'YTD Personnel'!$C:$C,'YEP Summaries'!F$3)</f>
        <v>0</v>
      </c>
      <c r="G44" s="135">
        <f>SUMIFS('YTD Personnel'!$G:$G,'YTD Personnel'!$B:$B,'YEP Summaries'!$A44,'YTD Personnel'!$C:$C,'YEP Summaries'!G$3)</f>
        <v>4534</v>
      </c>
      <c r="H44" s="135">
        <f>SUMIFS('YTD Personnel'!$G:$G,'YTD Personnel'!$B:$B,'YEP Summaries'!$A44,'YTD Personnel'!$C:$C,'YEP Summaries'!H$3)</f>
        <v>0</v>
      </c>
      <c r="I44" s="135">
        <f>SUMIFS('YTD Personnel'!$G:$G,'YTD Personnel'!$B:$B,'YEP Summaries'!$A44,'YTD Personnel'!$C:$C,'YEP Summaries'!I$3)</f>
        <v>0</v>
      </c>
      <c r="J44" s="135">
        <f>SUMIFS('YTD Personnel'!$G:$G,'YTD Personnel'!$B:$B,'YEP Summaries'!$A44,'YTD Personnel'!$C:$C,'YEP Summaries'!J$3)</f>
        <v>0</v>
      </c>
      <c r="K44" s="135">
        <f>SUMIFS('YTD Personnel'!$G:$G,'YTD Personnel'!$B:$B,'YEP Summaries'!$A44,'YTD Personnel'!$C:$C,'YEP Summaries'!K$3)</f>
        <v>7500</v>
      </c>
      <c r="L44" s="135">
        <f>SUMIFS('YTD Personnel'!$G:$G,'YTD Personnel'!$B:$B,'YEP Summaries'!$A44,'YTD Personnel'!$C:$C,'YEP Summaries'!L$3)</f>
        <v>0</v>
      </c>
      <c r="M44" s="135">
        <f>SUMIFS('YTD Personnel'!$G:$G,'YTD Personnel'!$B:$B,'YEP Summaries'!$A44,'YTD Personnel'!$C:$C,'YEP Summaries'!M$3)</f>
        <v>84020</v>
      </c>
      <c r="N44" s="135">
        <f>SUMIFS('YTD Personnel'!$G:$G,'YTD Personnel'!$B:$B,'YEP Summaries'!$A44,'YTD Personnel'!$C:$C,'YEP Summaries'!N$3)</f>
        <v>41000</v>
      </c>
      <c r="O44" s="135">
        <f>SUMIFS('YTD Personnel'!$G:$G,'YTD Personnel'!$B:$B,'YEP Summaries'!$A44,'YTD Personnel'!$C:$C,'YEP Summaries'!O$3)</f>
        <v>72984</v>
      </c>
      <c r="P44" s="135">
        <f>SUMIFS('YTD Personnel'!$G:$G,'YTD Personnel'!$B:$B,'YEP Summaries'!$A44,'YTD Personnel'!$C:$C,'YEP Summaries'!P$3)</f>
        <v>770</v>
      </c>
      <c r="Q44" s="135">
        <f>SUMIFS('YTD Personnel'!$G:$G,'YTD Personnel'!$B:$B,'YEP Summaries'!$A44,'YTD Personnel'!$C:$C,'YEP Summaries'!Q$3)</f>
        <v>89063</v>
      </c>
      <c r="R44" s="135">
        <f t="shared" ref="R44:R45" si="6">SUM(C44:Q44)</f>
        <v>736935</v>
      </c>
    </row>
    <row r="45" spans="1:20">
      <c r="A45" s="130" t="s">
        <v>791</v>
      </c>
      <c r="C45" s="135">
        <f>SUMIFS('YTD Personnel'!$G:$G,'YTD Personnel'!$B:$B,'YEP Summaries'!$A45,'YTD Personnel'!$C:$C,'YEP Summaries'!C$3)</f>
        <v>94536</v>
      </c>
      <c r="D45" s="135">
        <f>SUMIFS('YTD Personnel'!$G:$G,'YTD Personnel'!$B:$B,'YEP Summaries'!$A45,'YTD Personnel'!$C:$C,'YEP Summaries'!D$3)</f>
        <v>51414</v>
      </c>
      <c r="E45" s="135">
        <f>SUMIFS('YTD Personnel'!$G:$G,'YTD Personnel'!$B:$B,'YEP Summaries'!$A45,'YTD Personnel'!$C:$C,'YEP Summaries'!E$3)</f>
        <v>1500</v>
      </c>
      <c r="F45" s="135">
        <f>SUMIFS('YTD Personnel'!$G:$G,'YTD Personnel'!$B:$B,'YEP Summaries'!$A45,'YTD Personnel'!$C:$C,'YEP Summaries'!F$3)</f>
        <v>0</v>
      </c>
      <c r="G45" s="135">
        <f>SUMIFS('YTD Personnel'!$G:$G,'YTD Personnel'!$B:$B,'YEP Summaries'!$A45,'YTD Personnel'!$C:$C,'YEP Summaries'!G$3)</f>
        <v>1444</v>
      </c>
      <c r="H45" s="135">
        <f>SUMIFS('YTD Personnel'!$G:$G,'YTD Personnel'!$B:$B,'YEP Summaries'!$A45,'YTD Personnel'!$C:$C,'YEP Summaries'!H$3)</f>
        <v>0</v>
      </c>
      <c r="I45" s="135">
        <f>SUMIFS('YTD Personnel'!$G:$G,'YTD Personnel'!$B:$B,'YEP Summaries'!$A45,'YTD Personnel'!$C:$C,'YEP Summaries'!I$3)</f>
        <v>0</v>
      </c>
      <c r="J45" s="135">
        <f>SUMIFS('YTD Personnel'!$G:$G,'YTD Personnel'!$B:$B,'YEP Summaries'!$A45,'YTD Personnel'!$C:$C,'YEP Summaries'!J$3)</f>
        <v>0</v>
      </c>
      <c r="K45" s="135">
        <f>SUMIFS('YTD Personnel'!$G:$G,'YTD Personnel'!$B:$B,'YEP Summaries'!$A45,'YTD Personnel'!$C:$C,'YEP Summaries'!K$3)</f>
        <v>3000</v>
      </c>
      <c r="L45" s="135">
        <f>SUMIFS('YTD Personnel'!$G:$G,'YTD Personnel'!$B:$B,'YEP Summaries'!$A45,'YTD Personnel'!$C:$C,'YEP Summaries'!L$3)</f>
        <v>0</v>
      </c>
      <c r="M45" s="135">
        <f>SUMIFS('YTD Personnel'!$G:$G,'YTD Personnel'!$B:$B,'YEP Summaries'!$A45,'YTD Personnel'!$C:$C,'YEP Summaries'!M$3)</f>
        <v>0</v>
      </c>
      <c r="N45" s="135">
        <f>SUMIFS('YTD Personnel'!$G:$G,'YTD Personnel'!$B:$B,'YEP Summaries'!$A45,'YTD Personnel'!$C:$C,'YEP Summaries'!N$3)</f>
        <v>11760</v>
      </c>
      <c r="O45" s="135">
        <f>SUMIFS('YTD Personnel'!$G:$G,'YTD Personnel'!$B:$B,'YEP Summaries'!$A45,'YTD Personnel'!$C:$C,'YEP Summaries'!O$3)</f>
        <v>22085</v>
      </c>
      <c r="P45" s="135">
        <f>SUMIFS('YTD Personnel'!$G:$G,'YTD Personnel'!$B:$B,'YEP Summaries'!$A45,'YTD Personnel'!$C:$C,'YEP Summaries'!P$3)</f>
        <v>219</v>
      </c>
      <c r="Q45" s="135">
        <f>SUMIFS('YTD Personnel'!$G:$G,'YTD Personnel'!$B:$B,'YEP Summaries'!$A45,'YTD Personnel'!$C:$C,'YEP Summaries'!Q$3)</f>
        <v>25396</v>
      </c>
      <c r="R45" s="135">
        <f t="shared" si="6"/>
        <v>211354</v>
      </c>
    </row>
    <row r="46" spans="1:20">
      <c r="A46" s="130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</row>
    <row r="47" spans="1:20">
      <c r="A47" s="130" t="s">
        <v>792</v>
      </c>
      <c r="C47" s="135">
        <f>SUMIFS('YTD Personnel'!$G:$G,'YTD Personnel'!$B:$B,'YEP Summaries'!$A47,'YTD Personnel'!$C:$C,'YEP Summaries'!C$3)</f>
        <v>191612</v>
      </c>
      <c r="D47" s="135">
        <f>SUMIFS('YTD Personnel'!$G:$G,'YTD Personnel'!$B:$B,'YEP Summaries'!$A47,'YTD Personnel'!$C:$C,'YEP Summaries'!D$3)</f>
        <v>39806</v>
      </c>
      <c r="E47" s="135">
        <f>SUMIFS('YTD Personnel'!$G:$G,'YTD Personnel'!$B:$B,'YEP Summaries'!$A47,'YTD Personnel'!$C:$C,'YEP Summaries'!E$3)</f>
        <v>500</v>
      </c>
      <c r="F47" s="135">
        <f>SUMIFS('YTD Personnel'!$G:$G,'YTD Personnel'!$B:$B,'YEP Summaries'!$A47,'YTD Personnel'!$C:$C,'YEP Summaries'!F$3)</f>
        <v>0</v>
      </c>
      <c r="G47" s="135">
        <f>SUMIFS('YTD Personnel'!$G:$G,'YTD Personnel'!$B:$B,'YEP Summaries'!$A47,'YTD Personnel'!$C:$C,'YEP Summaries'!G$3)</f>
        <v>940</v>
      </c>
      <c r="H47" s="135">
        <f>SUMIFS('YTD Personnel'!$G:$G,'YTD Personnel'!$B:$B,'YEP Summaries'!$A47,'YTD Personnel'!$C:$C,'YEP Summaries'!H$3)</f>
        <v>0</v>
      </c>
      <c r="I47" s="135">
        <f>SUMIFS('YTD Personnel'!$G:$G,'YTD Personnel'!$B:$B,'YEP Summaries'!$A47,'YTD Personnel'!$C:$C,'YEP Summaries'!I$3)</f>
        <v>0</v>
      </c>
      <c r="J47" s="135">
        <f>SUMIFS('YTD Personnel'!$G:$G,'YTD Personnel'!$B:$B,'YEP Summaries'!$A47,'YTD Personnel'!$C:$C,'YEP Summaries'!J$3)</f>
        <v>0</v>
      </c>
      <c r="K47" s="135">
        <f>SUMIFS('YTD Personnel'!$G:$G,'YTD Personnel'!$B:$B,'YEP Summaries'!$A47,'YTD Personnel'!$C:$C,'YEP Summaries'!K$3)</f>
        <v>0</v>
      </c>
      <c r="L47" s="135">
        <f>SUMIFS('YTD Personnel'!$G:$G,'YTD Personnel'!$B:$B,'YEP Summaries'!$A47,'YTD Personnel'!$C:$C,'YEP Summaries'!L$3)</f>
        <v>0</v>
      </c>
      <c r="M47" s="135">
        <f>SUMIFS('YTD Personnel'!$G:$G,'YTD Personnel'!$B:$B,'YEP Summaries'!$A47,'YTD Personnel'!$C:$C,'YEP Summaries'!M$3)</f>
        <v>0</v>
      </c>
      <c r="N47" s="135">
        <f>SUMIFS('YTD Personnel'!$G:$G,'YTD Personnel'!$B:$B,'YEP Summaries'!$A47,'YTD Personnel'!$C:$C,'YEP Summaries'!N$3)</f>
        <v>18010</v>
      </c>
      <c r="O47" s="135">
        <f>SUMIFS('YTD Personnel'!$G:$G,'YTD Personnel'!$B:$B,'YEP Summaries'!$A47,'YTD Personnel'!$C:$C,'YEP Summaries'!O$3)</f>
        <v>61745</v>
      </c>
      <c r="P47" s="135">
        <f>SUMIFS('YTD Personnel'!$G:$G,'YTD Personnel'!$B:$B,'YEP Summaries'!$A47,'YTD Personnel'!$C:$C,'YEP Summaries'!P$3)</f>
        <v>336</v>
      </c>
      <c r="Q47" s="135">
        <f>SUMIFS('YTD Personnel'!$G:$G,'YTD Personnel'!$B:$B,'YEP Summaries'!$A47,'YTD Personnel'!$C:$C,'YEP Summaries'!Q$3)</f>
        <v>38889</v>
      </c>
      <c r="R47" s="135">
        <f t="shared" ref="R47:R52" si="7">SUM(C47:Q47)</f>
        <v>351838</v>
      </c>
    </row>
    <row r="48" spans="1:20">
      <c r="A48" s="130" t="s">
        <v>793</v>
      </c>
      <c r="C48" s="135">
        <f>SUMIFS('YTD Personnel'!$G:$G,'YTD Personnel'!$B:$B,'YEP Summaries'!$A48,'YTD Personnel'!$C:$C,'YEP Summaries'!C$3)</f>
        <v>119159</v>
      </c>
      <c r="D48" s="135">
        <f>SUMIFS('YTD Personnel'!$G:$G,'YTD Personnel'!$B:$B,'YEP Summaries'!$A48,'YTD Personnel'!$C:$C,'YEP Summaries'!D$3)</f>
        <v>0</v>
      </c>
      <c r="E48" s="135">
        <f>SUMIFS('YTD Personnel'!$G:$G,'YTD Personnel'!$B:$B,'YEP Summaries'!$A48,'YTD Personnel'!$C:$C,'YEP Summaries'!E$3)</f>
        <v>600</v>
      </c>
      <c r="F48" s="135">
        <f>SUMIFS('YTD Personnel'!$G:$G,'YTD Personnel'!$B:$B,'YEP Summaries'!$A48,'YTD Personnel'!$C:$C,'YEP Summaries'!F$3)</f>
        <v>0</v>
      </c>
      <c r="G48" s="135">
        <f>SUMIFS('YTD Personnel'!$G:$G,'YTD Personnel'!$B:$B,'YEP Summaries'!$A48,'YTD Personnel'!$C:$C,'YEP Summaries'!G$3)</f>
        <v>422</v>
      </c>
      <c r="H48" s="135">
        <f>SUMIFS('YTD Personnel'!$G:$G,'YTD Personnel'!$B:$B,'YEP Summaries'!$A48,'YTD Personnel'!$C:$C,'YEP Summaries'!H$3)</f>
        <v>0</v>
      </c>
      <c r="I48" s="135">
        <f>SUMIFS('YTD Personnel'!$G:$G,'YTD Personnel'!$B:$B,'YEP Summaries'!$A48,'YTD Personnel'!$C:$C,'YEP Summaries'!I$3)</f>
        <v>0</v>
      </c>
      <c r="J48" s="135">
        <f>SUMIFS('YTD Personnel'!$G:$G,'YTD Personnel'!$B:$B,'YEP Summaries'!$A48,'YTD Personnel'!$C:$C,'YEP Summaries'!J$3)</f>
        <v>0</v>
      </c>
      <c r="K48" s="135">
        <f>SUMIFS('YTD Personnel'!$G:$G,'YTD Personnel'!$B:$B,'YEP Summaries'!$A48,'YTD Personnel'!$C:$C,'YEP Summaries'!K$3)</f>
        <v>0</v>
      </c>
      <c r="L48" s="135">
        <f>SUMIFS('YTD Personnel'!$G:$G,'YTD Personnel'!$B:$B,'YEP Summaries'!$A48,'YTD Personnel'!$C:$C,'YEP Summaries'!L$3)</f>
        <v>0</v>
      </c>
      <c r="M48" s="135">
        <f>SUMIFS('YTD Personnel'!$G:$G,'YTD Personnel'!$B:$B,'YEP Summaries'!$A48,'YTD Personnel'!$C:$C,'YEP Summaries'!M$3)</f>
        <v>0</v>
      </c>
      <c r="N48" s="135">
        <f>SUMIFS('YTD Personnel'!$G:$G,'YTD Personnel'!$B:$B,'YEP Summaries'!$A48,'YTD Personnel'!$C:$C,'YEP Summaries'!N$3)</f>
        <v>31370</v>
      </c>
      <c r="O48" s="135">
        <f>SUMIFS('YTD Personnel'!$G:$G,'YTD Personnel'!$B:$B,'YEP Summaries'!$A48,'YTD Personnel'!$C:$C,'YEP Summaries'!O$3)</f>
        <v>11649</v>
      </c>
      <c r="P48" s="135">
        <f>SUMIFS('YTD Personnel'!$G:$G,'YTD Personnel'!$B:$B,'YEP Summaries'!$A48,'YTD Personnel'!$C:$C,'YEP Summaries'!P$3)</f>
        <v>5135</v>
      </c>
      <c r="Q48" s="135">
        <f>SUMIFS('YTD Personnel'!$G:$G,'YTD Personnel'!$B:$B,'YEP Summaries'!$A48,'YTD Personnel'!$C:$C,'YEP Summaries'!Q$3)</f>
        <v>20111</v>
      </c>
      <c r="R48" s="135">
        <f t="shared" si="7"/>
        <v>188446</v>
      </c>
    </row>
    <row r="49" spans="1:18">
      <c r="A49" s="130" t="s">
        <v>794</v>
      </c>
      <c r="C49" s="135">
        <f>SUMIFS('YTD Personnel'!$G:$G,'YTD Personnel'!$B:$B,'YEP Summaries'!$A49,'YTD Personnel'!$C:$C,'YEP Summaries'!C$3)</f>
        <v>0</v>
      </c>
      <c r="D49" s="135">
        <f>SUMIFS('YTD Personnel'!$G:$G,'YTD Personnel'!$B:$B,'YEP Summaries'!$A49,'YTD Personnel'!$C:$C,'YEP Summaries'!D$3)</f>
        <v>0</v>
      </c>
      <c r="E49" s="135">
        <f>SUMIFS('YTD Personnel'!$G:$G,'YTD Personnel'!$B:$B,'YEP Summaries'!$A49,'YTD Personnel'!$C:$C,'YEP Summaries'!E$3)</f>
        <v>0</v>
      </c>
      <c r="F49" s="135">
        <f>SUMIFS('YTD Personnel'!$G:$G,'YTD Personnel'!$B:$B,'YEP Summaries'!$A49,'YTD Personnel'!$C:$C,'YEP Summaries'!F$3)</f>
        <v>0</v>
      </c>
      <c r="G49" s="135">
        <f>SUMIFS('YTD Personnel'!$G:$G,'YTD Personnel'!$B:$B,'YEP Summaries'!$A49,'YTD Personnel'!$C:$C,'YEP Summaries'!G$3)</f>
        <v>0</v>
      </c>
      <c r="H49" s="135">
        <f>SUMIFS('YTD Personnel'!$G:$G,'YTD Personnel'!$B:$B,'YEP Summaries'!$A49,'YTD Personnel'!$C:$C,'YEP Summaries'!H$3)</f>
        <v>0</v>
      </c>
      <c r="I49" s="135">
        <f>SUMIFS('YTD Personnel'!$G:$G,'YTD Personnel'!$B:$B,'YEP Summaries'!$A49,'YTD Personnel'!$C:$C,'YEP Summaries'!I$3)</f>
        <v>0</v>
      </c>
      <c r="J49" s="135">
        <f>SUMIFS('YTD Personnel'!$G:$G,'YTD Personnel'!$B:$B,'YEP Summaries'!$A49,'YTD Personnel'!$C:$C,'YEP Summaries'!J$3)</f>
        <v>0</v>
      </c>
      <c r="K49" s="135">
        <f>SUMIFS('YTD Personnel'!$G:$G,'YTD Personnel'!$B:$B,'YEP Summaries'!$A49,'YTD Personnel'!$C:$C,'YEP Summaries'!K$3)</f>
        <v>0</v>
      </c>
      <c r="L49" s="135">
        <f>SUMIFS('YTD Personnel'!$G:$G,'YTD Personnel'!$B:$B,'YEP Summaries'!$A49,'YTD Personnel'!$C:$C,'YEP Summaries'!L$3)</f>
        <v>0</v>
      </c>
      <c r="M49" s="135">
        <f>SUMIFS('YTD Personnel'!$G:$G,'YTD Personnel'!$B:$B,'YEP Summaries'!$A49,'YTD Personnel'!$C:$C,'YEP Summaries'!M$3)</f>
        <v>0</v>
      </c>
      <c r="N49" s="135">
        <f>SUMIFS('YTD Personnel'!$G:$G,'YTD Personnel'!$B:$B,'YEP Summaries'!$A49,'YTD Personnel'!$C:$C,'YEP Summaries'!N$3)</f>
        <v>1220</v>
      </c>
      <c r="O49" s="135">
        <f>SUMIFS('YTD Personnel'!$G:$G,'YTD Personnel'!$B:$B,'YEP Summaries'!$A49,'YTD Personnel'!$C:$C,'YEP Summaries'!O$3)</f>
        <v>0</v>
      </c>
      <c r="P49" s="135">
        <f>SUMIFS('YTD Personnel'!$G:$G,'YTD Personnel'!$B:$B,'YEP Summaries'!$A49,'YTD Personnel'!$C:$C,'YEP Summaries'!P$3)</f>
        <v>199</v>
      </c>
      <c r="Q49" s="135">
        <f>SUMIFS('YTD Personnel'!$G:$G,'YTD Personnel'!$B:$B,'YEP Summaries'!$A49,'YTD Personnel'!$C:$C,'YEP Summaries'!Q$3)</f>
        <v>0</v>
      </c>
      <c r="R49" s="135">
        <f t="shared" si="7"/>
        <v>1419</v>
      </c>
    </row>
    <row r="50" spans="1:18">
      <c r="A50" s="130" t="s">
        <v>795</v>
      </c>
      <c r="C50" s="135">
        <f>SUMIFS('YTD Personnel'!$G:$G,'YTD Personnel'!$B:$B,'YEP Summaries'!$A50,'YTD Personnel'!$C:$C,'YEP Summaries'!C$3)</f>
        <v>120097</v>
      </c>
      <c r="D50" s="135">
        <f>SUMIFS('YTD Personnel'!$G:$G,'YTD Personnel'!$B:$B,'YEP Summaries'!$A50,'YTD Personnel'!$C:$C,'YEP Summaries'!D$3)</f>
        <v>0</v>
      </c>
      <c r="E50" s="135">
        <f>SUMIFS('YTD Personnel'!$G:$G,'YTD Personnel'!$B:$B,'YEP Summaries'!$A50,'YTD Personnel'!$C:$C,'YEP Summaries'!E$3)</f>
        <v>800</v>
      </c>
      <c r="F50" s="135">
        <f>SUMIFS('YTD Personnel'!$G:$G,'YTD Personnel'!$B:$B,'YEP Summaries'!$A50,'YTD Personnel'!$C:$C,'YEP Summaries'!F$3)</f>
        <v>0</v>
      </c>
      <c r="G50" s="135">
        <f>SUMIFS('YTD Personnel'!$G:$G,'YTD Personnel'!$B:$B,'YEP Summaries'!$A50,'YTD Personnel'!$C:$C,'YEP Summaries'!G$3)</f>
        <v>289</v>
      </c>
      <c r="H50" s="135">
        <f>SUMIFS('YTD Personnel'!$G:$G,'YTD Personnel'!$B:$B,'YEP Summaries'!$A50,'YTD Personnel'!$C:$C,'YEP Summaries'!H$3)</f>
        <v>0</v>
      </c>
      <c r="I50" s="135">
        <f>SUMIFS('YTD Personnel'!$G:$G,'YTD Personnel'!$B:$B,'YEP Summaries'!$A50,'YTD Personnel'!$C:$C,'YEP Summaries'!I$3)</f>
        <v>0</v>
      </c>
      <c r="J50" s="135">
        <f>SUMIFS('YTD Personnel'!$G:$G,'YTD Personnel'!$B:$B,'YEP Summaries'!$A50,'YTD Personnel'!$C:$C,'YEP Summaries'!J$3)</f>
        <v>0</v>
      </c>
      <c r="K50" s="135">
        <f>SUMIFS('YTD Personnel'!$G:$G,'YTD Personnel'!$B:$B,'YEP Summaries'!$A50,'YTD Personnel'!$C:$C,'YEP Summaries'!K$3)</f>
        <v>0</v>
      </c>
      <c r="L50" s="135">
        <f>SUMIFS('YTD Personnel'!$G:$G,'YTD Personnel'!$B:$B,'YEP Summaries'!$A50,'YTD Personnel'!$C:$C,'YEP Summaries'!L$3)</f>
        <v>0</v>
      </c>
      <c r="M50" s="135">
        <f>SUMIFS('YTD Personnel'!$G:$G,'YTD Personnel'!$B:$B,'YEP Summaries'!$A50,'YTD Personnel'!$C:$C,'YEP Summaries'!M$3)</f>
        <v>0</v>
      </c>
      <c r="N50" s="135">
        <f>SUMIFS('YTD Personnel'!$G:$G,'YTD Personnel'!$B:$B,'YEP Summaries'!$A50,'YTD Personnel'!$C:$C,'YEP Summaries'!N$3)</f>
        <v>25960</v>
      </c>
      <c r="O50" s="135">
        <f>SUMIFS('YTD Personnel'!$G:$G,'YTD Personnel'!$B:$B,'YEP Summaries'!$A50,'YTD Personnel'!$C:$C,'YEP Summaries'!O$3)</f>
        <v>19715</v>
      </c>
      <c r="P50" s="135">
        <f>SUMIFS('YTD Personnel'!$G:$G,'YTD Personnel'!$B:$B,'YEP Summaries'!$A50,'YTD Personnel'!$C:$C,'YEP Summaries'!P$3)</f>
        <v>4245</v>
      </c>
      <c r="Q50" s="135">
        <f>SUMIFS('YTD Personnel'!$G:$G,'YTD Personnel'!$B:$B,'YEP Summaries'!$A50,'YTD Personnel'!$C:$C,'YEP Summaries'!Q$3)</f>
        <v>20277</v>
      </c>
      <c r="R50" s="135">
        <f t="shared" si="7"/>
        <v>191383</v>
      </c>
    </row>
    <row r="51" spans="1:18">
      <c r="A51" s="130" t="s">
        <v>796</v>
      </c>
      <c r="C51" s="135">
        <f>SUMIFS('YTD Personnel'!$G:$G,'YTD Personnel'!$B:$B,'YEP Summaries'!$A51,'YTD Personnel'!$C:$C,'YEP Summaries'!C$3)</f>
        <v>59798</v>
      </c>
      <c r="D51" s="135">
        <f>SUMIFS('YTD Personnel'!$G:$G,'YTD Personnel'!$B:$B,'YEP Summaries'!$A51,'YTD Personnel'!$C:$C,'YEP Summaries'!D$3)</f>
        <v>0</v>
      </c>
      <c r="E51" s="135">
        <f>SUMIFS('YTD Personnel'!$G:$G,'YTD Personnel'!$B:$B,'YEP Summaries'!$A51,'YTD Personnel'!$C:$C,'YEP Summaries'!E$3)</f>
        <v>0</v>
      </c>
      <c r="F51" s="135">
        <f>SUMIFS('YTD Personnel'!$G:$G,'YTD Personnel'!$B:$B,'YEP Summaries'!$A51,'YTD Personnel'!$C:$C,'YEP Summaries'!F$3)</f>
        <v>0</v>
      </c>
      <c r="G51" s="135">
        <f>SUMIFS('YTD Personnel'!$G:$G,'YTD Personnel'!$B:$B,'YEP Summaries'!$A51,'YTD Personnel'!$C:$C,'YEP Summaries'!G$3)</f>
        <v>339</v>
      </c>
      <c r="H51" s="135">
        <f>SUMIFS('YTD Personnel'!$G:$G,'YTD Personnel'!$B:$B,'YEP Summaries'!$A51,'YTD Personnel'!$C:$C,'YEP Summaries'!H$3)</f>
        <v>0</v>
      </c>
      <c r="I51" s="135">
        <f>SUMIFS('YTD Personnel'!$G:$G,'YTD Personnel'!$B:$B,'YEP Summaries'!$A51,'YTD Personnel'!$C:$C,'YEP Summaries'!I$3)</f>
        <v>0</v>
      </c>
      <c r="J51" s="135">
        <f>SUMIFS('YTD Personnel'!$G:$G,'YTD Personnel'!$B:$B,'YEP Summaries'!$A51,'YTD Personnel'!$C:$C,'YEP Summaries'!J$3)</f>
        <v>0</v>
      </c>
      <c r="K51" s="135">
        <f>SUMIFS('YTD Personnel'!$G:$G,'YTD Personnel'!$B:$B,'YEP Summaries'!$A51,'YTD Personnel'!$C:$C,'YEP Summaries'!K$3)</f>
        <v>0</v>
      </c>
      <c r="L51" s="135">
        <f>SUMIFS('YTD Personnel'!$G:$G,'YTD Personnel'!$B:$B,'YEP Summaries'!$A51,'YTD Personnel'!$C:$C,'YEP Summaries'!L$3)</f>
        <v>0</v>
      </c>
      <c r="M51" s="135">
        <f>SUMIFS('YTD Personnel'!$G:$G,'YTD Personnel'!$B:$B,'YEP Summaries'!$A51,'YTD Personnel'!$C:$C,'YEP Summaries'!M$3)</f>
        <v>0</v>
      </c>
      <c r="N51" s="135">
        <f>SUMIFS('YTD Personnel'!$G:$G,'YTD Personnel'!$B:$B,'YEP Summaries'!$A51,'YTD Personnel'!$C:$C,'YEP Summaries'!N$3)</f>
        <v>6770</v>
      </c>
      <c r="O51" s="135">
        <f>SUMIFS('YTD Personnel'!$G:$G,'YTD Personnel'!$B:$B,'YEP Summaries'!$A51,'YTD Personnel'!$C:$C,'YEP Summaries'!O$3)</f>
        <v>18411</v>
      </c>
      <c r="P51" s="135">
        <f>SUMIFS('YTD Personnel'!$G:$G,'YTD Personnel'!$B:$B,'YEP Summaries'!$A51,'YTD Personnel'!$C:$C,'YEP Summaries'!P$3)</f>
        <v>1259</v>
      </c>
      <c r="Q51" s="135">
        <f>SUMIFS('YTD Personnel'!$G:$G,'YTD Personnel'!$B:$B,'YEP Summaries'!$A51,'YTD Personnel'!$C:$C,'YEP Summaries'!Q$3)</f>
        <v>10118</v>
      </c>
      <c r="R51" s="135">
        <f t="shared" si="7"/>
        <v>96695</v>
      </c>
    </row>
    <row r="52" spans="1:18">
      <c r="A52" s="130" t="s">
        <v>797</v>
      </c>
      <c r="C52" s="135">
        <f>SUMIFS('YTD Personnel'!$G:$G,'YTD Personnel'!$B:$B,'YEP Summaries'!$A52,'YTD Personnel'!$C:$C,'YEP Summaries'!C$3)</f>
        <v>63307</v>
      </c>
      <c r="D52" s="135">
        <f>SUMIFS('YTD Personnel'!$G:$G,'YTD Personnel'!$B:$B,'YEP Summaries'!$A52,'YTD Personnel'!$C:$C,'YEP Summaries'!D$3)</f>
        <v>0</v>
      </c>
      <c r="E52" s="135">
        <f>SUMIFS('YTD Personnel'!$G:$G,'YTD Personnel'!$B:$B,'YEP Summaries'!$A52,'YTD Personnel'!$C:$C,'YEP Summaries'!E$3)</f>
        <v>800</v>
      </c>
      <c r="F52" s="135">
        <f>SUMIFS('YTD Personnel'!$G:$G,'YTD Personnel'!$B:$B,'YEP Summaries'!$A52,'YTD Personnel'!$C:$C,'YEP Summaries'!F$3)</f>
        <v>0</v>
      </c>
      <c r="G52" s="135">
        <f>SUMIFS('YTD Personnel'!$G:$G,'YTD Personnel'!$B:$B,'YEP Summaries'!$A52,'YTD Personnel'!$C:$C,'YEP Summaries'!G$3)</f>
        <v>434</v>
      </c>
      <c r="H52" s="135">
        <f>SUMIFS('YTD Personnel'!$G:$G,'YTD Personnel'!$B:$B,'YEP Summaries'!$A52,'YTD Personnel'!$C:$C,'YEP Summaries'!H$3)</f>
        <v>0</v>
      </c>
      <c r="I52" s="135">
        <f>SUMIFS('YTD Personnel'!$G:$G,'YTD Personnel'!$B:$B,'YEP Summaries'!$A52,'YTD Personnel'!$C:$C,'YEP Summaries'!I$3)</f>
        <v>0</v>
      </c>
      <c r="J52" s="135">
        <f>SUMIFS('YTD Personnel'!$G:$G,'YTD Personnel'!$B:$B,'YEP Summaries'!$A52,'YTD Personnel'!$C:$C,'YEP Summaries'!J$3)</f>
        <v>0</v>
      </c>
      <c r="K52" s="135">
        <f>SUMIFS('YTD Personnel'!$G:$G,'YTD Personnel'!$B:$B,'YEP Summaries'!$A52,'YTD Personnel'!$C:$C,'YEP Summaries'!K$3)</f>
        <v>0</v>
      </c>
      <c r="L52" s="135">
        <f>SUMIFS('YTD Personnel'!$G:$G,'YTD Personnel'!$B:$B,'YEP Summaries'!$A52,'YTD Personnel'!$C:$C,'YEP Summaries'!L$3)</f>
        <v>0</v>
      </c>
      <c r="M52" s="135">
        <f>SUMIFS('YTD Personnel'!$G:$G,'YTD Personnel'!$B:$B,'YEP Summaries'!$A52,'YTD Personnel'!$C:$C,'YEP Summaries'!M$3)</f>
        <v>0</v>
      </c>
      <c r="N52" s="135">
        <f>SUMIFS('YTD Personnel'!$G:$G,'YTD Personnel'!$B:$B,'YEP Summaries'!$A52,'YTD Personnel'!$C:$C,'YEP Summaries'!N$3)</f>
        <v>19600</v>
      </c>
      <c r="O52" s="135">
        <f>SUMIFS('YTD Personnel'!$G:$G,'YTD Personnel'!$B:$B,'YEP Summaries'!$A52,'YTD Personnel'!$C:$C,'YEP Summaries'!O$3)</f>
        <v>1490</v>
      </c>
      <c r="P52" s="135">
        <f>SUMIFS('YTD Personnel'!$G:$G,'YTD Personnel'!$B:$B,'YEP Summaries'!$A52,'YTD Personnel'!$C:$C,'YEP Summaries'!P$3)</f>
        <v>2486</v>
      </c>
      <c r="Q52" s="135">
        <f>SUMIFS('YTD Personnel'!$G:$G,'YTD Personnel'!$B:$B,'YEP Summaries'!$A52,'YTD Personnel'!$C:$C,'YEP Summaries'!Q$3)</f>
        <v>10807</v>
      </c>
      <c r="R52" s="135">
        <f t="shared" si="7"/>
        <v>98924</v>
      </c>
    </row>
    <row r="53" spans="1:18">
      <c r="A53" s="130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>
      <c r="A54" s="130" t="s">
        <v>799</v>
      </c>
      <c r="C54" s="135">
        <f>SUMIFS('YTD Personnel'!$G:$G,'YTD Personnel'!$B:$B,'YEP Summaries'!$A54,'YTD Personnel'!$C:$C,'YEP Summaries'!C$3)</f>
        <v>171465</v>
      </c>
      <c r="D54" s="135">
        <f>SUMIFS('YTD Personnel'!$G:$G,'YTD Personnel'!$B:$B,'YEP Summaries'!$A54,'YTD Personnel'!$C:$C,'YEP Summaries'!D$3)</f>
        <v>223468</v>
      </c>
      <c r="E54" s="135">
        <f>SUMIFS('YTD Personnel'!$G:$G,'YTD Personnel'!$B:$B,'YEP Summaries'!$A54,'YTD Personnel'!$C:$C,'YEP Summaries'!E$3)</f>
        <v>40000</v>
      </c>
      <c r="F54" s="135">
        <f>SUMIFS('YTD Personnel'!$G:$G,'YTD Personnel'!$B:$B,'YEP Summaries'!$A54,'YTD Personnel'!$C:$C,'YEP Summaries'!F$3)</f>
        <v>0</v>
      </c>
      <c r="G54" s="135">
        <f>SUMIFS('YTD Personnel'!$G:$G,'YTD Personnel'!$B:$B,'YEP Summaries'!$A54,'YTD Personnel'!$C:$C,'YEP Summaries'!G$3)</f>
        <v>3799</v>
      </c>
      <c r="H54" s="135">
        <f>SUMIFS('YTD Personnel'!$G:$G,'YTD Personnel'!$B:$B,'YEP Summaries'!$A54,'YTD Personnel'!$C:$C,'YEP Summaries'!H$3)</f>
        <v>0</v>
      </c>
      <c r="I54" s="135">
        <f>SUMIFS('YTD Personnel'!$G:$G,'YTD Personnel'!$B:$B,'YEP Summaries'!$A54,'YTD Personnel'!$C:$C,'YEP Summaries'!I$3)</f>
        <v>0</v>
      </c>
      <c r="J54" s="135">
        <f>SUMIFS('YTD Personnel'!$G:$G,'YTD Personnel'!$B:$B,'YEP Summaries'!$A54,'YTD Personnel'!$C:$C,'YEP Summaries'!J$3)</f>
        <v>0</v>
      </c>
      <c r="K54" s="135">
        <f>SUMIFS('YTD Personnel'!$G:$G,'YTD Personnel'!$B:$B,'YEP Summaries'!$A54,'YTD Personnel'!$C:$C,'YEP Summaries'!K$3)</f>
        <v>600</v>
      </c>
      <c r="L54" s="135">
        <f>SUMIFS('YTD Personnel'!$G:$G,'YTD Personnel'!$B:$B,'YEP Summaries'!$A54,'YTD Personnel'!$C:$C,'YEP Summaries'!L$3)</f>
        <v>0</v>
      </c>
      <c r="M54" s="135">
        <f>SUMIFS('YTD Personnel'!$G:$G,'YTD Personnel'!$B:$B,'YEP Summaries'!$A54,'YTD Personnel'!$C:$C,'YEP Summaries'!M$3)</f>
        <v>0</v>
      </c>
      <c r="N54" s="135">
        <f>SUMIFS('YTD Personnel'!$G:$G,'YTD Personnel'!$B:$B,'YEP Summaries'!$A54,'YTD Personnel'!$C:$C,'YEP Summaries'!N$3)</f>
        <v>35120</v>
      </c>
      <c r="O54" s="135">
        <f>SUMIFS('YTD Personnel'!$G:$G,'YTD Personnel'!$B:$B,'YEP Summaries'!$A54,'YTD Personnel'!$C:$C,'YEP Summaries'!O$3)</f>
        <v>97445</v>
      </c>
      <c r="P54" s="135">
        <f>SUMIFS('YTD Personnel'!$G:$G,'YTD Personnel'!$B:$B,'YEP Summaries'!$A54,'YTD Personnel'!$C:$C,'YEP Summaries'!P$3)</f>
        <v>1624</v>
      </c>
      <c r="Q54" s="135">
        <f>SUMIFS('YTD Personnel'!$G:$G,'YTD Personnel'!$B:$B,'YEP Summaries'!$A54,'YTD Personnel'!$C:$C,'YEP Summaries'!Q$3)</f>
        <v>73110</v>
      </c>
      <c r="R54" s="135">
        <f t="shared" ref="R54:R60" si="8">SUM(C54:Q54)</f>
        <v>646631</v>
      </c>
    </row>
    <row r="55" spans="1:18">
      <c r="A55" s="130" t="s">
        <v>800</v>
      </c>
      <c r="C55" s="135">
        <f>SUMIFS('YTD Personnel'!$G:$G,'YTD Personnel'!$B:$B,'YEP Summaries'!$A55,'YTD Personnel'!$C:$C,'YEP Summaries'!C$3)</f>
        <v>225455</v>
      </c>
      <c r="D55" s="135">
        <f>SUMIFS('YTD Personnel'!$G:$G,'YTD Personnel'!$B:$B,'YEP Summaries'!$A55,'YTD Personnel'!$C:$C,'YEP Summaries'!D$3)</f>
        <v>121011</v>
      </c>
      <c r="E55" s="135">
        <f>SUMIFS('YTD Personnel'!$G:$G,'YTD Personnel'!$B:$B,'YEP Summaries'!$A55,'YTD Personnel'!$C:$C,'YEP Summaries'!E$3)</f>
        <v>1000</v>
      </c>
      <c r="F55" s="135">
        <f>SUMIFS('YTD Personnel'!$G:$G,'YTD Personnel'!$B:$B,'YEP Summaries'!$A55,'YTD Personnel'!$C:$C,'YEP Summaries'!F$3)</f>
        <v>0</v>
      </c>
      <c r="G55" s="135">
        <f>SUMIFS('YTD Personnel'!$G:$G,'YTD Personnel'!$B:$B,'YEP Summaries'!$A55,'YTD Personnel'!$C:$C,'YEP Summaries'!G$3)</f>
        <v>2622</v>
      </c>
      <c r="H55" s="135">
        <f>SUMIFS('YTD Personnel'!$G:$G,'YTD Personnel'!$B:$B,'YEP Summaries'!$A55,'YTD Personnel'!$C:$C,'YEP Summaries'!H$3)</f>
        <v>0</v>
      </c>
      <c r="I55" s="135">
        <f>SUMIFS('YTD Personnel'!$G:$G,'YTD Personnel'!$B:$B,'YEP Summaries'!$A55,'YTD Personnel'!$C:$C,'YEP Summaries'!I$3)</f>
        <v>0</v>
      </c>
      <c r="J55" s="135">
        <f>SUMIFS('YTD Personnel'!$G:$G,'YTD Personnel'!$B:$B,'YEP Summaries'!$A55,'YTD Personnel'!$C:$C,'YEP Summaries'!J$3)</f>
        <v>0</v>
      </c>
      <c r="K55" s="135">
        <f>SUMIFS('YTD Personnel'!$G:$G,'YTD Personnel'!$B:$B,'YEP Summaries'!$A55,'YTD Personnel'!$C:$C,'YEP Summaries'!K$3)</f>
        <v>0</v>
      </c>
      <c r="L55" s="135">
        <f>SUMIFS('YTD Personnel'!$G:$G,'YTD Personnel'!$B:$B,'YEP Summaries'!$A55,'YTD Personnel'!$C:$C,'YEP Summaries'!L$3)</f>
        <v>0</v>
      </c>
      <c r="M55" s="135">
        <f>SUMIFS('YTD Personnel'!$G:$G,'YTD Personnel'!$B:$B,'YEP Summaries'!$A55,'YTD Personnel'!$C:$C,'YEP Summaries'!M$3)</f>
        <v>0</v>
      </c>
      <c r="N55" s="135">
        <f>SUMIFS('YTD Personnel'!$G:$G,'YTD Personnel'!$B:$B,'YEP Summaries'!$A55,'YTD Personnel'!$C:$C,'YEP Summaries'!N$3)</f>
        <v>26810</v>
      </c>
      <c r="O55" s="135">
        <f>SUMIFS('YTD Personnel'!$G:$G,'YTD Personnel'!$B:$B,'YEP Summaries'!$A55,'YTD Personnel'!$C:$C,'YEP Summaries'!O$3)</f>
        <v>69849</v>
      </c>
      <c r="P55" s="135">
        <f>SUMIFS('YTD Personnel'!$G:$G,'YTD Personnel'!$B:$B,'YEP Summaries'!$A55,'YTD Personnel'!$C:$C,'YEP Summaries'!P$3)</f>
        <v>500</v>
      </c>
      <c r="Q55" s="135">
        <f>SUMIFS('YTD Personnel'!$G:$G,'YTD Personnel'!$B:$B,'YEP Summaries'!$A55,'YTD Personnel'!$C:$C,'YEP Summaries'!Q$3)</f>
        <v>57904</v>
      </c>
      <c r="R55" s="135">
        <f t="shared" si="8"/>
        <v>505151</v>
      </c>
    </row>
    <row r="56" spans="1:18">
      <c r="A56" s="130" t="s">
        <v>801</v>
      </c>
      <c r="C56" s="135">
        <f>SUMIFS('YTD Personnel'!$G:$G,'YTD Personnel'!$B:$B,'YEP Summaries'!$A56,'YTD Personnel'!$C:$C,'YEP Summaries'!C$3)</f>
        <v>0</v>
      </c>
      <c r="D56" s="135">
        <f>SUMIFS('YTD Personnel'!$G:$G,'YTD Personnel'!$B:$B,'YEP Summaries'!$A56,'YTD Personnel'!$C:$C,'YEP Summaries'!D$3)</f>
        <v>194877</v>
      </c>
      <c r="E56" s="135">
        <f>SUMIFS('YTD Personnel'!$G:$G,'YTD Personnel'!$B:$B,'YEP Summaries'!$A56,'YTD Personnel'!$C:$C,'YEP Summaries'!E$3)</f>
        <v>2000</v>
      </c>
      <c r="F56" s="135">
        <f>SUMIFS('YTD Personnel'!$G:$G,'YTD Personnel'!$B:$B,'YEP Summaries'!$A56,'YTD Personnel'!$C:$C,'YEP Summaries'!F$3)</f>
        <v>0</v>
      </c>
      <c r="G56" s="135">
        <f>SUMIFS('YTD Personnel'!$G:$G,'YTD Personnel'!$B:$B,'YEP Summaries'!$A56,'YTD Personnel'!$C:$C,'YEP Summaries'!G$3)</f>
        <v>2076</v>
      </c>
      <c r="H56" s="135">
        <f>SUMIFS('YTD Personnel'!$G:$G,'YTD Personnel'!$B:$B,'YEP Summaries'!$A56,'YTD Personnel'!$C:$C,'YEP Summaries'!H$3)</f>
        <v>0</v>
      </c>
      <c r="I56" s="135">
        <f>SUMIFS('YTD Personnel'!$G:$G,'YTD Personnel'!$B:$B,'YEP Summaries'!$A56,'YTD Personnel'!$C:$C,'YEP Summaries'!I$3)</f>
        <v>0</v>
      </c>
      <c r="J56" s="135">
        <f>SUMIFS('YTD Personnel'!$G:$G,'YTD Personnel'!$B:$B,'YEP Summaries'!$A56,'YTD Personnel'!$C:$C,'YEP Summaries'!J$3)</f>
        <v>0</v>
      </c>
      <c r="K56" s="135">
        <f>SUMIFS('YTD Personnel'!$G:$G,'YTD Personnel'!$B:$B,'YEP Summaries'!$A56,'YTD Personnel'!$C:$C,'YEP Summaries'!K$3)</f>
        <v>900</v>
      </c>
      <c r="L56" s="135">
        <f>SUMIFS('YTD Personnel'!$G:$G,'YTD Personnel'!$B:$B,'YEP Summaries'!$A56,'YTD Personnel'!$C:$C,'YEP Summaries'!L$3)</f>
        <v>0</v>
      </c>
      <c r="M56" s="135">
        <f>SUMIFS('YTD Personnel'!$G:$G,'YTD Personnel'!$B:$B,'YEP Summaries'!$A56,'YTD Personnel'!$C:$C,'YEP Summaries'!M$3)</f>
        <v>0</v>
      </c>
      <c r="N56" s="135">
        <f>SUMIFS('YTD Personnel'!$G:$G,'YTD Personnel'!$B:$B,'YEP Summaries'!$A56,'YTD Personnel'!$C:$C,'YEP Summaries'!N$3)</f>
        <v>15330</v>
      </c>
      <c r="O56" s="135">
        <f>SUMIFS('YTD Personnel'!$G:$G,'YTD Personnel'!$B:$B,'YEP Summaries'!$A56,'YTD Personnel'!$C:$C,'YEP Summaries'!O$3)</f>
        <v>83394</v>
      </c>
      <c r="P56" s="135">
        <f>SUMIFS('YTD Personnel'!$G:$G,'YTD Personnel'!$B:$B,'YEP Summaries'!$A56,'YTD Personnel'!$C:$C,'YEP Summaries'!P$3)</f>
        <v>3212</v>
      </c>
      <c r="Q56" s="135">
        <f>SUMIFS('YTD Personnel'!$G:$G,'YTD Personnel'!$B:$B,'YEP Summaries'!$A56,'YTD Personnel'!$C:$C,'YEP Summaries'!Q$3)</f>
        <v>33056</v>
      </c>
      <c r="R56" s="135">
        <f t="shared" si="8"/>
        <v>334845</v>
      </c>
    </row>
    <row r="57" spans="1:18">
      <c r="A57" s="130" t="s">
        <v>802</v>
      </c>
      <c r="C57" s="135">
        <f>SUMIFS('YTD Personnel'!$G:$G,'YTD Personnel'!$B:$B,'YEP Summaries'!$A57,'YTD Personnel'!$C:$C,'YEP Summaries'!C$3)</f>
        <v>0</v>
      </c>
      <c r="D57" s="135">
        <f>SUMIFS('YTD Personnel'!$G:$G,'YTD Personnel'!$B:$B,'YEP Summaries'!$A57,'YTD Personnel'!$C:$C,'YEP Summaries'!D$3)</f>
        <v>299528</v>
      </c>
      <c r="E57" s="135">
        <f>SUMIFS('YTD Personnel'!$G:$G,'YTD Personnel'!$B:$B,'YEP Summaries'!$A57,'YTD Personnel'!$C:$C,'YEP Summaries'!E$3)</f>
        <v>22937</v>
      </c>
      <c r="F57" s="135">
        <f>SUMIFS('YTD Personnel'!$G:$G,'YTD Personnel'!$B:$B,'YEP Summaries'!$A57,'YTD Personnel'!$C:$C,'YEP Summaries'!F$3)</f>
        <v>0</v>
      </c>
      <c r="G57" s="135">
        <f>SUMIFS('YTD Personnel'!$G:$G,'YTD Personnel'!$B:$B,'YEP Summaries'!$A57,'YTD Personnel'!$C:$C,'YEP Summaries'!G$3)</f>
        <v>6062</v>
      </c>
      <c r="H57" s="135">
        <f>SUMIFS('YTD Personnel'!$G:$G,'YTD Personnel'!$B:$B,'YEP Summaries'!$A57,'YTD Personnel'!$C:$C,'YEP Summaries'!H$3)</f>
        <v>0</v>
      </c>
      <c r="I57" s="135">
        <f>SUMIFS('YTD Personnel'!$G:$G,'YTD Personnel'!$B:$B,'YEP Summaries'!$A57,'YTD Personnel'!$C:$C,'YEP Summaries'!I$3)</f>
        <v>0</v>
      </c>
      <c r="J57" s="135">
        <f>SUMIFS('YTD Personnel'!$G:$G,'YTD Personnel'!$B:$B,'YEP Summaries'!$A57,'YTD Personnel'!$C:$C,'YEP Summaries'!J$3)</f>
        <v>0</v>
      </c>
      <c r="K57" s="135">
        <f>SUMIFS('YTD Personnel'!$G:$G,'YTD Personnel'!$B:$B,'YEP Summaries'!$A57,'YTD Personnel'!$C:$C,'YEP Summaries'!K$3)</f>
        <v>2400</v>
      </c>
      <c r="L57" s="135">
        <f>SUMIFS('YTD Personnel'!$G:$G,'YTD Personnel'!$B:$B,'YEP Summaries'!$A57,'YTD Personnel'!$C:$C,'YEP Summaries'!L$3)</f>
        <v>0</v>
      </c>
      <c r="M57" s="135">
        <f>SUMIFS('YTD Personnel'!$G:$G,'YTD Personnel'!$B:$B,'YEP Summaries'!$A57,'YTD Personnel'!$C:$C,'YEP Summaries'!M$3)</f>
        <v>0</v>
      </c>
      <c r="N57" s="135">
        <f>SUMIFS('YTD Personnel'!$G:$G,'YTD Personnel'!$B:$B,'YEP Summaries'!$A57,'YTD Personnel'!$C:$C,'YEP Summaries'!N$3)</f>
        <v>25420</v>
      </c>
      <c r="O57" s="135">
        <f>SUMIFS('YTD Personnel'!$G:$G,'YTD Personnel'!$B:$B,'YEP Summaries'!$A57,'YTD Personnel'!$C:$C,'YEP Summaries'!O$3)</f>
        <v>86223</v>
      </c>
      <c r="P57" s="135">
        <f>SUMIFS('YTD Personnel'!$G:$G,'YTD Personnel'!$B:$B,'YEP Summaries'!$A57,'YTD Personnel'!$C:$C,'YEP Summaries'!P$3)</f>
        <v>5335</v>
      </c>
      <c r="Q57" s="135">
        <f>SUMIFS('YTD Personnel'!$G:$G,'YTD Personnel'!$B:$B,'YEP Summaries'!$A57,'YTD Personnel'!$C:$C,'YEP Summaries'!Q$3)</f>
        <v>54907</v>
      </c>
      <c r="R57" s="135">
        <f t="shared" si="8"/>
        <v>502812</v>
      </c>
    </row>
    <row r="58" spans="1:18">
      <c r="A58" s="130" t="s">
        <v>803</v>
      </c>
      <c r="C58" s="135">
        <f>SUMIFS('YTD Personnel'!$G:$G,'YTD Personnel'!$B:$B,'YEP Summaries'!$A58,'YTD Personnel'!$C:$C,'YEP Summaries'!C$3)</f>
        <v>0</v>
      </c>
      <c r="D58" s="135">
        <f>SUMIFS('YTD Personnel'!$G:$G,'YTD Personnel'!$B:$B,'YEP Summaries'!$A58,'YTD Personnel'!$C:$C,'YEP Summaries'!D$3)</f>
        <v>389672</v>
      </c>
      <c r="E58" s="135">
        <f>SUMIFS('YTD Personnel'!$G:$G,'YTD Personnel'!$B:$B,'YEP Summaries'!$A58,'YTD Personnel'!$C:$C,'YEP Summaries'!E$3)</f>
        <v>34957</v>
      </c>
      <c r="F58" s="135">
        <f>SUMIFS('YTD Personnel'!$G:$G,'YTD Personnel'!$B:$B,'YEP Summaries'!$A58,'YTD Personnel'!$C:$C,'YEP Summaries'!F$3)</f>
        <v>0</v>
      </c>
      <c r="G58" s="135">
        <f>SUMIFS('YTD Personnel'!$G:$G,'YTD Personnel'!$B:$B,'YEP Summaries'!$A58,'YTD Personnel'!$C:$C,'YEP Summaries'!G$3)</f>
        <v>2799</v>
      </c>
      <c r="H58" s="135">
        <f>SUMIFS('YTD Personnel'!$G:$G,'YTD Personnel'!$B:$B,'YEP Summaries'!$A58,'YTD Personnel'!$C:$C,'YEP Summaries'!H$3)</f>
        <v>0</v>
      </c>
      <c r="I58" s="135">
        <f>SUMIFS('YTD Personnel'!$G:$G,'YTD Personnel'!$B:$B,'YEP Summaries'!$A58,'YTD Personnel'!$C:$C,'YEP Summaries'!I$3)</f>
        <v>0</v>
      </c>
      <c r="J58" s="135">
        <f>SUMIFS('YTD Personnel'!$G:$G,'YTD Personnel'!$B:$B,'YEP Summaries'!$A58,'YTD Personnel'!$C:$C,'YEP Summaries'!J$3)</f>
        <v>0</v>
      </c>
      <c r="K58" s="135">
        <f>SUMIFS('YTD Personnel'!$G:$G,'YTD Personnel'!$B:$B,'YEP Summaries'!$A58,'YTD Personnel'!$C:$C,'YEP Summaries'!K$3)</f>
        <v>2750</v>
      </c>
      <c r="L58" s="135">
        <f>SUMIFS('YTD Personnel'!$G:$G,'YTD Personnel'!$B:$B,'YEP Summaries'!$A58,'YTD Personnel'!$C:$C,'YEP Summaries'!L$3)</f>
        <v>0</v>
      </c>
      <c r="M58" s="135">
        <f>SUMIFS('YTD Personnel'!$G:$G,'YTD Personnel'!$B:$B,'YEP Summaries'!$A58,'YTD Personnel'!$C:$C,'YEP Summaries'!M$3)</f>
        <v>0</v>
      </c>
      <c r="N58" s="135">
        <f>SUMIFS('YTD Personnel'!$G:$G,'YTD Personnel'!$B:$B,'YEP Summaries'!$A58,'YTD Personnel'!$C:$C,'YEP Summaries'!N$3)</f>
        <v>33090</v>
      </c>
      <c r="O58" s="135">
        <f>SUMIFS('YTD Personnel'!$G:$G,'YTD Personnel'!$B:$B,'YEP Summaries'!$A58,'YTD Personnel'!$C:$C,'YEP Summaries'!O$3)</f>
        <v>111039</v>
      </c>
      <c r="P58" s="135">
        <f>SUMIFS('YTD Personnel'!$G:$G,'YTD Personnel'!$B:$B,'YEP Summaries'!$A58,'YTD Personnel'!$C:$C,'YEP Summaries'!P$3)</f>
        <v>7758</v>
      </c>
      <c r="Q58" s="135">
        <f>SUMIFS('YTD Personnel'!$G:$G,'YTD Personnel'!$B:$B,'YEP Summaries'!$A58,'YTD Personnel'!$C:$C,'YEP Summaries'!Q$3)</f>
        <v>71424</v>
      </c>
      <c r="R58" s="135">
        <f t="shared" si="8"/>
        <v>653489</v>
      </c>
    </row>
    <row r="59" spans="1:18">
      <c r="A59" s="130" t="s">
        <v>804</v>
      </c>
      <c r="C59" s="135">
        <f>SUMIFS('YTD Personnel'!$G:$G,'YTD Personnel'!$B:$B,'YEP Summaries'!$A59,'YTD Personnel'!$C:$C,'YEP Summaries'!C$3)</f>
        <v>0</v>
      </c>
      <c r="D59" s="135">
        <f>SUMIFS('YTD Personnel'!$G:$G,'YTD Personnel'!$B:$B,'YEP Summaries'!$A59,'YTD Personnel'!$C:$C,'YEP Summaries'!D$3)</f>
        <v>458226</v>
      </c>
      <c r="E59" s="135">
        <f>SUMIFS('YTD Personnel'!$G:$G,'YTD Personnel'!$B:$B,'YEP Summaries'!$A59,'YTD Personnel'!$C:$C,'YEP Summaries'!E$3)</f>
        <v>26277</v>
      </c>
      <c r="F59" s="135">
        <f>SUMIFS('YTD Personnel'!$G:$G,'YTD Personnel'!$B:$B,'YEP Summaries'!$A59,'YTD Personnel'!$C:$C,'YEP Summaries'!F$3)</f>
        <v>0</v>
      </c>
      <c r="G59" s="135">
        <f>SUMIFS('YTD Personnel'!$G:$G,'YTD Personnel'!$B:$B,'YEP Summaries'!$A59,'YTD Personnel'!$C:$C,'YEP Summaries'!G$3)</f>
        <v>2890</v>
      </c>
      <c r="H59" s="135">
        <f>SUMIFS('YTD Personnel'!$G:$G,'YTD Personnel'!$B:$B,'YEP Summaries'!$A59,'YTD Personnel'!$C:$C,'YEP Summaries'!H$3)</f>
        <v>0</v>
      </c>
      <c r="I59" s="135">
        <f>SUMIFS('YTD Personnel'!$G:$G,'YTD Personnel'!$B:$B,'YEP Summaries'!$A59,'YTD Personnel'!$C:$C,'YEP Summaries'!I$3)</f>
        <v>0</v>
      </c>
      <c r="J59" s="135">
        <f>SUMIFS('YTD Personnel'!$G:$G,'YTD Personnel'!$B:$B,'YEP Summaries'!$A59,'YTD Personnel'!$C:$C,'YEP Summaries'!J$3)</f>
        <v>0</v>
      </c>
      <c r="K59" s="135">
        <f>SUMIFS('YTD Personnel'!$G:$G,'YTD Personnel'!$B:$B,'YEP Summaries'!$A59,'YTD Personnel'!$C:$C,'YEP Summaries'!K$3)</f>
        <v>2300</v>
      </c>
      <c r="L59" s="135">
        <f>SUMIFS('YTD Personnel'!$G:$G,'YTD Personnel'!$B:$B,'YEP Summaries'!$A59,'YTD Personnel'!$C:$C,'YEP Summaries'!L$3)</f>
        <v>0</v>
      </c>
      <c r="M59" s="135">
        <f>SUMIFS('YTD Personnel'!$G:$G,'YTD Personnel'!$B:$B,'YEP Summaries'!$A59,'YTD Personnel'!$C:$C,'YEP Summaries'!M$3)</f>
        <v>0</v>
      </c>
      <c r="N59" s="135">
        <f>SUMIFS('YTD Personnel'!$G:$G,'YTD Personnel'!$B:$B,'YEP Summaries'!$A59,'YTD Personnel'!$C:$C,'YEP Summaries'!N$3)</f>
        <v>37510</v>
      </c>
      <c r="O59" s="135">
        <f>SUMIFS('YTD Personnel'!$G:$G,'YTD Personnel'!$B:$B,'YEP Summaries'!$A59,'YTD Personnel'!$C:$C,'YEP Summaries'!O$3)</f>
        <v>164609</v>
      </c>
      <c r="P59" s="135">
        <f>SUMIFS('YTD Personnel'!$G:$G,'YTD Personnel'!$B:$B,'YEP Summaries'!$A59,'YTD Personnel'!$C:$C,'YEP Summaries'!P$3)</f>
        <v>8313</v>
      </c>
      <c r="Q59" s="135">
        <f>SUMIFS('YTD Personnel'!$G:$G,'YTD Personnel'!$B:$B,'YEP Summaries'!$A59,'YTD Personnel'!$C:$C,'YEP Summaries'!Q$3)</f>
        <v>80995</v>
      </c>
      <c r="R59" s="135">
        <f t="shared" si="8"/>
        <v>781120</v>
      </c>
    </row>
    <row r="60" spans="1:18">
      <c r="A60" s="130" t="s">
        <v>805</v>
      </c>
      <c r="C60" s="135">
        <f>SUMIFS('YTD Personnel'!$G:$G,'YTD Personnel'!$B:$B,'YEP Summaries'!$A60,'YTD Personnel'!$C:$C,'YEP Summaries'!C$3)</f>
        <v>0</v>
      </c>
      <c r="D60" s="135">
        <f>SUMIFS('YTD Personnel'!$G:$G,'YTD Personnel'!$B:$B,'YEP Summaries'!$A60,'YTD Personnel'!$C:$C,'YEP Summaries'!D$3)</f>
        <v>104317</v>
      </c>
      <c r="E60" s="135">
        <f>SUMIFS('YTD Personnel'!$G:$G,'YTD Personnel'!$B:$B,'YEP Summaries'!$A60,'YTD Personnel'!$C:$C,'YEP Summaries'!E$3)</f>
        <v>1000</v>
      </c>
      <c r="F60" s="135">
        <f>SUMIFS('YTD Personnel'!$G:$G,'YTD Personnel'!$B:$B,'YEP Summaries'!$A60,'YTD Personnel'!$C:$C,'YEP Summaries'!F$3)</f>
        <v>0</v>
      </c>
      <c r="G60" s="135">
        <f>SUMIFS('YTD Personnel'!$G:$G,'YTD Personnel'!$B:$B,'YEP Summaries'!$A60,'YTD Personnel'!$C:$C,'YEP Summaries'!G$3)</f>
        <v>1614</v>
      </c>
      <c r="H60" s="135">
        <f>SUMIFS('YTD Personnel'!$G:$G,'YTD Personnel'!$B:$B,'YEP Summaries'!$A60,'YTD Personnel'!$C:$C,'YEP Summaries'!H$3)</f>
        <v>0</v>
      </c>
      <c r="I60" s="135">
        <f>SUMIFS('YTD Personnel'!$G:$G,'YTD Personnel'!$B:$B,'YEP Summaries'!$A60,'YTD Personnel'!$C:$C,'YEP Summaries'!I$3)</f>
        <v>0</v>
      </c>
      <c r="J60" s="135">
        <f>SUMIFS('YTD Personnel'!$G:$G,'YTD Personnel'!$B:$B,'YEP Summaries'!$A60,'YTD Personnel'!$C:$C,'YEP Summaries'!J$3)</f>
        <v>0</v>
      </c>
      <c r="K60" s="135">
        <f>SUMIFS('YTD Personnel'!$G:$G,'YTD Personnel'!$B:$B,'YEP Summaries'!$A60,'YTD Personnel'!$C:$C,'YEP Summaries'!K$3)</f>
        <v>0</v>
      </c>
      <c r="L60" s="135">
        <f>SUMIFS('YTD Personnel'!$G:$G,'YTD Personnel'!$B:$B,'YEP Summaries'!$A60,'YTD Personnel'!$C:$C,'YEP Summaries'!L$3)</f>
        <v>0</v>
      </c>
      <c r="M60" s="135">
        <f>SUMIFS('YTD Personnel'!$G:$G,'YTD Personnel'!$B:$B,'YEP Summaries'!$A60,'YTD Personnel'!$C:$C,'YEP Summaries'!M$3)</f>
        <v>0</v>
      </c>
      <c r="N60" s="135">
        <f>SUMIFS('YTD Personnel'!$G:$G,'YTD Personnel'!$B:$B,'YEP Summaries'!$A60,'YTD Personnel'!$C:$C,'YEP Summaries'!N$3)</f>
        <v>8240</v>
      </c>
      <c r="O60" s="135">
        <f>SUMIFS('YTD Personnel'!$G:$G,'YTD Personnel'!$B:$B,'YEP Summaries'!$A60,'YTD Personnel'!$C:$C,'YEP Summaries'!O$3)</f>
        <v>19557</v>
      </c>
      <c r="P60" s="135">
        <f>SUMIFS('YTD Personnel'!$G:$G,'YTD Personnel'!$B:$B,'YEP Summaries'!$A60,'YTD Personnel'!$C:$C,'YEP Summaries'!P$3)</f>
        <v>1458</v>
      </c>
      <c r="Q60" s="135">
        <f>SUMIFS('YTD Personnel'!$G:$G,'YTD Personnel'!$B:$B,'YEP Summaries'!$A60,'YTD Personnel'!$C:$C,'YEP Summaries'!Q$3)</f>
        <v>17788</v>
      </c>
      <c r="R60" s="135">
        <f t="shared" si="8"/>
        <v>153974</v>
      </c>
    </row>
    <row r="61" spans="1:18">
      <c r="A61" s="130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</row>
    <row r="62" spans="1:18">
      <c r="A62" s="130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</row>
    <row r="63" spans="1:18">
      <c r="A63" s="130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</row>
    <row r="64" spans="1:18">
      <c r="A64" s="130" t="s">
        <v>798</v>
      </c>
      <c r="C64" s="135">
        <f>SUMIFS('YTD Personnel'!$G:$G,'YTD Personnel'!$B:$B,'YEP Summaries'!$A64,'YTD Personnel'!$C:$C,'YEP Summaries'!C$3)</f>
        <v>0</v>
      </c>
      <c r="D64" s="135">
        <f>SUMIFS('YTD Personnel'!$G:$G,'YTD Personnel'!$B:$B,'YEP Summaries'!$A64,'YTD Personnel'!$C:$C,'YEP Summaries'!D$3)</f>
        <v>430437</v>
      </c>
      <c r="E64" s="135">
        <f>SUMIFS('YTD Personnel'!$G:$G,'YTD Personnel'!$B:$B,'YEP Summaries'!$A64,'YTD Personnel'!$C:$C,'YEP Summaries'!E$3)</f>
        <v>31387</v>
      </c>
      <c r="F64" s="135">
        <f>SUMIFS('YTD Personnel'!$G:$G,'YTD Personnel'!$B:$B,'YEP Summaries'!$A64,'YTD Personnel'!$C:$C,'YEP Summaries'!F$3)</f>
        <v>0</v>
      </c>
      <c r="G64" s="135">
        <f>SUMIFS('YTD Personnel'!$G:$G,'YTD Personnel'!$B:$B,'YEP Summaries'!$A64,'YTD Personnel'!$C:$C,'YEP Summaries'!G$3)</f>
        <v>4269</v>
      </c>
      <c r="H64" s="135">
        <f>SUMIFS('YTD Personnel'!$G:$G,'YTD Personnel'!$B:$B,'YEP Summaries'!$A64,'YTD Personnel'!$C:$C,'YEP Summaries'!H$3)</f>
        <v>0</v>
      </c>
      <c r="I64" s="135">
        <f>SUMIFS('YTD Personnel'!$G:$G,'YTD Personnel'!$B:$B,'YEP Summaries'!$A64,'YTD Personnel'!$C:$C,'YEP Summaries'!I$3)</f>
        <v>0</v>
      </c>
      <c r="J64" s="135">
        <f>SUMIFS('YTD Personnel'!$G:$G,'YTD Personnel'!$B:$B,'YEP Summaries'!$A64,'YTD Personnel'!$C:$C,'YEP Summaries'!J$3)</f>
        <v>0</v>
      </c>
      <c r="K64" s="135">
        <f>SUMIFS('YTD Personnel'!$G:$G,'YTD Personnel'!$B:$B,'YEP Summaries'!$A64,'YTD Personnel'!$C:$C,'YEP Summaries'!K$3)</f>
        <v>0</v>
      </c>
      <c r="L64" s="135">
        <f>SUMIFS('YTD Personnel'!$G:$G,'YTD Personnel'!$B:$B,'YEP Summaries'!$A64,'YTD Personnel'!$C:$C,'YEP Summaries'!L$3)</f>
        <v>0</v>
      </c>
      <c r="M64" s="135">
        <f>SUMIFS('YTD Personnel'!$G:$G,'YTD Personnel'!$B:$B,'YEP Summaries'!$A64,'YTD Personnel'!$C:$C,'YEP Summaries'!M$3)</f>
        <v>0</v>
      </c>
      <c r="N64" s="135">
        <f>SUMIFS('YTD Personnel'!$G:$G,'YTD Personnel'!$B:$B,'YEP Summaries'!$A64,'YTD Personnel'!$C:$C,'YEP Summaries'!N$3)</f>
        <v>35790</v>
      </c>
      <c r="O64" s="135">
        <f>SUMIFS('YTD Personnel'!$G:$G,'YTD Personnel'!$B:$B,'YEP Summaries'!$A64,'YTD Personnel'!$C:$C,'YEP Summaries'!O$3)</f>
        <v>105314</v>
      </c>
      <c r="P64" s="135">
        <f>SUMIFS('YTD Personnel'!$G:$G,'YTD Personnel'!$B:$B,'YEP Summaries'!$A64,'YTD Personnel'!$C:$C,'YEP Summaries'!P$3)</f>
        <v>9989</v>
      </c>
      <c r="Q64" s="135">
        <f>SUMIFS('YTD Personnel'!$G:$G,'YTD Personnel'!$B:$B,'YEP Summaries'!$A64,'YTD Personnel'!$C:$C,'YEP Summaries'!Q$3)</f>
        <v>77293</v>
      </c>
      <c r="R64" s="135">
        <f t="shared" ref="R64" si="9">SUM(C64:Q64)</f>
        <v>694479</v>
      </c>
    </row>
    <row r="65" spans="1:18">
      <c r="A65" s="130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</row>
    <row r="66" spans="1:18">
      <c r="A66" s="130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</row>
    <row r="67" spans="1:18" ht="16.2" thickBot="1">
      <c r="A67" s="130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</row>
    <row r="68" spans="1:18" ht="16.2" thickBot="1">
      <c r="C68" s="136" t="s">
        <v>2990</v>
      </c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245"/>
    </row>
    <row r="70" spans="1:18">
      <c r="A70" s="130" t="s">
        <v>759</v>
      </c>
      <c r="C70" s="135">
        <f>SUMIFS('YTD Personnel'!$I:$I,'YTD Personnel'!$B:$B,'YEP Summaries'!$A70,'YTD Personnel'!$C:$C,'YEP Summaries'!C$3)</f>
        <v>244147.46</v>
      </c>
      <c r="D70" s="135">
        <f>SUMIFS('YTD Personnel'!$I:$I,'YTD Personnel'!$B:$B,'YEP Summaries'!$A70,'YTD Personnel'!$C:$C,'YEP Summaries'!D$3)</f>
        <v>46673.54</v>
      </c>
      <c r="E70" s="135">
        <f>SUMIFS('YTD Personnel'!$I:$I,'YTD Personnel'!$B:$B,'YEP Summaries'!$A70,'YTD Personnel'!$C:$C,'YEP Summaries'!E$3)</f>
        <v>1349.9</v>
      </c>
      <c r="F70" s="135">
        <f>SUMIFS('YTD Personnel'!$I:$I,'YTD Personnel'!$B:$B,'YEP Summaries'!$A70,'YTD Personnel'!$C:$C,'YEP Summaries'!F$3)</f>
        <v>0</v>
      </c>
      <c r="G70" s="135">
        <f>SUMIFS('YTD Personnel'!$I:$I,'YTD Personnel'!$B:$B,'YEP Summaries'!$A70,'YTD Personnel'!$C:$C,'YEP Summaries'!G$3)</f>
        <v>2450</v>
      </c>
      <c r="H70" s="135">
        <f>SUMIFS('YTD Personnel'!$I:$I,'YTD Personnel'!$B:$B,'YEP Summaries'!$A70,'YTD Personnel'!$C:$C,'YEP Summaries'!H$3)</f>
        <v>0</v>
      </c>
      <c r="I70" s="135">
        <f>SUMIFS('YTD Personnel'!$I:$I,'YTD Personnel'!$B:$B,'YEP Summaries'!$A70,'YTD Personnel'!$C:$C,'YEP Summaries'!I$3)</f>
        <v>0</v>
      </c>
      <c r="J70" s="135"/>
      <c r="K70" s="135">
        <f>SUMIFS('YTD Personnel'!$I:$I,'YTD Personnel'!$B:$B,'YEP Summaries'!$A70,'YTD Personnel'!$C:$C,'YEP Summaries'!K$3)</f>
        <v>0</v>
      </c>
      <c r="L70" s="135">
        <f>SUMIFS('YTD Personnel'!$I:$I,'YTD Personnel'!$B:$B,'YEP Summaries'!$A70,'YTD Personnel'!$C:$C,'YEP Summaries'!L$3)</f>
        <v>2976</v>
      </c>
      <c r="M70" s="135">
        <f>SUMIFS('YTD Personnel'!$I:$I,'YTD Personnel'!$B:$B,'YEP Summaries'!$A70,'YTD Personnel'!$C:$C,'YEP Summaries'!M$3)</f>
        <v>0</v>
      </c>
      <c r="N70" s="135">
        <f>SUMIFS('YTD Personnel'!$I:$I,'YTD Personnel'!$B:$B,'YEP Summaries'!$A70,'YTD Personnel'!$C:$C,'YEP Summaries'!N$3)</f>
        <v>18240.28</v>
      </c>
      <c r="O70" s="135">
        <f>SUMIFS('YTD Personnel'!$I:$I,'YTD Personnel'!$B:$B,'YEP Summaries'!$A70,'YTD Personnel'!$C:$C,'YEP Summaries'!O$3)</f>
        <v>32941.49</v>
      </c>
      <c r="P70" s="135">
        <f>SUMIFS('YTD Personnel'!$I:$I,'YTD Personnel'!$B:$B,'YEP Summaries'!$A70,'YTD Personnel'!$C:$C,'YEP Summaries'!P$3)</f>
        <v>591.51</v>
      </c>
      <c r="Q70" s="135">
        <f>SUMIFS('YTD Personnel'!$I:$I,'YTD Personnel'!$B:$B,'YEP Summaries'!$A70,'YTD Personnel'!$C:$C,'YEP Summaries'!Q$3)</f>
        <v>51925.53</v>
      </c>
      <c r="R70" s="135">
        <f t="shared" ref="R70:R98" si="10">SUM(C70:Q70)</f>
        <v>401295.71000000008</v>
      </c>
    </row>
    <row r="71" spans="1:18">
      <c r="A71" s="130" t="s">
        <v>760</v>
      </c>
      <c r="C71" s="135">
        <f>SUMIFS('YTD Personnel'!$I:$I,'YTD Personnel'!$B:$B,'YEP Summaries'!$A71,'YTD Personnel'!$C:$C,'YEP Summaries'!C$3)</f>
        <v>0</v>
      </c>
      <c r="D71" s="135">
        <f>SUMIFS('YTD Personnel'!$I:$I,'YTD Personnel'!$B:$B,'YEP Summaries'!$A71,'YTD Personnel'!$C:$C,'YEP Summaries'!D$3)</f>
        <v>0</v>
      </c>
      <c r="E71" s="135">
        <f>SUMIFS('YTD Personnel'!$I:$I,'YTD Personnel'!$B:$B,'YEP Summaries'!$A71,'YTD Personnel'!$C:$C,'YEP Summaries'!E$3)</f>
        <v>0</v>
      </c>
      <c r="F71" s="135">
        <f>SUMIFS('YTD Personnel'!$I:$I,'YTD Personnel'!$B:$B,'YEP Summaries'!$A71,'YTD Personnel'!$C:$C,'YEP Summaries'!F$3)</f>
        <v>0</v>
      </c>
      <c r="G71" s="135">
        <f>SUMIFS('YTD Personnel'!$I:$I,'YTD Personnel'!$B:$B,'YEP Summaries'!$A71,'YTD Personnel'!$C:$C,'YEP Summaries'!G$3)</f>
        <v>0</v>
      </c>
      <c r="H71" s="135">
        <f>SUMIFS('YTD Personnel'!$I:$I,'YTD Personnel'!$B:$B,'YEP Summaries'!$A71,'YTD Personnel'!$C:$C,'YEP Summaries'!H$3)</f>
        <v>0</v>
      </c>
      <c r="I71" s="135">
        <f>SUMIFS('YTD Personnel'!$I:$I,'YTD Personnel'!$B:$B,'YEP Summaries'!$A71,'YTD Personnel'!$C:$C,'YEP Summaries'!I$3)</f>
        <v>0</v>
      </c>
      <c r="J71" s="135"/>
      <c r="K71" s="135">
        <f>SUMIFS('YTD Personnel'!$I:$I,'YTD Personnel'!$B:$B,'YEP Summaries'!$A71,'YTD Personnel'!$C:$C,'YEP Summaries'!K$3)</f>
        <v>0</v>
      </c>
      <c r="L71" s="135">
        <f>SUMIFS('YTD Personnel'!$I:$I,'YTD Personnel'!$B:$B,'YEP Summaries'!$A71,'YTD Personnel'!$C:$C,'YEP Summaries'!L$3)</f>
        <v>0</v>
      </c>
      <c r="M71" s="135">
        <f>SUMIFS('YTD Personnel'!$I:$I,'YTD Personnel'!$B:$B,'YEP Summaries'!$A71,'YTD Personnel'!$C:$C,'YEP Summaries'!M$3)</f>
        <v>0</v>
      </c>
      <c r="N71" s="135">
        <f>SUMIFS('YTD Personnel'!$I:$I,'YTD Personnel'!$B:$B,'YEP Summaries'!$A71,'YTD Personnel'!$C:$C,'YEP Summaries'!N$3)</f>
        <v>0</v>
      </c>
      <c r="O71" s="135">
        <f>SUMIFS('YTD Personnel'!$I:$I,'YTD Personnel'!$B:$B,'YEP Summaries'!$A71,'YTD Personnel'!$C:$C,'YEP Summaries'!O$3)</f>
        <v>0</v>
      </c>
      <c r="P71" s="135">
        <f>SUMIFS('YTD Personnel'!$I:$I,'YTD Personnel'!$B:$B,'YEP Summaries'!$A71,'YTD Personnel'!$C:$C,'YEP Summaries'!P$3)</f>
        <v>23.98</v>
      </c>
      <c r="Q71" s="135">
        <f>SUMIFS('YTD Personnel'!$I:$I,'YTD Personnel'!$B:$B,'YEP Summaries'!$A71,'YTD Personnel'!$C:$C,'YEP Summaries'!Q$3)</f>
        <v>0</v>
      </c>
      <c r="R71" s="135">
        <f t="shared" si="10"/>
        <v>23.98</v>
      </c>
    </row>
    <row r="72" spans="1:18">
      <c r="A72" s="130" t="s">
        <v>761</v>
      </c>
      <c r="C72" s="135">
        <f>SUMIFS('YTD Personnel'!$I:$I,'YTD Personnel'!$B:$B,'YEP Summaries'!$A72,'YTD Personnel'!$C:$C,'YEP Summaries'!C$3)</f>
        <v>168601.63</v>
      </c>
      <c r="D72" s="135">
        <f>SUMIFS('YTD Personnel'!$I:$I,'YTD Personnel'!$B:$B,'YEP Summaries'!$A72,'YTD Personnel'!$C:$C,'YEP Summaries'!D$3)</f>
        <v>0</v>
      </c>
      <c r="E72" s="135">
        <f>SUMIFS('YTD Personnel'!$I:$I,'YTD Personnel'!$B:$B,'YEP Summaries'!$A72,'YTD Personnel'!$C:$C,'YEP Summaries'!E$3)</f>
        <v>0</v>
      </c>
      <c r="F72" s="135">
        <f>SUMIFS('YTD Personnel'!$I:$I,'YTD Personnel'!$B:$B,'YEP Summaries'!$A72,'YTD Personnel'!$C:$C,'YEP Summaries'!F$3)</f>
        <v>0</v>
      </c>
      <c r="G72" s="135">
        <f>SUMIFS('YTD Personnel'!$I:$I,'YTD Personnel'!$B:$B,'YEP Summaries'!$A72,'YTD Personnel'!$C:$C,'YEP Summaries'!G$3)</f>
        <v>655</v>
      </c>
      <c r="H72" s="135">
        <f>SUMIFS('YTD Personnel'!$I:$I,'YTD Personnel'!$B:$B,'YEP Summaries'!$A72,'YTD Personnel'!$C:$C,'YEP Summaries'!H$3)</f>
        <v>0</v>
      </c>
      <c r="I72" s="135">
        <f>SUMIFS('YTD Personnel'!$I:$I,'YTD Personnel'!$B:$B,'YEP Summaries'!$A72,'YTD Personnel'!$C:$C,'YEP Summaries'!I$3)</f>
        <v>0</v>
      </c>
      <c r="J72" s="135"/>
      <c r="K72" s="135">
        <f>SUMIFS('YTD Personnel'!$I:$I,'YTD Personnel'!$B:$B,'YEP Summaries'!$A72,'YTD Personnel'!$C:$C,'YEP Summaries'!K$3)</f>
        <v>0</v>
      </c>
      <c r="L72" s="135">
        <f>SUMIFS('YTD Personnel'!$I:$I,'YTD Personnel'!$B:$B,'YEP Summaries'!$A72,'YTD Personnel'!$C:$C,'YEP Summaries'!L$3)</f>
        <v>0</v>
      </c>
      <c r="M72" s="135">
        <f>SUMIFS('YTD Personnel'!$I:$I,'YTD Personnel'!$B:$B,'YEP Summaries'!$A72,'YTD Personnel'!$C:$C,'YEP Summaries'!M$3)</f>
        <v>0</v>
      </c>
      <c r="N72" s="135">
        <f>SUMIFS('YTD Personnel'!$I:$I,'YTD Personnel'!$B:$B,'YEP Summaries'!$A72,'YTD Personnel'!$C:$C,'YEP Summaries'!N$3)</f>
        <v>12117.39</v>
      </c>
      <c r="O72" s="135">
        <f>SUMIFS('YTD Personnel'!$I:$I,'YTD Personnel'!$B:$B,'YEP Summaries'!$A72,'YTD Personnel'!$C:$C,'YEP Summaries'!O$3)</f>
        <v>30418.83</v>
      </c>
      <c r="P72" s="135">
        <f>SUMIFS('YTD Personnel'!$I:$I,'YTD Personnel'!$B:$B,'YEP Summaries'!$A72,'YTD Personnel'!$C:$C,'YEP Summaries'!P$3)</f>
        <v>254.79</v>
      </c>
      <c r="Q72" s="135">
        <f>SUMIFS('YTD Personnel'!$I:$I,'YTD Personnel'!$B:$B,'YEP Summaries'!$A72,'YTD Personnel'!$C:$C,'YEP Summaries'!Q$3)</f>
        <v>28168.75</v>
      </c>
      <c r="R72" s="135">
        <f t="shared" si="10"/>
        <v>240216.39000000004</v>
      </c>
    </row>
    <row r="73" spans="1:18">
      <c r="A73" s="130" t="s">
        <v>762</v>
      </c>
      <c r="C73" s="135">
        <f>SUMIFS('YTD Personnel'!$I:$I,'YTD Personnel'!$B:$B,'YEP Summaries'!$A73,'YTD Personnel'!$C:$C,'YEP Summaries'!C$3)</f>
        <v>126616.04</v>
      </c>
      <c r="D73" s="135">
        <f>SUMIFS('YTD Personnel'!$I:$I,'YTD Personnel'!$B:$B,'YEP Summaries'!$A73,'YTD Personnel'!$C:$C,'YEP Summaries'!D$3)</f>
        <v>0</v>
      </c>
      <c r="E73" s="135">
        <f>SUMIFS('YTD Personnel'!$I:$I,'YTD Personnel'!$B:$B,'YEP Summaries'!$A73,'YTD Personnel'!$C:$C,'YEP Summaries'!E$3)</f>
        <v>0</v>
      </c>
      <c r="F73" s="135">
        <f>SUMIFS('YTD Personnel'!$I:$I,'YTD Personnel'!$B:$B,'YEP Summaries'!$A73,'YTD Personnel'!$C:$C,'YEP Summaries'!F$3)</f>
        <v>0</v>
      </c>
      <c r="G73" s="135">
        <f>SUMIFS('YTD Personnel'!$I:$I,'YTD Personnel'!$B:$B,'YEP Summaries'!$A73,'YTD Personnel'!$C:$C,'YEP Summaries'!G$3)</f>
        <v>820</v>
      </c>
      <c r="H73" s="135">
        <f>SUMIFS('YTD Personnel'!$I:$I,'YTD Personnel'!$B:$B,'YEP Summaries'!$A73,'YTD Personnel'!$C:$C,'YEP Summaries'!H$3)</f>
        <v>0</v>
      </c>
      <c r="I73" s="135">
        <f>SUMIFS('YTD Personnel'!$I:$I,'YTD Personnel'!$B:$B,'YEP Summaries'!$A73,'YTD Personnel'!$C:$C,'YEP Summaries'!I$3)</f>
        <v>0</v>
      </c>
      <c r="J73" s="135"/>
      <c r="K73" s="135">
        <f>SUMIFS('YTD Personnel'!$I:$I,'YTD Personnel'!$B:$B,'YEP Summaries'!$A73,'YTD Personnel'!$C:$C,'YEP Summaries'!K$3)</f>
        <v>0</v>
      </c>
      <c r="L73" s="135">
        <f>SUMIFS('YTD Personnel'!$I:$I,'YTD Personnel'!$B:$B,'YEP Summaries'!$A73,'YTD Personnel'!$C:$C,'YEP Summaries'!L$3)</f>
        <v>0</v>
      </c>
      <c r="M73" s="135">
        <f>SUMIFS('YTD Personnel'!$I:$I,'YTD Personnel'!$B:$B,'YEP Summaries'!$A73,'YTD Personnel'!$C:$C,'YEP Summaries'!M$3)</f>
        <v>0</v>
      </c>
      <c r="N73" s="135">
        <f>SUMIFS('YTD Personnel'!$I:$I,'YTD Personnel'!$B:$B,'YEP Summaries'!$A73,'YTD Personnel'!$C:$C,'YEP Summaries'!N$3)</f>
        <v>8808.39</v>
      </c>
      <c r="O73" s="135">
        <f>SUMIFS('YTD Personnel'!$I:$I,'YTD Personnel'!$B:$B,'YEP Summaries'!$A73,'YTD Personnel'!$C:$C,'YEP Summaries'!O$3)</f>
        <v>24142.03</v>
      </c>
      <c r="P73" s="135">
        <f>SUMIFS('YTD Personnel'!$I:$I,'YTD Personnel'!$B:$B,'YEP Summaries'!$A73,'YTD Personnel'!$C:$C,'YEP Summaries'!P$3)</f>
        <v>240.81</v>
      </c>
      <c r="Q73" s="135">
        <f>SUMIFS('YTD Personnel'!$I:$I,'YTD Personnel'!$B:$B,'YEP Summaries'!$A73,'YTD Personnel'!$C:$C,'YEP Summaries'!Q$3)</f>
        <v>21330.17</v>
      </c>
      <c r="R73" s="135">
        <f t="shared" si="10"/>
        <v>181957.44</v>
      </c>
    </row>
    <row r="74" spans="1:18">
      <c r="A74" s="130" t="s">
        <v>763</v>
      </c>
      <c r="C74" s="135">
        <f>SUMIFS('YTD Personnel'!$I:$I,'YTD Personnel'!$B:$B,'YEP Summaries'!$A74,'YTD Personnel'!$C:$C,'YEP Summaries'!C$3)</f>
        <v>0</v>
      </c>
      <c r="D74" s="135">
        <f>SUMIFS('YTD Personnel'!$I:$I,'YTD Personnel'!$B:$B,'YEP Summaries'!$A74,'YTD Personnel'!$C:$C,'YEP Summaries'!D$3)</f>
        <v>0</v>
      </c>
      <c r="E74" s="135">
        <f>SUMIFS('YTD Personnel'!$I:$I,'YTD Personnel'!$B:$B,'YEP Summaries'!$A74,'YTD Personnel'!$C:$C,'YEP Summaries'!E$3)</f>
        <v>0</v>
      </c>
      <c r="F74" s="135">
        <f>SUMIFS('YTD Personnel'!$I:$I,'YTD Personnel'!$B:$B,'YEP Summaries'!$A74,'YTD Personnel'!$C:$C,'YEP Summaries'!F$3)</f>
        <v>0</v>
      </c>
      <c r="G74" s="135">
        <f>SUMIFS('YTD Personnel'!$I:$I,'YTD Personnel'!$B:$B,'YEP Summaries'!$A74,'YTD Personnel'!$C:$C,'YEP Summaries'!G$3)</f>
        <v>0</v>
      </c>
      <c r="H74" s="135">
        <f>SUMIFS('YTD Personnel'!$I:$I,'YTD Personnel'!$B:$B,'YEP Summaries'!$A74,'YTD Personnel'!$C:$C,'YEP Summaries'!H$3)</f>
        <v>0</v>
      </c>
      <c r="I74" s="135">
        <f>SUMIFS('YTD Personnel'!$I:$I,'YTD Personnel'!$B:$B,'YEP Summaries'!$A74,'YTD Personnel'!$C:$C,'YEP Summaries'!I$3)</f>
        <v>0</v>
      </c>
      <c r="J74" s="135"/>
      <c r="K74" s="135">
        <f>SUMIFS('YTD Personnel'!$I:$I,'YTD Personnel'!$B:$B,'YEP Summaries'!$A74,'YTD Personnel'!$C:$C,'YEP Summaries'!K$3)</f>
        <v>0</v>
      </c>
      <c r="L74" s="135">
        <f>SUMIFS('YTD Personnel'!$I:$I,'YTD Personnel'!$B:$B,'YEP Summaries'!$A74,'YTD Personnel'!$C:$C,'YEP Summaries'!L$3)</f>
        <v>0</v>
      </c>
      <c r="M74" s="135">
        <f>SUMIFS('YTD Personnel'!$I:$I,'YTD Personnel'!$B:$B,'YEP Summaries'!$A74,'YTD Personnel'!$C:$C,'YEP Summaries'!M$3)</f>
        <v>0</v>
      </c>
      <c r="N74" s="135">
        <f>SUMIFS('YTD Personnel'!$I:$I,'YTD Personnel'!$B:$B,'YEP Summaries'!$A74,'YTD Personnel'!$C:$C,'YEP Summaries'!N$3)</f>
        <v>0</v>
      </c>
      <c r="O74" s="135">
        <f>SUMIFS('YTD Personnel'!$I:$I,'YTD Personnel'!$B:$B,'YEP Summaries'!$A74,'YTD Personnel'!$C:$C,'YEP Summaries'!O$3)</f>
        <v>0</v>
      </c>
      <c r="P74" s="135">
        <f>SUMIFS('YTD Personnel'!$I:$I,'YTD Personnel'!$B:$B,'YEP Summaries'!$A74,'YTD Personnel'!$C:$C,'YEP Summaries'!P$3)</f>
        <v>277.77</v>
      </c>
      <c r="Q74" s="135">
        <f>SUMIFS('YTD Personnel'!$I:$I,'YTD Personnel'!$B:$B,'YEP Summaries'!$A74,'YTD Personnel'!$C:$C,'YEP Summaries'!Q$3)</f>
        <v>0</v>
      </c>
      <c r="R74" s="135">
        <f t="shared" si="10"/>
        <v>277.77</v>
      </c>
    </row>
    <row r="75" spans="1:18">
      <c r="A75" s="130" t="s">
        <v>764</v>
      </c>
      <c r="C75" s="135">
        <f>SUMIFS('YTD Personnel'!$I:$I,'YTD Personnel'!$B:$B,'YEP Summaries'!$A75,'YTD Personnel'!$C:$C,'YEP Summaries'!C$3)</f>
        <v>87190.89</v>
      </c>
      <c r="D75" s="135">
        <f>SUMIFS('YTD Personnel'!$I:$I,'YTD Personnel'!$B:$B,'YEP Summaries'!$A75,'YTD Personnel'!$C:$C,'YEP Summaries'!D$3)</f>
        <v>81938.78</v>
      </c>
      <c r="E75" s="135">
        <f>SUMIFS('YTD Personnel'!$I:$I,'YTD Personnel'!$B:$B,'YEP Summaries'!$A75,'YTD Personnel'!$C:$C,'YEP Summaries'!E$3)</f>
        <v>873.34</v>
      </c>
      <c r="F75" s="135">
        <f>SUMIFS('YTD Personnel'!$I:$I,'YTD Personnel'!$B:$B,'YEP Summaries'!$A75,'YTD Personnel'!$C:$C,'YEP Summaries'!F$3)</f>
        <v>0</v>
      </c>
      <c r="G75" s="135">
        <f>SUMIFS('YTD Personnel'!$I:$I,'YTD Personnel'!$B:$B,'YEP Summaries'!$A75,'YTD Personnel'!$C:$C,'YEP Summaries'!G$3)</f>
        <v>2015</v>
      </c>
      <c r="H75" s="135">
        <f>SUMIFS('YTD Personnel'!$I:$I,'YTD Personnel'!$B:$B,'YEP Summaries'!$A75,'YTD Personnel'!$C:$C,'YEP Summaries'!H$3)</f>
        <v>0</v>
      </c>
      <c r="I75" s="135">
        <f>SUMIFS('YTD Personnel'!$I:$I,'YTD Personnel'!$B:$B,'YEP Summaries'!$A75,'YTD Personnel'!$C:$C,'YEP Summaries'!I$3)</f>
        <v>0</v>
      </c>
      <c r="J75" s="135"/>
      <c r="K75" s="135">
        <f>SUMIFS('YTD Personnel'!$I:$I,'YTD Personnel'!$B:$B,'YEP Summaries'!$A75,'YTD Personnel'!$C:$C,'YEP Summaries'!K$3)</f>
        <v>0</v>
      </c>
      <c r="L75" s="135">
        <f>SUMIFS('YTD Personnel'!$I:$I,'YTD Personnel'!$B:$B,'YEP Summaries'!$A75,'YTD Personnel'!$C:$C,'YEP Summaries'!L$3)</f>
        <v>0</v>
      </c>
      <c r="M75" s="135">
        <f>SUMIFS('YTD Personnel'!$I:$I,'YTD Personnel'!$B:$B,'YEP Summaries'!$A75,'YTD Personnel'!$C:$C,'YEP Summaries'!M$3)</f>
        <v>0</v>
      </c>
      <c r="N75" s="135">
        <f>SUMIFS('YTD Personnel'!$I:$I,'YTD Personnel'!$B:$B,'YEP Summaries'!$A75,'YTD Personnel'!$C:$C,'YEP Summaries'!N$3)</f>
        <v>12854.27</v>
      </c>
      <c r="O75" s="135">
        <f>SUMIFS('YTD Personnel'!$I:$I,'YTD Personnel'!$B:$B,'YEP Summaries'!$A75,'YTD Personnel'!$C:$C,'YEP Summaries'!O$3)</f>
        <v>32323.39</v>
      </c>
      <c r="P75" s="135">
        <f>SUMIFS('YTD Personnel'!$I:$I,'YTD Personnel'!$B:$B,'YEP Summaries'!$A75,'YTD Personnel'!$C:$C,'YEP Summaries'!P$3)</f>
        <v>3542.11</v>
      </c>
      <c r="Q75" s="135">
        <f>SUMIFS('YTD Personnel'!$I:$I,'YTD Personnel'!$B:$B,'YEP Summaries'!$A75,'YTD Personnel'!$C:$C,'YEP Summaries'!Q$3)</f>
        <v>28974.22</v>
      </c>
      <c r="R75" s="135">
        <f t="shared" si="10"/>
        <v>249711.99999999997</v>
      </c>
    </row>
    <row r="76" spans="1:18">
      <c r="A76" s="130" t="s">
        <v>765</v>
      </c>
      <c r="C76" s="135">
        <f>SUMIFS('YTD Personnel'!$I:$I,'YTD Personnel'!$B:$B,'YEP Summaries'!$A76,'YTD Personnel'!$C:$C,'YEP Summaries'!C$3)</f>
        <v>568102.14</v>
      </c>
      <c r="D76" s="135">
        <f>SUMIFS('YTD Personnel'!$I:$I,'YTD Personnel'!$B:$B,'YEP Summaries'!$A76,'YTD Personnel'!$C:$C,'YEP Summaries'!D$3)</f>
        <v>45513.94</v>
      </c>
      <c r="E76" s="135">
        <f>SUMIFS('YTD Personnel'!$I:$I,'YTD Personnel'!$B:$B,'YEP Summaries'!$A76,'YTD Personnel'!$C:$C,'YEP Summaries'!E$3)</f>
        <v>255</v>
      </c>
      <c r="F76" s="135">
        <f>SUMIFS('YTD Personnel'!$I:$I,'YTD Personnel'!$B:$B,'YEP Summaries'!$A76,'YTD Personnel'!$C:$C,'YEP Summaries'!F$3)</f>
        <v>0</v>
      </c>
      <c r="G76" s="135">
        <f>SUMIFS('YTD Personnel'!$I:$I,'YTD Personnel'!$B:$B,'YEP Summaries'!$A76,'YTD Personnel'!$C:$C,'YEP Summaries'!G$3)</f>
        <v>3800</v>
      </c>
      <c r="H76" s="135">
        <f>SUMIFS('YTD Personnel'!$I:$I,'YTD Personnel'!$B:$B,'YEP Summaries'!$A76,'YTD Personnel'!$C:$C,'YEP Summaries'!H$3)</f>
        <v>0</v>
      </c>
      <c r="I76" s="135">
        <f>SUMIFS('YTD Personnel'!$I:$I,'YTD Personnel'!$B:$B,'YEP Summaries'!$A76,'YTD Personnel'!$C:$C,'YEP Summaries'!I$3)</f>
        <v>0</v>
      </c>
      <c r="J76" s="135"/>
      <c r="K76" s="135">
        <f>SUMIFS('YTD Personnel'!$I:$I,'YTD Personnel'!$B:$B,'YEP Summaries'!$A76,'YTD Personnel'!$C:$C,'YEP Summaries'!K$3)</f>
        <v>0</v>
      </c>
      <c r="L76" s="135">
        <f>SUMIFS('YTD Personnel'!$I:$I,'YTD Personnel'!$B:$B,'YEP Summaries'!$A76,'YTD Personnel'!$C:$C,'YEP Summaries'!L$3)</f>
        <v>0</v>
      </c>
      <c r="M76" s="135">
        <f>SUMIFS('YTD Personnel'!$I:$I,'YTD Personnel'!$B:$B,'YEP Summaries'!$A76,'YTD Personnel'!$C:$C,'YEP Summaries'!M$3)</f>
        <v>0</v>
      </c>
      <c r="N76" s="135">
        <f>SUMIFS('YTD Personnel'!$I:$I,'YTD Personnel'!$B:$B,'YEP Summaries'!$A76,'YTD Personnel'!$C:$C,'YEP Summaries'!N$3)</f>
        <v>45699.46</v>
      </c>
      <c r="O76" s="135">
        <f>SUMIFS('YTD Personnel'!$I:$I,'YTD Personnel'!$B:$B,'YEP Summaries'!$A76,'YTD Personnel'!$C:$C,'YEP Summaries'!O$3)</f>
        <v>109347.23</v>
      </c>
      <c r="P76" s="135">
        <f>SUMIFS('YTD Personnel'!$I:$I,'YTD Personnel'!$B:$B,'YEP Summaries'!$A76,'YTD Personnel'!$C:$C,'YEP Summaries'!P$3)</f>
        <v>896.26</v>
      </c>
      <c r="Q76" s="135">
        <f>SUMIFS('YTD Personnel'!$I:$I,'YTD Personnel'!$B:$B,'YEP Summaries'!$A76,'YTD Personnel'!$C:$C,'YEP Summaries'!Q$3)</f>
        <v>103235.96</v>
      </c>
      <c r="R76" s="135">
        <f t="shared" si="10"/>
        <v>876849.99</v>
      </c>
    </row>
    <row r="77" spans="1:18">
      <c r="A77" s="130" t="s">
        <v>767</v>
      </c>
      <c r="C77" s="135">
        <f>SUMIFS('YTD Personnel'!$I:$I,'YTD Personnel'!$B:$B,'YEP Summaries'!$A77,'YTD Personnel'!$C:$C,'YEP Summaries'!C$3)</f>
        <v>165752.57</v>
      </c>
      <c r="D77" s="135">
        <f>SUMIFS('YTD Personnel'!$I:$I,'YTD Personnel'!$B:$B,'YEP Summaries'!$A77,'YTD Personnel'!$C:$C,'YEP Summaries'!D$3)</f>
        <v>0</v>
      </c>
      <c r="E77" s="135">
        <f>SUMIFS('YTD Personnel'!$I:$I,'YTD Personnel'!$B:$B,'YEP Summaries'!$A77,'YTD Personnel'!$C:$C,'YEP Summaries'!E$3)</f>
        <v>0</v>
      </c>
      <c r="F77" s="135">
        <f>SUMIFS('YTD Personnel'!$I:$I,'YTD Personnel'!$B:$B,'YEP Summaries'!$A77,'YTD Personnel'!$C:$C,'YEP Summaries'!F$3)</f>
        <v>0</v>
      </c>
      <c r="G77" s="135">
        <f>SUMIFS('YTD Personnel'!$I:$I,'YTD Personnel'!$B:$B,'YEP Summaries'!$A77,'YTD Personnel'!$C:$C,'YEP Summaries'!G$3)</f>
        <v>555</v>
      </c>
      <c r="H77" s="135">
        <f>SUMIFS('YTD Personnel'!$I:$I,'YTD Personnel'!$B:$B,'YEP Summaries'!$A77,'YTD Personnel'!$C:$C,'YEP Summaries'!H$3)</f>
        <v>0</v>
      </c>
      <c r="I77" s="135">
        <f>SUMIFS('YTD Personnel'!$I:$I,'YTD Personnel'!$B:$B,'YEP Summaries'!$A77,'YTD Personnel'!$C:$C,'YEP Summaries'!I$3)</f>
        <v>0</v>
      </c>
      <c r="J77" s="135"/>
      <c r="K77" s="135">
        <f>SUMIFS('YTD Personnel'!$I:$I,'YTD Personnel'!$B:$B,'YEP Summaries'!$A77,'YTD Personnel'!$C:$C,'YEP Summaries'!K$3)</f>
        <v>0</v>
      </c>
      <c r="L77" s="135">
        <f>SUMIFS('YTD Personnel'!$I:$I,'YTD Personnel'!$B:$B,'YEP Summaries'!$A77,'YTD Personnel'!$C:$C,'YEP Summaries'!L$3)</f>
        <v>4584</v>
      </c>
      <c r="M77" s="135">
        <f>SUMIFS('YTD Personnel'!$I:$I,'YTD Personnel'!$B:$B,'YEP Summaries'!$A77,'YTD Personnel'!$C:$C,'YEP Summaries'!M$3)</f>
        <v>0</v>
      </c>
      <c r="N77" s="135">
        <f>SUMIFS('YTD Personnel'!$I:$I,'YTD Personnel'!$B:$B,'YEP Summaries'!$A77,'YTD Personnel'!$C:$C,'YEP Summaries'!N$3)</f>
        <v>12072.49</v>
      </c>
      <c r="O77" s="135">
        <f>SUMIFS('YTD Personnel'!$I:$I,'YTD Personnel'!$B:$B,'YEP Summaries'!$A77,'YTD Personnel'!$C:$C,'YEP Summaries'!O$3)</f>
        <v>35113.19</v>
      </c>
      <c r="P77" s="135">
        <f>SUMIFS('YTD Personnel'!$I:$I,'YTD Personnel'!$B:$B,'YEP Summaries'!$A77,'YTD Personnel'!$C:$C,'YEP Summaries'!P$3)</f>
        <v>296.76</v>
      </c>
      <c r="Q77" s="135">
        <f>SUMIFS('YTD Personnel'!$I:$I,'YTD Personnel'!$B:$B,'YEP Summaries'!$A77,'YTD Personnel'!$C:$C,'YEP Summaries'!Q$3)</f>
        <v>28606.63</v>
      </c>
      <c r="R77" s="135">
        <f>SUM(C77:Q77)</f>
        <v>246980.64</v>
      </c>
    </row>
    <row r="78" spans="1:18">
      <c r="A78" s="130" t="s">
        <v>766</v>
      </c>
      <c r="C78" s="135">
        <f>SUMIFS('YTD Personnel'!$I:$I,'YTD Personnel'!$B:$B,'YEP Summaries'!$A78,'YTD Personnel'!$C:$C,'YEP Summaries'!C$3)</f>
        <v>294741.8</v>
      </c>
      <c r="D78" s="135">
        <f>SUMIFS('YTD Personnel'!$I:$I,'YTD Personnel'!$B:$B,'YEP Summaries'!$A78,'YTD Personnel'!$C:$C,'YEP Summaries'!D$3)</f>
        <v>40205.919999999998</v>
      </c>
      <c r="E78" s="135">
        <f>SUMIFS('YTD Personnel'!$I:$I,'YTD Personnel'!$B:$B,'YEP Summaries'!$A78,'YTD Personnel'!$C:$C,'YEP Summaries'!E$3)</f>
        <v>0</v>
      </c>
      <c r="F78" s="135">
        <f>SUMIFS('YTD Personnel'!$I:$I,'YTD Personnel'!$B:$B,'YEP Summaries'!$A78,'YTD Personnel'!$C:$C,'YEP Summaries'!F$3)</f>
        <v>0</v>
      </c>
      <c r="G78" s="135">
        <f>SUMIFS('YTD Personnel'!$I:$I,'YTD Personnel'!$B:$B,'YEP Summaries'!$A78,'YTD Personnel'!$C:$C,'YEP Summaries'!G$3)</f>
        <v>1425</v>
      </c>
      <c r="H78" s="135">
        <f>SUMIFS('YTD Personnel'!$I:$I,'YTD Personnel'!$B:$B,'YEP Summaries'!$A78,'YTD Personnel'!$C:$C,'YEP Summaries'!H$3)</f>
        <v>0</v>
      </c>
      <c r="I78" s="135">
        <f>SUMIFS('YTD Personnel'!$I:$I,'YTD Personnel'!$B:$B,'YEP Summaries'!$A78,'YTD Personnel'!$C:$C,'YEP Summaries'!I$3)</f>
        <v>0</v>
      </c>
      <c r="J78" s="135"/>
      <c r="K78" s="135">
        <f>SUMIFS('YTD Personnel'!$I:$I,'YTD Personnel'!$B:$B,'YEP Summaries'!$A78,'YTD Personnel'!$C:$C,'YEP Summaries'!K$3)</f>
        <v>0</v>
      </c>
      <c r="L78" s="135">
        <f>SUMIFS('YTD Personnel'!$I:$I,'YTD Personnel'!$B:$B,'YEP Summaries'!$A78,'YTD Personnel'!$C:$C,'YEP Summaries'!L$3)</f>
        <v>0</v>
      </c>
      <c r="M78" s="135">
        <f>SUMIFS('YTD Personnel'!$I:$I,'YTD Personnel'!$B:$B,'YEP Summaries'!$A78,'YTD Personnel'!$C:$C,'YEP Summaries'!M$3)</f>
        <v>0</v>
      </c>
      <c r="N78" s="135">
        <f>SUMIFS('YTD Personnel'!$I:$I,'YTD Personnel'!$B:$B,'YEP Summaries'!$A78,'YTD Personnel'!$C:$C,'YEP Summaries'!N$3)</f>
        <v>26357.31</v>
      </c>
      <c r="O78" s="135">
        <f>SUMIFS('YTD Personnel'!$I:$I,'YTD Personnel'!$B:$B,'YEP Summaries'!$A78,'YTD Personnel'!$C:$C,'YEP Summaries'!O$3)</f>
        <v>82121.210000000006</v>
      </c>
      <c r="P78" s="135">
        <f>SUMIFS('YTD Personnel'!$I:$I,'YTD Personnel'!$B:$B,'YEP Summaries'!$A78,'YTD Personnel'!$C:$C,'YEP Summaries'!P$3)</f>
        <v>547.54999999999995</v>
      </c>
      <c r="Q78" s="135">
        <f>SUMIFS('YTD Personnel'!$I:$I,'YTD Personnel'!$B:$B,'YEP Summaries'!$A78,'YTD Personnel'!$C:$C,'YEP Summaries'!Q$3)</f>
        <v>56089.25</v>
      </c>
      <c r="R78" s="135">
        <f t="shared" si="10"/>
        <v>501488.04</v>
      </c>
    </row>
    <row r="79" spans="1:18">
      <c r="A79" s="130" t="s">
        <v>768</v>
      </c>
      <c r="C79" s="135">
        <f>SUMIFS('YTD Personnel'!$I:$I,'YTD Personnel'!$B:$B,'YEP Summaries'!$A79,'YTD Personnel'!$C:$C,'YEP Summaries'!C$3)</f>
        <v>222017.39</v>
      </c>
      <c r="D79" s="135">
        <f>SUMIFS('YTD Personnel'!$I:$I,'YTD Personnel'!$B:$B,'YEP Summaries'!$A79,'YTD Personnel'!$C:$C,'YEP Summaries'!D$3)</f>
        <v>36267.839999999997</v>
      </c>
      <c r="E79" s="135">
        <f>SUMIFS('YTD Personnel'!$I:$I,'YTD Personnel'!$B:$B,'YEP Summaries'!$A79,'YTD Personnel'!$C:$C,'YEP Summaries'!E$3)</f>
        <v>181.44</v>
      </c>
      <c r="F79" s="135">
        <f>SUMIFS('YTD Personnel'!$I:$I,'YTD Personnel'!$B:$B,'YEP Summaries'!$A79,'YTD Personnel'!$C:$C,'YEP Summaries'!F$3)</f>
        <v>0</v>
      </c>
      <c r="G79" s="135">
        <f>SUMIFS('YTD Personnel'!$I:$I,'YTD Personnel'!$B:$B,'YEP Summaries'!$A79,'YTD Personnel'!$C:$C,'YEP Summaries'!G$3)</f>
        <v>660</v>
      </c>
      <c r="H79" s="135">
        <f>SUMIFS('YTD Personnel'!$I:$I,'YTD Personnel'!$B:$B,'YEP Summaries'!$A79,'YTD Personnel'!$C:$C,'YEP Summaries'!H$3)</f>
        <v>0</v>
      </c>
      <c r="I79" s="135">
        <f>SUMIFS('YTD Personnel'!$I:$I,'YTD Personnel'!$B:$B,'YEP Summaries'!$A79,'YTD Personnel'!$C:$C,'YEP Summaries'!I$3)</f>
        <v>0</v>
      </c>
      <c r="J79" s="135"/>
      <c r="K79" s="135">
        <f>SUMIFS('YTD Personnel'!$I:$I,'YTD Personnel'!$B:$B,'YEP Summaries'!$A79,'YTD Personnel'!$C:$C,'YEP Summaries'!K$3)</f>
        <v>0</v>
      </c>
      <c r="L79" s="135">
        <f>SUMIFS('YTD Personnel'!$I:$I,'YTD Personnel'!$B:$B,'YEP Summaries'!$A79,'YTD Personnel'!$C:$C,'YEP Summaries'!L$3)</f>
        <v>4584</v>
      </c>
      <c r="M79" s="135">
        <f>SUMIFS('YTD Personnel'!$I:$I,'YTD Personnel'!$B:$B,'YEP Summaries'!$A79,'YTD Personnel'!$C:$C,'YEP Summaries'!M$3)</f>
        <v>0</v>
      </c>
      <c r="N79" s="135">
        <f>SUMIFS('YTD Personnel'!$I:$I,'YTD Personnel'!$B:$B,'YEP Summaries'!$A79,'YTD Personnel'!$C:$C,'YEP Summaries'!N$3)</f>
        <v>19689.759999999998</v>
      </c>
      <c r="O79" s="135">
        <f>SUMIFS('YTD Personnel'!$I:$I,'YTD Personnel'!$B:$B,'YEP Summaries'!$A79,'YTD Personnel'!$C:$C,'YEP Summaries'!O$3)</f>
        <v>35141.199999999997</v>
      </c>
      <c r="P79" s="135">
        <f>SUMIFS('YTD Personnel'!$I:$I,'YTD Personnel'!$B:$B,'YEP Summaries'!$A79,'YTD Personnel'!$C:$C,'YEP Summaries'!P$3)</f>
        <v>546.54999999999995</v>
      </c>
      <c r="Q79" s="135">
        <f>SUMIFS('YTD Personnel'!$I:$I,'YTD Personnel'!$B:$B,'YEP Summaries'!$A79,'YTD Personnel'!$C:$C,'YEP Summaries'!Q$3)</f>
        <v>43811.69</v>
      </c>
      <c r="R79" s="135">
        <f t="shared" si="10"/>
        <v>362899.87000000005</v>
      </c>
    </row>
    <row r="80" spans="1:18">
      <c r="A80" s="130" t="s">
        <v>769</v>
      </c>
      <c r="C80" s="135">
        <f>SUMIFS('YTD Personnel'!$I:$I,'YTD Personnel'!$B:$B,'YEP Summaries'!$A80,'YTD Personnel'!$C:$C,'YEP Summaries'!C$3)</f>
        <v>57342.17</v>
      </c>
      <c r="D80" s="135">
        <f>SUMIFS('YTD Personnel'!$I:$I,'YTD Personnel'!$B:$B,'YEP Summaries'!$A80,'YTD Personnel'!$C:$C,'YEP Summaries'!D$3)</f>
        <v>170817.47</v>
      </c>
      <c r="E80" s="135">
        <f>SUMIFS('YTD Personnel'!$I:$I,'YTD Personnel'!$B:$B,'YEP Summaries'!$A80,'YTD Personnel'!$C:$C,'YEP Summaries'!E$3)</f>
        <v>1117.53</v>
      </c>
      <c r="F80" s="135">
        <f>SUMIFS('YTD Personnel'!$I:$I,'YTD Personnel'!$B:$B,'YEP Summaries'!$A80,'YTD Personnel'!$C:$C,'YEP Summaries'!F$3)</f>
        <v>0</v>
      </c>
      <c r="G80" s="135">
        <f>SUMIFS('YTD Personnel'!$I:$I,'YTD Personnel'!$B:$B,'YEP Summaries'!$A80,'YTD Personnel'!$C:$C,'YEP Summaries'!G$3)</f>
        <v>1050</v>
      </c>
      <c r="H80" s="135">
        <f>SUMIFS('YTD Personnel'!$I:$I,'YTD Personnel'!$B:$B,'YEP Summaries'!$A80,'YTD Personnel'!$C:$C,'YEP Summaries'!H$3)</f>
        <v>0</v>
      </c>
      <c r="I80" s="135">
        <f>SUMIFS('YTD Personnel'!$I:$I,'YTD Personnel'!$B:$B,'YEP Summaries'!$A80,'YTD Personnel'!$C:$C,'YEP Summaries'!I$3)</f>
        <v>0</v>
      </c>
      <c r="J80" s="135"/>
      <c r="K80" s="135">
        <f>SUMIFS('YTD Personnel'!$I:$I,'YTD Personnel'!$B:$B,'YEP Summaries'!$A80,'YTD Personnel'!$C:$C,'YEP Summaries'!K$3)</f>
        <v>0</v>
      </c>
      <c r="L80" s="135">
        <f>SUMIFS('YTD Personnel'!$I:$I,'YTD Personnel'!$B:$B,'YEP Summaries'!$A80,'YTD Personnel'!$C:$C,'YEP Summaries'!L$3)</f>
        <v>0</v>
      </c>
      <c r="M80" s="135">
        <f>SUMIFS('YTD Personnel'!$I:$I,'YTD Personnel'!$B:$B,'YEP Summaries'!$A80,'YTD Personnel'!$C:$C,'YEP Summaries'!M$3)</f>
        <v>0</v>
      </c>
      <c r="N80" s="135">
        <f>SUMIFS('YTD Personnel'!$I:$I,'YTD Personnel'!$B:$B,'YEP Summaries'!$A80,'YTD Personnel'!$C:$C,'YEP Summaries'!N$3)</f>
        <v>17169.669999999998</v>
      </c>
      <c r="O80" s="135">
        <f>SUMIFS('YTD Personnel'!$I:$I,'YTD Personnel'!$B:$B,'YEP Summaries'!$A80,'YTD Personnel'!$C:$C,'YEP Summaries'!O$3)</f>
        <v>51825.33</v>
      </c>
      <c r="P80" s="135">
        <f>SUMIFS('YTD Personnel'!$I:$I,'YTD Personnel'!$B:$B,'YEP Summaries'!$A80,'YTD Personnel'!$C:$C,'YEP Summaries'!P$3)</f>
        <v>426.65</v>
      </c>
      <c r="Q80" s="135">
        <f>SUMIFS('YTD Personnel'!$I:$I,'YTD Personnel'!$B:$B,'YEP Summaries'!$A80,'YTD Personnel'!$C:$C,'YEP Summaries'!Q$3)</f>
        <v>38215.53</v>
      </c>
      <c r="R80" s="135">
        <f t="shared" si="10"/>
        <v>337964.35000000009</v>
      </c>
    </row>
    <row r="81" spans="1:18">
      <c r="A81" s="130" t="s">
        <v>770</v>
      </c>
      <c r="C81" s="135">
        <f>SUMIFS('YTD Personnel'!$I:$I,'YTD Personnel'!$B:$B,'YEP Summaries'!$A81,'YTD Personnel'!$C:$C,'YEP Summaries'!C$3)</f>
        <v>77676.639999999999</v>
      </c>
      <c r="D81" s="135">
        <f>SUMIFS('YTD Personnel'!$I:$I,'YTD Personnel'!$B:$B,'YEP Summaries'!$A81,'YTD Personnel'!$C:$C,'YEP Summaries'!D$3)</f>
        <v>105892.76</v>
      </c>
      <c r="E81" s="135">
        <f>SUMIFS('YTD Personnel'!$I:$I,'YTD Personnel'!$B:$B,'YEP Summaries'!$A81,'YTD Personnel'!$C:$C,'YEP Summaries'!E$3)</f>
        <v>1089.3</v>
      </c>
      <c r="F81" s="135">
        <f>SUMIFS('YTD Personnel'!$I:$I,'YTD Personnel'!$B:$B,'YEP Summaries'!$A81,'YTD Personnel'!$C:$C,'YEP Summaries'!F$3)</f>
        <v>0</v>
      </c>
      <c r="G81" s="135">
        <f>SUMIFS('YTD Personnel'!$I:$I,'YTD Personnel'!$B:$B,'YEP Summaries'!$A81,'YTD Personnel'!$C:$C,'YEP Summaries'!G$3)</f>
        <v>3020</v>
      </c>
      <c r="H81" s="135">
        <f>SUMIFS('YTD Personnel'!$I:$I,'YTD Personnel'!$B:$B,'YEP Summaries'!$A81,'YTD Personnel'!$C:$C,'YEP Summaries'!H$3)</f>
        <v>0</v>
      </c>
      <c r="I81" s="135">
        <f>SUMIFS('YTD Personnel'!$I:$I,'YTD Personnel'!$B:$B,'YEP Summaries'!$A81,'YTD Personnel'!$C:$C,'YEP Summaries'!I$3)</f>
        <v>0</v>
      </c>
      <c r="J81" s="135"/>
      <c r="K81" s="135">
        <f>SUMIFS('YTD Personnel'!$I:$I,'YTD Personnel'!$B:$B,'YEP Summaries'!$A81,'YTD Personnel'!$C:$C,'YEP Summaries'!K$3)</f>
        <v>0</v>
      </c>
      <c r="L81" s="135">
        <f>SUMIFS('YTD Personnel'!$I:$I,'YTD Personnel'!$B:$B,'YEP Summaries'!$A81,'YTD Personnel'!$C:$C,'YEP Summaries'!L$3)</f>
        <v>0</v>
      </c>
      <c r="M81" s="135">
        <f>SUMIFS('YTD Personnel'!$I:$I,'YTD Personnel'!$B:$B,'YEP Summaries'!$A81,'YTD Personnel'!$C:$C,'YEP Summaries'!M$3)</f>
        <v>0</v>
      </c>
      <c r="N81" s="135">
        <f>SUMIFS('YTD Personnel'!$I:$I,'YTD Personnel'!$B:$B,'YEP Summaries'!$A81,'YTD Personnel'!$C:$C,'YEP Summaries'!N$3)</f>
        <v>13098.81</v>
      </c>
      <c r="O81" s="135">
        <f>SUMIFS('YTD Personnel'!$I:$I,'YTD Personnel'!$B:$B,'YEP Summaries'!$A81,'YTD Personnel'!$C:$C,'YEP Summaries'!O$3)</f>
        <v>43640.6</v>
      </c>
      <c r="P81" s="135">
        <f>SUMIFS('YTD Personnel'!$I:$I,'YTD Personnel'!$B:$B,'YEP Summaries'!$A81,'YTD Personnel'!$C:$C,'YEP Summaries'!P$3)</f>
        <v>620.5</v>
      </c>
      <c r="Q81" s="135">
        <f>SUMIFS('YTD Personnel'!$I:$I,'YTD Personnel'!$B:$B,'YEP Summaries'!$A81,'YTD Personnel'!$C:$C,'YEP Summaries'!Q$3)</f>
        <v>31335.59</v>
      </c>
      <c r="R81" s="135">
        <f t="shared" si="10"/>
        <v>276374.2</v>
      </c>
    </row>
    <row r="82" spans="1:18">
      <c r="A82" s="130" t="s">
        <v>771</v>
      </c>
      <c r="C82" s="135">
        <f>SUMIFS('YTD Personnel'!$I:$I,'YTD Personnel'!$B:$B,'YEP Summaries'!$A82,'YTD Personnel'!$C:$C,'YEP Summaries'!C$3)</f>
        <v>282851.67</v>
      </c>
      <c r="D82" s="135">
        <f>SUMIFS('YTD Personnel'!$I:$I,'YTD Personnel'!$B:$B,'YEP Summaries'!$A82,'YTD Personnel'!$C:$C,'YEP Summaries'!D$3)</f>
        <v>83121.69</v>
      </c>
      <c r="E82" s="135">
        <f>SUMIFS('YTD Personnel'!$I:$I,'YTD Personnel'!$B:$B,'YEP Summaries'!$A82,'YTD Personnel'!$C:$C,'YEP Summaries'!E$3)</f>
        <v>1466.5</v>
      </c>
      <c r="F82" s="135">
        <f>SUMIFS('YTD Personnel'!$I:$I,'YTD Personnel'!$B:$B,'YEP Summaries'!$A82,'YTD Personnel'!$C:$C,'YEP Summaries'!F$3)</f>
        <v>0</v>
      </c>
      <c r="G82" s="135">
        <f>SUMIFS('YTD Personnel'!$I:$I,'YTD Personnel'!$B:$B,'YEP Summaries'!$A82,'YTD Personnel'!$C:$C,'YEP Summaries'!G$3)</f>
        <v>2926.5</v>
      </c>
      <c r="H82" s="135">
        <f>SUMIFS('YTD Personnel'!$I:$I,'YTD Personnel'!$B:$B,'YEP Summaries'!$A82,'YTD Personnel'!$C:$C,'YEP Summaries'!H$3)</f>
        <v>0</v>
      </c>
      <c r="I82" s="135">
        <f>SUMIFS('YTD Personnel'!$I:$I,'YTD Personnel'!$B:$B,'YEP Summaries'!$A82,'YTD Personnel'!$C:$C,'YEP Summaries'!I$3)</f>
        <v>0</v>
      </c>
      <c r="J82" s="135"/>
      <c r="K82" s="135">
        <f>SUMIFS('YTD Personnel'!$I:$I,'YTD Personnel'!$B:$B,'YEP Summaries'!$A82,'YTD Personnel'!$C:$C,'YEP Summaries'!K$3)</f>
        <v>2292</v>
      </c>
      <c r="L82" s="135">
        <f>SUMIFS('YTD Personnel'!$I:$I,'YTD Personnel'!$B:$B,'YEP Summaries'!$A82,'YTD Personnel'!$C:$C,'YEP Summaries'!L$3)</f>
        <v>0</v>
      </c>
      <c r="M82" s="135">
        <f>SUMIFS('YTD Personnel'!$I:$I,'YTD Personnel'!$B:$B,'YEP Summaries'!$A82,'YTD Personnel'!$C:$C,'YEP Summaries'!M$3)</f>
        <v>0</v>
      </c>
      <c r="N82" s="135">
        <f>SUMIFS('YTD Personnel'!$I:$I,'YTD Personnel'!$B:$B,'YEP Summaries'!$A82,'YTD Personnel'!$C:$C,'YEP Summaries'!N$3)</f>
        <v>26572.76</v>
      </c>
      <c r="O82" s="135">
        <f>SUMIFS('YTD Personnel'!$I:$I,'YTD Personnel'!$B:$B,'YEP Summaries'!$A82,'YTD Personnel'!$C:$C,'YEP Summaries'!O$3)</f>
        <v>57144.77</v>
      </c>
      <c r="P82" s="135">
        <f>SUMIFS('YTD Personnel'!$I:$I,'YTD Personnel'!$B:$B,'YEP Summaries'!$A82,'YTD Personnel'!$C:$C,'YEP Summaries'!P$3)</f>
        <v>5282.68</v>
      </c>
      <c r="Q82" s="135">
        <f>SUMIFS('YTD Personnel'!$I:$I,'YTD Personnel'!$B:$B,'YEP Summaries'!$A82,'YTD Personnel'!$C:$C,'YEP Summaries'!Q$3)</f>
        <v>62020.04</v>
      </c>
      <c r="R82" s="135">
        <f t="shared" si="10"/>
        <v>523678.61</v>
      </c>
    </row>
    <row r="83" spans="1:18">
      <c r="A83" s="130" t="s">
        <v>772</v>
      </c>
      <c r="C83" s="135">
        <f>SUMIFS('YTD Personnel'!$I:$I,'YTD Personnel'!$B:$B,'YEP Summaries'!$A83,'YTD Personnel'!$C:$C,'YEP Summaries'!C$3)</f>
        <v>104572.68</v>
      </c>
      <c r="D83" s="135">
        <f>SUMIFS('YTD Personnel'!$I:$I,'YTD Personnel'!$B:$B,'YEP Summaries'!$A83,'YTD Personnel'!$C:$C,'YEP Summaries'!D$3)</f>
        <v>4154268.78</v>
      </c>
      <c r="E83" s="135">
        <f>SUMIFS('YTD Personnel'!$I:$I,'YTD Personnel'!$B:$B,'YEP Summaries'!$A83,'YTD Personnel'!$C:$C,'YEP Summaries'!E$3)</f>
        <v>331698.39</v>
      </c>
      <c r="F83" s="135">
        <f>SUMIFS('YTD Personnel'!$I:$I,'YTD Personnel'!$B:$B,'YEP Summaries'!$A83,'YTD Personnel'!$C:$C,'YEP Summaries'!F$3)</f>
        <v>0</v>
      </c>
      <c r="G83" s="135">
        <f>SUMIFS('YTD Personnel'!$I:$I,'YTD Personnel'!$B:$B,'YEP Summaries'!$A83,'YTD Personnel'!$C:$C,'YEP Summaries'!G$3)</f>
        <v>27000</v>
      </c>
      <c r="H83" s="135">
        <f>SUMIFS('YTD Personnel'!$I:$I,'YTD Personnel'!$B:$B,'YEP Summaries'!$A83,'YTD Personnel'!$C:$C,'YEP Summaries'!H$3)</f>
        <v>0</v>
      </c>
      <c r="I83" s="135">
        <f>SUMIFS('YTD Personnel'!$I:$I,'YTD Personnel'!$B:$B,'YEP Summaries'!$A83,'YTD Personnel'!$C:$C,'YEP Summaries'!I$3)</f>
        <v>0</v>
      </c>
      <c r="J83" s="135"/>
      <c r="K83" s="135">
        <f>SUMIFS('YTD Personnel'!$I:$I,'YTD Personnel'!$B:$B,'YEP Summaries'!$A83,'YTD Personnel'!$C:$C,'YEP Summaries'!K$3)</f>
        <v>30176.5</v>
      </c>
      <c r="L83" s="135">
        <f>SUMIFS('YTD Personnel'!$I:$I,'YTD Personnel'!$B:$B,'YEP Summaries'!$A83,'YTD Personnel'!$C:$C,'YEP Summaries'!L$3)</f>
        <v>0</v>
      </c>
      <c r="M83" s="135">
        <f>SUMIFS('YTD Personnel'!$I:$I,'YTD Personnel'!$B:$B,'YEP Summaries'!$A83,'YTD Personnel'!$C:$C,'YEP Summaries'!M$3)</f>
        <v>0</v>
      </c>
      <c r="N83" s="135">
        <f>SUMIFS('YTD Personnel'!$I:$I,'YTD Personnel'!$B:$B,'YEP Summaries'!$A83,'YTD Personnel'!$C:$C,'YEP Summaries'!N$3)</f>
        <v>340108.08</v>
      </c>
      <c r="O83" s="135">
        <f>SUMIFS('YTD Personnel'!$I:$I,'YTD Personnel'!$B:$B,'YEP Summaries'!$A83,'YTD Personnel'!$C:$C,'YEP Summaries'!O$3)</f>
        <v>707007.87</v>
      </c>
      <c r="P83" s="135">
        <f>SUMIFS('YTD Personnel'!$I:$I,'YTD Personnel'!$B:$B,'YEP Summaries'!$A83,'YTD Personnel'!$C:$C,'YEP Summaries'!P$3)</f>
        <v>73399.98</v>
      </c>
      <c r="Q83" s="135">
        <f>SUMIFS('YTD Personnel'!$I:$I,'YTD Personnel'!$B:$B,'YEP Summaries'!$A83,'YTD Personnel'!$C:$C,'YEP Summaries'!Q$3)</f>
        <v>770545.39</v>
      </c>
      <c r="R83" s="135">
        <f t="shared" si="10"/>
        <v>6538777.6699999999</v>
      </c>
    </row>
    <row r="84" spans="1:18">
      <c r="A84" s="130" t="s">
        <v>773</v>
      </c>
      <c r="C84" s="135">
        <f>SUMIFS('YTD Personnel'!$I:$I,'YTD Personnel'!$B:$B,'YEP Summaries'!$A84,'YTD Personnel'!$C:$C,'YEP Summaries'!C$3)</f>
        <v>143216.5</v>
      </c>
      <c r="D84" s="135">
        <f>SUMIFS('YTD Personnel'!$I:$I,'YTD Personnel'!$B:$B,'YEP Summaries'!$A84,'YTD Personnel'!$C:$C,'YEP Summaries'!D$3)</f>
        <v>1142233.48</v>
      </c>
      <c r="E84" s="135">
        <f>SUMIFS('YTD Personnel'!$I:$I,'YTD Personnel'!$B:$B,'YEP Summaries'!$A84,'YTD Personnel'!$C:$C,'YEP Summaries'!E$3)</f>
        <v>332130.84999999998</v>
      </c>
      <c r="F84" s="135">
        <f>SUMIFS('YTD Personnel'!$I:$I,'YTD Personnel'!$B:$B,'YEP Summaries'!$A84,'YTD Personnel'!$C:$C,'YEP Summaries'!F$3)</f>
        <v>0</v>
      </c>
      <c r="G84" s="135">
        <f>SUMIFS('YTD Personnel'!$I:$I,'YTD Personnel'!$B:$B,'YEP Summaries'!$A84,'YTD Personnel'!$C:$C,'YEP Summaries'!G$3)</f>
        <v>12540</v>
      </c>
      <c r="H84" s="135">
        <f>SUMIFS('YTD Personnel'!$I:$I,'YTD Personnel'!$B:$B,'YEP Summaries'!$A84,'YTD Personnel'!$C:$C,'YEP Summaries'!H$3)</f>
        <v>0</v>
      </c>
      <c r="I84" s="135">
        <f>SUMIFS('YTD Personnel'!$I:$I,'YTD Personnel'!$B:$B,'YEP Summaries'!$A84,'YTD Personnel'!$C:$C,'YEP Summaries'!I$3)</f>
        <v>0</v>
      </c>
      <c r="J84" s="135"/>
      <c r="K84" s="135">
        <f>SUMIFS('YTD Personnel'!$I:$I,'YTD Personnel'!$B:$B,'YEP Summaries'!$A84,'YTD Personnel'!$C:$C,'YEP Summaries'!K$3)</f>
        <v>79660.7</v>
      </c>
      <c r="L84" s="135">
        <f>SUMIFS('YTD Personnel'!$I:$I,'YTD Personnel'!$B:$B,'YEP Summaries'!$A84,'YTD Personnel'!$C:$C,'YEP Summaries'!L$3)</f>
        <v>0</v>
      </c>
      <c r="M84" s="135">
        <f>SUMIFS('YTD Personnel'!$I:$I,'YTD Personnel'!$B:$B,'YEP Summaries'!$A84,'YTD Personnel'!$C:$C,'YEP Summaries'!M$3)</f>
        <v>0</v>
      </c>
      <c r="N84" s="135">
        <f>SUMIFS('YTD Personnel'!$I:$I,'YTD Personnel'!$B:$B,'YEP Summaries'!$A84,'YTD Personnel'!$C:$C,'YEP Summaries'!N$3)</f>
        <v>127034.82</v>
      </c>
      <c r="O84" s="135">
        <f>SUMIFS('YTD Personnel'!$I:$I,'YTD Personnel'!$B:$B,'YEP Summaries'!$A84,'YTD Personnel'!$C:$C,'YEP Summaries'!O$3)</f>
        <v>215250.15</v>
      </c>
      <c r="P84" s="135">
        <f>SUMIFS('YTD Personnel'!$I:$I,'YTD Personnel'!$B:$B,'YEP Summaries'!$A84,'YTD Personnel'!$C:$C,'YEP Summaries'!P$3)</f>
        <v>6250.89</v>
      </c>
      <c r="Q84" s="135">
        <f>SUMIFS('YTD Personnel'!$I:$I,'YTD Personnel'!$B:$B,'YEP Summaries'!$A84,'YTD Personnel'!$C:$C,'YEP Summaries'!Q$3)</f>
        <v>282264.71000000002</v>
      </c>
      <c r="R84" s="135">
        <f t="shared" si="10"/>
        <v>2340582.1</v>
      </c>
    </row>
    <row r="85" spans="1:18">
      <c r="A85" s="130" t="s">
        <v>774</v>
      </c>
      <c r="C85" s="135">
        <f>SUMIFS('YTD Personnel'!$I:$I,'YTD Personnel'!$B:$B,'YEP Summaries'!$A85,'YTD Personnel'!$C:$C,'YEP Summaries'!C$3)</f>
        <v>0</v>
      </c>
      <c r="D85" s="135">
        <f>SUMIFS('YTD Personnel'!$I:$I,'YTD Personnel'!$B:$B,'YEP Summaries'!$A85,'YTD Personnel'!$C:$C,'YEP Summaries'!D$3)</f>
        <v>142459.32</v>
      </c>
      <c r="E85" s="135">
        <f>SUMIFS('YTD Personnel'!$I:$I,'YTD Personnel'!$B:$B,'YEP Summaries'!$A85,'YTD Personnel'!$C:$C,'YEP Summaries'!E$3)</f>
        <v>12976</v>
      </c>
      <c r="F85" s="135">
        <f>SUMIFS('YTD Personnel'!$I:$I,'YTD Personnel'!$B:$B,'YEP Summaries'!$A85,'YTD Personnel'!$C:$C,'YEP Summaries'!F$3)</f>
        <v>0</v>
      </c>
      <c r="G85" s="135">
        <f>SUMIFS('YTD Personnel'!$I:$I,'YTD Personnel'!$B:$B,'YEP Summaries'!$A85,'YTD Personnel'!$C:$C,'YEP Summaries'!G$3)</f>
        <v>465</v>
      </c>
      <c r="H85" s="135">
        <f>SUMIFS('YTD Personnel'!$I:$I,'YTD Personnel'!$B:$B,'YEP Summaries'!$A85,'YTD Personnel'!$C:$C,'YEP Summaries'!H$3)</f>
        <v>0</v>
      </c>
      <c r="I85" s="135">
        <f>SUMIFS('YTD Personnel'!$I:$I,'YTD Personnel'!$B:$B,'YEP Summaries'!$A85,'YTD Personnel'!$C:$C,'YEP Summaries'!I$3)</f>
        <v>0</v>
      </c>
      <c r="J85" s="135"/>
      <c r="K85" s="135">
        <f>SUMIFS('YTD Personnel'!$I:$I,'YTD Personnel'!$B:$B,'YEP Summaries'!$A85,'YTD Personnel'!$C:$C,'YEP Summaries'!K$3)</f>
        <v>14289.6</v>
      </c>
      <c r="L85" s="135">
        <f>SUMIFS('YTD Personnel'!$I:$I,'YTD Personnel'!$B:$B,'YEP Summaries'!$A85,'YTD Personnel'!$C:$C,'YEP Summaries'!L$3)</f>
        <v>0</v>
      </c>
      <c r="M85" s="135">
        <f>SUMIFS('YTD Personnel'!$I:$I,'YTD Personnel'!$B:$B,'YEP Summaries'!$A85,'YTD Personnel'!$C:$C,'YEP Summaries'!M$3)</f>
        <v>0</v>
      </c>
      <c r="N85" s="135">
        <f>SUMIFS('YTD Personnel'!$I:$I,'YTD Personnel'!$B:$B,'YEP Summaries'!$A85,'YTD Personnel'!$C:$C,'YEP Summaries'!N$3)</f>
        <v>12703.49</v>
      </c>
      <c r="O85" s="135">
        <f>SUMIFS('YTD Personnel'!$I:$I,'YTD Personnel'!$B:$B,'YEP Summaries'!$A85,'YTD Personnel'!$C:$C,'YEP Summaries'!O$3)</f>
        <v>43628.32</v>
      </c>
      <c r="P85" s="135">
        <f>SUMIFS('YTD Personnel'!$I:$I,'YTD Personnel'!$B:$B,'YEP Summaries'!$A85,'YTD Personnel'!$C:$C,'YEP Summaries'!P$3)</f>
        <v>4437.37</v>
      </c>
      <c r="Q85" s="135">
        <f>SUMIFS('YTD Personnel'!$I:$I,'YTD Personnel'!$B:$B,'YEP Summaries'!$A85,'YTD Personnel'!$C:$C,'YEP Summaries'!Q$3)</f>
        <v>28474.43</v>
      </c>
      <c r="R85" s="135">
        <f t="shared" si="10"/>
        <v>259433.53</v>
      </c>
    </row>
    <row r="86" spans="1:18">
      <c r="A86" s="130" t="s">
        <v>775</v>
      </c>
      <c r="C86" s="135">
        <f>SUMIFS('YTD Personnel'!$I:$I,'YTD Personnel'!$B:$B,'YEP Summaries'!$A86,'YTD Personnel'!$C:$C,'YEP Summaries'!C$3)</f>
        <v>12562.21</v>
      </c>
      <c r="D86" s="135">
        <f>SUMIFS('YTD Personnel'!$I:$I,'YTD Personnel'!$B:$B,'YEP Summaries'!$A86,'YTD Personnel'!$C:$C,'YEP Summaries'!D$3)</f>
        <v>459021</v>
      </c>
      <c r="E86" s="135">
        <f>SUMIFS('YTD Personnel'!$I:$I,'YTD Personnel'!$B:$B,'YEP Summaries'!$A86,'YTD Personnel'!$C:$C,'YEP Summaries'!E$3)</f>
        <v>25971.7</v>
      </c>
      <c r="F86" s="135">
        <f>SUMIFS('YTD Personnel'!$I:$I,'YTD Personnel'!$B:$B,'YEP Summaries'!$A86,'YTD Personnel'!$C:$C,'YEP Summaries'!F$3)</f>
        <v>0</v>
      </c>
      <c r="G86" s="135">
        <f>SUMIFS('YTD Personnel'!$I:$I,'YTD Personnel'!$B:$B,'YEP Summaries'!$A86,'YTD Personnel'!$C:$C,'YEP Summaries'!G$3)</f>
        <v>1083.5</v>
      </c>
      <c r="H86" s="135">
        <f>SUMIFS('YTD Personnel'!$I:$I,'YTD Personnel'!$B:$B,'YEP Summaries'!$A86,'YTD Personnel'!$C:$C,'YEP Summaries'!H$3)</f>
        <v>0</v>
      </c>
      <c r="I86" s="135">
        <f>SUMIFS('YTD Personnel'!$I:$I,'YTD Personnel'!$B:$B,'YEP Summaries'!$A86,'YTD Personnel'!$C:$C,'YEP Summaries'!I$3)</f>
        <v>0</v>
      </c>
      <c r="J86" s="135"/>
      <c r="K86" s="135">
        <f>SUMIFS('YTD Personnel'!$I:$I,'YTD Personnel'!$B:$B,'YEP Summaries'!$A86,'YTD Personnel'!$C:$C,'YEP Summaries'!K$3)</f>
        <v>40680.47</v>
      </c>
      <c r="L86" s="135">
        <f>SUMIFS('YTD Personnel'!$I:$I,'YTD Personnel'!$B:$B,'YEP Summaries'!$A86,'YTD Personnel'!$C:$C,'YEP Summaries'!L$3)</f>
        <v>0</v>
      </c>
      <c r="M86" s="135">
        <f>SUMIFS('YTD Personnel'!$I:$I,'YTD Personnel'!$B:$B,'YEP Summaries'!$A86,'YTD Personnel'!$C:$C,'YEP Summaries'!M$3)</f>
        <v>0</v>
      </c>
      <c r="N86" s="135">
        <f>SUMIFS('YTD Personnel'!$I:$I,'YTD Personnel'!$B:$B,'YEP Summaries'!$A86,'YTD Personnel'!$C:$C,'YEP Summaries'!N$3)</f>
        <v>40022.980000000003</v>
      </c>
      <c r="O86" s="135">
        <f>SUMIFS('YTD Personnel'!$I:$I,'YTD Personnel'!$B:$B,'YEP Summaries'!$A86,'YTD Personnel'!$C:$C,'YEP Summaries'!O$3)</f>
        <v>123010.75</v>
      </c>
      <c r="P86" s="135">
        <f>SUMIFS('YTD Personnel'!$I:$I,'YTD Personnel'!$B:$B,'YEP Summaries'!$A86,'YTD Personnel'!$C:$C,'YEP Summaries'!P$3)</f>
        <v>8680.9</v>
      </c>
      <c r="Q86" s="135">
        <f>SUMIFS('YTD Personnel'!$I:$I,'YTD Personnel'!$B:$B,'YEP Summaries'!$A86,'YTD Personnel'!$C:$C,'YEP Summaries'!Q$3)</f>
        <v>89418.07</v>
      </c>
      <c r="R86" s="135">
        <f t="shared" si="10"/>
        <v>800451.58000000007</v>
      </c>
    </row>
    <row r="87" spans="1:18">
      <c r="A87" s="130" t="s">
        <v>776</v>
      </c>
      <c r="C87" s="135">
        <f>SUMIFS('YTD Personnel'!$I:$I,'YTD Personnel'!$B:$B,'YEP Summaries'!$A87,'YTD Personnel'!$C:$C,'YEP Summaries'!C$3)</f>
        <v>299162.23</v>
      </c>
      <c r="D87" s="135">
        <f>SUMIFS('YTD Personnel'!$I:$I,'YTD Personnel'!$B:$B,'YEP Summaries'!$A87,'YTD Personnel'!$C:$C,'YEP Summaries'!D$3)</f>
        <v>369303.73</v>
      </c>
      <c r="E87" s="135">
        <f>SUMIFS('YTD Personnel'!$I:$I,'YTD Personnel'!$B:$B,'YEP Summaries'!$A87,'YTD Personnel'!$C:$C,'YEP Summaries'!E$3)</f>
        <v>14992.15</v>
      </c>
      <c r="F87" s="135">
        <f>SUMIFS('YTD Personnel'!$I:$I,'YTD Personnel'!$B:$B,'YEP Summaries'!$A87,'YTD Personnel'!$C:$C,'YEP Summaries'!F$3)</f>
        <v>0</v>
      </c>
      <c r="G87" s="135">
        <f>SUMIFS('YTD Personnel'!$I:$I,'YTD Personnel'!$B:$B,'YEP Summaries'!$A87,'YTD Personnel'!$C:$C,'YEP Summaries'!G$3)</f>
        <v>4850</v>
      </c>
      <c r="H87" s="135">
        <f>SUMIFS('YTD Personnel'!$I:$I,'YTD Personnel'!$B:$B,'YEP Summaries'!$A87,'YTD Personnel'!$C:$C,'YEP Summaries'!H$3)</f>
        <v>0</v>
      </c>
      <c r="I87" s="135">
        <f>SUMIFS('YTD Personnel'!$I:$I,'YTD Personnel'!$B:$B,'YEP Summaries'!$A87,'YTD Personnel'!$C:$C,'YEP Summaries'!I$3)</f>
        <v>0</v>
      </c>
      <c r="J87" s="135"/>
      <c r="K87" s="135">
        <f>SUMIFS('YTD Personnel'!$I:$I,'YTD Personnel'!$B:$B,'YEP Summaries'!$A87,'YTD Personnel'!$C:$C,'YEP Summaries'!K$3)</f>
        <v>4584</v>
      </c>
      <c r="L87" s="135">
        <f>SUMIFS('YTD Personnel'!$I:$I,'YTD Personnel'!$B:$B,'YEP Summaries'!$A87,'YTD Personnel'!$C:$C,'YEP Summaries'!L$3)</f>
        <v>0</v>
      </c>
      <c r="M87" s="135">
        <f>SUMIFS('YTD Personnel'!$I:$I,'YTD Personnel'!$B:$B,'YEP Summaries'!$A87,'YTD Personnel'!$C:$C,'YEP Summaries'!M$3)</f>
        <v>0</v>
      </c>
      <c r="N87" s="135">
        <f>SUMIFS('YTD Personnel'!$I:$I,'YTD Personnel'!$B:$B,'YEP Summaries'!$A87,'YTD Personnel'!$C:$C,'YEP Summaries'!N$3)</f>
        <v>52112.66</v>
      </c>
      <c r="O87" s="135">
        <f>SUMIFS('YTD Personnel'!$I:$I,'YTD Personnel'!$B:$B,'YEP Summaries'!$A87,'YTD Personnel'!$C:$C,'YEP Summaries'!O$3)</f>
        <v>44519.6</v>
      </c>
      <c r="P87" s="135">
        <f>SUMIFS('YTD Personnel'!$I:$I,'YTD Personnel'!$B:$B,'YEP Summaries'!$A87,'YTD Personnel'!$C:$C,'YEP Summaries'!P$3)</f>
        <v>11927.25</v>
      </c>
      <c r="Q87" s="135">
        <f>SUMIFS('YTD Personnel'!$I:$I,'YTD Personnel'!$B:$B,'YEP Summaries'!$A87,'YTD Personnel'!$C:$C,'YEP Summaries'!Q$3)</f>
        <v>115436.2</v>
      </c>
      <c r="R87" s="135">
        <f t="shared" si="10"/>
        <v>916887.82</v>
      </c>
    </row>
    <row r="88" spans="1:18">
      <c r="A88" s="130" t="s">
        <v>777</v>
      </c>
      <c r="C88" s="135">
        <f>SUMIFS('YTD Personnel'!$I:$I,'YTD Personnel'!$B:$B,'YEP Summaries'!$A88,'YTD Personnel'!$C:$C,'YEP Summaries'!C$3)</f>
        <v>0</v>
      </c>
      <c r="D88" s="135">
        <f>SUMIFS('YTD Personnel'!$I:$I,'YTD Personnel'!$B:$B,'YEP Summaries'!$A88,'YTD Personnel'!$C:$C,'YEP Summaries'!D$3)</f>
        <v>4260470.3099999996</v>
      </c>
      <c r="E88" s="135">
        <f>SUMIFS('YTD Personnel'!$I:$I,'YTD Personnel'!$B:$B,'YEP Summaries'!$A88,'YTD Personnel'!$C:$C,'YEP Summaries'!E$3)</f>
        <v>702671.18</v>
      </c>
      <c r="F88" s="135">
        <f>SUMIFS('YTD Personnel'!$I:$I,'YTD Personnel'!$B:$B,'YEP Summaries'!$A88,'YTD Personnel'!$C:$C,'YEP Summaries'!F$3)</f>
        <v>0</v>
      </c>
      <c r="G88" s="135">
        <f>SUMIFS('YTD Personnel'!$I:$I,'YTD Personnel'!$B:$B,'YEP Summaries'!$A88,'YTD Personnel'!$C:$C,'YEP Summaries'!G$3)</f>
        <v>33340</v>
      </c>
      <c r="H88" s="135">
        <f>SUMIFS('YTD Personnel'!$I:$I,'YTD Personnel'!$B:$B,'YEP Summaries'!$A88,'YTD Personnel'!$C:$C,'YEP Summaries'!H$3)</f>
        <v>0</v>
      </c>
      <c r="I88" s="135">
        <f>SUMIFS('YTD Personnel'!$I:$I,'YTD Personnel'!$B:$B,'YEP Summaries'!$A88,'YTD Personnel'!$C:$C,'YEP Summaries'!I$3)</f>
        <v>0</v>
      </c>
      <c r="J88" s="135"/>
      <c r="K88" s="135">
        <f>SUMIFS('YTD Personnel'!$I:$I,'YTD Personnel'!$B:$B,'YEP Summaries'!$A88,'YTD Personnel'!$C:$C,'YEP Summaries'!K$3)</f>
        <v>32037</v>
      </c>
      <c r="L88" s="135">
        <f>SUMIFS('YTD Personnel'!$I:$I,'YTD Personnel'!$B:$B,'YEP Summaries'!$A88,'YTD Personnel'!$C:$C,'YEP Summaries'!L$3)</f>
        <v>0</v>
      </c>
      <c r="M88" s="135">
        <f>SUMIFS('YTD Personnel'!$I:$I,'YTD Personnel'!$B:$B,'YEP Summaries'!$A88,'YTD Personnel'!$C:$C,'YEP Summaries'!M$3)</f>
        <v>0</v>
      </c>
      <c r="N88" s="135">
        <f>SUMIFS('YTD Personnel'!$I:$I,'YTD Personnel'!$B:$B,'YEP Summaries'!$A88,'YTD Personnel'!$C:$C,'YEP Summaries'!N$3)</f>
        <v>361715.05</v>
      </c>
      <c r="O88" s="135">
        <f>SUMIFS('YTD Personnel'!$I:$I,'YTD Personnel'!$B:$B,'YEP Summaries'!$A88,'YTD Personnel'!$C:$C,'YEP Summaries'!O$3)</f>
        <v>734572.01</v>
      </c>
      <c r="P88" s="135">
        <f>SUMIFS('YTD Personnel'!$I:$I,'YTD Personnel'!$B:$B,'YEP Summaries'!$A88,'YTD Personnel'!$C:$C,'YEP Summaries'!P$3)</f>
        <v>91022.6</v>
      </c>
      <c r="Q88" s="135">
        <f>SUMIFS('YTD Personnel'!$I:$I,'YTD Personnel'!$B:$B,'YEP Summaries'!$A88,'YTD Personnel'!$C:$C,'YEP Summaries'!Q$3)</f>
        <v>832314.8</v>
      </c>
      <c r="R88" s="135">
        <f t="shared" si="10"/>
        <v>7048142.9499999983</v>
      </c>
    </row>
    <row r="89" spans="1:18">
      <c r="A89" s="130" t="s">
        <v>778</v>
      </c>
      <c r="C89" s="135">
        <f>SUMIFS('YTD Personnel'!$I:$I,'YTD Personnel'!$B:$B,'YEP Summaries'!$A89,'YTD Personnel'!$C:$C,'YEP Summaries'!C$3)</f>
        <v>283894.37</v>
      </c>
      <c r="D89" s="135">
        <f>SUMIFS('YTD Personnel'!$I:$I,'YTD Personnel'!$B:$B,'YEP Summaries'!$A89,'YTD Personnel'!$C:$C,'YEP Summaries'!D$3)</f>
        <v>33769.71</v>
      </c>
      <c r="E89" s="135">
        <f>SUMIFS('YTD Personnel'!$I:$I,'YTD Personnel'!$B:$B,'YEP Summaries'!$A89,'YTD Personnel'!$C:$C,'YEP Summaries'!E$3)</f>
        <v>71.34</v>
      </c>
      <c r="F89" s="135">
        <f>SUMIFS('YTD Personnel'!$I:$I,'YTD Personnel'!$B:$B,'YEP Summaries'!$A89,'YTD Personnel'!$C:$C,'YEP Summaries'!F$3)</f>
        <v>0</v>
      </c>
      <c r="G89" s="135">
        <f>SUMIFS('YTD Personnel'!$I:$I,'YTD Personnel'!$B:$B,'YEP Summaries'!$A89,'YTD Personnel'!$C:$C,'YEP Summaries'!G$3)</f>
        <v>1265</v>
      </c>
      <c r="H89" s="135">
        <f>SUMIFS('YTD Personnel'!$I:$I,'YTD Personnel'!$B:$B,'YEP Summaries'!$A89,'YTD Personnel'!$C:$C,'YEP Summaries'!H$3)</f>
        <v>0</v>
      </c>
      <c r="I89" s="135">
        <f>SUMIFS('YTD Personnel'!$I:$I,'YTD Personnel'!$B:$B,'YEP Summaries'!$A89,'YTD Personnel'!$C:$C,'YEP Summaries'!I$3)</f>
        <v>0</v>
      </c>
      <c r="J89" s="135"/>
      <c r="K89" s="135">
        <f>SUMIFS('YTD Personnel'!$I:$I,'YTD Personnel'!$B:$B,'YEP Summaries'!$A89,'YTD Personnel'!$C:$C,'YEP Summaries'!K$3)</f>
        <v>0</v>
      </c>
      <c r="L89" s="135">
        <f>SUMIFS('YTD Personnel'!$I:$I,'YTD Personnel'!$B:$B,'YEP Summaries'!$A89,'YTD Personnel'!$C:$C,'YEP Summaries'!L$3)</f>
        <v>4584</v>
      </c>
      <c r="M89" s="135">
        <f>SUMIFS('YTD Personnel'!$I:$I,'YTD Personnel'!$B:$B,'YEP Summaries'!$A89,'YTD Personnel'!$C:$C,'YEP Summaries'!M$3)</f>
        <v>0</v>
      </c>
      <c r="N89" s="135">
        <f>SUMIFS('YTD Personnel'!$I:$I,'YTD Personnel'!$B:$B,'YEP Summaries'!$A89,'YTD Personnel'!$C:$C,'YEP Summaries'!N$3)</f>
        <v>23461.72</v>
      </c>
      <c r="O89" s="135">
        <f>SUMIFS('YTD Personnel'!$I:$I,'YTD Personnel'!$B:$B,'YEP Summaries'!$A89,'YTD Personnel'!$C:$C,'YEP Summaries'!O$3)</f>
        <v>44342.58</v>
      </c>
      <c r="P89" s="135">
        <f>SUMIFS('YTD Personnel'!$I:$I,'YTD Personnel'!$B:$B,'YEP Summaries'!$A89,'YTD Personnel'!$C:$C,'YEP Summaries'!P$3)</f>
        <v>493.6</v>
      </c>
      <c r="Q89" s="135">
        <f>SUMIFS('YTD Personnel'!$I:$I,'YTD Personnel'!$B:$B,'YEP Summaries'!$A89,'YTD Personnel'!$C:$C,'YEP Summaries'!Q$3)</f>
        <v>54069.82</v>
      </c>
      <c r="R89" s="135">
        <f t="shared" si="10"/>
        <v>445952.14</v>
      </c>
    </row>
    <row r="90" spans="1:18">
      <c r="A90" s="130" t="s">
        <v>779</v>
      </c>
      <c r="C90" s="135">
        <f>SUMIFS('YTD Personnel'!$I:$I,'YTD Personnel'!$B:$B,'YEP Summaries'!$A90,'YTD Personnel'!$C:$C,'YEP Summaries'!C$3)</f>
        <v>222300.36</v>
      </c>
      <c r="D90" s="135">
        <f>SUMIFS('YTD Personnel'!$I:$I,'YTD Personnel'!$B:$B,'YEP Summaries'!$A90,'YTD Personnel'!$C:$C,'YEP Summaries'!D$3)</f>
        <v>99989.54</v>
      </c>
      <c r="E90" s="135">
        <f>SUMIFS('YTD Personnel'!$I:$I,'YTD Personnel'!$B:$B,'YEP Summaries'!$A90,'YTD Personnel'!$C:$C,'YEP Summaries'!E$3)</f>
        <v>5419.86</v>
      </c>
      <c r="F90" s="135">
        <f>SUMIFS('YTD Personnel'!$I:$I,'YTD Personnel'!$B:$B,'YEP Summaries'!$A90,'YTD Personnel'!$C:$C,'YEP Summaries'!F$3)</f>
        <v>0</v>
      </c>
      <c r="G90" s="135">
        <f>SUMIFS('YTD Personnel'!$I:$I,'YTD Personnel'!$B:$B,'YEP Summaries'!$A90,'YTD Personnel'!$C:$C,'YEP Summaries'!G$3)</f>
        <v>2385</v>
      </c>
      <c r="H90" s="135">
        <f>SUMIFS('YTD Personnel'!$I:$I,'YTD Personnel'!$B:$B,'YEP Summaries'!$A90,'YTD Personnel'!$C:$C,'YEP Summaries'!H$3)</f>
        <v>0</v>
      </c>
      <c r="I90" s="135">
        <f>SUMIFS('YTD Personnel'!$I:$I,'YTD Personnel'!$B:$B,'YEP Summaries'!$A90,'YTD Personnel'!$C:$C,'YEP Summaries'!I$3)</f>
        <v>0</v>
      </c>
      <c r="J90" s="135"/>
      <c r="K90" s="135">
        <f>SUMIFS('YTD Personnel'!$I:$I,'YTD Personnel'!$B:$B,'YEP Summaries'!$A90,'YTD Personnel'!$C:$C,'YEP Summaries'!K$3)</f>
        <v>0</v>
      </c>
      <c r="L90" s="135">
        <f>SUMIFS('YTD Personnel'!$I:$I,'YTD Personnel'!$B:$B,'YEP Summaries'!$A90,'YTD Personnel'!$C:$C,'YEP Summaries'!L$3)</f>
        <v>4011</v>
      </c>
      <c r="M90" s="135">
        <f>SUMIFS('YTD Personnel'!$I:$I,'YTD Personnel'!$B:$B,'YEP Summaries'!$A90,'YTD Personnel'!$C:$C,'YEP Summaries'!M$3)</f>
        <v>0</v>
      </c>
      <c r="N90" s="135">
        <f>SUMIFS('YTD Personnel'!$I:$I,'YTD Personnel'!$B:$B,'YEP Summaries'!$A90,'YTD Personnel'!$C:$C,'YEP Summaries'!N$3)</f>
        <v>25223.84</v>
      </c>
      <c r="O90" s="135">
        <f>SUMIFS('YTD Personnel'!$I:$I,'YTD Personnel'!$B:$B,'YEP Summaries'!$A90,'YTD Personnel'!$C:$C,'YEP Summaries'!O$3)</f>
        <v>44615.66</v>
      </c>
      <c r="P90" s="135">
        <f>SUMIFS('YTD Personnel'!$I:$I,'YTD Personnel'!$B:$B,'YEP Summaries'!$A90,'YTD Personnel'!$C:$C,'YEP Summaries'!P$3)</f>
        <v>1086.1199999999999</v>
      </c>
      <c r="Q90" s="135">
        <f>SUMIFS('YTD Personnel'!$I:$I,'YTD Personnel'!$B:$B,'YEP Summaries'!$A90,'YTD Personnel'!$C:$C,'YEP Summaries'!Q$3)</f>
        <v>55746.77</v>
      </c>
      <c r="R90" s="135">
        <f t="shared" si="10"/>
        <v>460778.15</v>
      </c>
    </row>
    <row r="91" spans="1:18">
      <c r="A91" s="130" t="s">
        <v>780</v>
      </c>
      <c r="C91" s="135">
        <f>SUMIFS('YTD Personnel'!$I:$I,'YTD Personnel'!$B:$B,'YEP Summaries'!$A91,'YTD Personnel'!$C:$C,'YEP Summaries'!C$3)</f>
        <v>0</v>
      </c>
      <c r="D91" s="135">
        <f>SUMIFS('YTD Personnel'!$I:$I,'YTD Personnel'!$B:$B,'YEP Summaries'!$A91,'YTD Personnel'!$C:$C,'YEP Summaries'!D$3)</f>
        <v>319832.03000000003</v>
      </c>
      <c r="E91" s="135">
        <f>SUMIFS('YTD Personnel'!$I:$I,'YTD Personnel'!$B:$B,'YEP Summaries'!$A91,'YTD Personnel'!$C:$C,'YEP Summaries'!E$3)</f>
        <v>7102.15</v>
      </c>
      <c r="F91" s="135">
        <f>SUMIFS('YTD Personnel'!$I:$I,'YTD Personnel'!$B:$B,'YEP Summaries'!$A91,'YTD Personnel'!$C:$C,'YEP Summaries'!F$3)</f>
        <v>0</v>
      </c>
      <c r="G91" s="135">
        <f>SUMIFS('YTD Personnel'!$I:$I,'YTD Personnel'!$B:$B,'YEP Summaries'!$A91,'YTD Personnel'!$C:$C,'YEP Summaries'!G$3)</f>
        <v>980</v>
      </c>
      <c r="H91" s="135">
        <f>SUMIFS('YTD Personnel'!$I:$I,'YTD Personnel'!$B:$B,'YEP Summaries'!$A91,'YTD Personnel'!$C:$C,'YEP Summaries'!H$3)</f>
        <v>0</v>
      </c>
      <c r="I91" s="135">
        <f>SUMIFS('YTD Personnel'!$I:$I,'YTD Personnel'!$B:$B,'YEP Summaries'!$A91,'YTD Personnel'!$C:$C,'YEP Summaries'!I$3)</f>
        <v>0</v>
      </c>
      <c r="J91" s="135"/>
      <c r="K91" s="135">
        <f>SUMIFS('YTD Personnel'!$I:$I,'YTD Personnel'!$B:$B,'YEP Summaries'!$A91,'YTD Personnel'!$C:$C,'YEP Summaries'!K$3)</f>
        <v>0</v>
      </c>
      <c r="L91" s="135">
        <f>SUMIFS('YTD Personnel'!$I:$I,'YTD Personnel'!$B:$B,'YEP Summaries'!$A91,'YTD Personnel'!$C:$C,'YEP Summaries'!L$3)</f>
        <v>0</v>
      </c>
      <c r="M91" s="135">
        <f>SUMIFS('YTD Personnel'!$I:$I,'YTD Personnel'!$B:$B,'YEP Summaries'!$A91,'YTD Personnel'!$C:$C,'YEP Summaries'!M$3)</f>
        <v>0</v>
      </c>
      <c r="N91" s="135">
        <f>SUMIFS('YTD Personnel'!$I:$I,'YTD Personnel'!$B:$B,'YEP Summaries'!$A91,'YTD Personnel'!$C:$C,'YEP Summaries'!N$3)</f>
        <v>23975.88</v>
      </c>
      <c r="O91" s="135">
        <f>SUMIFS('YTD Personnel'!$I:$I,'YTD Personnel'!$B:$B,'YEP Summaries'!$A91,'YTD Personnel'!$C:$C,'YEP Summaries'!O$3)</f>
        <v>87845.91</v>
      </c>
      <c r="P91" s="135">
        <f>SUMIFS('YTD Personnel'!$I:$I,'YTD Personnel'!$B:$B,'YEP Summaries'!$A91,'YTD Personnel'!$C:$C,'YEP Summaries'!P$3)</f>
        <v>11429.66</v>
      </c>
      <c r="Q91" s="135">
        <f>SUMIFS('YTD Personnel'!$I:$I,'YTD Personnel'!$B:$B,'YEP Summaries'!$A91,'YTD Personnel'!$C:$C,'YEP Summaries'!Q$3)</f>
        <v>54481.51</v>
      </c>
      <c r="R91" s="135">
        <f t="shared" si="10"/>
        <v>505647.14000000007</v>
      </c>
    </row>
    <row r="92" spans="1:18">
      <c r="A92" s="130" t="s">
        <v>781</v>
      </c>
      <c r="C92" s="135">
        <f>SUMIFS('YTD Personnel'!$I:$I,'YTD Personnel'!$B:$B,'YEP Summaries'!$A92,'YTD Personnel'!$C:$C,'YEP Summaries'!C$3)</f>
        <v>421979.19</v>
      </c>
      <c r="D92" s="135">
        <f>SUMIFS('YTD Personnel'!$I:$I,'YTD Personnel'!$B:$B,'YEP Summaries'!$A92,'YTD Personnel'!$C:$C,'YEP Summaries'!D$3)</f>
        <v>236754.04</v>
      </c>
      <c r="E92" s="135">
        <f>SUMIFS('YTD Personnel'!$I:$I,'YTD Personnel'!$B:$B,'YEP Summaries'!$A92,'YTD Personnel'!$C:$C,'YEP Summaries'!E$3)</f>
        <v>7.68</v>
      </c>
      <c r="F92" s="135">
        <f>SUMIFS('YTD Personnel'!$I:$I,'YTD Personnel'!$B:$B,'YEP Summaries'!$A92,'YTD Personnel'!$C:$C,'YEP Summaries'!F$3)</f>
        <v>0</v>
      </c>
      <c r="G92" s="135">
        <f>SUMIFS('YTD Personnel'!$I:$I,'YTD Personnel'!$B:$B,'YEP Summaries'!$A92,'YTD Personnel'!$C:$C,'YEP Summaries'!G$3)</f>
        <v>3250</v>
      </c>
      <c r="H92" s="135">
        <f>SUMIFS('YTD Personnel'!$I:$I,'YTD Personnel'!$B:$B,'YEP Summaries'!$A92,'YTD Personnel'!$C:$C,'YEP Summaries'!H$3)</f>
        <v>0</v>
      </c>
      <c r="I92" s="135">
        <f>SUMIFS('YTD Personnel'!$I:$I,'YTD Personnel'!$B:$B,'YEP Summaries'!$A92,'YTD Personnel'!$C:$C,'YEP Summaries'!I$3)</f>
        <v>0</v>
      </c>
      <c r="J92" s="135"/>
      <c r="K92" s="135">
        <f>SUMIFS('YTD Personnel'!$I:$I,'YTD Personnel'!$B:$B,'YEP Summaries'!$A92,'YTD Personnel'!$C:$C,'YEP Summaries'!K$3)</f>
        <v>0</v>
      </c>
      <c r="L92" s="135">
        <f>SUMIFS('YTD Personnel'!$I:$I,'YTD Personnel'!$B:$B,'YEP Summaries'!$A92,'YTD Personnel'!$C:$C,'YEP Summaries'!L$3)</f>
        <v>0</v>
      </c>
      <c r="M92" s="135">
        <f>SUMIFS('YTD Personnel'!$I:$I,'YTD Personnel'!$B:$B,'YEP Summaries'!$A92,'YTD Personnel'!$C:$C,'YEP Summaries'!M$3)</f>
        <v>0</v>
      </c>
      <c r="N92" s="135">
        <f>SUMIFS('YTD Personnel'!$I:$I,'YTD Personnel'!$B:$B,'YEP Summaries'!$A92,'YTD Personnel'!$C:$C,'YEP Summaries'!N$3)</f>
        <v>57752.57</v>
      </c>
      <c r="O92" s="135">
        <f>SUMIFS('YTD Personnel'!$I:$I,'YTD Personnel'!$B:$B,'YEP Summaries'!$A92,'YTD Personnel'!$C:$C,'YEP Summaries'!O$3)</f>
        <v>125785.98</v>
      </c>
      <c r="P92" s="135">
        <f>SUMIFS('YTD Personnel'!$I:$I,'YTD Personnel'!$B:$B,'YEP Summaries'!$A92,'YTD Personnel'!$C:$C,'YEP Summaries'!P$3)</f>
        <v>1559.73</v>
      </c>
      <c r="Q92" s="135">
        <f>SUMIFS('YTD Personnel'!$I:$I,'YTD Personnel'!$B:$B,'YEP Summaries'!$A92,'YTD Personnel'!$C:$C,'YEP Summaries'!Q$3)</f>
        <v>109801.98</v>
      </c>
      <c r="R92" s="135">
        <f t="shared" si="10"/>
        <v>956891.16999999993</v>
      </c>
    </row>
    <row r="93" spans="1:18">
      <c r="A93" s="130" t="s">
        <v>782</v>
      </c>
      <c r="C93" s="135">
        <f>SUMIFS('YTD Personnel'!$I:$I,'YTD Personnel'!$B:$B,'YEP Summaries'!$A93,'YTD Personnel'!$C:$C,'YEP Summaries'!C$3)</f>
        <v>134596.66</v>
      </c>
      <c r="D93" s="135">
        <f>SUMIFS('YTD Personnel'!$I:$I,'YTD Personnel'!$B:$B,'YEP Summaries'!$A93,'YTD Personnel'!$C:$C,'YEP Summaries'!D$3)</f>
        <v>82053.06</v>
      </c>
      <c r="E93" s="135">
        <f>SUMIFS('YTD Personnel'!$I:$I,'YTD Personnel'!$B:$B,'YEP Summaries'!$A93,'YTD Personnel'!$C:$C,'YEP Summaries'!E$3)</f>
        <v>718.22</v>
      </c>
      <c r="F93" s="135">
        <f>SUMIFS('YTD Personnel'!$I:$I,'YTD Personnel'!$B:$B,'YEP Summaries'!$A93,'YTD Personnel'!$C:$C,'YEP Summaries'!F$3)</f>
        <v>0</v>
      </c>
      <c r="G93" s="135">
        <f>SUMIFS('YTD Personnel'!$I:$I,'YTD Personnel'!$B:$B,'YEP Summaries'!$A93,'YTD Personnel'!$C:$C,'YEP Summaries'!G$3)</f>
        <v>515</v>
      </c>
      <c r="H93" s="135">
        <f>SUMIFS('YTD Personnel'!$I:$I,'YTD Personnel'!$B:$B,'YEP Summaries'!$A93,'YTD Personnel'!$C:$C,'YEP Summaries'!H$3)</f>
        <v>0</v>
      </c>
      <c r="I93" s="135">
        <f>SUMIFS('YTD Personnel'!$I:$I,'YTD Personnel'!$B:$B,'YEP Summaries'!$A93,'YTD Personnel'!$C:$C,'YEP Summaries'!I$3)</f>
        <v>0</v>
      </c>
      <c r="J93" s="135"/>
      <c r="K93" s="135">
        <f>SUMIFS('YTD Personnel'!$I:$I,'YTD Personnel'!$B:$B,'YEP Summaries'!$A93,'YTD Personnel'!$C:$C,'YEP Summaries'!K$3)</f>
        <v>0</v>
      </c>
      <c r="L93" s="135">
        <f>SUMIFS('YTD Personnel'!$I:$I,'YTD Personnel'!$B:$B,'YEP Summaries'!$A93,'YTD Personnel'!$C:$C,'YEP Summaries'!L$3)</f>
        <v>0</v>
      </c>
      <c r="M93" s="135">
        <f>SUMIFS('YTD Personnel'!$I:$I,'YTD Personnel'!$B:$B,'YEP Summaries'!$A93,'YTD Personnel'!$C:$C,'YEP Summaries'!M$3)</f>
        <v>0</v>
      </c>
      <c r="N93" s="135">
        <f>SUMIFS('YTD Personnel'!$I:$I,'YTD Personnel'!$B:$B,'YEP Summaries'!$A93,'YTD Personnel'!$C:$C,'YEP Summaries'!N$3)</f>
        <v>16896.95</v>
      </c>
      <c r="O93" s="135">
        <f>SUMIFS('YTD Personnel'!$I:$I,'YTD Personnel'!$B:$B,'YEP Summaries'!$A93,'YTD Personnel'!$C:$C,'YEP Summaries'!O$3)</f>
        <v>21482.83</v>
      </c>
      <c r="P93" s="135">
        <f>SUMIFS('YTD Personnel'!$I:$I,'YTD Personnel'!$B:$B,'YEP Summaries'!$A93,'YTD Personnel'!$C:$C,'YEP Summaries'!P$3)</f>
        <v>317.74</v>
      </c>
      <c r="Q93" s="135">
        <f>SUMIFS('YTD Personnel'!$I:$I,'YTD Personnel'!$B:$B,'YEP Summaries'!$A93,'YTD Personnel'!$C:$C,'YEP Summaries'!Q$3)</f>
        <v>36734.300000000003</v>
      </c>
      <c r="R93" s="135">
        <f t="shared" si="10"/>
        <v>293314.76</v>
      </c>
    </row>
    <row r="94" spans="1:18">
      <c r="A94" s="130" t="s">
        <v>783</v>
      </c>
      <c r="C94" s="135">
        <f>SUMIFS('YTD Personnel'!$I:$I,'YTD Personnel'!$B:$B,'YEP Summaries'!$A94,'YTD Personnel'!$C:$C,'YEP Summaries'!C$3)</f>
        <v>0</v>
      </c>
      <c r="D94" s="135">
        <f>SUMIFS('YTD Personnel'!$I:$I,'YTD Personnel'!$B:$B,'YEP Summaries'!$A94,'YTD Personnel'!$C:$C,'YEP Summaries'!D$3)</f>
        <v>394103.25</v>
      </c>
      <c r="E94" s="135">
        <f>SUMIFS('YTD Personnel'!$I:$I,'YTD Personnel'!$B:$B,'YEP Summaries'!$A94,'YTD Personnel'!$C:$C,'YEP Summaries'!E$3)</f>
        <v>21432.63</v>
      </c>
      <c r="F94" s="135">
        <f>SUMIFS('YTD Personnel'!$I:$I,'YTD Personnel'!$B:$B,'YEP Summaries'!$A94,'YTD Personnel'!$C:$C,'YEP Summaries'!F$3)</f>
        <v>0</v>
      </c>
      <c r="G94" s="135">
        <f>SUMIFS('YTD Personnel'!$I:$I,'YTD Personnel'!$B:$B,'YEP Summaries'!$A94,'YTD Personnel'!$C:$C,'YEP Summaries'!G$3)</f>
        <v>6354</v>
      </c>
      <c r="H94" s="135">
        <f>SUMIFS('YTD Personnel'!$I:$I,'YTD Personnel'!$B:$B,'YEP Summaries'!$A94,'YTD Personnel'!$C:$C,'YEP Summaries'!H$3)</f>
        <v>0</v>
      </c>
      <c r="I94" s="135">
        <f>SUMIFS('YTD Personnel'!$I:$I,'YTD Personnel'!$B:$B,'YEP Summaries'!$A94,'YTD Personnel'!$C:$C,'YEP Summaries'!I$3)</f>
        <v>0</v>
      </c>
      <c r="J94" s="135"/>
      <c r="K94" s="135">
        <f>SUMIFS('YTD Personnel'!$I:$I,'YTD Personnel'!$B:$B,'YEP Summaries'!$A94,'YTD Personnel'!$C:$C,'YEP Summaries'!K$3)</f>
        <v>0</v>
      </c>
      <c r="L94" s="135">
        <f>SUMIFS('YTD Personnel'!$I:$I,'YTD Personnel'!$B:$B,'YEP Summaries'!$A94,'YTD Personnel'!$C:$C,'YEP Summaries'!L$3)</f>
        <v>0</v>
      </c>
      <c r="M94" s="135">
        <f>SUMIFS('YTD Personnel'!$I:$I,'YTD Personnel'!$B:$B,'YEP Summaries'!$A94,'YTD Personnel'!$C:$C,'YEP Summaries'!M$3)</f>
        <v>0</v>
      </c>
      <c r="N94" s="135">
        <f>SUMIFS('YTD Personnel'!$I:$I,'YTD Personnel'!$B:$B,'YEP Summaries'!$A94,'YTD Personnel'!$C:$C,'YEP Summaries'!N$3)</f>
        <v>31353.02</v>
      </c>
      <c r="O94" s="135">
        <f>SUMIFS('YTD Personnel'!$I:$I,'YTD Personnel'!$B:$B,'YEP Summaries'!$A94,'YTD Personnel'!$C:$C,'YEP Summaries'!O$3)</f>
        <v>86546.58</v>
      </c>
      <c r="P94" s="135">
        <f>SUMIFS('YTD Personnel'!$I:$I,'YTD Personnel'!$B:$B,'YEP Summaries'!$A94,'YTD Personnel'!$C:$C,'YEP Summaries'!P$3)</f>
        <v>5462.53</v>
      </c>
      <c r="Q94" s="135">
        <f>SUMIFS('YTD Personnel'!$I:$I,'YTD Personnel'!$B:$B,'YEP Summaries'!$A94,'YTD Personnel'!$C:$C,'YEP Summaries'!Q$3)</f>
        <v>69609.97</v>
      </c>
      <c r="R94" s="135">
        <f t="shared" si="10"/>
        <v>614861.98</v>
      </c>
    </row>
    <row r="95" spans="1:18">
      <c r="A95" s="130" t="s">
        <v>784</v>
      </c>
      <c r="C95" s="135">
        <f>SUMIFS('YTD Personnel'!$I:$I,'YTD Personnel'!$B:$B,'YEP Summaries'!$A95,'YTD Personnel'!$C:$C,'YEP Summaries'!C$3)</f>
        <v>61234.44</v>
      </c>
      <c r="D95" s="135">
        <f>SUMIFS('YTD Personnel'!$I:$I,'YTD Personnel'!$B:$B,'YEP Summaries'!$A95,'YTD Personnel'!$C:$C,'YEP Summaries'!D$3)</f>
        <v>0</v>
      </c>
      <c r="E95" s="135">
        <f>SUMIFS('YTD Personnel'!$I:$I,'YTD Personnel'!$B:$B,'YEP Summaries'!$A95,'YTD Personnel'!$C:$C,'YEP Summaries'!E$3)</f>
        <v>0</v>
      </c>
      <c r="F95" s="135">
        <f>SUMIFS('YTD Personnel'!$I:$I,'YTD Personnel'!$B:$B,'YEP Summaries'!$A95,'YTD Personnel'!$C:$C,'YEP Summaries'!F$3)</f>
        <v>0</v>
      </c>
      <c r="G95" s="135">
        <f>SUMIFS('YTD Personnel'!$I:$I,'YTD Personnel'!$B:$B,'YEP Summaries'!$A95,'YTD Personnel'!$C:$C,'YEP Summaries'!G$3)</f>
        <v>495</v>
      </c>
      <c r="H95" s="135">
        <f>SUMIFS('YTD Personnel'!$I:$I,'YTD Personnel'!$B:$B,'YEP Summaries'!$A95,'YTD Personnel'!$C:$C,'YEP Summaries'!H$3)</f>
        <v>0</v>
      </c>
      <c r="I95" s="135">
        <f>SUMIFS('YTD Personnel'!$I:$I,'YTD Personnel'!$B:$B,'YEP Summaries'!$A95,'YTD Personnel'!$C:$C,'YEP Summaries'!I$3)</f>
        <v>0</v>
      </c>
      <c r="J95" s="135"/>
      <c r="K95" s="135">
        <f>SUMIFS('YTD Personnel'!$I:$I,'YTD Personnel'!$B:$B,'YEP Summaries'!$A95,'YTD Personnel'!$C:$C,'YEP Summaries'!K$3)</f>
        <v>0</v>
      </c>
      <c r="L95" s="135">
        <f>SUMIFS('YTD Personnel'!$I:$I,'YTD Personnel'!$B:$B,'YEP Summaries'!$A95,'YTD Personnel'!$C:$C,'YEP Summaries'!L$3)</f>
        <v>0</v>
      </c>
      <c r="M95" s="135">
        <f>SUMIFS('YTD Personnel'!$I:$I,'YTD Personnel'!$B:$B,'YEP Summaries'!$A95,'YTD Personnel'!$C:$C,'YEP Summaries'!M$3)</f>
        <v>0</v>
      </c>
      <c r="N95" s="135">
        <f>SUMIFS('YTD Personnel'!$I:$I,'YTD Personnel'!$B:$B,'YEP Summaries'!$A95,'YTD Personnel'!$C:$C,'YEP Summaries'!N$3)</f>
        <v>4575.29</v>
      </c>
      <c r="O95" s="135">
        <f>SUMIFS('YTD Personnel'!$I:$I,'YTD Personnel'!$B:$B,'YEP Summaries'!$A95,'YTD Personnel'!$C:$C,'YEP Summaries'!O$3)</f>
        <v>10826.26</v>
      </c>
      <c r="P95" s="135">
        <f>SUMIFS('YTD Personnel'!$I:$I,'YTD Personnel'!$B:$B,'YEP Summaries'!$A95,'YTD Personnel'!$C:$C,'YEP Summaries'!P$3)</f>
        <v>93.92</v>
      </c>
      <c r="Q95" s="135">
        <f>SUMIFS('YTD Personnel'!$I:$I,'YTD Personnel'!$B:$B,'YEP Summaries'!$A95,'YTD Personnel'!$C:$C,'YEP Summaries'!Q$3)</f>
        <v>10489.83</v>
      </c>
      <c r="R95" s="135">
        <f t="shared" si="10"/>
        <v>87714.739999999991</v>
      </c>
    </row>
    <row r="96" spans="1:18">
      <c r="A96" s="130" t="s">
        <v>785</v>
      </c>
      <c r="C96" s="135">
        <f>SUMIFS('YTD Personnel'!$I:$I,'YTD Personnel'!$B:$B,'YEP Summaries'!$A96,'YTD Personnel'!$C:$C,'YEP Summaries'!C$3)</f>
        <v>120496.92</v>
      </c>
      <c r="D96" s="135">
        <f>SUMIFS('YTD Personnel'!$I:$I,'YTD Personnel'!$B:$B,'YEP Summaries'!$A96,'YTD Personnel'!$C:$C,'YEP Summaries'!D$3)</f>
        <v>65178.61</v>
      </c>
      <c r="E96" s="135">
        <f>SUMIFS('YTD Personnel'!$I:$I,'YTD Personnel'!$B:$B,'YEP Summaries'!$A96,'YTD Personnel'!$C:$C,'YEP Summaries'!E$3)</f>
        <v>597.04</v>
      </c>
      <c r="F96" s="135">
        <f>SUMIFS('YTD Personnel'!$I:$I,'YTD Personnel'!$B:$B,'YEP Summaries'!$A96,'YTD Personnel'!$C:$C,'YEP Summaries'!F$3)</f>
        <v>0</v>
      </c>
      <c r="G96" s="135">
        <f>SUMIFS('YTD Personnel'!$I:$I,'YTD Personnel'!$B:$B,'YEP Summaries'!$A96,'YTD Personnel'!$C:$C,'YEP Summaries'!G$3)</f>
        <v>1530</v>
      </c>
      <c r="H96" s="135">
        <f>SUMIFS('YTD Personnel'!$I:$I,'YTD Personnel'!$B:$B,'YEP Summaries'!$A96,'YTD Personnel'!$C:$C,'YEP Summaries'!H$3)</f>
        <v>0</v>
      </c>
      <c r="I96" s="135">
        <f>SUMIFS('YTD Personnel'!$I:$I,'YTD Personnel'!$B:$B,'YEP Summaries'!$A96,'YTD Personnel'!$C:$C,'YEP Summaries'!I$3)</f>
        <v>0</v>
      </c>
      <c r="J96" s="135"/>
      <c r="K96" s="135">
        <f>SUMIFS('YTD Personnel'!$I:$I,'YTD Personnel'!$B:$B,'YEP Summaries'!$A96,'YTD Personnel'!$C:$C,'YEP Summaries'!K$3)</f>
        <v>0</v>
      </c>
      <c r="L96" s="135">
        <f>SUMIFS('YTD Personnel'!$I:$I,'YTD Personnel'!$B:$B,'YEP Summaries'!$A96,'YTD Personnel'!$C:$C,'YEP Summaries'!L$3)</f>
        <v>0</v>
      </c>
      <c r="M96" s="135">
        <f>SUMIFS('YTD Personnel'!$I:$I,'YTD Personnel'!$B:$B,'YEP Summaries'!$A96,'YTD Personnel'!$C:$C,'YEP Summaries'!M$3)</f>
        <v>0</v>
      </c>
      <c r="N96" s="135">
        <f>SUMIFS('YTD Personnel'!$I:$I,'YTD Personnel'!$B:$B,'YEP Summaries'!$A96,'YTD Personnel'!$C:$C,'YEP Summaries'!N$3)</f>
        <v>15397.2</v>
      </c>
      <c r="O96" s="135">
        <f>SUMIFS('YTD Personnel'!$I:$I,'YTD Personnel'!$B:$B,'YEP Summaries'!$A96,'YTD Personnel'!$C:$C,'YEP Summaries'!O$3)</f>
        <v>57620.88</v>
      </c>
      <c r="P96" s="135">
        <f>SUMIFS('YTD Personnel'!$I:$I,'YTD Personnel'!$B:$B,'YEP Summaries'!$A96,'YTD Personnel'!$C:$C,'YEP Summaries'!P$3)</f>
        <v>353.72</v>
      </c>
      <c r="Q96" s="135">
        <f>SUMIFS('YTD Personnel'!$I:$I,'YTD Personnel'!$B:$B,'YEP Summaries'!$A96,'YTD Personnel'!$C:$C,'YEP Summaries'!Q$3)</f>
        <v>31317.759999999998</v>
      </c>
      <c r="R96" s="135">
        <f t="shared" si="10"/>
        <v>292492.13</v>
      </c>
    </row>
    <row r="97" spans="1:19">
      <c r="A97" s="130" t="s">
        <v>786</v>
      </c>
      <c r="C97" s="135">
        <f>SUMIFS('YTD Personnel'!$I:$I,'YTD Personnel'!$B:$B,'YEP Summaries'!$A97,'YTD Personnel'!$C:$C,'YEP Summaries'!C$3)</f>
        <v>0</v>
      </c>
      <c r="D97" s="135">
        <f>SUMIFS('YTD Personnel'!$I:$I,'YTD Personnel'!$B:$B,'YEP Summaries'!$A97,'YTD Personnel'!$C:$C,'YEP Summaries'!D$3)</f>
        <v>179465</v>
      </c>
      <c r="E97" s="135">
        <f>SUMIFS('YTD Personnel'!$I:$I,'YTD Personnel'!$B:$B,'YEP Summaries'!$A97,'YTD Personnel'!$C:$C,'YEP Summaries'!E$3)</f>
        <v>5035.03</v>
      </c>
      <c r="F97" s="135">
        <f>SUMIFS('YTD Personnel'!$I:$I,'YTD Personnel'!$B:$B,'YEP Summaries'!$A97,'YTD Personnel'!$C:$C,'YEP Summaries'!F$3)</f>
        <v>0</v>
      </c>
      <c r="G97" s="135">
        <f>SUMIFS('YTD Personnel'!$I:$I,'YTD Personnel'!$B:$B,'YEP Summaries'!$A97,'YTD Personnel'!$C:$C,'YEP Summaries'!G$3)</f>
        <v>1700</v>
      </c>
      <c r="H97" s="135">
        <f>SUMIFS('YTD Personnel'!$I:$I,'YTD Personnel'!$B:$B,'YEP Summaries'!$A97,'YTD Personnel'!$C:$C,'YEP Summaries'!H$3)</f>
        <v>0</v>
      </c>
      <c r="I97" s="135">
        <f>SUMIFS('YTD Personnel'!$I:$I,'YTD Personnel'!$B:$B,'YEP Summaries'!$A97,'YTD Personnel'!$C:$C,'YEP Summaries'!I$3)</f>
        <v>0</v>
      </c>
      <c r="J97" s="135"/>
      <c r="K97" s="135">
        <f>SUMIFS('YTD Personnel'!$I:$I,'YTD Personnel'!$B:$B,'YEP Summaries'!$A97,'YTD Personnel'!$C:$C,'YEP Summaries'!K$3)</f>
        <v>0</v>
      </c>
      <c r="L97" s="135">
        <f>SUMIFS('YTD Personnel'!$I:$I,'YTD Personnel'!$B:$B,'YEP Summaries'!$A97,'YTD Personnel'!$C:$C,'YEP Summaries'!L$3)</f>
        <v>0</v>
      </c>
      <c r="M97" s="135">
        <f>SUMIFS('YTD Personnel'!$I:$I,'YTD Personnel'!$B:$B,'YEP Summaries'!$A97,'YTD Personnel'!$C:$C,'YEP Summaries'!M$3)</f>
        <v>0</v>
      </c>
      <c r="N97" s="135">
        <f>SUMIFS('YTD Personnel'!$I:$I,'YTD Personnel'!$B:$B,'YEP Summaries'!$A97,'YTD Personnel'!$C:$C,'YEP Summaries'!N$3)</f>
        <v>14088.26</v>
      </c>
      <c r="O97" s="135">
        <f>SUMIFS('YTD Personnel'!$I:$I,'YTD Personnel'!$B:$B,'YEP Summaries'!$A97,'YTD Personnel'!$C:$C,'YEP Summaries'!O$3)</f>
        <v>45831.12</v>
      </c>
      <c r="P97" s="135">
        <f>SUMIFS('YTD Personnel'!$I:$I,'YTD Personnel'!$B:$B,'YEP Summaries'!$A97,'YTD Personnel'!$C:$C,'YEP Summaries'!P$3)</f>
        <v>2630.84</v>
      </c>
      <c r="Q97" s="135">
        <f>SUMIFS('YTD Personnel'!$I:$I,'YTD Personnel'!$B:$B,'YEP Summaries'!$A97,'YTD Personnel'!$C:$C,'YEP Summaries'!Q$3)</f>
        <v>30973.5</v>
      </c>
      <c r="R97" s="135">
        <f t="shared" si="10"/>
        <v>279723.75</v>
      </c>
    </row>
    <row r="98" spans="1:19">
      <c r="A98" s="130" t="s">
        <v>787</v>
      </c>
      <c r="C98" s="135">
        <f>SUMIFS('YTD Personnel'!$I:$I,'YTD Personnel'!$B:$B,'YEP Summaries'!$A98,'YTD Personnel'!$C:$C,'YEP Summaries'!C$3)</f>
        <v>0</v>
      </c>
      <c r="D98" s="135">
        <f>SUMIFS('YTD Personnel'!$I:$I,'YTD Personnel'!$B:$B,'YEP Summaries'!$A98,'YTD Personnel'!$C:$C,'YEP Summaries'!D$3)</f>
        <v>27468.73</v>
      </c>
      <c r="E98" s="135">
        <f>SUMIFS('YTD Personnel'!$I:$I,'YTD Personnel'!$B:$B,'YEP Summaries'!$A98,'YTD Personnel'!$C:$C,'YEP Summaries'!E$3)</f>
        <v>423.81</v>
      </c>
      <c r="F98" s="135">
        <f>SUMIFS('YTD Personnel'!$I:$I,'YTD Personnel'!$B:$B,'YEP Summaries'!$A98,'YTD Personnel'!$C:$C,'YEP Summaries'!F$3)</f>
        <v>0</v>
      </c>
      <c r="G98" s="135">
        <f>SUMIFS('YTD Personnel'!$I:$I,'YTD Personnel'!$B:$B,'YEP Summaries'!$A98,'YTD Personnel'!$C:$C,'YEP Summaries'!G$3)</f>
        <v>126</v>
      </c>
      <c r="H98" s="135">
        <f>SUMIFS('YTD Personnel'!$I:$I,'YTD Personnel'!$B:$B,'YEP Summaries'!$A98,'YTD Personnel'!$C:$C,'YEP Summaries'!H$3)</f>
        <v>0</v>
      </c>
      <c r="I98" s="135">
        <f>SUMIFS('YTD Personnel'!$I:$I,'YTD Personnel'!$B:$B,'YEP Summaries'!$A98,'YTD Personnel'!$C:$C,'YEP Summaries'!I$3)</f>
        <v>0</v>
      </c>
      <c r="J98" s="135"/>
      <c r="K98" s="135">
        <f>SUMIFS('YTD Personnel'!$I:$I,'YTD Personnel'!$B:$B,'YEP Summaries'!$A98,'YTD Personnel'!$C:$C,'YEP Summaries'!K$3)</f>
        <v>0</v>
      </c>
      <c r="L98" s="135">
        <f>SUMIFS('YTD Personnel'!$I:$I,'YTD Personnel'!$B:$B,'YEP Summaries'!$A98,'YTD Personnel'!$C:$C,'YEP Summaries'!L$3)</f>
        <v>0</v>
      </c>
      <c r="M98" s="135">
        <f>SUMIFS('YTD Personnel'!$I:$I,'YTD Personnel'!$B:$B,'YEP Summaries'!$A98,'YTD Personnel'!$C:$C,'YEP Summaries'!M$3)</f>
        <v>0</v>
      </c>
      <c r="N98" s="135">
        <f>SUMIFS('YTD Personnel'!$I:$I,'YTD Personnel'!$B:$B,'YEP Summaries'!$A98,'YTD Personnel'!$C:$C,'YEP Summaries'!N$3)</f>
        <v>2062.91</v>
      </c>
      <c r="O98" s="135">
        <f>SUMIFS('YTD Personnel'!$I:$I,'YTD Personnel'!$B:$B,'YEP Summaries'!$A98,'YTD Personnel'!$C:$C,'YEP Summaries'!O$3)</f>
        <v>7403.89</v>
      </c>
      <c r="P98" s="135">
        <f>SUMIFS('YTD Personnel'!$I:$I,'YTD Personnel'!$B:$B,'YEP Summaries'!$A98,'YTD Personnel'!$C:$C,'YEP Summaries'!P$3)</f>
        <v>300.76</v>
      </c>
      <c r="Q98" s="135">
        <f>SUMIFS('YTD Personnel'!$I:$I,'YTD Personnel'!$B:$B,'YEP Summaries'!$A98,'YTD Personnel'!$C:$C,'YEP Summaries'!Q$3)</f>
        <v>4635.62</v>
      </c>
      <c r="R98" s="135">
        <f t="shared" si="10"/>
        <v>42421.720000000008</v>
      </c>
    </row>
    <row r="99" spans="1:19">
      <c r="A99" s="130"/>
      <c r="C99" s="135">
        <f>SUM(C70:C98)</f>
        <v>4099055.9600000004</v>
      </c>
      <c r="D99" s="135">
        <f t="shared" ref="D99:R99" si="11">SUM(D70:D98)</f>
        <v>12576802.529999997</v>
      </c>
      <c r="E99" s="135">
        <f t="shared" si="11"/>
        <v>1467581.04</v>
      </c>
      <c r="F99" s="135">
        <f t="shared" si="11"/>
        <v>0</v>
      </c>
      <c r="G99" s="135">
        <f t="shared" si="11"/>
        <v>117255</v>
      </c>
      <c r="H99" s="135">
        <f t="shared" si="11"/>
        <v>0</v>
      </c>
      <c r="I99" s="135">
        <f t="shared" si="11"/>
        <v>0</v>
      </c>
      <c r="J99" s="135">
        <f t="shared" si="11"/>
        <v>0</v>
      </c>
      <c r="K99" s="135">
        <f t="shared" si="11"/>
        <v>203720.27000000002</v>
      </c>
      <c r="L99" s="135">
        <f t="shared" si="11"/>
        <v>20739</v>
      </c>
      <c r="M99" s="135">
        <f t="shared" si="11"/>
        <v>0</v>
      </c>
      <c r="N99" s="135">
        <f t="shared" si="11"/>
        <v>1361165.3099999998</v>
      </c>
      <c r="O99" s="135">
        <f t="shared" si="11"/>
        <v>2934449.6600000006</v>
      </c>
      <c r="P99" s="135">
        <f t="shared" si="11"/>
        <v>232995.53</v>
      </c>
      <c r="Q99" s="135">
        <f t="shared" si="11"/>
        <v>3070028.0199999996</v>
      </c>
      <c r="R99" s="135">
        <f t="shared" si="11"/>
        <v>26083792.319999993</v>
      </c>
      <c r="S99" s="135"/>
    </row>
    <row r="100" spans="1:19">
      <c r="A100" s="13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1:19">
      <c r="A101" s="130" t="s">
        <v>1913</v>
      </c>
      <c r="C101" s="135">
        <f>SUMIFS('YTD Personnel'!$I:$I,'YTD Personnel'!$B:$B,'YEP Summaries'!$A101,'YTD Personnel'!$C:$C,'YEP Summaries'!C$3)</f>
        <v>0</v>
      </c>
      <c r="D101" s="135">
        <f>SUMIFS('YTD Personnel'!$I:$I,'YTD Personnel'!$B:$B,'YEP Summaries'!$A101,'YTD Personnel'!$C:$C,'YEP Summaries'!D$3)</f>
        <v>0</v>
      </c>
      <c r="E101" s="135">
        <f>SUMIFS('YTD Personnel'!$I:$I,'YTD Personnel'!$B:$B,'YEP Summaries'!$A101,'YTD Personnel'!$C:$C,'YEP Summaries'!E$3)</f>
        <v>0</v>
      </c>
      <c r="F101" s="135">
        <f>SUMIFS('YTD Personnel'!$I:$I,'YTD Personnel'!$B:$B,'YEP Summaries'!$A101,'YTD Personnel'!$C:$C,'YEP Summaries'!F$3)</f>
        <v>0</v>
      </c>
      <c r="G101" s="135">
        <f>SUMIFS('YTD Personnel'!$I:$I,'YTD Personnel'!$B:$B,'YEP Summaries'!$A101,'YTD Personnel'!$C:$C,'YEP Summaries'!G$3)</f>
        <v>0</v>
      </c>
      <c r="H101" s="135">
        <f>SUMIFS('YTD Personnel'!$I:$I,'YTD Personnel'!$B:$B,'YEP Summaries'!$A101,'YTD Personnel'!$C:$C,'YEP Summaries'!H$3)</f>
        <v>0</v>
      </c>
      <c r="I101" s="135">
        <f>SUMIFS('YTD Personnel'!$I:$I,'YTD Personnel'!$B:$B,'YEP Summaries'!$A101,'YTD Personnel'!$C:$C,'YEP Summaries'!I$3)</f>
        <v>0</v>
      </c>
      <c r="J101" s="135"/>
      <c r="K101" s="135">
        <f>SUMIFS('YTD Personnel'!$I:$I,'YTD Personnel'!$B:$B,'YEP Summaries'!$A101,'YTD Personnel'!$C:$C,'YEP Summaries'!K$3)</f>
        <v>0</v>
      </c>
      <c r="L101" s="135">
        <f>SUMIFS('YTD Personnel'!$I:$I,'YTD Personnel'!$B:$B,'YEP Summaries'!$A101,'YTD Personnel'!$C:$C,'YEP Summaries'!L$3)</f>
        <v>0</v>
      </c>
      <c r="M101" s="135">
        <f>SUMIFS('YTD Personnel'!$I:$I,'YTD Personnel'!$B:$B,'YEP Summaries'!$A101,'YTD Personnel'!$C:$C,'YEP Summaries'!M$3)</f>
        <v>0</v>
      </c>
      <c r="N101" s="135">
        <f>SUMIFS('YTD Personnel'!$I:$I,'YTD Personnel'!$B:$B,'YEP Summaries'!$A101,'YTD Personnel'!$C:$C,'YEP Summaries'!N$3)</f>
        <v>0</v>
      </c>
      <c r="O101" s="135">
        <f>SUMIFS('YTD Personnel'!$I:$I,'YTD Personnel'!$B:$B,'YEP Summaries'!$A101,'YTD Personnel'!$C:$C,'YEP Summaries'!O$3)</f>
        <v>0</v>
      </c>
      <c r="P101" s="135">
        <f>SUMIFS('YTD Personnel'!$I:$I,'YTD Personnel'!$B:$B,'YEP Summaries'!$A101,'YTD Personnel'!$C:$C,'YEP Summaries'!P$3)</f>
        <v>16.989999999999998</v>
      </c>
      <c r="Q101" s="135">
        <f>SUMIFS('YTD Personnel'!$I:$I,'YTD Personnel'!$B:$B,'YEP Summaries'!$A101,'YTD Personnel'!$C:$C,'YEP Summaries'!Q$3)</f>
        <v>0</v>
      </c>
      <c r="R101" s="135">
        <f t="shared" ref="R101" si="12">SUM(C101:Q101)</f>
        <v>16.989999999999998</v>
      </c>
    </row>
    <row r="102" spans="1:19">
      <c r="A102" s="13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1:19">
      <c r="A103" s="130" t="s">
        <v>789</v>
      </c>
      <c r="C103" s="135">
        <f>SUMIFS('YTD Personnel'!$I:$I,'YTD Personnel'!$B:$B,'YEP Summaries'!$A103,'YTD Personnel'!$C:$C,'YEP Summaries'!C$3)</f>
        <v>81327.67</v>
      </c>
      <c r="D103" s="135">
        <f>SUMIFS('YTD Personnel'!$I:$I,'YTD Personnel'!$B:$B,'YEP Summaries'!$A103,'YTD Personnel'!$C:$C,'YEP Summaries'!D$3)</f>
        <v>0</v>
      </c>
      <c r="E103" s="135">
        <f>SUMIFS('YTD Personnel'!$I:$I,'YTD Personnel'!$B:$B,'YEP Summaries'!$A103,'YTD Personnel'!$C:$C,'YEP Summaries'!E$3)</f>
        <v>0</v>
      </c>
      <c r="F103" s="135">
        <f>SUMIFS('YTD Personnel'!$I:$I,'YTD Personnel'!$B:$B,'YEP Summaries'!$A103,'YTD Personnel'!$C:$C,'YEP Summaries'!F$3)</f>
        <v>0</v>
      </c>
      <c r="G103" s="135">
        <f>SUMIFS('YTD Personnel'!$I:$I,'YTD Personnel'!$B:$B,'YEP Summaries'!$A103,'YTD Personnel'!$C:$C,'YEP Summaries'!G$3)</f>
        <v>980</v>
      </c>
      <c r="H103" s="135">
        <f>SUMIFS('YTD Personnel'!$I:$I,'YTD Personnel'!$B:$B,'YEP Summaries'!$A103,'YTD Personnel'!$C:$C,'YEP Summaries'!H$3)</f>
        <v>0</v>
      </c>
      <c r="I103" s="135">
        <f>SUMIFS('YTD Personnel'!$I:$I,'YTD Personnel'!$B:$B,'YEP Summaries'!$A103,'YTD Personnel'!$C:$C,'YEP Summaries'!I$3)</f>
        <v>0</v>
      </c>
      <c r="J103" s="135"/>
      <c r="K103" s="135">
        <f>SUMIFS('YTD Personnel'!$I:$I,'YTD Personnel'!$B:$B,'YEP Summaries'!$A103,'YTD Personnel'!$C:$C,'YEP Summaries'!K$3)</f>
        <v>0</v>
      </c>
      <c r="L103" s="135">
        <f>SUMIFS('YTD Personnel'!$I:$I,'YTD Personnel'!$B:$B,'YEP Summaries'!$A103,'YTD Personnel'!$C:$C,'YEP Summaries'!L$3)</f>
        <v>0</v>
      </c>
      <c r="M103" s="135">
        <f>SUMIFS('YTD Personnel'!$I:$I,'YTD Personnel'!$B:$B,'YEP Summaries'!$A103,'YTD Personnel'!$C:$C,'YEP Summaries'!M$3)</f>
        <v>0</v>
      </c>
      <c r="N103" s="135">
        <f>SUMIFS('YTD Personnel'!$I:$I,'YTD Personnel'!$B:$B,'YEP Summaries'!$A103,'YTD Personnel'!$C:$C,'YEP Summaries'!N$3)</f>
        <v>5787.9</v>
      </c>
      <c r="O103" s="135">
        <f>SUMIFS('YTD Personnel'!$I:$I,'YTD Personnel'!$B:$B,'YEP Summaries'!$A103,'YTD Personnel'!$C:$C,'YEP Summaries'!O$3)</f>
        <v>17423.55</v>
      </c>
      <c r="P103" s="135">
        <f>SUMIFS('YTD Personnel'!$I:$I,'YTD Personnel'!$B:$B,'YEP Summaries'!$A103,'YTD Personnel'!$C:$C,'YEP Summaries'!P$3)</f>
        <v>122.9</v>
      </c>
      <c r="Q103" s="135">
        <f>SUMIFS('YTD Personnel'!$I:$I,'YTD Personnel'!$B:$B,'YEP Summaries'!$A103,'YTD Personnel'!$C:$C,'YEP Summaries'!Q$3)</f>
        <v>13615.04</v>
      </c>
      <c r="R103" s="135">
        <f t="shared" ref="R103" si="13">SUM(C103:Q103)</f>
        <v>119257.06</v>
      </c>
    </row>
    <row r="104" spans="1:19">
      <c r="A104" s="13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1:19">
      <c r="A105" s="130" t="s">
        <v>790</v>
      </c>
      <c r="C105" s="135">
        <f>SUMIFS('YTD Personnel'!$I:$I,'YTD Personnel'!$B:$B,'YEP Summaries'!$A105,'YTD Personnel'!$C:$C,'YEP Summaries'!C$3)</f>
        <v>352877.37</v>
      </c>
      <c r="D105" s="135">
        <f>SUMIFS('YTD Personnel'!$I:$I,'YTD Personnel'!$B:$B,'YEP Summaries'!$A105,'YTD Personnel'!$C:$C,'YEP Summaries'!D$3)</f>
        <v>54420.29</v>
      </c>
      <c r="E105" s="135">
        <f>SUMIFS('YTD Personnel'!$I:$I,'YTD Personnel'!$B:$B,'YEP Summaries'!$A105,'YTD Personnel'!$C:$C,'YEP Summaries'!E$3)</f>
        <v>2043.36</v>
      </c>
      <c r="F105" s="135">
        <f>SUMIFS('YTD Personnel'!$I:$I,'YTD Personnel'!$B:$B,'YEP Summaries'!$A105,'YTD Personnel'!$C:$C,'YEP Summaries'!F$3)</f>
        <v>0</v>
      </c>
      <c r="G105" s="135">
        <f>SUMIFS('YTD Personnel'!$I:$I,'YTD Personnel'!$B:$B,'YEP Summaries'!$A105,'YTD Personnel'!$C:$C,'YEP Summaries'!G$3)</f>
        <v>4470</v>
      </c>
      <c r="H105" s="135">
        <f>SUMIFS('YTD Personnel'!$I:$I,'YTD Personnel'!$B:$B,'YEP Summaries'!$A105,'YTD Personnel'!$C:$C,'YEP Summaries'!H$3)</f>
        <v>0</v>
      </c>
      <c r="I105" s="135">
        <f>SUMIFS('YTD Personnel'!$I:$I,'YTD Personnel'!$B:$B,'YEP Summaries'!$A105,'YTD Personnel'!$C:$C,'YEP Summaries'!I$3)</f>
        <v>0</v>
      </c>
      <c r="J105" s="135"/>
      <c r="K105" s="135">
        <f>SUMIFS('YTD Personnel'!$I:$I,'YTD Personnel'!$B:$B,'YEP Summaries'!$A105,'YTD Personnel'!$C:$C,'YEP Summaries'!K$3)</f>
        <v>6787.5</v>
      </c>
      <c r="L105" s="135">
        <f>SUMIFS('YTD Personnel'!$I:$I,'YTD Personnel'!$B:$B,'YEP Summaries'!$A105,'YTD Personnel'!$C:$C,'YEP Summaries'!L$3)</f>
        <v>0</v>
      </c>
      <c r="M105" s="135">
        <f>SUMIFS('YTD Personnel'!$I:$I,'YTD Personnel'!$B:$B,'YEP Summaries'!$A105,'YTD Personnel'!$C:$C,'YEP Summaries'!M$3)</f>
        <v>75506</v>
      </c>
      <c r="N105" s="135">
        <f>SUMIFS('YTD Personnel'!$I:$I,'YTD Personnel'!$B:$B,'YEP Summaries'!$A105,'YTD Personnel'!$C:$C,'YEP Summaries'!N$3)</f>
        <v>31109.37</v>
      </c>
      <c r="O105" s="135">
        <f>SUMIFS('YTD Personnel'!$I:$I,'YTD Personnel'!$B:$B,'YEP Summaries'!$A105,'YTD Personnel'!$C:$C,'YEP Summaries'!O$3)</f>
        <v>63589.94</v>
      </c>
      <c r="P105" s="135">
        <f>SUMIFS('YTD Personnel'!$I:$I,'YTD Personnel'!$B:$B,'YEP Summaries'!$A105,'YTD Personnel'!$C:$C,'YEP Summaries'!P$3)</f>
        <v>769.38</v>
      </c>
      <c r="Q105" s="135">
        <f>SUMIFS('YTD Personnel'!$I:$I,'YTD Personnel'!$B:$B,'YEP Summaries'!$A105,'YTD Personnel'!$C:$C,'YEP Summaries'!Q$3)</f>
        <v>70375.81</v>
      </c>
      <c r="R105" s="135">
        <f t="shared" ref="R105:R106" si="14">SUM(C105:Q105)</f>
        <v>661949.02</v>
      </c>
    </row>
    <row r="106" spans="1:19">
      <c r="A106" s="130" t="s">
        <v>791</v>
      </c>
      <c r="C106" s="135">
        <f>SUMIFS('YTD Personnel'!$I:$I,'YTD Personnel'!$B:$B,'YEP Summaries'!$A106,'YTD Personnel'!$C:$C,'YEP Summaries'!C$3)</f>
        <v>90640.02</v>
      </c>
      <c r="D106" s="135">
        <f>SUMIFS('YTD Personnel'!$I:$I,'YTD Personnel'!$B:$B,'YEP Summaries'!$A106,'YTD Personnel'!$C:$C,'YEP Summaries'!D$3)</f>
        <v>52989.9</v>
      </c>
      <c r="E106" s="135">
        <f>SUMIFS('YTD Personnel'!$I:$I,'YTD Personnel'!$B:$B,'YEP Summaries'!$A106,'YTD Personnel'!$C:$C,'YEP Summaries'!E$3)</f>
        <v>20.58</v>
      </c>
      <c r="F106" s="135">
        <f>SUMIFS('YTD Personnel'!$I:$I,'YTD Personnel'!$B:$B,'YEP Summaries'!$A106,'YTD Personnel'!$C:$C,'YEP Summaries'!F$3)</f>
        <v>0</v>
      </c>
      <c r="G106" s="135">
        <f>SUMIFS('YTD Personnel'!$I:$I,'YTD Personnel'!$B:$B,'YEP Summaries'!$A106,'YTD Personnel'!$C:$C,'YEP Summaries'!G$3)</f>
        <v>1425</v>
      </c>
      <c r="H106" s="135">
        <f>SUMIFS('YTD Personnel'!$I:$I,'YTD Personnel'!$B:$B,'YEP Summaries'!$A106,'YTD Personnel'!$C:$C,'YEP Summaries'!H$3)</f>
        <v>0</v>
      </c>
      <c r="I106" s="135">
        <f>SUMIFS('YTD Personnel'!$I:$I,'YTD Personnel'!$B:$B,'YEP Summaries'!$A106,'YTD Personnel'!$C:$C,'YEP Summaries'!I$3)</f>
        <v>0</v>
      </c>
      <c r="J106" s="135"/>
      <c r="K106" s="135">
        <f>SUMIFS('YTD Personnel'!$I:$I,'YTD Personnel'!$B:$B,'YEP Summaries'!$A106,'YTD Personnel'!$C:$C,'YEP Summaries'!K$3)</f>
        <v>2865</v>
      </c>
      <c r="L106" s="135">
        <f>SUMIFS('YTD Personnel'!$I:$I,'YTD Personnel'!$B:$B,'YEP Summaries'!$A106,'YTD Personnel'!$C:$C,'YEP Summaries'!L$3)</f>
        <v>0</v>
      </c>
      <c r="M106" s="135">
        <f>SUMIFS('YTD Personnel'!$I:$I,'YTD Personnel'!$B:$B,'YEP Summaries'!$A106,'YTD Personnel'!$C:$C,'YEP Summaries'!M$3)</f>
        <v>0</v>
      </c>
      <c r="N106" s="135">
        <f>SUMIFS('YTD Personnel'!$I:$I,'YTD Personnel'!$B:$B,'YEP Summaries'!$A106,'YTD Personnel'!$C:$C,'YEP Summaries'!N$3)</f>
        <v>11363.77</v>
      </c>
      <c r="O106" s="135">
        <f>SUMIFS('YTD Personnel'!$I:$I,'YTD Personnel'!$B:$B,'YEP Summaries'!$A106,'YTD Personnel'!$C:$C,'YEP Summaries'!O$3)</f>
        <v>21636.94</v>
      </c>
      <c r="P106" s="135">
        <f>SUMIFS('YTD Personnel'!$I:$I,'YTD Personnel'!$B:$B,'YEP Summaries'!$A106,'YTD Personnel'!$C:$C,'YEP Summaries'!P$3)</f>
        <v>218.83</v>
      </c>
      <c r="Q106" s="135">
        <f>SUMIFS('YTD Personnel'!$I:$I,'YTD Personnel'!$B:$B,'YEP Summaries'!$A106,'YTD Personnel'!$C:$C,'YEP Summaries'!Q$3)</f>
        <v>24735.77</v>
      </c>
      <c r="R106" s="135">
        <f t="shared" si="14"/>
        <v>205895.80999999997</v>
      </c>
    </row>
    <row r="107" spans="1:19">
      <c r="A107" s="13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1:19">
      <c r="A108" s="130" t="s">
        <v>792</v>
      </c>
      <c r="C108" s="135">
        <f>SUMIFS('YTD Personnel'!$I:$I,'YTD Personnel'!$B:$B,'YEP Summaries'!$A108,'YTD Personnel'!$C:$C,'YEP Summaries'!C$3)</f>
        <v>177657.63</v>
      </c>
      <c r="D108" s="135">
        <f>SUMIFS('YTD Personnel'!$I:$I,'YTD Personnel'!$B:$B,'YEP Summaries'!$A108,'YTD Personnel'!$C:$C,'YEP Summaries'!D$3)</f>
        <v>33659.949999999997</v>
      </c>
      <c r="E108" s="135">
        <f>SUMIFS('YTD Personnel'!$I:$I,'YTD Personnel'!$B:$B,'YEP Summaries'!$A108,'YTD Personnel'!$C:$C,'YEP Summaries'!E$3)</f>
        <v>13.97</v>
      </c>
      <c r="F108" s="135">
        <f>SUMIFS('YTD Personnel'!$I:$I,'YTD Personnel'!$B:$B,'YEP Summaries'!$A108,'YTD Personnel'!$C:$C,'YEP Summaries'!F$3)</f>
        <v>0</v>
      </c>
      <c r="G108" s="135">
        <f>SUMIFS('YTD Personnel'!$I:$I,'YTD Personnel'!$B:$B,'YEP Summaries'!$A108,'YTD Personnel'!$C:$C,'YEP Summaries'!G$3)</f>
        <v>915</v>
      </c>
      <c r="H108" s="135">
        <f>SUMIFS('YTD Personnel'!$I:$I,'YTD Personnel'!$B:$B,'YEP Summaries'!$A108,'YTD Personnel'!$C:$C,'YEP Summaries'!H$3)</f>
        <v>0</v>
      </c>
      <c r="I108" s="135">
        <f>SUMIFS('YTD Personnel'!$I:$I,'YTD Personnel'!$B:$B,'YEP Summaries'!$A108,'YTD Personnel'!$C:$C,'YEP Summaries'!I$3)</f>
        <v>0</v>
      </c>
      <c r="J108" s="135"/>
      <c r="K108" s="135">
        <f>SUMIFS('YTD Personnel'!$I:$I,'YTD Personnel'!$B:$B,'YEP Summaries'!$A108,'YTD Personnel'!$C:$C,'YEP Summaries'!K$3)</f>
        <v>0</v>
      </c>
      <c r="L108" s="135">
        <f>SUMIFS('YTD Personnel'!$I:$I,'YTD Personnel'!$B:$B,'YEP Summaries'!$A108,'YTD Personnel'!$C:$C,'YEP Summaries'!L$3)</f>
        <v>0</v>
      </c>
      <c r="M108" s="135">
        <f>SUMIFS('YTD Personnel'!$I:$I,'YTD Personnel'!$B:$B,'YEP Summaries'!$A108,'YTD Personnel'!$C:$C,'YEP Summaries'!M$3)</f>
        <v>0</v>
      </c>
      <c r="N108" s="135">
        <f>SUMIFS('YTD Personnel'!$I:$I,'YTD Personnel'!$B:$B,'YEP Summaries'!$A108,'YTD Personnel'!$C:$C,'YEP Summaries'!N$3)</f>
        <v>15330.25</v>
      </c>
      <c r="O108" s="135">
        <f>SUMIFS('YTD Personnel'!$I:$I,'YTD Personnel'!$B:$B,'YEP Summaries'!$A108,'YTD Personnel'!$C:$C,'YEP Summaries'!O$3)</f>
        <v>54506.49</v>
      </c>
      <c r="P108" s="135">
        <f>SUMIFS('YTD Personnel'!$I:$I,'YTD Personnel'!$B:$B,'YEP Summaries'!$A108,'YTD Personnel'!$C:$C,'YEP Summaries'!P$3)</f>
        <v>617.47</v>
      </c>
      <c r="Q108" s="135">
        <f>SUMIFS('YTD Personnel'!$I:$I,'YTD Personnel'!$B:$B,'YEP Summaries'!$A108,'YTD Personnel'!$C:$C,'YEP Summaries'!Q$3)</f>
        <v>36460.300000000003</v>
      </c>
      <c r="R108" s="135">
        <f t="shared" ref="R108:R113" si="15">SUM(C108:Q108)</f>
        <v>319161.06</v>
      </c>
    </row>
    <row r="109" spans="1:19">
      <c r="A109" s="130" t="s">
        <v>793</v>
      </c>
      <c r="C109" s="135">
        <f>SUMIFS('YTD Personnel'!$I:$I,'YTD Personnel'!$B:$B,'YEP Summaries'!$A109,'YTD Personnel'!$C:$C,'YEP Summaries'!C$3)</f>
        <v>104468.19</v>
      </c>
      <c r="D109" s="135">
        <f>SUMIFS('YTD Personnel'!$I:$I,'YTD Personnel'!$B:$B,'YEP Summaries'!$A109,'YTD Personnel'!$C:$C,'YEP Summaries'!D$3)</f>
        <v>0</v>
      </c>
      <c r="E109" s="135">
        <f>SUMIFS('YTD Personnel'!$I:$I,'YTD Personnel'!$B:$B,'YEP Summaries'!$A109,'YTD Personnel'!$C:$C,'YEP Summaries'!E$3)</f>
        <v>0</v>
      </c>
      <c r="F109" s="135">
        <f>SUMIFS('YTD Personnel'!$I:$I,'YTD Personnel'!$B:$B,'YEP Summaries'!$A109,'YTD Personnel'!$C:$C,'YEP Summaries'!F$3)</f>
        <v>0</v>
      </c>
      <c r="G109" s="135">
        <f>SUMIFS('YTD Personnel'!$I:$I,'YTD Personnel'!$B:$B,'YEP Summaries'!$A109,'YTD Personnel'!$C:$C,'YEP Summaries'!G$3)</f>
        <v>165</v>
      </c>
      <c r="H109" s="135">
        <f>SUMIFS('YTD Personnel'!$I:$I,'YTD Personnel'!$B:$B,'YEP Summaries'!$A109,'YTD Personnel'!$C:$C,'YEP Summaries'!H$3)</f>
        <v>0</v>
      </c>
      <c r="I109" s="135">
        <f>SUMIFS('YTD Personnel'!$I:$I,'YTD Personnel'!$B:$B,'YEP Summaries'!$A109,'YTD Personnel'!$C:$C,'YEP Summaries'!I$3)</f>
        <v>0</v>
      </c>
      <c r="J109" s="135"/>
      <c r="K109" s="135">
        <f>SUMIFS('YTD Personnel'!$I:$I,'YTD Personnel'!$B:$B,'YEP Summaries'!$A109,'YTD Personnel'!$C:$C,'YEP Summaries'!K$3)</f>
        <v>0</v>
      </c>
      <c r="L109" s="135">
        <f>SUMIFS('YTD Personnel'!$I:$I,'YTD Personnel'!$B:$B,'YEP Summaries'!$A109,'YTD Personnel'!$C:$C,'YEP Summaries'!L$3)</f>
        <v>0</v>
      </c>
      <c r="M109" s="135">
        <f>SUMIFS('YTD Personnel'!$I:$I,'YTD Personnel'!$B:$B,'YEP Summaries'!$A109,'YTD Personnel'!$C:$C,'YEP Summaries'!M$3)</f>
        <v>0</v>
      </c>
      <c r="N109" s="135">
        <f>SUMIFS('YTD Personnel'!$I:$I,'YTD Personnel'!$B:$B,'YEP Summaries'!$A109,'YTD Personnel'!$C:$C,'YEP Summaries'!N$3)</f>
        <v>34459.81</v>
      </c>
      <c r="O109" s="135">
        <f>SUMIFS('YTD Personnel'!$I:$I,'YTD Personnel'!$B:$B,'YEP Summaries'!$A109,'YTD Personnel'!$C:$C,'YEP Summaries'!O$3)</f>
        <v>15162.08</v>
      </c>
      <c r="P109" s="135">
        <f>SUMIFS('YTD Personnel'!$I:$I,'YTD Personnel'!$B:$B,'YEP Summaries'!$A109,'YTD Personnel'!$C:$C,'YEP Summaries'!P$3)</f>
        <v>5130.8100000000004</v>
      </c>
      <c r="Q109" s="135">
        <f>SUMIFS('YTD Personnel'!$I:$I,'YTD Personnel'!$B:$B,'YEP Summaries'!$A109,'YTD Personnel'!$C:$C,'YEP Summaries'!Q$3)</f>
        <v>17563.580000000002</v>
      </c>
      <c r="R109" s="135">
        <f t="shared" si="15"/>
        <v>176949.46999999997</v>
      </c>
    </row>
    <row r="110" spans="1:19">
      <c r="A110" s="130" t="s">
        <v>794</v>
      </c>
      <c r="C110" s="135">
        <f>SUMIFS('YTD Personnel'!$I:$I,'YTD Personnel'!$B:$B,'YEP Summaries'!$A110,'YTD Personnel'!$C:$C,'YEP Summaries'!C$3)</f>
        <v>0</v>
      </c>
      <c r="D110" s="135">
        <f>SUMIFS('YTD Personnel'!$I:$I,'YTD Personnel'!$B:$B,'YEP Summaries'!$A110,'YTD Personnel'!$C:$C,'YEP Summaries'!D$3)</f>
        <v>0</v>
      </c>
      <c r="E110" s="135">
        <f>SUMIFS('YTD Personnel'!$I:$I,'YTD Personnel'!$B:$B,'YEP Summaries'!$A110,'YTD Personnel'!$C:$C,'YEP Summaries'!E$3)</f>
        <v>0</v>
      </c>
      <c r="F110" s="135">
        <f>SUMIFS('YTD Personnel'!$I:$I,'YTD Personnel'!$B:$B,'YEP Summaries'!$A110,'YTD Personnel'!$C:$C,'YEP Summaries'!F$3)</f>
        <v>0</v>
      </c>
      <c r="G110" s="135">
        <f>SUMIFS('YTD Personnel'!$I:$I,'YTD Personnel'!$B:$B,'YEP Summaries'!$A110,'YTD Personnel'!$C:$C,'YEP Summaries'!G$3)</f>
        <v>0</v>
      </c>
      <c r="H110" s="135">
        <f>SUMIFS('YTD Personnel'!$I:$I,'YTD Personnel'!$B:$B,'YEP Summaries'!$A110,'YTD Personnel'!$C:$C,'YEP Summaries'!H$3)</f>
        <v>4215</v>
      </c>
      <c r="I110" s="135">
        <f>SUMIFS('YTD Personnel'!$I:$I,'YTD Personnel'!$B:$B,'YEP Summaries'!$A110,'YTD Personnel'!$C:$C,'YEP Summaries'!I$3)</f>
        <v>0</v>
      </c>
      <c r="J110" s="135"/>
      <c r="K110" s="135">
        <f>SUMIFS('YTD Personnel'!$I:$I,'YTD Personnel'!$B:$B,'YEP Summaries'!$A110,'YTD Personnel'!$C:$C,'YEP Summaries'!K$3)</f>
        <v>0</v>
      </c>
      <c r="L110" s="135">
        <f>SUMIFS('YTD Personnel'!$I:$I,'YTD Personnel'!$B:$B,'YEP Summaries'!$A110,'YTD Personnel'!$C:$C,'YEP Summaries'!L$3)</f>
        <v>0</v>
      </c>
      <c r="M110" s="135">
        <f>SUMIFS('YTD Personnel'!$I:$I,'YTD Personnel'!$B:$B,'YEP Summaries'!$A110,'YTD Personnel'!$C:$C,'YEP Summaries'!M$3)</f>
        <v>0</v>
      </c>
      <c r="N110" s="135">
        <f>SUMIFS('YTD Personnel'!$I:$I,'YTD Personnel'!$B:$B,'YEP Summaries'!$A110,'YTD Personnel'!$C:$C,'YEP Summaries'!N$3)</f>
        <v>832.88</v>
      </c>
      <c r="O110" s="135">
        <f>SUMIFS('YTD Personnel'!$I:$I,'YTD Personnel'!$B:$B,'YEP Summaries'!$A110,'YTD Personnel'!$C:$C,'YEP Summaries'!O$3)</f>
        <v>0</v>
      </c>
      <c r="P110" s="135">
        <f>SUMIFS('YTD Personnel'!$I:$I,'YTD Personnel'!$B:$B,'YEP Summaries'!$A110,'YTD Personnel'!$C:$C,'YEP Summaries'!P$3)</f>
        <v>198.84</v>
      </c>
      <c r="Q110" s="135">
        <f>SUMIFS('YTD Personnel'!$I:$I,'YTD Personnel'!$B:$B,'YEP Summaries'!$A110,'YTD Personnel'!$C:$C,'YEP Summaries'!Q$3)</f>
        <v>0</v>
      </c>
      <c r="R110" s="135">
        <f t="shared" si="15"/>
        <v>5246.72</v>
      </c>
    </row>
    <row r="111" spans="1:19">
      <c r="A111" s="130" t="s">
        <v>795</v>
      </c>
      <c r="C111" s="135">
        <f>SUMIFS('YTD Personnel'!$I:$I,'YTD Personnel'!$B:$B,'YEP Summaries'!$A111,'YTD Personnel'!$C:$C,'YEP Summaries'!C$3)</f>
        <v>115624.86</v>
      </c>
      <c r="D111" s="135">
        <f>SUMIFS('YTD Personnel'!$I:$I,'YTD Personnel'!$B:$B,'YEP Summaries'!$A111,'YTD Personnel'!$C:$C,'YEP Summaries'!D$3)</f>
        <v>0</v>
      </c>
      <c r="E111" s="135">
        <f>SUMIFS('YTD Personnel'!$I:$I,'YTD Personnel'!$B:$B,'YEP Summaries'!$A111,'YTD Personnel'!$C:$C,'YEP Summaries'!E$3)</f>
        <v>0</v>
      </c>
      <c r="F111" s="135">
        <f>SUMIFS('YTD Personnel'!$I:$I,'YTD Personnel'!$B:$B,'YEP Summaries'!$A111,'YTD Personnel'!$C:$C,'YEP Summaries'!F$3)</f>
        <v>0</v>
      </c>
      <c r="G111" s="135">
        <f>SUMIFS('YTD Personnel'!$I:$I,'YTD Personnel'!$B:$B,'YEP Summaries'!$A111,'YTD Personnel'!$C:$C,'YEP Summaries'!G$3)</f>
        <v>285</v>
      </c>
      <c r="H111" s="135">
        <f>SUMIFS('YTD Personnel'!$I:$I,'YTD Personnel'!$B:$B,'YEP Summaries'!$A111,'YTD Personnel'!$C:$C,'YEP Summaries'!H$3)</f>
        <v>0</v>
      </c>
      <c r="I111" s="135">
        <f>SUMIFS('YTD Personnel'!$I:$I,'YTD Personnel'!$B:$B,'YEP Summaries'!$A111,'YTD Personnel'!$C:$C,'YEP Summaries'!I$3)</f>
        <v>0</v>
      </c>
      <c r="J111" s="135"/>
      <c r="K111" s="135">
        <f>SUMIFS('YTD Personnel'!$I:$I,'YTD Personnel'!$B:$B,'YEP Summaries'!$A111,'YTD Personnel'!$C:$C,'YEP Summaries'!K$3)</f>
        <v>0</v>
      </c>
      <c r="L111" s="135">
        <f>SUMIFS('YTD Personnel'!$I:$I,'YTD Personnel'!$B:$B,'YEP Summaries'!$A111,'YTD Personnel'!$C:$C,'YEP Summaries'!L$3)</f>
        <v>0</v>
      </c>
      <c r="M111" s="135">
        <f>SUMIFS('YTD Personnel'!$I:$I,'YTD Personnel'!$B:$B,'YEP Summaries'!$A111,'YTD Personnel'!$C:$C,'YEP Summaries'!M$3)</f>
        <v>0</v>
      </c>
      <c r="N111" s="135">
        <f>SUMIFS('YTD Personnel'!$I:$I,'YTD Personnel'!$B:$B,'YEP Summaries'!$A111,'YTD Personnel'!$C:$C,'YEP Summaries'!N$3)</f>
        <v>28425.94</v>
      </c>
      <c r="O111" s="135">
        <f>SUMIFS('YTD Personnel'!$I:$I,'YTD Personnel'!$B:$B,'YEP Summaries'!$A111,'YTD Personnel'!$C:$C,'YEP Summaries'!O$3)</f>
        <v>18301.2</v>
      </c>
      <c r="P111" s="135">
        <f>SUMIFS('YTD Personnel'!$I:$I,'YTD Personnel'!$B:$B,'YEP Summaries'!$A111,'YTD Personnel'!$C:$C,'YEP Summaries'!P$3)</f>
        <v>3959.79</v>
      </c>
      <c r="Q111" s="135">
        <f>SUMIFS('YTD Personnel'!$I:$I,'YTD Personnel'!$B:$B,'YEP Summaries'!$A111,'YTD Personnel'!$C:$C,'YEP Summaries'!Q$3)</f>
        <v>19406.88</v>
      </c>
      <c r="R111" s="135">
        <f t="shared" si="15"/>
        <v>186003.67</v>
      </c>
    </row>
    <row r="112" spans="1:19">
      <c r="A112" s="130" t="s">
        <v>796</v>
      </c>
      <c r="C112" s="135">
        <f>SUMIFS('YTD Personnel'!$I:$I,'YTD Personnel'!$B:$B,'YEP Summaries'!$A112,'YTD Personnel'!$C:$C,'YEP Summaries'!C$3)</f>
        <v>57304.29</v>
      </c>
      <c r="D112" s="135">
        <f>SUMIFS('YTD Personnel'!$I:$I,'YTD Personnel'!$B:$B,'YEP Summaries'!$A112,'YTD Personnel'!$C:$C,'YEP Summaries'!D$3)</f>
        <v>0</v>
      </c>
      <c r="E112" s="135">
        <f>SUMIFS('YTD Personnel'!$I:$I,'YTD Personnel'!$B:$B,'YEP Summaries'!$A112,'YTD Personnel'!$C:$C,'YEP Summaries'!E$3)</f>
        <v>0</v>
      </c>
      <c r="F112" s="135">
        <f>SUMIFS('YTD Personnel'!$I:$I,'YTD Personnel'!$B:$B,'YEP Summaries'!$A112,'YTD Personnel'!$C:$C,'YEP Summaries'!F$3)</f>
        <v>0</v>
      </c>
      <c r="G112" s="135">
        <f>SUMIFS('YTD Personnel'!$I:$I,'YTD Personnel'!$B:$B,'YEP Summaries'!$A112,'YTD Personnel'!$C:$C,'YEP Summaries'!G$3)</f>
        <v>335</v>
      </c>
      <c r="H112" s="135">
        <f>SUMIFS('YTD Personnel'!$I:$I,'YTD Personnel'!$B:$B,'YEP Summaries'!$A112,'YTD Personnel'!$C:$C,'YEP Summaries'!H$3)</f>
        <v>0</v>
      </c>
      <c r="I112" s="135">
        <f>SUMIFS('YTD Personnel'!$I:$I,'YTD Personnel'!$B:$B,'YEP Summaries'!$A112,'YTD Personnel'!$C:$C,'YEP Summaries'!I$3)</f>
        <v>0</v>
      </c>
      <c r="J112" s="135"/>
      <c r="K112" s="135">
        <f>SUMIFS('YTD Personnel'!$I:$I,'YTD Personnel'!$B:$B,'YEP Summaries'!$A112,'YTD Personnel'!$C:$C,'YEP Summaries'!K$3)</f>
        <v>0</v>
      </c>
      <c r="L112" s="135">
        <f>SUMIFS('YTD Personnel'!$I:$I,'YTD Personnel'!$B:$B,'YEP Summaries'!$A112,'YTD Personnel'!$C:$C,'YEP Summaries'!L$3)</f>
        <v>0</v>
      </c>
      <c r="M112" s="135">
        <f>SUMIFS('YTD Personnel'!$I:$I,'YTD Personnel'!$B:$B,'YEP Summaries'!$A112,'YTD Personnel'!$C:$C,'YEP Summaries'!M$3)</f>
        <v>0</v>
      </c>
      <c r="N112" s="135">
        <f>SUMIFS('YTD Personnel'!$I:$I,'YTD Personnel'!$B:$B,'YEP Summaries'!$A112,'YTD Personnel'!$C:$C,'YEP Summaries'!N$3)</f>
        <v>5279.54</v>
      </c>
      <c r="O112" s="135">
        <f>SUMIFS('YTD Personnel'!$I:$I,'YTD Personnel'!$B:$B,'YEP Summaries'!$A112,'YTD Personnel'!$C:$C,'YEP Summaries'!O$3)</f>
        <v>11219.34</v>
      </c>
      <c r="P112" s="135">
        <f>SUMIFS('YTD Personnel'!$I:$I,'YTD Personnel'!$B:$B,'YEP Summaries'!$A112,'YTD Personnel'!$C:$C,'YEP Summaries'!P$3)</f>
        <v>1257.97</v>
      </c>
      <c r="Q112" s="135">
        <f>SUMIFS('YTD Personnel'!$I:$I,'YTD Personnel'!$B:$B,'YEP Summaries'!$A112,'YTD Personnel'!$C:$C,'YEP Summaries'!Q$3)</f>
        <v>9700.2199999999993</v>
      </c>
      <c r="R112" s="135">
        <f t="shared" si="15"/>
        <v>85096.36</v>
      </c>
    </row>
    <row r="113" spans="1:18">
      <c r="A113" s="130" t="s">
        <v>797</v>
      </c>
      <c r="C113" s="135">
        <f>SUMIFS('YTD Personnel'!$I:$I,'YTD Personnel'!$B:$B,'YEP Summaries'!$A113,'YTD Personnel'!$C:$C,'YEP Summaries'!C$3)</f>
        <v>60656.89</v>
      </c>
      <c r="D113" s="135">
        <f>SUMIFS('YTD Personnel'!$I:$I,'YTD Personnel'!$B:$B,'YEP Summaries'!$A113,'YTD Personnel'!$C:$C,'YEP Summaries'!D$3)</f>
        <v>0</v>
      </c>
      <c r="E113" s="135">
        <f>SUMIFS('YTD Personnel'!$I:$I,'YTD Personnel'!$B:$B,'YEP Summaries'!$A113,'YTD Personnel'!$C:$C,'YEP Summaries'!E$3)</f>
        <v>0</v>
      </c>
      <c r="F113" s="135">
        <f>SUMIFS('YTD Personnel'!$I:$I,'YTD Personnel'!$B:$B,'YEP Summaries'!$A113,'YTD Personnel'!$C:$C,'YEP Summaries'!F$3)</f>
        <v>0</v>
      </c>
      <c r="G113" s="135">
        <f>SUMIFS('YTD Personnel'!$I:$I,'YTD Personnel'!$B:$B,'YEP Summaries'!$A113,'YTD Personnel'!$C:$C,'YEP Summaries'!G$3)</f>
        <v>430</v>
      </c>
      <c r="H113" s="135">
        <f>SUMIFS('YTD Personnel'!$I:$I,'YTD Personnel'!$B:$B,'YEP Summaries'!$A113,'YTD Personnel'!$C:$C,'YEP Summaries'!H$3)</f>
        <v>0</v>
      </c>
      <c r="I113" s="135">
        <f>SUMIFS('YTD Personnel'!$I:$I,'YTD Personnel'!$B:$B,'YEP Summaries'!$A113,'YTD Personnel'!$C:$C,'YEP Summaries'!I$3)</f>
        <v>0</v>
      </c>
      <c r="J113" s="135"/>
      <c r="K113" s="135">
        <f>SUMIFS('YTD Personnel'!$I:$I,'YTD Personnel'!$B:$B,'YEP Summaries'!$A113,'YTD Personnel'!$C:$C,'YEP Summaries'!K$3)</f>
        <v>0</v>
      </c>
      <c r="L113" s="135">
        <f>SUMIFS('YTD Personnel'!$I:$I,'YTD Personnel'!$B:$B,'YEP Summaries'!$A113,'YTD Personnel'!$C:$C,'YEP Summaries'!L$3)</f>
        <v>0</v>
      </c>
      <c r="M113" s="135">
        <f>SUMIFS('YTD Personnel'!$I:$I,'YTD Personnel'!$B:$B,'YEP Summaries'!$A113,'YTD Personnel'!$C:$C,'YEP Summaries'!M$3)</f>
        <v>0</v>
      </c>
      <c r="N113" s="135">
        <f>SUMIFS('YTD Personnel'!$I:$I,'YTD Personnel'!$B:$B,'YEP Summaries'!$A113,'YTD Personnel'!$C:$C,'YEP Summaries'!N$3)</f>
        <v>19798.650000000001</v>
      </c>
      <c r="O113" s="135">
        <f>SUMIFS('YTD Personnel'!$I:$I,'YTD Personnel'!$B:$B,'YEP Summaries'!$A113,'YTD Personnel'!$C:$C,'YEP Summaries'!O$3)</f>
        <v>1792.05</v>
      </c>
      <c r="P113" s="135">
        <f>SUMIFS('YTD Personnel'!$I:$I,'YTD Personnel'!$B:$B,'YEP Summaries'!$A113,'YTD Personnel'!$C:$C,'YEP Summaries'!P$3)</f>
        <v>2483.9699999999998</v>
      </c>
      <c r="Q113" s="135">
        <f>SUMIFS('YTD Personnel'!$I:$I,'YTD Personnel'!$B:$B,'YEP Summaries'!$A113,'YTD Personnel'!$C:$C,'YEP Summaries'!Q$3)</f>
        <v>10237.35</v>
      </c>
      <c r="R113" s="135">
        <f t="shared" si="15"/>
        <v>95398.910000000018</v>
      </c>
    </row>
    <row r="114" spans="1:18">
      <c r="A114" s="13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1:18">
      <c r="A115" s="130" t="s">
        <v>799</v>
      </c>
      <c r="C115" s="135">
        <f>SUMIFS('YTD Personnel'!$I:$I,'YTD Personnel'!$B:$B,'YEP Summaries'!$A115,'YTD Personnel'!$C:$C,'YEP Summaries'!C$3)</f>
        <v>136387.16</v>
      </c>
      <c r="D115" s="135">
        <f>SUMIFS('YTD Personnel'!$I:$I,'YTD Personnel'!$B:$B,'YEP Summaries'!$A115,'YTD Personnel'!$C:$C,'YEP Summaries'!D$3)</f>
        <v>211416.95999999999</v>
      </c>
      <c r="E115" s="135">
        <f>SUMIFS('YTD Personnel'!$I:$I,'YTD Personnel'!$B:$B,'YEP Summaries'!$A115,'YTD Personnel'!$C:$C,'YEP Summaries'!E$3)</f>
        <v>37578.800000000003</v>
      </c>
      <c r="F115" s="135">
        <f>SUMIFS('YTD Personnel'!$I:$I,'YTD Personnel'!$B:$B,'YEP Summaries'!$A115,'YTD Personnel'!$C:$C,'YEP Summaries'!F$3)</f>
        <v>0</v>
      </c>
      <c r="G115" s="135">
        <f>SUMIFS('YTD Personnel'!$I:$I,'YTD Personnel'!$B:$B,'YEP Summaries'!$A115,'YTD Personnel'!$C:$C,'YEP Summaries'!G$3)</f>
        <v>3695</v>
      </c>
      <c r="H115" s="135">
        <f>SUMIFS('YTD Personnel'!$I:$I,'YTD Personnel'!$B:$B,'YEP Summaries'!$A115,'YTD Personnel'!$C:$C,'YEP Summaries'!H$3)</f>
        <v>0</v>
      </c>
      <c r="I115" s="135">
        <f>SUMIFS('YTD Personnel'!$I:$I,'YTD Personnel'!$B:$B,'YEP Summaries'!$A115,'YTD Personnel'!$C:$C,'YEP Summaries'!I$3)</f>
        <v>0</v>
      </c>
      <c r="J115" s="135"/>
      <c r="K115" s="135">
        <f>SUMIFS('YTD Personnel'!$I:$I,'YTD Personnel'!$B:$B,'YEP Summaries'!$A115,'YTD Personnel'!$C:$C,'YEP Summaries'!K$3)</f>
        <v>0</v>
      </c>
      <c r="L115" s="135">
        <f>SUMIFS('YTD Personnel'!$I:$I,'YTD Personnel'!$B:$B,'YEP Summaries'!$A115,'YTD Personnel'!$C:$C,'YEP Summaries'!L$3)</f>
        <v>0</v>
      </c>
      <c r="M115" s="135">
        <f>SUMIFS('YTD Personnel'!$I:$I,'YTD Personnel'!$B:$B,'YEP Summaries'!$A115,'YTD Personnel'!$C:$C,'YEP Summaries'!M$3)</f>
        <v>0</v>
      </c>
      <c r="N115" s="135">
        <f>SUMIFS('YTD Personnel'!$I:$I,'YTD Personnel'!$B:$B,'YEP Summaries'!$A115,'YTD Personnel'!$C:$C,'YEP Summaries'!N$3)</f>
        <v>29520.75</v>
      </c>
      <c r="O115" s="135">
        <f>SUMIFS('YTD Personnel'!$I:$I,'YTD Personnel'!$B:$B,'YEP Summaries'!$A115,'YTD Personnel'!$C:$C,'YEP Summaries'!O$3)</f>
        <v>84513.56</v>
      </c>
      <c r="P115" s="135">
        <f>SUMIFS('YTD Personnel'!$I:$I,'YTD Personnel'!$B:$B,'YEP Summaries'!$A115,'YTD Personnel'!$C:$C,'YEP Summaries'!P$3)</f>
        <v>1622.68</v>
      </c>
      <c r="Q115" s="135">
        <f>SUMIFS('YTD Personnel'!$I:$I,'YTD Personnel'!$B:$B,'YEP Summaries'!$A115,'YTD Personnel'!$C:$C,'YEP Summaries'!Q$3)</f>
        <v>64935.53</v>
      </c>
      <c r="R115" s="135">
        <f t="shared" ref="R115" si="16">SUM(C115:Q115)</f>
        <v>569670.43999999994</v>
      </c>
    </row>
    <row r="116" spans="1:18">
      <c r="A116" s="130" t="s">
        <v>800</v>
      </c>
      <c r="C116" s="135">
        <f>SUMIFS('YTD Personnel'!$I:$I,'YTD Personnel'!$B:$B,'YEP Summaries'!$A116,'YTD Personnel'!$C:$C,'YEP Summaries'!C$3)</f>
        <v>205798.05</v>
      </c>
      <c r="D116" s="135">
        <f>SUMIFS('YTD Personnel'!$I:$I,'YTD Personnel'!$B:$B,'YEP Summaries'!$A116,'YTD Personnel'!$C:$C,'YEP Summaries'!D$3)</f>
        <v>116067.8</v>
      </c>
      <c r="E116" s="135">
        <f>SUMIFS('YTD Personnel'!$I:$I,'YTD Personnel'!$B:$B,'YEP Summaries'!$A116,'YTD Personnel'!$C:$C,'YEP Summaries'!E$3)</f>
        <v>43.75</v>
      </c>
      <c r="F116" s="135">
        <f>SUMIFS('YTD Personnel'!$I:$I,'YTD Personnel'!$B:$B,'YEP Summaries'!$A116,'YTD Personnel'!$C:$C,'YEP Summaries'!F$3)</f>
        <v>0</v>
      </c>
      <c r="G116" s="135">
        <f>SUMIFS('YTD Personnel'!$I:$I,'YTD Personnel'!$B:$B,'YEP Summaries'!$A116,'YTD Personnel'!$C:$C,'YEP Summaries'!G$3)</f>
        <v>2610</v>
      </c>
      <c r="H116" s="135">
        <f>SUMIFS('YTD Personnel'!$I:$I,'YTD Personnel'!$B:$B,'YEP Summaries'!$A116,'YTD Personnel'!$C:$C,'YEP Summaries'!H$3)</f>
        <v>0</v>
      </c>
      <c r="I116" s="135">
        <f>SUMIFS('YTD Personnel'!$I:$I,'YTD Personnel'!$B:$B,'YEP Summaries'!$A116,'YTD Personnel'!$C:$C,'YEP Summaries'!I$3)</f>
        <v>0</v>
      </c>
      <c r="J116" s="135"/>
      <c r="K116" s="135">
        <f>SUMIFS('YTD Personnel'!$I:$I,'YTD Personnel'!$B:$B,'YEP Summaries'!$A116,'YTD Personnel'!$C:$C,'YEP Summaries'!K$3)</f>
        <v>0</v>
      </c>
      <c r="L116" s="135">
        <f>SUMIFS('YTD Personnel'!$I:$I,'YTD Personnel'!$B:$B,'YEP Summaries'!$A116,'YTD Personnel'!$C:$C,'YEP Summaries'!L$3)</f>
        <v>0</v>
      </c>
      <c r="M116" s="135">
        <f>SUMIFS('YTD Personnel'!$I:$I,'YTD Personnel'!$B:$B,'YEP Summaries'!$A116,'YTD Personnel'!$C:$C,'YEP Summaries'!M$3)</f>
        <v>0</v>
      </c>
      <c r="N116" s="135">
        <f>SUMIFS('YTD Personnel'!$I:$I,'YTD Personnel'!$B:$B,'YEP Summaries'!$A116,'YTD Personnel'!$C:$C,'YEP Summaries'!N$3)</f>
        <v>23925.21</v>
      </c>
      <c r="O116" s="135">
        <f>SUMIFS('YTD Personnel'!$I:$I,'YTD Personnel'!$B:$B,'YEP Summaries'!$A116,'YTD Personnel'!$C:$C,'YEP Summaries'!O$3)</f>
        <v>65006.51</v>
      </c>
      <c r="P116" s="135">
        <f>SUMIFS('YTD Personnel'!$I:$I,'YTD Personnel'!$B:$B,'YEP Summaries'!$A116,'YTD Personnel'!$C:$C,'YEP Summaries'!P$3)</f>
        <v>499.6</v>
      </c>
      <c r="Q116" s="135">
        <f>SUMIFS('YTD Personnel'!$I:$I,'YTD Personnel'!$B:$B,'YEP Summaries'!$A116,'YTD Personnel'!$C:$C,'YEP Summaries'!Q$3)</f>
        <v>53712.62</v>
      </c>
      <c r="R116" s="135">
        <f t="shared" ref="R116:R121" si="17">SUM(C116:Q116)</f>
        <v>467663.54</v>
      </c>
    </row>
    <row r="117" spans="1:18">
      <c r="A117" s="130" t="s">
        <v>801</v>
      </c>
      <c r="C117" s="135">
        <f>SUMIFS('YTD Personnel'!$I:$I,'YTD Personnel'!$B:$B,'YEP Summaries'!$A117,'YTD Personnel'!$C:$C,'YEP Summaries'!C$3)</f>
        <v>0</v>
      </c>
      <c r="D117" s="135">
        <f>SUMIFS('YTD Personnel'!$I:$I,'YTD Personnel'!$B:$B,'YEP Summaries'!$A117,'YTD Personnel'!$C:$C,'YEP Summaries'!D$3)</f>
        <v>186803.95</v>
      </c>
      <c r="E117" s="135">
        <f>SUMIFS('YTD Personnel'!$I:$I,'YTD Personnel'!$B:$B,'YEP Summaries'!$A117,'YTD Personnel'!$C:$C,'YEP Summaries'!E$3)</f>
        <v>801.72</v>
      </c>
      <c r="F117" s="135">
        <f>SUMIFS('YTD Personnel'!$I:$I,'YTD Personnel'!$B:$B,'YEP Summaries'!$A117,'YTD Personnel'!$C:$C,'YEP Summaries'!F$3)</f>
        <v>0</v>
      </c>
      <c r="G117" s="135">
        <f>SUMIFS('YTD Personnel'!$I:$I,'YTD Personnel'!$B:$B,'YEP Summaries'!$A117,'YTD Personnel'!$C:$C,'YEP Summaries'!G$3)</f>
        <v>2045</v>
      </c>
      <c r="H117" s="135">
        <f>SUMIFS('YTD Personnel'!$I:$I,'YTD Personnel'!$B:$B,'YEP Summaries'!$A117,'YTD Personnel'!$C:$C,'YEP Summaries'!H$3)</f>
        <v>0</v>
      </c>
      <c r="I117" s="135">
        <f>SUMIFS('YTD Personnel'!$I:$I,'YTD Personnel'!$B:$B,'YEP Summaries'!$A117,'YTD Personnel'!$C:$C,'YEP Summaries'!I$3)</f>
        <v>0</v>
      </c>
      <c r="J117" s="135"/>
      <c r="K117" s="135">
        <f>SUMIFS('YTD Personnel'!$I:$I,'YTD Personnel'!$B:$B,'YEP Summaries'!$A117,'YTD Personnel'!$C:$C,'YEP Summaries'!K$3)</f>
        <v>859.5</v>
      </c>
      <c r="L117" s="135">
        <f>SUMIFS('YTD Personnel'!$I:$I,'YTD Personnel'!$B:$B,'YEP Summaries'!$A117,'YTD Personnel'!$C:$C,'YEP Summaries'!L$3)</f>
        <v>0</v>
      </c>
      <c r="M117" s="135">
        <f>SUMIFS('YTD Personnel'!$I:$I,'YTD Personnel'!$B:$B,'YEP Summaries'!$A117,'YTD Personnel'!$C:$C,'YEP Summaries'!M$3)</f>
        <v>0</v>
      </c>
      <c r="N117" s="135">
        <f>SUMIFS('YTD Personnel'!$I:$I,'YTD Personnel'!$B:$B,'YEP Summaries'!$A117,'YTD Personnel'!$C:$C,'YEP Summaries'!N$3)</f>
        <v>13197.29</v>
      </c>
      <c r="O117" s="135">
        <f>SUMIFS('YTD Personnel'!$I:$I,'YTD Personnel'!$B:$B,'YEP Summaries'!$A117,'YTD Personnel'!$C:$C,'YEP Summaries'!O$3)</f>
        <v>74160.69</v>
      </c>
      <c r="P117" s="135">
        <f>SUMIFS('YTD Personnel'!$I:$I,'YTD Personnel'!$B:$B,'YEP Summaries'!$A117,'YTD Personnel'!$C:$C,'YEP Summaries'!P$3)</f>
        <v>3209.37</v>
      </c>
      <c r="Q117" s="135">
        <f>SUMIFS('YTD Personnel'!$I:$I,'YTD Personnel'!$B:$B,'YEP Summaries'!$A117,'YTD Personnel'!$C:$C,'YEP Summaries'!Q$3)</f>
        <v>31822.240000000002</v>
      </c>
      <c r="R117" s="135">
        <f t="shared" si="17"/>
        <v>312899.76</v>
      </c>
    </row>
    <row r="118" spans="1:18">
      <c r="A118" s="130" t="s">
        <v>802</v>
      </c>
      <c r="C118" s="135">
        <f>SUMIFS('YTD Personnel'!$I:$I,'YTD Personnel'!$B:$B,'YEP Summaries'!$A118,'YTD Personnel'!$C:$C,'YEP Summaries'!C$3)</f>
        <v>0</v>
      </c>
      <c r="D118" s="135">
        <f>SUMIFS('YTD Personnel'!$I:$I,'YTD Personnel'!$B:$B,'YEP Summaries'!$A118,'YTD Personnel'!$C:$C,'YEP Summaries'!D$3)</f>
        <v>323154.64</v>
      </c>
      <c r="E118" s="135">
        <f>SUMIFS('YTD Personnel'!$I:$I,'YTD Personnel'!$B:$B,'YEP Summaries'!$A118,'YTD Personnel'!$C:$C,'YEP Summaries'!E$3)</f>
        <v>21671.29</v>
      </c>
      <c r="F118" s="135">
        <f>SUMIFS('YTD Personnel'!$I:$I,'YTD Personnel'!$B:$B,'YEP Summaries'!$A118,'YTD Personnel'!$C:$C,'YEP Summaries'!F$3)</f>
        <v>0</v>
      </c>
      <c r="G118" s="135">
        <f>SUMIFS('YTD Personnel'!$I:$I,'YTD Personnel'!$B:$B,'YEP Summaries'!$A118,'YTD Personnel'!$C:$C,'YEP Summaries'!G$3)</f>
        <v>5980</v>
      </c>
      <c r="H118" s="135">
        <f>SUMIFS('YTD Personnel'!$I:$I,'YTD Personnel'!$B:$B,'YEP Summaries'!$A118,'YTD Personnel'!$C:$C,'YEP Summaries'!H$3)</f>
        <v>0</v>
      </c>
      <c r="I118" s="135">
        <f>SUMIFS('YTD Personnel'!$I:$I,'YTD Personnel'!$B:$B,'YEP Summaries'!$A118,'YTD Personnel'!$C:$C,'YEP Summaries'!I$3)</f>
        <v>0</v>
      </c>
      <c r="J118" s="135"/>
      <c r="K118" s="135">
        <f>SUMIFS('YTD Personnel'!$I:$I,'YTD Personnel'!$B:$B,'YEP Summaries'!$A118,'YTD Personnel'!$C:$C,'YEP Summaries'!K$3)</f>
        <v>2929.5</v>
      </c>
      <c r="L118" s="135">
        <f>SUMIFS('YTD Personnel'!$I:$I,'YTD Personnel'!$B:$B,'YEP Summaries'!$A118,'YTD Personnel'!$C:$C,'YEP Summaries'!L$3)</f>
        <v>0</v>
      </c>
      <c r="M118" s="135">
        <f>SUMIFS('YTD Personnel'!$I:$I,'YTD Personnel'!$B:$B,'YEP Summaries'!$A118,'YTD Personnel'!$C:$C,'YEP Summaries'!M$3)</f>
        <v>0</v>
      </c>
      <c r="N118" s="135">
        <f>SUMIFS('YTD Personnel'!$I:$I,'YTD Personnel'!$B:$B,'YEP Summaries'!$A118,'YTD Personnel'!$C:$C,'YEP Summaries'!N$3)</f>
        <v>25441.32</v>
      </c>
      <c r="O118" s="135">
        <f>SUMIFS('YTD Personnel'!$I:$I,'YTD Personnel'!$B:$B,'YEP Summaries'!$A118,'YTD Personnel'!$C:$C,'YEP Summaries'!O$3)</f>
        <v>89775.34</v>
      </c>
      <c r="P118" s="135">
        <f>SUMIFS('YTD Personnel'!$I:$I,'YTD Personnel'!$B:$B,'YEP Summaries'!$A118,'YTD Personnel'!$C:$C,'YEP Summaries'!P$3)</f>
        <v>5330.64</v>
      </c>
      <c r="Q118" s="135">
        <f>SUMIFS('YTD Personnel'!$I:$I,'YTD Personnel'!$B:$B,'YEP Summaries'!$A118,'YTD Personnel'!$C:$C,'YEP Summaries'!Q$3)</f>
        <v>58733.82</v>
      </c>
      <c r="R118" s="135">
        <f t="shared" si="17"/>
        <v>533016.54999999993</v>
      </c>
    </row>
    <row r="119" spans="1:18">
      <c r="A119" s="130" t="s">
        <v>803</v>
      </c>
      <c r="C119" s="135">
        <f>SUMIFS('YTD Personnel'!$I:$I,'YTD Personnel'!$B:$B,'YEP Summaries'!$A119,'YTD Personnel'!$C:$C,'YEP Summaries'!C$3)</f>
        <v>0</v>
      </c>
      <c r="D119" s="135">
        <f>SUMIFS('YTD Personnel'!$I:$I,'YTD Personnel'!$B:$B,'YEP Summaries'!$A119,'YTD Personnel'!$C:$C,'YEP Summaries'!D$3)</f>
        <v>258635.29</v>
      </c>
      <c r="E119" s="135">
        <f>SUMIFS('YTD Personnel'!$I:$I,'YTD Personnel'!$B:$B,'YEP Summaries'!$A119,'YTD Personnel'!$C:$C,'YEP Summaries'!E$3)</f>
        <v>16373.88</v>
      </c>
      <c r="F119" s="135">
        <f>SUMIFS('YTD Personnel'!$I:$I,'YTD Personnel'!$B:$B,'YEP Summaries'!$A119,'YTD Personnel'!$C:$C,'YEP Summaries'!F$3)</f>
        <v>0</v>
      </c>
      <c r="G119" s="135">
        <f>SUMIFS('YTD Personnel'!$I:$I,'YTD Personnel'!$B:$B,'YEP Summaries'!$A119,'YTD Personnel'!$C:$C,'YEP Summaries'!G$3)</f>
        <v>1150</v>
      </c>
      <c r="H119" s="135">
        <f>SUMIFS('YTD Personnel'!$I:$I,'YTD Personnel'!$B:$B,'YEP Summaries'!$A119,'YTD Personnel'!$C:$C,'YEP Summaries'!H$3)</f>
        <v>0</v>
      </c>
      <c r="I119" s="135">
        <f>SUMIFS('YTD Personnel'!$I:$I,'YTD Personnel'!$B:$B,'YEP Summaries'!$A119,'YTD Personnel'!$C:$C,'YEP Summaries'!I$3)</f>
        <v>0</v>
      </c>
      <c r="J119" s="135"/>
      <c r="K119" s="135">
        <f>SUMIFS('YTD Personnel'!$I:$I,'YTD Personnel'!$B:$B,'YEP Summaries'!$A119,'YTD Personnel'!$C:$C,'YEP Summaries'!K$3)</f>
        <v>2039.25</v>
      </c>
      <c r="L119" s="135">
        <f>SUMIFS('YTD Personnel'!$I:$I,'YTD Personnel'!$B:$B,'YEP Summaries'!$A119,'YTD Personnel'!$C:$C,'YEP Summaries'!L$3)</f>
        <v>0</v>
      </c>
      <c r="M119" s="135">
        <f>SUMIFS('YTD Personnel'!$I:$I,'YTD Personnel'!$B:$B,'YEP Summaries'!$A119,'YTD Personnel'!$C:$C,'YEP Summaries'!M$3)</f>
        <v>0</v>
      </c>
      <c r="N119" s="135">
        <f>SUMIFS('YTD Personnel'!$I:$I,'YTD Personnel'!$B:$B,'YEP Summaries'!$A119,'YTD Personnel'!$C:$C,'YEP Summaries'!N$3)</f>
        <v>19696.37</v>
      </c>
      <c r="O119" s="135">
        <f>SUMIFS('YTD Personnel'!$I:$I,'YTD Personnel'!$B:$B,'YEP Summaries'!$A119,'YTD Personnel'!$C:$C,'YEP Summaries'!O$3)</f>
        <v>92455.7</v>
      </c>
      <c r="P119" s="135">
        <f>SUMIFS('YTD Personnel'!$I:$I,'YTD Personnel'!$B:$B,'YEP Summaries'!$A119,'YTD Personnel'!$C:$C,'YEP Summaries'!P$3)</f>
        <v>7751.67</v>
      </c>
      <c r="Q119" s="135">
        <f>SUMIFS('YTD Personnel'!$I:$I,'YTD Personnel'!$B:$B,'YEP Summaries'!$A119,'YTD Personnel'!$C:$C,'YEP Summaries'!Q$3)</f>
        <v>46274.41</v>
      </c>
      <c r="R119" s="135">
        <f t="shared" si="17"/>
        <v>444376.56999999995</v>
      </c>
    </row>
    <row r="120" spans="1:18">
      <c r="A120" s="130" t="s">
        <v>804</v>
      </c>
      <c r="C120" s="135">
        <f>SUMIFS('YTD Personnel'!$I:$I,'YTD Personnel'!$B:$B,'YEP Summaries'!$A120,'YTD Personnel'!$C:$C,'YEP Summaries'!C$3)</f>
        <v>0</v>
      </c>
      <c r="D120" s="135">
        <f>SUMIFS('YTD Personnel'!$I:$I,'YTD Personnel'!$B:$B,'YEP Summaries'!$A120,'YTD Personnel'!$C:$C,'YEP Summaries'!D$3)</f>
        <v>385288.41</v>
      </c>
      <c r="E120" s="135">
        <f>SUMIFS('YTD Personnel'!$I:$I,'YTD Personnel'!$B:$B,'YEP Summaries'!$A120,'YTD Personnel'!$C:$C,'YEP Summaries'!E$3)</f>
        <v>15901.69</v>
      </c>
      <c r="F120" s="135">
        <f>SUMIFS('YTD Personnel'!$I:$I,'YTD Personnel'!$B:$B,'YEP Summaries'!$A120,'YTD Personnel'!$C:$C,'YEP Summaries'!F$3)</f>
        <v>0</v>
      </c>
      <c r="G120" s="135">
        <f>SUMIFS('YTD Personnel'!$I:$I,'YTD Personnel'!$B:$B,'YEP Summaries'!$A120,'YTD Personnel'!$C:$C,'YEP Summaries'!G$3)</f>
        <v>4055</v>
      </c>
      <c r="H120" s="135">
        <f>SUMIFS('YTD Personnel'!$I:$I,'YTD Personnel'!$B:$B,'YEP Summaries'!$A120,'YTD Personnel'!$C:$C,'YEP Summaries'!H$3)</f>
        <v>0</v>
      </c>
      <c r="I120" s="135">
        <f>SUMIFS('YTD Personnel'!$I:$I,'YTD Personnel'!$B:$B,'YEP Summaries'!$A120,'YTD Personnel'!$C:$C,'YEP Summaries'!I$3)</f>
        <v>0</v>
      </c>
      <c r="J120" s="135"/>
      <c r="K120" s="135">
        <f>SUMIFS('YTD Personnel'!$I:$I,'YTD Personnel'!$B:$B,'YEP Summaries'!$A120,'YTD Personnel'!$C:$C,'YEP Summaries'!K$3)</f>
        <v>1941</v>
      </c>
      <c r="L120" s="135">
        <f>SUMIFS('YTD Personnel'!$I:$I,'YTD Personnel'!$B:$B,'YEP Summaries'!$A120,'YTD Personnel'!$C:$C,'YEP Summaries'!L$3)</f>
        <v>0</v>
      </c>
      <c r="M120" s="135">
        <f>SUMIFS('YTD Personnel'!$I:$I,'YTD Personnel'!$B:$B,'YEP Summaries'!$A120,'YTD Personnel'!$C:$C,'YEP Summaries'!M$3)</f>
        <v>0</v>
      </c>
      <c r="N120" s="135">
        <f>SUMIFS('YTD Personnel'!$I:$I,'YTD Personnel'!$B:$B,'YEP Summaries'!$A120,'YTD Personnel'!$C:$C,'YEP Summaries'!N$3)</f>
        <v>29525.5</v>
      </c>
      <c r="O120" s="135">
        <f>SUMIFS('YTD Personnel'!$I:$I,'YTD Personnel'!$B:$B,'YEP Summaries'!$A120,'YTD Personnel'!$C:$C,'YEP Summaries'!O$3)</f>
        <v>127338.65</v>
      </c>
      <c r="P120" s="135">
        <f>SUMIFS('YTD Personnel'!$I:$I,'YTD Personnel'!$B:$B,'YEP Summaries'!$A120,'YTD Personnel'!$C:$C,'YEP Summaries'!P$3)</f>
        <v>8306.2099999999991</v>
      </c>
      <c r="Q120" s="135">
        <f>SUMIFS('YTD Personnel'!$I:$I,'YTD Personnel'!$B:$B,'YEP Summaries'!$A120,'YTD Personnel'!$C:$C,'YEP Summaries'!Q$3)</f>
        <v>67672.52</v>
      </c>
      <c r="R120" s="135">
        <f t="shared" si="17"/>
        <v>640028.98</v>
      </c>
    </row>
    <row r="121" spans="1:18">
      <c r="A121" s="130" t="s">
        <v>805</v>
      </c>
      <c r="C121" s="135">
        <f>SUMIFS('YTD Personnel'!$I:$I,'YTD Personnel'!$B:$B,'YEP Summaries'!$A121,'YTD Personnel'!$C:$C,'YEP Summaries'!C$3)</f>
        <v>0</v>
      </c>
      <c r="D121" s="135">
        <f>SUMIFS('YTD Personnel'!$I:$I,'YTD Personnel'!$B:$B,'YEP Summaries'!$A121,'YTD Personnel'!$C:$C,'YEP Summaries'!D$3)</f>
        <v>103764.2</v>
      </c>
      <c r="E121" s="135">
        <f>SUMIFS('YTD Personnel'!$I:$I,'YTD Personnel'!$B:$B,'YEP Summaries'!$A121,'YTD Personnel'!$C:$C,'YEP Summaries'!E$3)</f>
        <v>57</v>
      </c>
      <c r="F121" s="135">
        <f>SUMIFS('YTD Personnel'!$I:$I,'YTD Personnel'!$B:$B,'YEP Summaries'!$A121,'YTD Personnel'!$C:$C,'YEP Summaries'!F$3)</f>
        <v>0</v>
      </c>
      <c r="G121" s="135">
        <f>SUMIFS('YTD Personnel'!$I:$I,'YTD Personnel'!$B:$B,'YEP Summaries'!$A121,'YTD Personnel'!$C:$C,'YEP Summaries'!G$3)</f>
        <v>1500</v>
      </c>
      <c r="H121" s="135">
        <f>SUMIFS('YTD Personnel'!$I:$I,'YTD Personnel'!$B:$B,'YEP Summaries'!$A121,'YTD Personnel'!$C:$C,'YEP Summaries'!H$3)</f>
        <v>0</v>
      </c>
      <c r="I121" s="135">
        <f>SUMIFS('YTD Personnel'!$I:$I,'YTD Personnel'!$B:$B,'YEP Summaries'!$A121,'YTD Personnel'!$C:$C,'YEP Summaries'!I$3)</f>
        <v>0</v>
      </c>
      <c r="J121" s="135"/>
      <c r="K121" s="135">
        <f>SUMIFS('YTD Personnel'!$I:$I,'YTD Personnel'!$B:$B,'YEP Summaries'!$A121,'YTD Personnel'!$C:$C,'YEP Summaries'!K$3)</f>
        <v>0</v>
      </c>
      <c r="L121" s="135">
        <f>SUMIFS('YTD Personnel'!$I:$I,'YTD Personnel'!$B:$B,'YEP Summaries'!$A121,'YTD Personnel'!$C:$C,'YEP Summaries'!L$3)</f>
        <v>0</v>
      </c>
      <c r="M121" s="135">
        <f>SUMIFS('YTD Personnel'!$I:$I,'YTD Personnel'!$B:$B,'YEP Summaries'!$A121,'YTD Personnel'!$C:$C,'YEP Summaries'!M$3)</f>
        <v>0</v>
      </c>
      <c r="N121" s="135">
        <f>SUMIFS('YTD Personnel'!$I:$I,'YTD Personnel'!$B:$B,'YEP Summaries'!$A121,'YTD Personnel'!$C:$C,'YEP Summaries'!N$3)</f>
        <v>7563.19</v>
      </c>
      <c r="O121" s="135">
        <f>SUMIFS('YTD Personnel'!$I:$I,'YTD Personnel'!$B:$B,'YEP Summaries'!$A121,'YTD Personnel'!$C:$C,'YEP Summaries'!O$3)</f>
        <v>20978.75</v>
      </c>
      <c r="P121" s="135">
        <f>SUMIFS('YTD Personnel'!$I:$I,'YTD Personnel'!$B:$B,'YEP Summaries'!$A121,'YTD Personnel'!$C:$C,'YEP Summaries'!P$3)</f>
        <v>1456.81</v>
      </c>
      <c r="Q121" s="135">
        <f>SUMIFS('YTD Personnel'!$I:$I,'YTD Personnel'!$B:$B,'YEP Summaries'!$A121,'YTD Personnel'!$C:$C,'YEP Summaries'!Q$3)</f>
        <v>17520.490000000002</v>
      </c>
      <c r="R121" s="135">
        <f t="shared" si="17"/>
        <v>152840.44</v>
      </c>
    </row>
    <row r="122" spans="1:18">
      <c r="A122" s="13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1:18">
      <c r="A123" s="13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1:18">
      <c r="A124" s="13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1:18">
      <c r="A125" s="130" t="s">
        <v>798</v>
      </c>
      <c r="C125" s="135">
        <f>SUMIFS('YTD Personnel'!$I:$I,'YTD Personnel'!$B:$B,'YEP Summaries'!$A125,'YTD Personnel'!$C:$C,'YEP Summaries'!C$3)</f>
        <v>0</v>
      </c>
      <c r="D125" s="135">
        <f>SUMIFS('YTD Personnel'!$I:$I,'YTD Personnel'!$B:$B,'YEP Summaries'!$A125,'YTD Personnel'!$C:$C,'YEP Summaries'!D$3)</f>
        <v>412761.4</v>
      </c>
      <c r="E125" s="135">
        <f>SUMIFS('YTD Personnel'!$I:$I,'YTD Personnel'!$B:$B,'YEP Summaries'!$A125,'YTD Personnel'!$C:$C,'YEP Summaries'!E$3)</f>
        <v>22080.89</v>
      </c>
      <c r="F125" s="135">
        <f>SUMIFS('YTD Personnel'!$I:$I,'YTD Personnel'!$B:$B,'YEP Summaries'!$A125,'YTD Personnel'!$C:$C,'YEP Summaries'!F$3)</f>
        <v>0</v>
      </c>
      <c r="G125" s="135">
        <f>SUMIFS('YTD Personnel'!$I:$I,'YTD Personnel'!$B:$B,'YEP Summaries'!$A125,'YTD Personnel'!$C:$C,'YEP Summaries'!G$3)</f>
        <v>4290</v>
      </c>
      <c r="H125" s="135">
        <f>SUMIFS('YTD Personnel'!$I:$I,'YTD Personnel'!$B:$B,'YEP Summaries'!$A125,'YTD Personnel'!$C:$C,'YEP Summaries'!H$3)</f>
        <v>0</v>
      </c>
      <c r="I125" s="135">
        <f>SUMIFS('YTD Personnel'!$I:$I,'YTD Personnel'!$B:$B,'YEP Summaries'!$A125,'YTD Personnel'!$C:$C,'YEP Summaries'!I$3)</f>
        <v>0</v>
      </c>
      <c r="J125" s="135"/>
      <c r="K125" s="135">
        <f>SUMIFS('YTD Personnel'!$I:$I,'YTD Personnel'!$B:$B,'YEP Summaries'!$A125,'YTD Personnel'!$C:$C,'YEP Summaries'!K$3)</f>
        <v>0</v>
      </c>
      <c r="L125" s="135">
        <f>SUMIFS('YTD Personnel'!$I:$I,'YTD Personnel'!$B:$B,'YEP Summaries'!$A125,'YTD Personnel'!$C:$C,'YEP Summaries'!L$3)</f>
        <v>0</v>
      </c>
      <c r="M125" s="135">
        <f>SUMIFS('YTD Personnel'!$I:$I,'YTD Personnel'!$B:$B,'YEP Summaries'!$A125,'YTD Personnel'!$C:$C,'YEP Summaries'!M$3)</f>
        <v>0</v>
      </c>
      <c r="N125" s="135">
        <f>SUMIFS('YTD Personnel'!$I:$I,'YTD Personnel'!$B:$B,'YEP Summaries'!$A125,'YTD Personnel'!$C:$C,'YEP Summaries'!N$3)</f>
        <v>32347.91</v>
      </c>
      <c r="O125" s="135">
        <f>SUMIFS('YTD Personnel'!$I:$I,'YTD Personnel'!$B:$B,'YEP Summaries'!$A125,'YTD Personnel'!$C:$C,'YEP Summaries'!O$3)</f>
        <v>104118.23</v>
      </c>
      <c r="P125" s="135">
        <f>SUMIFS('YTD Personnel'!$I:$I,'YTD Personnel'!$B:$B,'YEP Summaries'!$A125,'YTD Personnel'!$C:$C,'YEP Summaries'!P$3)</f>
        <v>9980.84</v>
      </c>
      <c r="Q125" s="135">
        <f>SUMIFS('YTD Personnel'!$I:$I,'YTD Personnel'!$B:$B,'YEP Summaries'!$A125,'YTD Personnel'!$C:$C,'YEP Summaries'!Q$3)</f>
        <v>73084.289999999994</v>
      </c>
      <c r="R125" s="135">
        <f t="shared" ref="R125" si="18">SUM(C125:Q125)</f>
        <v>658663.56000000006</v>
      </c>
    </row>
    <row r="126" spans="1:18">
      <c r="A126" s="13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1:18">
      <c r="A127" s="13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1:18">
      <c r="A128" s="13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1:18">
      <c r="A129" s="13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1:18" ht="16.2" thickBot="1">
      <c r="A130" s="13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1:18" ht="16.2" thickBot="1">
      <c r="A131" s="130"/>
      <c r="C131" s="138" t="s">
        <v>328</v>
      </c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245"/>
    </row>
    <row r="132" spans="1:18">
      <c r="A132" s="13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1:18">
      <c r="A133" s="130" t="s">
        <v>759</v>
      </c>
      <c r="B133" s="225" t="s">
        <v>81</v>
      </c>
      <c r="C133" s="135">
        <f>SUMIF('YEP Personnel Calc'!$H:$H,'YEP Summaries'!$A133,'YEP Personnel Calc'!AA:AA)</f>
        <v>3621.8314176245203</v>
      </c>
      <c r="D133" s="135">
        <f>SUMIF('YEP Personnel Calc'!$H:$H,'YEP Summaries'!$A133,'YEP Personnel Calc'!AB:AB)</f>
        <v>2199.9540229885051</v>
      </c>
      <c r="E133" s="368">
        <f>ROUND(E70/'YEP Personnel Calc'!$AA$2*'YEP Personnel Calc'!$AB$2,0)</f>
        <v>64</v>
      </c>
      <c r="F133" s="135">
        <f>SUMIF('YEP Personnel Calc'!$H:$H,'YEP Summaries'!$A133,'YEP Personnel Calc'!AD:AD)</f>
        <v>0</v>
      </c>
      <c r="G133" s="135">
        <f>SUMIF('YEP Personnel Calc'!$H:$H,'YEP Summaries'!$A133,'YEP Personnel Calc'!AE:AE)</f>
        <v>0</v>
      </c>
      <c r="H133" s="135">
        <f>SUMIF('YEP Personnel Calc'!$H:$H,'YEP Summaries'!$A133,'YEP Personnel Calc'!AF:AF)</f>
        <v>0</v>
      </c>
      <c r="I133" s="135">
        <f>SUMIF('YEP Personnel Calc'!$H:$H,'YEP Summaries'!$A133,'YEP Personnel Calc'!AF:AF)</f>
        <v>0</v>
      </c>
      <c r="J133" s="135"/>
      <c r="K133" s="135">
        <f>SUMIF('YEP Personnel Calc'!$H:$H,'YEP Summaries'!$A133,'YEP Personnel Calc'!AG:AG)</f>
        <v>0</v>
      </c>
      <c r="L133" s="135">
        <f>SUMIF('YEP Personnel Calc'!$H:$H,'YEP Summaries'!$A133,'YEP Personnel Calc'!AH:AH)</f>
        <v>0</v>
      </c>
      <c r="M133" s="135">
        <f>SUMIF('YEP Personnel Calc'!$H:$H,'YEP Summaries'!$A133,'YEP Personnel Calc'!AI:AI)</f>
        <v>0</v>
      </c>
      <c r="N133" s="135">
        <f>SUMIF('YEP Personnel Calc'!$H:$H,'YEP Summaries'!$A133,'YEP Personnel Calc'!AK:AK)</f>
        <v>445.36658620689644</v>
      </c>
      <c r="O133" s="135">
        <f>SUMIF('YEP Personnel Calc'!$H:$H,'YEP Summaries'!$A133,'YEP Personnel Calc'!AL:AL)</f>
        <v>1551.6305567245272</v>
      </c>
      <c r="P133" s="135">
        <f>SUMIF('YEP Personnel Calc'!$H:$H,'YEP Summaries'!$A133,'YEP Personnel Calc'!AM:AM)</f>
        <v>0</v>
      </c>
      <c r="Q133" s="135">
        <f>SUMIF('YEP Personnel Calc'!$H:$H,'YEP Summaries'!$A133,'YEP Personnel Calc'!AN:AN)</f>
        <v>970.49163295019127</v>
      </c>
      <c r="R133" s="135">
        <f t="shared" ref="R133:R162" si="19">SUM(C133:Q133)</f>
        <v>8853.2742164946412</v>
      </c>
    </row>
    <row r="134" spans="1:18">
      <c r="A134" s="130" t="s">
        <v>760</v>
      </c>
      <c r="B134" s="225" t="s">
        <v>110</v>
      </c>
      <c r="C134" s="135">
        <f>SUMIF('YEP Personnel Calc'!$H:$H,'YEP Summaries'!$A134,'YEP Personnel Calc'!AA:AA)</f>
        <v>0</v>
      </c>
      <c r="D134" s="135">
        <f>SUMIF('YEP Personnel Calc'!$H:$H,'YEP Summaries'!$A134,'YEP Personnel Calc'!AB:AB)</f>
        <v>0</v>
      </c>
      <c r="E134" s="368">
        <f>ROUND(E71/'YEP Personnel Calc'!$AA$2*'YEP Personnel Calc'!$AB$2,0)</f>
        <v>0</v>
      </c>
      <c r="F134" s="135">
        <f>SUMIF('YEP Personnel Calc'!$H:$H,'YEP Summaries'!$A134,'YEP Personnel Calc'!AD:AD)</f>
        <v>0</v>
      </c>
      <c r="G134" s="135">
        <f>SUMIF('YEP Personnel Calc'!$H:$H,'YEP Summaries'!$A134,'YEP Personnel Calc'!AE:AE)</f>
        <v>0</v>
      </c>
      <c r="H134" s="135">
        <f>SUMIF('YEP Personnel Calc'!$H:$H,'YEP Summaries'!$A134,'YEP Personnel Calc'!AF:AF)</f>
        <v>0</v>
      </c>
      <c r="I134" s="135">
        <f>SUMIF('YEP Personnel Calc'!$H:$H,'YEP Summaries'!$A134,'YEP Personnel Calc'!AF:AF)</f>
        <v>0</v>
      </c>
      <c r="J134" s="135"/>
      <c r="K134" s="135">
        <f>SUMIF('YEP Personnel Calc'!$H:$H,'YEP Summaries'!$A134,'YEP Personnel Calc'!AG:AG)</f>
        <v>0</v>
      </c>
      <c r="L134" s="135">
        <f>SUMIF('YEP Personnel Calc'!$H:$H,'YEP Summaries'!$A134,'YEP Personnel Calc'!AH:AH)</f>
        <v>0</v>
      </c>
      <c r="M134" s="135">
        <f>SUMIF('YEP Personnel Calc'!$H:$H,'YEP Summaries'!$A134,'YEP Personnel Calc'!AI:AI)</f>
        <v>0</v>
      </c>
      <c r="N134" s="135">
        <f>SUMIF('YEP Personnel Calc'!$H:$H,'YEP Summaries'!$A134,'YEP Personnel Calc'!AK:AK)</f>
        <v>0</v>
      </c>
      <c r="O134" s="135">
        <f>SUMIF('YEP Personnel Calc'!$H:$H,'YEP Summaries'!$A134,'YEP Personnel Calc'!AL:AL)</f>
        <v>0</v>
      </c>
      <c r="P134" s="135">
        <f>SUMIF('YEP Personnel Calc'!$H:$H,'YEP Summaries'!$A134,'YEP Personnel Calc'!AM:AM)</f>
        <v>0</v>
      </c>
      <c r="Q134" s="135">
        <f>SUMIF('YEP Personnel Calc'!$H:$H,'YEP Summaries'!$A134,'YEP Personnel Calc'!AN:AN)</f>
        <v>0</v>
      </c>
      <c r="R134" s="135">
        <f t="shared" si="19"/>
        <v>0</v>
      </c>
    </row>
    <row r="135" spans="1:18">
      <c r="A135" s="130" t="s">
        <v>761</v>
      </c>
      <c r="B135" s="225" t="s">
        <v>110</v>
      </c>
      <c r="C135" s="135">
        <f>SUMIF('YEP Personnel Calc'!$H:$H,'YEP Summaries'!$A135,'YEP Personnel Calc'!AA:AA)</f>
        <v>2699.5325670498078</v>
      </c>
      <c r="D135" s="135">
        <f>SUMIF('YEP Personnel Calc'!$H:$H,'YEP Summaries'!$A135,'YEP Personnel Calc'!AB:AB)</f>
        <v>0</v>
      </c>
      <c r="E135" s="368">
        <f>ROUND(E72/'YEP Personnel Calc'!$AA$2*'YEP Personnel Calc'!$AB$2,0)</f>
        <v>0</v>
      </c>
      <c r="F135" s="135">
        <f>SUMIF('YEP Personnel Calc'!$H:$H,'YEP Summaries'!$A135,'YEP Personnel Calc'!AD:AD)</f>
        <v>0</v>
      </c>
      <c r="G135" s="135">
        <f>SUMIF('YEP Personnel Calc'!$H:$H,'YEP Summaries'!$A135,'YEP Personnel Calc'!AE:AE)</f>
        <v>0</v>
      </c>
      <c r="H135" s="135">
        <f>SUMIF('YEP Personnel Calc'!$H:$H,'YEP Summaries'!$A135,'YEP Personnel Calc'!AF:AF)</f>
        <v>0</v>
      </c>
      <c r="I135" s="135">
        <f>SUMIF('YEP Personnel Calc'!$H:$H,'YEP Summaries'!$A135,'YEP Personnel Calc'!AF:AF)</f>
        <v>0</v>
      </c>
      <c r="J135" s="135"/>
      <c r="K135" s="135">
        <f>SUMIF('YEP Personnel Calc'!$H:$H,'YEP Summaries'!$A135,'YEP Personnel Calc'!AG:AG)</f>
        <v>0</v>
      </c>
      <c r="L135" s="135">
        <f>SUMIF('YEP Personnel Calc'!$H:$H,'YEP Summaries'!$A135,'YEP Personnel Calc'!AH:AH)</f>
        <v>0</v>
      </c>
      <c r="M135" s="135">
        <f>SUMIF('YEP Personnel Calc'!$H:$H,'YEP Summaries'!$A135,'YEP Personnel Calc'!AI:AI)</f>
        <v>0</v>
      </c>
      <c r="N135" s="135">
        <f>SUMIF('YEP Personnel Calc'!$H:$H,'YEP Summaries'!$A135,'YEP Personnel Calc'!AK:AK)</f>
        <v>206.51424137931031</v>
      </c>
      <c r="O135" s="135">
        <f>SUMIF('YEP Personnel Calc'!$H:$H,'YEP Summaries'!$A135,'YEP Personnel Calc'!AL:AL)</f>
        <v>549.4621975773581</v>
      </c>
      <c r="P135" s="135">
        <f>SUMIF('YEP Personnel Calc'!$H:$H,'YEP Summaries'!$A135,'YEP Personnel Calc'!AM:AM)</f>
        <v>0</v>
      </c>
      <c r="Q135" s="135">
        <f>SUMIF('YEP Personnel Calc'!$H:$H,'YEP Summaries'!$A135,'YEP Personnel Calc'!AN:AN)</f>
        <v>450.01207892720294</v>
      </c>
      <c r="R135" s="135">
        <f t="shared" si="19"/>
        <v>3905.5210849336786</v>
      </c>
    </row>
    <row r="136" spans="1:18">
      <c r="A136" s="130" t="s">
        <v>762</v>
      </c>
      <c r="B136" s="225" t="s">
        <v>81</v>
      </c>
      <c r="C136" s="135">
        <f>SUMIF('YEP Personnel Calc'!$H:$H,'YEP Summaries'!$A136,'YEP Personnel Calc'!AA:AA)</f>
        <v>2993.402298850574</v>
      </c>
      <c r="D136" s="135">
        <f>SUMIF('YEP Personnel Calc'!$H:$H,'YEP Summaries'!$A136,'YEP Personnel Calc'!AB:AB)</f>
        <v>0</v>
      </c>
      <c r="E136" s="368">
        <f>ROUND(E73/'YEP Personnel Calc'!$AA$2*'YEP Personnel Calc'!$AB$2,0)</f>
        <v>0</v>
      </c>
      <c r="F136" s="135">
        <f>SUMIF('YEP Personnel Calc'!$H:$H,'YEP Summaries'!$A136,'YEP Personnel Calc'!AD:AD)</f>
        <v>0</v>
      </c>
      <c r="G136" s="135">
        <f>SUMIF('YEP Personnel Calc'!$H:$H,'YEP Summaries'!$A136,'YEP Personnel Calc'!AE:AE)</f>
        <v>0</v>
      </c>
      <c r="H136" s="135">
        <f>SUMIF('YEP Personnel Calc'!$H:$H,'YEP Summaries'!$A136,'YEP Personnel Calc'!AF:AF)</f>
        <v>0</v>
      </c>
      <c r="I136" s="135">
        <f>SUMIF('YEP Personnel Calc'!$H:$H,'YEP Summaries'!$A136,'YEP Personnel Calc'!AF:AF)</f>
        <v>0</v>
      </c>
      <c r="J136" s="135"/>
      <c r="K136" s="135">
        <f>SUMIF('YEP Personnel Calc'!$H:$H,'YEP Summaries'!$A136,'YEP Personnel Calc'!AG:AG)</f>
        <v>0</v>
      </c>
      <c r="L136" s="135">
        <f>SUMIF('YEP Personnel Calc'!$H:$H,'YEP Summaries'!$A136,'YEP Personnel Calc'!AH:AH)</f>
        <v>0</v>
      </c>
      <c r="M136" s="135">
        <f>SUMIF('YEP Personnel Calc'!$H:$H,'YEP Summaries'!$A136,'YEP Personnel Calc'!AI:AI)</f>
        <v>0</v>
      </c>
      <c r="N136" s="135">
        <f>SUMIF('YEP Personnel Calc'!$H:$H,'YEP Summaries'!$A136,'YEP Personnel Calc'!AK:AK)</f>
        <v>228.99527586206892</v>
      </c>
      <c r="O136" s="135">
        <f>SUMIF('YEP Personnel Calc'!$H:$H,'YEP Summaries'!$A136,'YEP Personnel Calc'!AL:AL)</f>
        <v>741.17161031717626</v>
      </c>
      <c r="P136" s="135">
        <f>SUMIF('YEP Personnel Calc'!$H:$H,'YEP Summaries'!$A136,'YEP Personnel Calc'!AM:AM)</f>
        <v>0</v>
      </c>
      <c r="Q136" s="135">
        <f>SUMIF('YEP Personnel Calc'!$H:$H,'YEP Summaries'!$A136,'YEP Personnel Calc'!AN:AN)</f>
        <v>499.00016321839064</v>
      </c>
      <c r="R136" s="135">
        <f t="shared" si="19"/>
        <v>4462.5693482482093</v>
      </c>
    </row>
    <row r="137" spans="1:18">
      <c r="A137" s="130" t="s">
        <v>763</v>
      </c>
      <c r="B137" s="225" t="s">
        <v>110</v>
      </c>
      <c r="C137" s="135">
        <f>SUMIF('YEP Personnel Calc'!$H:$H,'YEP Summaries'!$A137,'YEP Personnel Calc'!AA:AA)</f>
        <v>0</v>
      </c>
      <c r="D137" s="135">
        <f>SUMIF('YEP Personnel Calc'!$H:$H,'YEP Summaries'!$A137,'YEP Personnel Calc'!AB:AB)</f>
        <v>0</v>
      </c>
      <c r="E137" s="368">
        <f>ROUND(E74/'YEP Personnel Calc'!$AA$2*'YEP Personnel Calc'!$AB$2,0)</f>
        <v>0</v>
      </c>
      <c r="F137" s="135">
        <f>SUMIF('YEP Personnel Calc'!$H:$H,'YEP Summaries'!$A137,'YEP Personnel Calc'!AD:AD)</f>
        <v>0</v>
      </c>
      <c r="G137" s="135">
        <f>SUMIF('YEP Personnel Calc'!$H:$H,'YEP Summaries'!$A137,'YEP Personnel Calc'!AE:AE)</f>
        <v>0</v>
      </c>
      <c r="H137" s="135">
        <f>SUMIF('YEP Personnel Calc'!$H:$H,'YEP Summaries'!$A137,'YEP Personnel Calc'!AF:AF)</f>
        <v>0</v>
      </c>
      <c r="I137" s="135">
        <f>SUMIF('YEP Personnel Calc'!$H:$H,'YEP Summaries'!$A137,'YEP Personnel Calc'!AF:AF)</f>
        <v>0</v>
      </c>
      <c r="J137" s="135"/>
      <c r="K137" s="135">
        <f>SUMIF('YEP Personnel Calc'!$H:$H,'YEP Summaries'!$A137,'YEP Personnel Calc'!AG:AG)</f>
        <v>0</v>
      </c>
      <c r="L137" s="135">
        <f>SUMIF('YEP Personnel Calc'!$H:$H,'YEP Summaries'!$A137,'YEP Personnel Calc'!AH:AH)</f>
        <v>0</v>
      </c>
      <c r="M137" s="135">
        <f>SUMIF('YEP Personnel Calc'!$H:$H,'YEP Summaries'!$A137,'YEP Personnel Calc'!AI:AI)</f>
        <v>0</v>
      </c>
      <c r="N137" s="135">
        <f>SUMIF('YEP Personnel Calc'!$H:$H,'YEP Summaries'!$A137,'YEP Personnel Calc'!AK:AK)</f>
        <v>0</v>
      </c>
      <c r="O137" s="135">
        <f>SUMIF('YEP Personnel Calc'!$H:$H,'YEP Summaries'!$A137,'YEP Personnel Calc'!AL:AL)</f>
        <v>0</v>
      </c>
      <c r="P137" s="135">
        <f>SUMIF('YEP Personnel Calc'!$H:$H,'YEP Summaries'!$A137,'YEP Personnel Calc'!AM:AM)</f>
        <v>0</v>
      </c>
      <c r="Q137" s="135">
        <f>SUMIF('YEP Personnel Calc'!$H:$H,'YEP Summaries'!$A137,'YEP Personnel Calc'!AN:AN)</f>
        <v>0</v>
      </c>
      <c r="R137" s="135">
        <f t="shared" si="19"/>
        <v>0</v>
      </c>
    </row>
    <row r="138" spans="1:18">
      <c r="A138" s="130" t="s">
        <v>764</v>
      </c>
      <c r="B138" s="225" t="s">
        <v>110</v>
      </c>
      <c r="C138" s="135">
        <f>SUMIF('YEP Personnel Calc'!$H:$H,'YEP Summaries'!$A138,'YEP Personnel Calc'!AA:AA)</f>
        <v>0</v>
      </c>
      <c r="D138" s="135">
        <f>SUMIF('YEP Personnel Calc'!$H:$H,'YEP Summaries'!$A138,'YEP Personnel Calc'!AB:AB)</f>
        <v>0</v>
      </c>
      <c r="E138" s="368">
        <f>ROUND(E75/'YEP Personnel Calc'!$AA$2*'YEP Personnel Calc'!$AB$2,0)</f>
        <v>41</v>
      </c>
      <c r="F138" s="135">
        <f>SUMIF('YEP Personnel Calc'!$H:$H,'YEP Summaries'!$A138,'YEP Personnel Calc'!AD:AD)</f>
        <v>0</v>
      </c>
      <c r="G138" s="135">
        <f>SUMIF('YEP Personnel Calc'!$H:$H,'YEP Summaries'!$A138,'YEP Personnel Calc'!AE:AE)</f>
        <v>0</v>
      </c>
      <c r="H138" s="135">
        <f>SUMIF('YEP Personnel Calc'!$H:$H,'YEP Summaries'!$A138,'YEP Personnel Calc'!AF:AF)</f>
        <v>0</v>
      </c>
      <c r="I138" s="135">
        <f>SUMIF('YEP Personnel Calc'!$H:$H,'YEP Summaries'!$A138,'YEP Personnel Calc'!AF:AF)</f>
        <v>0</v>
      </c>
      <c r="J138" s="135"/>
      <c r="K138" s="135">
        <f>SUMIF('YEP Personnel Calc'!$H:$H,'YEP Summaries'!$A138,'YEP Personnel Calc'!AG:AG)</f>
        <v>0</v>
      </c>
      <c r="L138" s="135">
        <f>SUMIF('YEP Personnel Calc'!$H:$H,'YEP Summaries'!$A138,'YEP Personnel Calc'!AH:AH)</f>
        <v>0</v>
      </c>
      <c r="M138" s="135">
        <f>SUMIF('YEP Personnel Calc'!$H:$H,'YEP Summaries'!$A138,'YEP Personnel Calc'!AI:AI)</f>
        <v>0</v>
      </c>
      <c r="N138" s="135">
        <f>SUMIF('YEP Personnel Calc'!$H:$H,'YEP Summaries'!$A138,'YEP Personnel Calc'!AK:AK)</f>
        <v>0</v>
      </c>
      <c r="O138" s="135">
        <f>SUMIF('YEP Personnel Calc'!$H:$H,'YEP Summaries'!$A138,'YEP Personnel Calc'!AL:AL)</f>
        <v>0</v>
      </c>
      <c r="P138" s="135">
        <f>SUMIF('YEP Personnel Calc'!$H:$H,'YEP Summaries'!$A138,'YEP Personnel Calc'!AM:AM)</f>
        <v>0</v>
      </c>
      <c r="Q138" s="135">
        <f>SUMIF('YEP Personnel Calc'!$H:$H,'YEP Summaries'!$A138,'YEP Personnel Calc'!AN:AN)</f>
        <v>0</v>
      </c>
      <c r="R138" s="135">
        <f t="shared" si="19"/>
        <v>41</v>
      </c>
    </row>
    <row r="139" spans="1:18">
      <c r="A139" s="130" t="s">
        <v>765</v>
      </c>
      <c r="B139" s="225" t="s">
        <v>81</v>
      </c>
      <c r="C139" s="135">
        <f>SUMIF('YEP Personnel Calc'!$H:$H,'YEP Summaries'!$A139,'YEP Personnel Calc'!AA:AA)</f>
        <v>5906.781609195401</v>
      </c>
      <c r="D139" s="135">
        <f>SUMIF('YEP Personnel Calc'!$H:$H,'YEP Summaries'!$A139,'YEP Personnel Calc'!AB:AB)</f>
        <v>2147.0574712643675</v>
      </c>
      <c r="E139" s="368">
        <f>ROUND(E76/'YEP Personnel Calc'!$AA$2*'YEP Personnel Calc'!$AB$2,0)</f>
        <v>12</v>
      </c>
      <c r="F139" s="135">
        <f>SUMIF('YEP Personnel Calc'!$H:$H,'YEP Summaries'!$A139,'YEP Personnel Calc'!AD:AD)</f>
        <v>0</v>
      </c>
      <c r="G139" s="135">
        <f>SUMIF('YEP Personnel Calc'!$H:$H,'YEP Summaries'!$A139,'YEP Personnel Calc'!AE:AE)</f>
        <v>0</v>
      </c>
      <c r="H139" s="135">
        <f>SUMIF('YEP Personnel Calc'!$H:$H,'YEP Summaries'!$A139,'YEP Personnel Calc'!AF:AF)</f>
        <v>0</v>
      </c>
      <c r="I139" s="135">
        <f>SUMIF('YEP Personnel Calc'!$H:$H,'YEP Summaries'!$A139,'YEP Personnel Calc'!AF:AF)</f>
        <v>0</v>
      </c>
      <c r="J139" s="135"/>
      <c r="K139" s="135">
        <f>SUMIF('YEP Personnel Calc'!$H:$H,'YEP Summaries'!$A139,'YEP Personnel Calc'!AG:AG)</f>
        <v>0</v>
      </c>
      <c r="L139" s="135">
        <f>SUMIF('YEP Personnel Calc'!$H:$H,'YEP Summaries'!$A139,'YEP Personnel Calc'!AH:AH)</f>
        <v>0</v>
      </c>
      <c r="M139" s="135">
        <f>SUMIF('YEP Personnel Calc'!$H:$H,'YEP Summaries'!$A139,'YEP Personnel Calc'!AI:AI)</f>
        <v>0</v>
      </c>
      <c r="N139" s="135">
        <f>SUMIF('YEP Personnel Calc'!$H:$H,'YEP Summaries'!$A139,'YEP Personnel Calc'!AK:AK)</f>
        <v>616.11868965517226</v>
      </c>
      <c r="O139" s="135">
        <f>SUMIF('YEP Personnel Calc'!$H:$H,'YEP Summaries'!$A139,'YEP Personnel Calc'!AL:AL)</f>
        <v>2867.1360191094323</v>
      </c>
      <c r="P139" s="135">
        <f>SUMIF('YEP Personnel Calc'!$H:$H,'YEP Summaries'!$A139,'YEP Personnel Calc'!AM:AM)</f>
        <v>0</v>
      </c>
      <c r="Q139" s="135">
        <f>SUMIF('YEP Personnel Calc'!$H:$H,'YEP Summaries'!$A139,'YEP Personnel Calc'!AN:AN)</f>
        <v>1342.5749747126431</v>
      </c>
      <c r="R139" s="135">
        <f t="shared" si="19"/>
        <v>12891.668763937016</v>
      </c>
    </row>
    <row r="140" spans="1:18">
      <c r="A140" s="130" t="s">
        <v>767</v>
      </c>
      <c r="B140" s="225" t="s">
        <v>81</v>
      </c>
      <c r="C140" s="135">
        <f>SUMIF('YEP Personnel Calc'!$H:$H,'YEP Summaries'!$A140,'YEP Personnel Calc'!AA:AA)</f>
        <v>2969.4406130268189</v>
      </c>
      <c r="D140" s="135">
        <f>SUMIF('YEP Personnel Calc'!$H:$H,'YEP Summaries'!$A140,'YEP Personnel Calc'!AB:AB)</f>
        <v>0</v>
      </c>
      <c r="E140" s="368">
        <f>ROUND(E77/'YEP Personnel Calc'!$AA$2*'YEP Personnel Calc'!$AB$2,0)</f>
        <v>0</v>
      </c>
      <c r="F140" s="135">
        <f>SUMIF('YEP Personnel Calc'!$H:$H,'YEP Summaries'!$A140,'YEP Personnel Calc'!AD:AD)</f>
        <v>527.15708812260527</v>
      </c>
      <c r="G140" s="135">
        <f>SUMIF('YEP Personnel Calc'!$H:$H,'YEP Summaries'!$A140,'YEP Personnel Calc'!AE:AE)</f>
        <v>0</v>
      </c>
      <c r="H140" s="135">
        <f>SUMIF('YEP Personnel Calc'!$H:$H,'YEP Summaries'!$A140,'YEP Personnel Calc'!AF:AF)</f>
        <v>0</v>
      </c>
      <c r="I140" s="135">
        <f>SUMIF('YEP Personnel Calc'!$H:$H,'YEP Summaries'!$A140,'YEP Personnel Calc'!AF:AF)</f>
        <v>0</v>
      </c>
      <c r="J140" s="135"/>
      <c r="K140" s="135">
        <f>SUMIF('YEP Personnel Calc'!$H:$H,'YEP Summaries'!$A140,'YEP Personnel Calc'!AG:AG)</f>
        <v>0</v>
      </c>
      <c r="L140" s="135">
        <f>SUMIF('YEP Personnel Calc'!$H:$H,'YEP Summaries'!$A140,'YEP Personnel Calc'!AH:AH)</f>
        <v>0</v>
      </c>
      <c r="M140" s="135">
        <f>SUMIF('YEP Personnel Calc'!$H:$H,'YEP Summaries'!$A140,'YEP Personnel Calc'!AI:AI)</f>
        <v>0</v>
      </c>
      <c r="N140" s="135">
        <f>SUMIF('YEP Personnel Calc'!$H:$H,'YEP Summaries'!$A140,'YEP Personnel Calc'!AK:AK)</f>
        <v>267.48972413793098</v>
      </c>
      <c r="O140" s="135">
        <f>SUMIF('YEP Personnel Calc'!$H:$H,'YEP Summaries'!$A140,'YEP Personnel Calc'!AL:AL)</f>
        <v>1012.6105918716974</v>
      </c>
      <c r="P140" s="135">
        <f>SUMIF('YEP Personnel Calc'!$H:$H,'YEP Summaries'!$A140,'YEP Personnel Calc'!AM:AM)</f>
        <v>0</v>
      </c>
      <c r="Q140" s="135">
        <f>SUMIF('YEP Personnel Calc'!$H:$H,'YEP Summaries'!$A140,'YEP Personnel Calc'!AN:AN)</f>
        <v>495.00575019157066</v>
      </c>
      <c r="R140" s="135">
        <f>SUM(C140:Q140)</f>
        <v>5271.7037673506229</v>
      </c>
    </row>
    <row r="141" spans="1:18">
      <c r="A141" s="130" t="s">
        <v>766</v>
      </c>
      <c r="B141" s="225" t="s">
        <v>110</v>
      </c>
      <c r="C141" s="135">
        <f>SUMIF('YEP Personnel Calc'!$H:$H,'YEP Summaries'!$A141,'YEP Personnel Calc'!AA:AA)</f>
        <v>0</v>
      </c>
      <c r="D141" s="135">
        <f>SUMIF('YEP Personnel Calc'!$H:$H,'YEP Summaries'!$A141,'YEP Personnel Calc'!AB:AB)</f>
        <v>1897.0421455938692</v>
      </c>
      <c r="E141" s="368">
        <f>ROUND(E78/'YEP Personnel Calc'!$AA$2*'YEP Personnel Calc'!$AB$2,0)</f>
        <v>0</v>
      </c>
      <c r="F141" s="135">
        <f>SUMIF('YEP Personnel Calc'!$H:$H,'YEP Summaries'!$A141,'YEP Personnel Calc'!AD:AD)</f>
        <v>1272.6819923371643</v>
      </c>
      <c r="G141" s="135">
        <f>SUMIF('YEP Personnel Calc'!$H:$H,'YEP Summaries'!$A141,'YEP Personnel Calc'!AE:AE)</f>
        <v>0</v>
      </c>
      <c r="H141" s="135">
        <f>SUMIF('YEP Personnel Calc'!$H:$H,'YEP Summaries'!$A141,'YEP Personnel Calc'!AF:AF)</f>
        <v>0</v>
      </c>
      <c r="I141" s="135">
        <f>SUMIF('YEP Personnel Calc'!$H:$H,'YEP Summaries'!$A141,'YEP Personnel Calc'!AF:AF)</f>
        <v>0</v>
      </c>
      <c r="J141" s="135"/>
      <c r="K141" s="135">
        <f>SUMIF('YEP Personnel Calc'!$H:$H,'YEP Summaries'!$A141,'YEP Personnel Calc'!AG:AG)</f>
        <v>0</v>
      </c>
      <c r="L141" s="135">
        <f>SUMIF('YEP Personnel Calc'!$H:$H,'YEP Summaries'!$A141,'YEP Personnel Calc'!AH:AH)</f>
        <v>0</v>
      </c>
      <c r="M141" s="135">
        <f>SUMIF('YEP Personnel Calc'!$H:$H,'YEP Summaries'!$A141,'YEP Personnel Calc'!AI:AI)</f>
        <v>0</v>
      </c>
      <c r="N141" s="135">
        <f>SUMIF('YEP Personnel Calc'!$H:$H,'YEP Summaries'!$A141,'YEP Personnel Calc'!AK:AK)</f>
        <v>244.21320689655164</v>
      </c>
      <c r="O141" s="135">
        <f>SUMIF('YEP Personnel Calc'!$H:$H,'YEP Summaries'!$A141,'YEP Personnel Calc'!AL:AL)</f>
        <v>1175.3230502113202</v>
      </c>
      <c r="P141" s="135">
        <f>SUMIF('YEP Personnel Calc'!$H:$H,'YEP Summaries'!$A141,'YEP Personnel Calc'!AM:AM)</f>
        <v>0</v>
      </c>
      <c r="Q141" s="135">
        <f>SUMIF('YEP Personnel Calc'!$H:$H,'YEP Summaries'!$A141,'YEP Personnel Calc'!AN:AN)</f>
        <v>320.00523984674317</v>
      </c>
      <c r="R141" s="135">
        <f t="shared" si="19"/>
        <v>4909.265634885649</v>
      </c>
    </row>
    <row r="142" spans="1:18">
      <c r="A142" s="130" t="s">
        <v>768</v>
      </c>
      <c r="B142" s="225" t="s">
        <v>110</v>
      </c>
      <c r="C142" s="135">
        <f>SUMIF('YEP Personnel Calc'!$H:$H,'YEP Summaries'!$A142,'YEP Personnel Calc'!AA:AA)</f>
        <v>0</v>
      </c>
      <c r="D142" s="135">
        <f>SUMIF('YEP Personnel Calc'!$H:$H,'YEP Summaries'!$A142,'YEP Personnel Calc'!AB:AB)</f>
        <v>1896.1379310344823</v>
      </c>
      <c r="E142" s="368">
        <f>ROUND(E79/'YEP Personnel Calc'!$AA$2*'YEP Personnel Calc'!$AB$2,0)</f>
        <v>9</v>
      </c>
      <c r="F142" s="135">
        <f>SUMIF('YEP Personnel Calc'!$H:$H,'YEP Summaries'!$A142,'YEP Personnel Calc'!AD:AD)</f>
        <v>0</v>
      </c>
      <c r="G142" s="135">
        <f>SUMIF('YEP Personnel Calc'!$H:$H,'YEP Summaries'!$A142,'YEP Personnel Calc'!AE:AE)</f>
        <v>0</v>
      </c>
      <c r="H142" s="135">
        <f>SUMIF('YEP Personnel Calc'!$H:$H,'YEP Summaries'!$A142,'YEP Personnel Calc'!AF:AF)</f>
        <v>0</v>
      </c>
      <c r="I142" s="135">
        <f>SUMIF('YEP Personnel Calc'!$H:$H,'YEP Summaries'!$A142,'YEP Personnel Calc'!AF:AF)</f>
        <v>0</v>
      </c>
      <c r="J142" s="135"/>
      <c r="K142" s="135">
        <f>SUMIF('YEP Personnel Calc'!$H:$H,'YEP Summaries'!$A142,'YEP Personnel Calc'!AG:AG)</f>
        <v>0</v>
      </c>
      <c r="L142" s="135">
        <f>SUMIF('YEP Personnel Calc'!$H:$H,'YEP Summaries'!$A142,'YEP Personnel Calc'!AH:AH)</f>
        <v>0</v>
      </c>
      <c r="M142" s="135">
        <f>SUMIF('YEP Personnel Calc'!$H:$H,'YEP Summaries'!$A142,'YEP Personnel Calc'!AI:AI)</f>
        <v>0</v>
      </c>
      <c r="N142" s="135">
        <f>SUMIF('YEP Personnel Calc'!$H:$H,'YEP Summaries'!$A142,'YEP Personnel Calc'!AK:AK)</f>
        <v>145.05455172413789</v>
      </c>
      <c r="O142" s="135">
        <f>SUMIF('YEP Personnel Calc'!$H:$H,'YEP Summaries'!$A142,'YEP Personnel Calc'!AL:AL)</f>
        <v>546.1715076981128</v>
      </c>
      <c r="P142" s="135">
        <f>SUMIF('YEP Personnel Calc'!$H:$H,'YEP Summaries'!$A142,'YEP Personnel Calc'!AM:AM)</f>
        <v>0</v>
      </c>
      <c r="Q142" s="135">
        <f>SUMIF('YEP Personnel Calc'!$H:$H,'YEP Summaries'!$A142,'YEP Personnel Calc'!AN:AN)</f>
        <v>316.08619310344818</v>
      </c>
      <c r="R142" s="135">
        <f t="shared" si="19"/>
        <v>2912.4501835601814</v>
      </c>
    </row>
    <row r="143" spans="1:18">
      <c r="A143" s="130" t="s">
        <v>769</v>
      </c>
      <c r="B143" s="225" t="s">
        <v>81</v>
      </c>
      <c r="C143" s="135">
        <f>SUMIF('YEP Personnel Calc'!$H:$H,'YEP Summaries'!$A143,'YEP Personnel Calc'!AA:AA)</f>
        <v>0</v>
      </c>
      <c r="D143" s="135">
        <f>SUMIF('YEP Personnel Calc'!$H:$H,'YEP Summaries'!$A143,'YEP Personnel Calc'!AB:AB)</f>
        <v>0</v>
      </c>
      <c r="E143" s="368">
        <f>ROUND(E80/'YEP Personnel Calc'!$AA$2*'YEP Personnel Calc'!$AB$2,0)</f>
        <v>53</v>
      </c>
      <c r="F143" s="135">
        <f>SUMIF('YEP Personnel Calc'!$H:$H,'YEP Summaries'!$A143,'YEP Personnel Calc'!AD:AD)</f>
        <v>0</v>
      </c>
      <c r="G143" s="135">
        <f>SUMIF('YEP Personnel Calc'!$H:$H,'YEP Summaries'!$A143,'YEP Personnel Calc'!AE:AE)</f>
        <v>0</v>
      </c>
      <c r="H143" s="135">
        <f>SUMIF('YEP Personnel Calc'!$H:$H,'YEP Summaries'!$A143,'YEP Personnel Calc'!AF:AF)</f>
        <v>0</v>
      </c>
      <c r="I143" s="135">
        <f>SUMIF('YEP Personnel Calc'!$H:$H,'YEP Summaries'!$A143,'YEP Personnel Calc'!AF:AF)</f>
        <v>0</v>
      </c>
      <c r="J143" s="135"/>
      <c r="K143" s="135">
        <f>SUMIF('YEP Personnel Calc'!$H:$H,'YEP Summaries'!$A143,'YEP Personnel Calc'!AG:AG)</f>
        <v>0</v>
      </c>
      <c r="L143" s="135">
        <f>SUMIF('YEP Personnel Calc'!$H:$H,'YEP Summaries'!$A143,'YEP Personnel Calc'!AH:AH)</f>
        <v>0</v>
      </c>
      <c r="M143" s="135">
        <f>SUMIF('YEP Personnel Calc'!$H:$H,'YEP Summaries'!$A143,'YEP Personnel Calc'!AI:AI)</f>
        <v>0</v>
      </c>
      <c r="N143" s="135">
        <f>SUMIF('YEP Personnel Calc'!$H:$H,'YEP Summaries'!$A143,'YEP Personnel Calc'!AK:AK)</f>
        <v>0</v>
      </c>
      <c r="O143" s="135">
        <f>SUMIF('YEP Personnel Calc'!$H:$H,'YEP Summaries'!$A143,'YEP Personnel Calc'!AL:AL)</f>
        <v>0</v>
      </c>
      <c r="P143" s="135">
        <f>SUMIF('YEP Personnel Calc'!$H:$H,'YEP Summaries'!$A143,'YEP Personnel Calc'!AM:AM)</f>
        <v>0</v>
      </c>
      <c r="Q143" s="135">
        <f>SUMIF('YEP Personnel Calc'!$H:$H,'YEP Summaries'!$A143,'YEP Personnel Calc'!AN:AN)</f>
        <v>0</v>
      </c>
      <c r="R143" s="135">
        <f t="shared" si="19"/>
        <v>53</v>
      </c>
    </row>
    <row r="144" spans="1:18">
      <c r="A144" s="130" t="s">
        <v>770</v>
      </c>
      <c r="B144" s="225" t="s">
        <v>81</v>
      </c>
      <c r="C144" s="135">
        <f>SUMIF('YEP Personnel Calc'!$H:$H,'YEP Summaries'!$A144,'YEP Personnel Calc'!AA:AA)</f>
        <v>0</v>
      </c>
      <c r="D144" s="135">
        <f>SUMIF('YEP Personnel Calc'!$H:$H,'YEP Summaries'!$A144,'YEP Personnel Calc'!AB:AB)</f>
        <v>2323.8314176245203</v>
      </c>
      <c r="E144" s="368">
        <f>ROUND(E81/'YEP Personnel Calc'!$AA$2*'YEP Personnel Calc'!$AB$2,0)</f>
        <v>52</v>
      </c>
      <c r="F144" s="135">
        <f>SUMIF('YEP Personnel Calc'!$H:$H,'YEP Summaries'!$A144,'YEP Personnel Calc'!AD:AD)</f>
        <v>0</v>
      </c>
      <c r="G144" s="135">
        <f>SUMIF('YEP Personnel Calc'!$H:$H,'YEP Summaries'!$A144,'YEP Personnel Calc'!AE:AE)</f>
        <v>0</v>
      </c>
      <c r="H144" s="135">
        <f>SUMIF('YEP Personnel Calc'!$H:$H,'YEP Summaries'!$A144,'YEP Personnel Calc'!AF:AF)</f>
        <v>0</v>
      </c>
      <c r="I144" s="135">
        <f>SUMIF('YEP Personnel Calc'!$H:$H,'YEP Summaries'!$A144,'YEP Personnel Calc'!AF:AF)</f>
        <v>0</v>
      </c>
      <c r="J144" s="135"/>
      <c r="K144" s="135">
        <f>SUMIF('YEP Personnel Calc'!$H:$H,'YEP Summaries'!$A144,'YEP Personnel Calc'!AG:AG)</f>
        <v>0</v>
      </c>
      <c r="L144" s="135">
        <f>SUMIF('YEP Personnel Calc'!$H:$H,'YEP Summaries'!$A144,'YEP Personnel Calc'!AH:AH)</f>
        <v>0</v>
      </c>
      <c r="M144" s="135">
        <f>SUMIF('YEP Personnel Calc'!$H:$H,'YEP Summaries'!$A144,'YEP Personnel Calc'!AI:AI)</f>
        <v>0</v>
      </c>
      <c r="N144" s="135">
        <f>SUMIF('YEP Personnel Calc'!$H:$H,'YEP Summaries'!$A144,'YEP Personnel Calc'!AK:AK)</f>
        <v>177.77310344827578</v>
      </c>
      <c r="O144" s="135">
        <f>SUMIF('YEP Personnel Calc'!$H:$H,'YEP Summaries'!$A144,'YEP Personnel Calc'!AL:AL)</f>
        <v>545.05740512452792</v>
      </c>
      <c r="P144" s="135">
        <f>SUMIF('YEP Personnel Calc'!$H:$H,'YEP Summaries'!$A144,'YEP Personnel Calc'!AM:AM)</f>
        <v>0</v>
      </c>
      <c r="Q144" s="135">
        <f>SUMIF('YEP Personnel Calc'!$H:$H,'YEP Summaries'!$A144,'YEP Personnel Calc'!AN:AN)</f>
        <v>387.3826973180075</v>
      </c>
      <c r="R144" s="135">
        <f t="shared" si="19"/>
        <v>3486.0446235153318</v>
      </c>
    </row>
    <row r="145" spans="1:18">
      <c r="A145" s="130" t="s">
        <v>771</v>
      </c>
      <c r="B145" s="225" t="s">
        <v>110</v>
      </c>
      <c r="C145" s="135">
        <f>SUMIF('YEP Personnel Calc'!$H:$H,'YEP Summaries'!$A145,'YEP Personnel Calc'!AA:AA)</f>
        <v>0</v>
      </c>
      <c r="D145" s="135">
        <f>SUMIF('YEP Personnel Calc'!$H:$H,'YEP Summaries'!$A145,'YEP Personnel Calc'!AB:AB)</f>
        <v>0</v>
      </c>
      <c r="E145" s="368">
        <f>ROUND(E82/'YEP Personnel Calc'!$AA$2*'YEP Personnel Calc'!$AB$2,0)</f>
        <v>69</v>
      </c>
      <c r="F145" s="135">
        <f>SUMIF('YEP Personnel Calc'!$H:$H,'YEP Summaries'!$A145,'YEP Personnel Calc'!AD:AD)</f>
        <v>0</v>
      </c>
      <c r="G145" s="135">
        <f>SUMIF('YEP Personnel Calc'!$H:$H,'YEP Summaries'!$A145,'YEP Personnel Calc'!AE:AE)</f>
        <v>0</v>
      </c>
      <c r="H145" s="135">
        <f>SUMIF('YEP Personnel Calc'!$H:$H,'YEP Summaries'!$A145,'YEP Personnel Calc'!AF:AF)</f>
        <v>0</v>
      </c>
      <c r="I145" s="135">
        <f>SUMIF('YEP Personnel Calc'!$H:$H,'YEP Summaries'!$A145,'YEP Personnel Calc'!AF:AF)</f>
        <v>0</v>
      </c>
      <c r="J145" s="135"/>
      <c r="K145" s="135">
        <f>SUMIF('YEP Personnel Calc'!$H:$H,'YEP Summaries'!$A145,'YEP Personnel Calc'!AG:AG)</f>
        <v>0</v>
      </c>
      <c r="L145" s="135">
        <f>SUMIF('YEP Personnel Calc'!$H:$H,'YEP Summaries'!$A145,'YEP Personnel Calc'!AH:AH)</f>
        <v>0</v>
      </c>
      <c r="M145" s="135">
        <f>SUMIF('YEP Personnel Calc'!$H:$H,'YEP Summaries'!$A145,'YEP Personnel Calc'!AI:AI)</f>
        <v>0</v>
      </c>
      <c r="N145" s="135">
        <f>SUMIF('YEP Personnel Calc'!$H:$H,'YEP Summaries'!$A145,'YEP Personnel Calc'!AK:AK)</f>
        <v>0</v>
      </c>
      <c r="O145" s="135">
        <f>SUMIF('YEP Personnel Calc'!$H:$H,'YEP Summaries'!$A145,'YEP Personnel Calc'!AL:AL)</f>
        <v>0</v>
      </c>
      <c r="P145" s="135">
        <f>SUMIF('YEP Personnel Calc'!$H:$H,'YEP Summaries'!$A145,'YEP Personnel Calc'!AM:AM)</f>
        <v>0</v>
      </c>
      <c r="Q145" s="135">
        <f>SUMIF('YEP Personnel Calc'!$H:$H,'YEP Summaries'!$A145,'YEP Personnel Calc'!AN:AN)</f>
        <v>0</v>
      </c>
      <c r="R145" s="135">
        <f t="shared" si="19"/>
        <v>69</v>
      </c>
    </row>
    <row r="146" spans="1:18">
      <c r="A146" s="130" t="s">
        <v>772</v>
      </c>
      <c r="B146" s="225" t="s">
        <v>81</v>
      </c>
      <c r="C146" s="135">
        <f>SUMIF('YEP Personnel Calc'!$H:$H,'YEP Summaries'!$A146,'YEP Personnel Calc'!AA:AA)</f>
        <v>0</v>
      </c>
      <c r="D146" s="135">
        <f>SUMIF('YEP Personnel Calc'!$H:$H,'YEP Summaries'!$A146,'YEP Personnel Calc'!AB:AB)</f>
        <v>23738.977777777771</v>
      </c>
      <c r="E146" s="368">
        <f>ROUND(E83/'YEP Personnel Calc'!$AA$2*'YEP Personnel Calc'!$AB$2,0)</f>
        <v>15706</v>
      </c>
      <c r="F146" s="135">
        <f>SUMIF('YEP Personnel Calc'!$H:$H,'YEP Summaries'!$A146,'YEP Personnel Calc'!AD:AD)</f>
        <v>0</v>
      </c>
      <c r="G146" s="135">
        <f>SUMIF('YEP Personnel Calc'!$H:$H,'YEP Summaries'!$A146,'YEP Personnel Calc'!AE:AE)</f>
        <v>0</v>
      </c>
      <c r="H146" s="135">
        <f>SUMIF('YEP Personnel Calc'!$H:$H,'YEP Summaries'!$A146,'YEP Personnel Calc'!AF:AF)</f>
        <v>0</v>
      </c>
      <c r="I146" s="135">
        <f>SUMIF('YEP Personnel Calc'!$H:$H,'YEP Summaries'!$A146,'YEP Personnel Calc'!AF:AF)</f>
        <v>0</v>
      </c>
      <c r="J146" s="135"/>
      <c r="K146" s="135">
        <f>SUMIF('YEP Personnel Calc'!$H:$H,'YEP Summaries'!$A146,'YEP Personnel Calc'!AG:AG)</f>
        <v>749.99999999999955</v>
      </c>
      <c r="L146" s="135">
        <f>SUMIF('YEP Personnel Calc'!$H:$H,'YEP Summaries'!$A146,'YEP Personnel Calc'!AH:AH)</f>
        <v>0</v>
      </c>
      <c r="M146" s="135">
        <f>SUMIF('YEP Personnel Calc'!$H:$H,'YEP Summaries'!$A146,'YEP Personnel Calc'!AI:AI)</f>
        <v>0</v>
      </c>
      <c r="N146" s="135">
        <f>SUMIF('YEP Personnel Calc'!$H:$H,'YEP Summaries'!$A146,'YEP Personnel Calc'!AK:AK)</f>
        <v>2327.1755739463597</v>
      </c>
      <c r="O146" s="135">
        <f>SUMIF('YEP Personnel Calc'!$H:$H,'YEP Summaries'!$A146,'YEP Personnel Calc'!AL:AL)</f>
        <v>4789.6413018792418</v>
      </c>
      <c r="P146" s="135">
        <f>SUMIF('YEP Personnel Calc'!$H:$H,'YEP Summaries'!$A146,'YEP Personnel Calc'!AM:AM)</f>
        <v>0</v>
      </c>
      <c r="Q146" s="135">
        <f>SUMIF('YEP Personnel Calc'!$H:$H,'YEP Summaries'!$A146,'YEP Personnel Calc'!AN:AN)</f>
        <v>5480.3571549425269</v>
      </c>
      <c r="R146" s="135">
        <f t="shared" si="19"/>
        <v>52792.151808545903</v>
      </c>
    </row>
    <row r="147" spans="1:18">
      <c r="A147" s="130" t="s">
        <v>773</v>
      </c>
      <c r="B147" s="225" t="s">
        <v>110</v>
      </c>
      <c r="C147" s="135">
        <f>SUMIF('YEP Personnel Calc'!$H:$H,'YEP Summaries'!$A147,'YEP Personnel Calc'!AA:AA)</f>
        <v>0</v>
      </c>
      <c r="D147" s="135">
        <f>SUMIF('YEP Personnel Calc'!$H:$H,'YEP Summaries'!$A147,'YEP Personnel Calc'!AB:AB)</f>
        <v>6082.6513409961681</v>
      </c>
      <c r="E147" s="368">
        <f>ROUND(E84/'YEP Personnel Calc'!$AA$2*'YEP Personnel Calc'!$AB$2,0)</f>
        <v>15727</v>
      </c>
      <c r="F147" s="135">
        <f>SUMIF('YEP Personnel Calc'!$H:$H,'YEP Summaries'!$A147,'YEP Personnel Calc'!AD:AD)</f>
        <v>0</v>
      </c>
      <c r="G147" s="135">
        <f>SUMIF('YEP Personnel Calc'!$H:$H,'YEP Summaries'!$A147,'YEP Personnel Calc'!AE:AE)</f>
        <v>0</v>
      </c>
      <c r="H147" s="135">
        <f>SUMIF('YEP Personnel Calc'!$H:$H,'YEP Summaries'!$A147,'YEP Personnel Calc'!AF:AF)</f>
        <v>0</v>
      </c>
      <c r="I147" s="135">
        <f>SUMIF('YEP Personnel Calc'!$H:$H,'YEP Summaries'!$A147,'YEP Personnel Calc'!AF:AF)</f>
        <v>0</v>
      </c>
      <c r="J147" s="135"/>
      <c r="K147" s="135">
        <f>SUMIF('YEP Personnel Calc'!$H:$H,'YEP Summaries'!$A147,'YEP Personnel Calc'!AG:AG)</f>
        <v>2110.0079999999989</v>
      </c>
      <c r="L147" s="135">
        <f>SUMIF('YEP Personnel Calc'!$H:$H,'YEP Summaries'!$A147,'YEP Personnel Calc'!AH:AH)</f>
        <v>0</v>
      </c>
      <c r="M147" s="135">
        <f>SUMIF('YEP Personnel Calc'!$H:$H,'YEP Summaries'!$A147,'YEP Personnel Calc'!AI:AI)</f>
        <v>0</v>
      </c>
      <c r="N147" s="135">
        <f>SUMIF('YEP Personnel Calc'!$H:$H,'YEP Summaries'!$A147,'YEP Personnel Calc'!AK:AK)</f>
        <v>954.69177062068923</v>
      </c>
      <c r="O147" s="135">
        <f>SUMIF('YEP Personnel Calc'!$H:$H,'YEP Summaries'!$A147,'YEP Personnel Calc'!AL:AL)</f>
        <v>1293.1052758190624</v>
      </c>
      <c r="P147" s="135">
        <f>SUMIF('YEP Personnel Calc'!$H:$H,'YEP Summaries'!$A147,'YEP Personnel Calc'!AM:AM)</f>
        <v>0</v>
      </c>
      <c r="Q147" s="135">
        <f>SUMIF('YEP Personnel Calc'!$H:$H,'YEP Summaries'!$A147,'YEP Personnel Calc'!AN:AN)</f>
        <v>2080.3544857839074</v>
      </c>
      <c r="R147" s="135">
        <f t="shared" si="19"/>
        <v>28247.810873219827</v>
      </c>
    </row>
    <row r="148" spans="1:18">
      <c r="A148" s="130" t="s">
        <v>774</v>
      </c>
      <c r="B148" s="243" t="s">
        <v>110</v>
      </c>
      <c r="C148" s="135">
        <f>SUMIF('YEP Personnel Calc'!$H:$H,'YEP Summaries'!$A148,'YEP Personnel Calc'!AA:AA)</f>
        <v>0</v>
      </c>
      <c r="D148" s="135">
        <f>SUMIF('YEP Personnel Calc'!$H:$H,'YEP Summaries'!$A148,'YEP Personnel Calc'!AB:AB)</f>
        <v>1696.7586206896547</v>
      </c>
      <c r="E148" s="368">
        <f>ROUND(E85/'YEP Personnel Calc'!$AA$2*'YEP Personnel Calc'!$AB$2,0)</f>
        <v>614</v>
      </c>
      <c r="F148" s="135">
        <f>SUMIF('YEP Personnel Calc'!$H:$H,'YEP Summaries'!$A148,'YEP Personnel Calc'!AD:AD)</f>
        <v>0</v>
      </c>
      <c r="G148" s="135">
        <f>SUMIF('YEP Personnel Calc'!$H:$H,'YEP Summaries'!$A148,'YEP Personnel Calc'!AE:AE)</f>
        <v>0</v>
      </c>
      <c r="H148" s="135">
        <f>SUMIF('YEP Personnel Calc'!$H:$H,'YEP Summaries'!$A148,'YEP Personnel Calc'!AF:AF)</f>
        <v>0</v>
      </c>
      <c r="I148" s="135">
        <f>SUMIF('YEP Personnel Calc'!$H:$H,'YEP Summaries'!$A148,'YEP Personnel Calc'!AF:AF)</f>
        <v>0</v>
      </c>
      <c r="J148" s="135"/>
      <c r="K148" s="135">
        <f>SUMIF('YEP Personnel Calc'!$H:$H,'YEP Summaries'!$A148,'YEP Personnel Calc'!AG:AG)</f>
        <v>400.00799999999975</v>
      </c>
      <c r="L148" s="135">
        <f>SUMIF('YEP Personnel Calc'!$H:$H,'YEP Summaries'!$A148,'YEP Personnel Calc'!AH:AH)</f>
        <v>0</v>
      </c>
      <c r="M148" s="135">
        <f>SUMIF('YEP Personnel Calc'!$H:$H,'YEP Summaries'!$A148,'YEP Personnel Calc'!AI:AI)</f>
        <v>0</v>
      </c>
      <c r="N148" s="135">
        <f>SUMIF('YEP Personnel Calc'!$H:$H,'YEP Summaries'!$A148,'YEP Personnel Calc'!AK:AK)</f>
        <v>194.98885337931026</v>
      </c>
      <c r="O148" s="135">
        <f>SUMIF('YEP Personnel Calc'!$H:$H,'YEP Summaries'!$A148,'YEP Personnel Calc'!AL:AL)</f>
        <v>547.4132314716976</v>
      </c>
      <c r="P148" s="135">
        <f>SUMIF('YEP Personnel Calc'!$H:$H,'YEP Summaries'!$A148,'YEP Personnel Calc'!AM:AM)</f>
        <v>0</v>
      </c>
      <c r="Q148" s="135">
        <f>SUMIF('YEP Personnel Calc'!$H:$H,'YEP Summaries'!$A148,'YEP Personnel Calc'!AN:AN)</f>
        <v>424.89727919386951</v>
      </c>
      <c r="R148" s="135">
        <f t="shared" si="19"/>
        <v>3878.0659847345319</v>
      </c>
    </row>
    <row r="149" spans="1:18">
      <c r="A149" s="130" t="s">
        <v>775</v>
      </c>
      <c r="B149" s="225" t="s">
        <v>110</v>
      </c>
      <c r="C149" s="135">
        <f>SUMIF('YEP Personnel Calc'!$H:$H,'YEP Summaries'!$A149,'YEP Personnel Calc'!AA:AA)</f>
        <v>0</v>
      </c>
      <c r="D149" s="135">
        <f>SUMIF('YEP Personnel Calc'!$H:$H,'YEP Summaries'!$A149,'YEP Personnel Calc'!AB:AB)</f>
        <v>1963.9540229885051</v>
      </c>
      <c r="E149" s="368">
        <f>ROUND(E86/'YEP Personnel Calc'!$AA$2*'YEP Personnel Calc'!$AB$2,0)</f>
        <v>1230</v>
      </c>
      <c r="F149" s="135">
        <f>SUMIF('YEP Personnel Calc'!$H:$H,'YEP Summaries'!$A149,'YEP Personnel Calc'!AD:AD)</f>
        <v>0</v>
      </c>
      <c r="G149" s="135">
        <f>SUMIF('YEP Personnel Calc'!$H:$H,'YEP Summaries'!$A149,'YEP Personnel Calc'!AE:AE)</f>
        <v>0</v>
      </c>
      <c r="H149" s="135">
        <f>SUMIF('YEP Personnel Calc'!$H:$H,'YEP Summaries'!$A149,'YEP Personnel Calc'!AF:AF)</f>
        <v>0</v>
      </c>
      <c r="I149" s="135">
        <f>SUMIF('YEP Personnel Calc'!$H:$H,'YEP Summaries'!$A149,'YEP Personnel Calc'!AF:AF)</f>
        <v>0</v>
      </c>
      <c r="J149" s="135"/>
      <c r="K149" s="135">
        <f>SUMIF('YEP Personnel Calc'!$H:$H,'YEP Summaries'!$A149,'YEP Personnel Calc'!AG:AG)</f>
        <v>800.00799999999947</v>
      </c>
      <c r="L149" s="135">
        <f>SUMIF('YEP Personnel Calc'!$H:$H,'YEP Summaries'!$A149,'YEP Personnel Calc'!AH:AH)</f>
        <v>0</v>
      </c>
      <c r="M149" s="135">
        <f>SUMIF('YEP Personnel Calc'!$H:$H,'YEP Summaries'!$A149,'YEP Personnel Calc'!AI:AI)</f>
        <v>0</v>
      </c>
      <c r="N149" s="135">
        <f>SUMIF('YEP Personnel Calc'!$H:$H,'YEP Summaries'!$A149,'YEP Personnel Calc'!AK:AK)</f>
        <v>251.21723268965505</v>
      </c>
      <c r="O149" s="135">
        <f>SUMIF('YEP Personnel Calc'!$H:$H,'YEP Summaries'!$A149,'YEP Personnel Calc'!AL:AL)</f>
        <v>547.80737769811265</v>
      </c>
      <c r="P149" s="135">
        <f>SUMIF('YEP Personnel Calc'!$H:$H,'YEP Summaries'!$A149,'YEP Personnel Calc'!AM:AM)</f>
        <v>0</v>
      </c>
      <c r="Q149" s="135">
        <f>SUMIF('YEP Personnel Calc'!$H:$H,'YEP Summaries'!$A149,'YEP Personnel Calc'!AN:AN)</f>
        <v>547.42369528582356</v>
      </c>
      <c r="R149" s="135">
        <f t="shared" si="19"/>
        <v>5340.4103286620957</v>
      </c>
    </row>
    <row r="150" spans="1:18">
      <c r="A150" s="130" t="s">
        <v>776</v>
      </c>
      <c r="B150" s="225" t="s">
        <v>81</v>
      </c>
      <c r="C150" s="135">
        <f>SUMIF('YEP Personnel Calc'!$H:$H,'YEP Summaries'!$A150,'YEP Personnel Calc'!AA:AA)</f>
        <v>0</v>
      </c>
      <c r="D150" s="135">
        <f>SUMIF('YEP Personnel Calc'!$H:$H,'YEP Summaries'!$A150,'YEP Personnel Calc'!AB:AB)</f>
        <v>0</v>
      </c>
      <c r="E150" s="368">
        <f>ROUND(E87/'YEP Personnel Calc'!$AA$2*'YEP Personnel Calc'!$AB$2,0)</f>
        <v>710</v>
      </c>
      <c r="F150" s="135">
        <f>SUMIF('YEP Personnel Calc'!$H:$H,'YEP Summaries'!$A150,'YEP Personnel Calc'!AD:AD)</f>
        <v>0</v>
      </c>
      <c r="G150" s="135">
        <f>SUMIF('YEP Personnel Calc'!$H:$H,'YEP Summaries'!$A150,'YEP Personnel Calc'!AE:AE)</f>
        <v>0</v>
      </c>
      <c r="H150" s="135">
        <f>SUMIF('YEP Personnel Calc'!$H:$H,'YEP Summaries'!$A150,'YEP Personnel Calc'!AF:AF)</f>
        <v>0</v>
      </c>
      <c r="I150" s="135">
        <f>SUMIF('YEP Personnel Calc'!$H:$H,'YEP Summaries'!$A150,'YEP Personnel Calc'!AF:AF)</f>
        <v>0</v>
      </c>
      <c r="J150" s="135"/>
      <c r="K150" s="135">
        <f>SUMIF('YEP Personnel Calc'!$H:$H,'YEP Summaries'!$A150,'YEP Personnel Calc'!AG:AG)</f>
        <v>0</v>
      </c>
      <c r="L150" s="135">
        <f>SUMIF('YEP Personnel Calc'!$H:$H,'YEP Summaries'!$A150,'YEP Personnel Calc'!AH:AH)</f>
        <v>0</v>
      </c>
      <c r="M150" s="135">
        <f>SUMIF('YEP Personnel Calc'!$H:$H,'YEP Summaries'!$A150,'YEP Personnel Calc'!AI:AI)</f>
        <v>0</v>
      </c>
      <c r="N150" s="135">
        <f>SUMIF('YEP Personnel Calc'!$H:$H,'YEP Summaries'!$A150,'YEP Personnel Calc'!AK:AK)</f>
        <v>31.127586206896542</v>
      </c>
      <c r="O150" s="135">
        <f>SUMIF('YEP Personnel Calc'!$H:$H,'YEP Summaries'!$A150,'YEP Personnel Calc'!AL:AL)</f>
        <v>0.80999999999999939</v>
      </c>
      <c r="P150" s="135">
        <f>SUMIF('YEP Personnel Calc'!$H:$H,'YEP Summaries'!$A150,'YEP Personnel Calc'!AM:AM)</f>
        <v>0</v>
      </c>
      <c r="Q150" s="135">
        <f>SUMIF('YEP Personnel Calc'!$H:$H,'YEP Summaries'!$A150,'YEP Personnel Calc'!AN:AN)</f>
        <v>67.829655172413766</v>
      </c>
      <c r="R150" s="135">
        <f t="shared" si="19"/>
        <v>809.76724137931024</v>
      </c>
    </row>
    <row r="151" spans="1:18">
      <c r="A151" s="130" t="s">
        <v>777</v>
      </c>
      <c r="B151" s="225" t="s">
        <v>110</v>
      </c>
      <c r="C151" s="135">
        <f>SUMIF('YEP Personnel Calc'!$H:$H,'YEP Summaries'!$A151,'YEP Personnel Calc'!AA:AA)</f>
        <v>0</v>
      </c>
      <c r="D151" s="135">
        <f>SUMIF('YEP Personnel Calc'!$H:$H,'YEP Summaries'!$A151,'YEP Personnel Calc'!AB:AB)</f>
        <v>24609.555555555547</v>
      </c>
      <c r="E151" s="368">
        <f>ROUND(E88/'YEP Personnel Calc'!$AA$2*'YEP Personnel Calc'!$AB$2,0)</f>
        <v>33273</v>
      </c>
      <c r="F151" s="135">
        <f>SUMIF('YEP Personnel Calc'!$H:$H,'YEP Summaries'!$A151,'YEP Personnel Calc'!AD:AD)</f>
        <v>0</v>
      </c>
      <c r="G151" s="135">
        <f>SUMIF('YEP Personnel Calc'!$H:$H,'YEP Summaries'!$A151,'YEP Personnel Calc'!AE:AE)</f>
        <v>0</v>
      </c>
      <c r="H151" s="135">
        <f>SUMIF('YEP Personnel Calc'!$H:$H,'YEP Summaries'!$A151,'YEP Personnel Calc'!AF:AF)</f>
        <v>0</v>
      </c>
      <c r="I151" s="135">
        <f>SUMIF('YEP Personnel Calc'!$H:$H,'YEP Summaries'!$A151,'YEP Personnel Calc'!AF:AF)</f>
        <v>0</v>
      </c>
      <c r="J151" s="135"/>
      <c r="K151" s="135">
        <f>SUMIF('YEP Personnel Calc'!$H:$H,'YEP Summaries'!$A151,'YEP Personnel Calc'!AG:AG)</f>
        <v>329.99999999999983</v>
      </c>
      <c r="L151" s="135">
        <f>SUMIF('YEP Personnel Calc'!$H:$H,'YEP Summaries'!$A151,'YEP Personnel Calc'!AH:AH)</f>
        <v>0</v>
      </c>
      <c r="M151" s="135">
        <f>SUMIF('YEP Personnel Calc'!$H:$H,'YEP Summaries'!$A151,'YEP Personnel Calc'!AI:AI)</f>
        <v>0</v>
      </c>
      <c r="N151" s="135">
        <f>SUMIF('YEP Personnel Calc'!$H:$H,'YEP Summaries'!$A151,'YEP Personnel Calc'!AK:AK)</f>
        <v>2572.403388888888</v>
      </c>
      <c r="O151" s="135">
        <f>SUMIF('YEP Personnel Calc'!$H:$H,'YEP Summaries'!$A151,'YEP Personnel Calc'!AL:AL)</f>
        <v>5315.8924996905625</v>
      </c>
      <c r="P151" s="135">
        <f>SUMIF('YEP Personnel Calc'!$H:$H,'YEP Summaries'!$A151,'YEP Personnel Calc'!AM:AM)</f>
        <v>0</v>
      </c>
      <c r="Q151" s="135">
        <f>SUMIF('YEP Personnel Calc'!$H:$H,'YEP Summaries'!$A151,'YEP Personnel Calc'!AN:AN)</f>
        <v>8350.1633130268165</v>
      </c>
      <c r="R151" s="135">
        <f t="shared" si="19"/>
        <v>74451.014757161814</v>
      </c>
    </row>
    <row r="152" spans="1:18">
      <c r="A152" s="130" t="s">
        <v>778</v>
      </c>
      <c r="B152" s="225" t="s">
        <v>81</v>
      </c>
      <c r="C152" s="135">
        <f>SUMIF('YEP Personnel Calc'!$H:$H,'YEP Summaries'!$A152,'YEP Personnel Calc'!AA:AA)</f>
        <v>0</v>
      </c>
      <c r="D152" s="135">
        <f>SUMIF('YEP Personnel Calc'!$H:$H,'YEP Summaries'!$A152,'YEP Personnel Calc'!AB:AB)</f>
        <v>0</v>
      </c>
      <c r="E152" s="368">
        <f>ROUND(E89/'YEP Personnel Calc'!$AA$2*'YEP Personnel Calc'!$AB$2,0)</f>
        <v>3</v>
      </c>
      <c r="F152" s="135">
        <f>SUMIF('YEP Personnel Calc'!$H:$H,'YEP Summaries'!$A152,'YEP Personnel Calc'!AD:AD)</f>
        <v>0</v>
      </c>
      <c r="G152" s="135">
        <f>SUMIF('YEP Personnel Calc'!$H:$H,'YEP Summaries'!$A152,'YEP Personnel Calc'!AE:AE)</f>
        <v>0</v>
      </c>
      <c r="H152" s="135">
        <f>SUMIF('YEP Personnel Calc'!$H:$H,'YEP Summaries'!$A152,'YEP Personnel Calc'!AF:AF)</f>
        <v>0</v>
      </c>
      <c r="I152" s="135">
        <f>SUMIF('YEP Personnel Calc'!$H:$H,'YEP Summaries'!$A152,'YEP Personnel Calc'!AF:AF)</f>
        <v>0</v>
      </c>
      <c r="J152" s="135"/>
      <c r="K152" s="135">
        <f>SUMIF('YEP Personnel Calc'!$H:$H,'YEP Summaries'!$A152,'YEP Personnel Calc'!AG:AG)</f>
        <v>0</v>
      </c>
      <c r="L152" s="135">
        <f>SUMIF('YEP Personnel Calc'!$H:$H,'YEP Summaries'!$A152,'YEP Personnel Calc'!AH:AH)</f>
        <v>0</v>
      </c>
      <c r="M152" s="135">
        <f>SUMIF('YEP Personnel Calc'!$H:$H,'YEP Summaries'!$A152,'YEP Personnel Calc'!AI:AI)</f>
        <v>0</v>
      </c>
      <c r="N152" s="135">
        <f>SUMIF('YEP Personnel Calc'!$H:$H,'YEP Summaries'!$A152,'YEP Personnel Calc'!AK:AK)</f>
        <v>0</v>
      </c>
      <c r="O152" s="135">
        <f>SUMIF('YEP Personnel Calc'!$H:$H,'YEP Summaries'!$A152,'YEP Personnel Calc'!AL:AL)</f>
        <v>0</v>
      </c>
      <c r="P152" s="135">
        <f>SUMIF('YEP Personnel Calc'!$H:$H,'YEP Summaries'!$A152,'YEP Personnel Calc'!AM:AM)</f>
        <v>0</v>
      </c>
      <c r="Q152" s="135">
        <f>SUMIF('YEP Personnel Calc'!$H:$H,'YEP Summaries'!$A152,'YEP Personnel Calc'!AN:AN)</f>
        <v>0</v>
      </c>
      <c r="R152" s="135">
        <f t="shared" si="19"/>
        <v>3</v>
      </c>
    </row>
    <row r="153" spans="1:18">
      <c r="A153" s="130" t="s">
        <v>779</v>
      </c>
      <c r="B153" s="225" t="s">
        <v>110</v>
      </c>
      <c r="C153" s="135">
        <f>SUMIF('YEP Personnel Calc'!$H:$H,'YEP Summaries'!$A153,'YEP Personnel Calc'!AA:AA)</f>
        <v>4238.9578544061287</v>
      </c>
      <c r="D153" s="135">
        <f>SUMIF('YEP Personnel Calc'!$H:$H,'YEP Summaries'!$A153,'YEP Personnel Calc'!AB:AB)</f>
        <v>4497.5632183908037</v>
      </c>
      <c r="E153" s="368">
        <f>ROUND(E90/'YEP Personnel Calc'!$AA$2*'YEP Personnel Calc'!$AB$2,0)</f>
        <v>257</v>
      </c>
      <c r="F153" s="135">
        <f>SUMIF('YEP Personnel Calc'!$H:$H,'YEP Summaries'!$A153,'YEP Personnel Calc'!AD:AD)</f>
        <v>0</v>
      </c>
      <c r="G153" s="135">
        <f>SUMIF('YEP Personnel Calc'!$H:$H,'YEP Summaries'!$A153,'YEP Personnel Calc'!AE:AE)</f>
        <v>0</v>
      </c>
      <c r="H153" s="135">
        <f>SUMIF('YEP Personnel Calc'!$H:$H,'YEP Summaries'!$A153,'YEP Personnel Calc'!AF:AF)</f>
        <v>0</v>
      </c>
      <c r="I153" s="135">
        <f>SUMIF('YEP Personnel Calc'!$H:$H,'YEP Summaries'!$A153,'YEP Personnel Calc'!AF:AF)</f>
        <v>0</v>
      </c>
      <c r="J153" s="135"/>
      <c r="K153" s="135">
        <f>SUMIF('YEP Personnel Calc'!$H:$H,'YEP Summaries'!$A153,'YEP Personnel Calc'!AG:AG)</f>
        <v>0</v>
      </c>
      <c r="L153" s="135">
        <f>SUMIF('YEP Personnel Calc'!$H:$H,'YEP Summaries'!$A153,'YEP Personnel Calc'!AH:AH)</f>
        <v>0</v>
      </c>
      <c r="M153" s="135">
        <f>SUMIF('YEP Personnel Calc'!$H:$H,'YEP Summaries'!$A153,'YEP Personnel Calc'!AI:AI)</f>
        <v>0</v>
      </c>
      <c r="N153" s="135">
        <f>SUMIF('YEP Personnel Calc'!$H:$H,'YEP Summaries'!$A153,'YEP Personnel Calc'!AK:AK)</f>
        <v>723.68179310344806</v>
      </c>
      <c r="O153" s="135">
        <f>SUMIF('YEP Personnel Calc'!$H:$H,'YEP Summaries'!$A153,'YEP Personnel Calc'!AL:AL)</f>
        <v>1833.2603719775529</v>
      </c>
      <c r="P153" s="135">
        <f>SUMIF('YEP Personnel Calc'!$H:$H,'YEP Summaries'!$A153,'YEP Personnel Calc'!AM:AM)</f>
        <v>0</v>
      </c>
      <c r="Q153" s="135">
        <f>SUMIF('YEP Personnel Calc'!$H:$H,'YEP Summaries'!$A153,'YEP Personnel Calc'!AN:AN)</f>
        <v>1576.9641164750951</v>
      </c>
      <c r="R153" s="135">
        <f t="shared" si="19"/>
        <v>13127.427354353027</v>
      </c>
    </row>
    <row r="154" spans="1:18">
      <c r="A154" s="130" t="s">
        <v>780</v>
      </c>
      <c r="B154" s="225" t="s">
        <v>81</v>
      </c>
      <c r="C154" s="135">
        <f>SUMIF('YEP Personnel Calc'!$H:$H,'YEP Summaries'!$A154,'YEP Personnel Calc'!AA:AA)</f>
        <v>0</v>
      </c>
      <c r="D154" s="135">
        <f>SUMIF('YEP Personnel Calc'!$H:$H,'YEP Summaries'!$A154,'YEP Personnel Calc'!AB:AB)</f>
        <v>4652.6360153256692</v>
      </c>
      <c r="E154" s="368">
        <f>ROUND(E91/'YEP Personnel Calc'!$AA$2*'YEP Personnel Calc'!$AB$2,0)</f>
        <v>336</v>
      </c>
      <c r="F154" s="135">
        <f>SUMIF('YEP Personnel Calc'!$H:$H,'YEP Summaries'!$A154,'YEP Personnel Calc'!AD:AD)</f>
        <v>0</v>
      </c>
      <c r="G154" s="135">
        <f>SUMIF('YEP Personnel Calc'!$H:$H,'YEP Summaries'!$A154,'YEP Personnel Calc'!AE:AE)</f>
        <v>0</v>
      </c>
      <c r="H154" s="135">
        <f>SUMIF('YEP Personnel Calc'!$H:$H,'YEP Summaries'!$A154,'YEP Personnel Calc'!AF:AF)</f>
        <v>0</v>
      </c>
      <c r="I154" s="135">
        <f>SUMIF('YEP Personnel Calc'!$H:$H,'YEP Summaries'!$A154,'YEP Personnel Calc'!AF:AF)</f>
        <v>0</v>
      </c>
      <c r="J154" s="135"/>
      <c r="K154" s="135">
        <f>SUMIF('YEP Personnel Calc'!$H:$H,'YEP Summaries'!$A154,'YEP Personnel Calc'!AG:AG)</f>
        <v>0</v>
      </c>
      <c r="L154" s="135">
        <f>SUMIF('YEP Personnel Calc'!$H:$H,'YEP Summaries'!$A154,'YEP Personnel Calc'!AH:AH)</f>
        <v>0</v>
      </c>
      <c r="M154" s="135">
        <f>SUMIF('YEP Personnel Calc'!$H:$H,'YEP Summaries'!$A154,'YEP Personnel Calc'!AI:AI)</f>
        <v>0</v>
      </c>
      <c r="N154" s="135">
        <f>SUMIF('YEP Personnel Calc'!$H:$H,'YEP Summaries'!$A154,'YEP Personnel Calc'!AK:AK)</f>
        <v>458.01130344827573</v>
      </c>
      <c r="O154" s="135">
        <f>SUMIF('YEP Personnel Calc'!$H:$H,'YEP Summaries'!$A154,'YEP Personnel Calc'!AL:AL)</f>
        <v>1709.0565520077419</v>
      </c>
      <c r="P154" s="135">
        <f>SUMIF('YEP Personnel Calc'!$H:$H,'YEP Summaries'!$A154,'YEP Personnel Calc'!AM:AM)</f>
        <v>0</v>
      </c>
      <c r="Q154" s="135">
        <f>SUMIF('YEP Personnel Calc'!$H:$H,'YEP Summaries'!$A154,'YEP Personnel Calc'!AN:AN)</f>
        <v>998.04554620689612</v>
      </c>
      <c r="R154" s="135">
        <f t="shared" si="19"/>
        <v>8153.7494169885822</v>
      </c>
    </row>
    <row r="155" spans="1:18">
      <c r="A155" s="130" t="s">
        <v>781</v>
      </c>
      <c r="B155" s="225" t="s">
        <v>110</v>
      </c>
      <c r="C155" s="135">
        <f>SUMIF('YEP Personnel Calc'!$H:$H,'YEP Summaries'!$A155,'YEP Personnel Calc'!AA:AA)</f>
        <v>3130.8429118773934</v>
      </c>
      <c r="D155" s="135">
        <f>SUMIF('YEP Personnel Calc'!$H:$H,'YEP Summaries'!$A155,'YEP Personnel Calc'!AB:AB)</f>
        <v>1852.7356321839075</v>
      </c>
      <c r="E155" s="368">
        <f>ROUND(E92/'YEP Personnel Calc'!$AA$2*'YEP Personnel Calc'!$AB$2,0)</f>
        <v>0</v>
      </c>
      <c r="F155" s="135">
        <f>SUMIF('YEP Personnel Calc'!$H:$H,'YEP Summaries'!$A155,'YEP Personnel Calc'!AD:AD)</f>
        <v>0</v>
      </c>
      <c r="G155" s="135">
        <f>SUMIF('YEP Personnel Calc'!$H:$H,'YEP Summaries'!$A155,'YEP Personnel Calc'!AE:AE)</f>
        <v>0</v>
      </c>
      <c r="H155" s="135">
        <f>SUMIF('YEP Personnel Calc'!$H:$H,'YEP Summaries'!$A155,'YEP Personnel Calc'!AF:AF)</f>
        <v>0</v>
      </c>
      <c r="I155" s="135">
        <f>SUMIF('YEP Personnel Calc'!$H:$H,'YEP Summaries'!$A155,'YEP Personnel Calc'!AF:AF)</f>
        <v>0</v>
      </c>
      <c r="J155" s="135"/>
      <c r="K155" s="135">
        <f>SUMIF('YEP Personnel Calc'!$H:$H,'YEP Summaries'!$A155,'YEP Personnel Calc'!AG:AG)</f>
        <v>0</v>
      </c>
      <c r="L155" s="135">
        <f>SUMIF('YEP Personnel Calc'!$H:$H,'YEP Summaries'!$A155,'YEP Personnel Calc'!AH:AH)</f>
        <v>0</v>
      </c>
      <c r="M155" s="135">
        <f>SUMIF('YEP Personnel Calc'!$H:$H,'YEP Summaries'!$A155,'YEP Personnel Calc'!AI:AI)</f>
        <v>0</v>
      </c>
      <c r="N155" s="135">
        <f>SUMIF('YEP Personnel Calc'!$H:$H,'YEP Summaries'!$A155,'YEP Personnel Calc'!AK:AK)</f>
        <v>382.1084137931033</v>
      </c>
      <c r="O155" s="135">
        <f>SUMIF('YEP Personnel Calc'!$H:$H,'YEP Summaries'!$A155,'YEP Personnel Calc'!AL:AL)</f>
        <v>1478.1849224754706</v>
      </c>
      <c r="P155" s="135">
        <f>SUMIF('YEP Personnel Calc'!$H:$H,'YEP Summaries'!$A155,'YEP Personnel Calc'!AM:AM)</f>
        <v>0</v>
      </c>
      <c r="Q155" s="135">
        <f>SUMIF('YEP Personnel Calc'!$H:$H,'YEP Summaries'!$A155,'YEP Personnel Calc'!AN:AN)</f>
        <v>832.64670038314136</v>
      </c>
      <c r="R155" s="135">
        <f t="shared" si="19"/>
        <v>7676.5185807130156</v>
      </c>
    </row>
    <row r="156" spans="1:18">
      <c r="A156" s="130" t="s">
        <v>782</v>
      </c>
      <c r="B156" s="225" t="s">
        <v>81</v>
      </c>
      <c r="C156" s="135">
        <f>SUMIF('YEP Personnel Calc'!$H:$H,'YEP Summaries'!$A156,'YEP Personnel Calc'!AA:AA)</f>
        <v>0</v>
      </c>
      <c r="D156" s="135">
        <f>SUMIF('YEP Personnel Calc'!$H:$H,'YEP Summaries'!$A156,'YEP Personnel Calc'!AB:AB)</f>
        <v>0</v>
      </c>
      <c r="E156" s="368">
        <f>ROUND(E93/'YEP Personnel Calc'!$AA$2*'YEP Personnel Calc'!$AB$2,0)</f>
        <v>34</v>
      </c>
      <c r="F156" s="135">
        <f>SUMIF('YEP Personnel Calc'!$H:$H,'YEP Summaries'!$A156,'YEP Personnel Calc'!AD:AD)</f>
        <v>0</v>
      </c>
      <c r="G156" s="135">
        <f>SUMIF('YEP Personnel Calc'!$H:$H,'YEP Summaries'!$A156,'YEP Personnel Calc'!AE:AE)</f>
        <v>0</v>
      </c>
      <c r="H156" s="135">
        <f>SUMIF('YEP Personnel Calc'!$H:$H,'YEP Summaries'!$A156,'YEP Personnel Calc'!AF:AF)</f>
        <v>0</v>
      </c>
      <c r="I156" s="135">
        <f>SUMIF('YEP Personnel Calc'!$H:$H,'YEP Summaries'!$A156,'YEP Personnel Calc'!AF:AF)</f>
        <v>0</v>
      </c>
      <c r="J156" s="135"/>
      <c r="K156" s="135">
        <f>SUMIF('YEP Personnel Calc'!$H:$H,'YEP Summaries'!$A156,'YEP Personnel Calc'!AG:AG)</f>
        <v>0</v>
      </c>
      <c r="L156" s="135">
        <f>SUMIF('YEP Personnel Calc'!$H:$H,'YEP Summaries'!$A156,'YEP Personnel Calc'!AH:AH)</f>
        <v>0</v>
      </c>
      <c r="M156" s="135">
        <f>SUMIF('YEP Personnel Calc'!$H:$H,'YEP Summaries'!$A156,'YEP Personnel Calc'!AI:AI)</f>
        <v>0</v>
      </c>
      <c r="N156" s="135">
        <f>SUMIF('YEP Personnel Calc'!$H:$H,'YEP Summaries'!$A156,'YEP Personnel Calc'!AK:AK)</f>
        <v>0</v>
      </c>
      <c r="O156" s="135">
        <f>SUMIF('YEP Personnel Calc'!$H:$H,'YEP Summaries'!$A156,'YEP Personnel Calc'!AL:AL)</f>
        <v>0</v>
      </c>
      <c r="P156" s="135">
        <f>SUMIF('YEP Personnel Calc'!$H:$H,'YEP Summaries'!$A156,'YEP Personnel Calc'!AM:AM)</f>
        <v>0</v>
      </c>
      <c r="Q156" s="135">
        <f>SUMIF('YEP Personnel Calc'!$H:$H,'YEP Summaries'!$A156,'YEP Personnel Calc'!AN:AN)</f>
        <v>0</v>
      </c>
      <c r="R156" s="135">
        <f t="shared" si="19"/>
        <v>34</v>
      </c>
    </row>
    <row r="157" spans="1:18">
      <c r="A157" s="130" t="s">
        <v>783</v>
      </c>
      <c r="B157" s="225" t="s">
        <v>110</v>
      </c>
      <c r="C157" s="135">
        <f>SUMIF('YEP Personnel Calc'!$H:$H,'YEP Summaries'!$A157,'YEP Personnel Calc'!AA:AA)</f>
        <v>0</v>
      </c>
      <c r="D157" s="135">
        <f>SUMIF('YEP Personnel Calc'!$H:$H,'YEP Summaries'!$A157,'YEP Personnel Calc'!AB:AB)</f>
        <v>2095.5172413793098</v>
      </c>
      <c r="E157" s="368">
        <f>ROUND(E94/'YEP Personnel Calc'!$AA$2*'YEP Personnel Calc'!$AB$2,0)</f>
        <v>1015</v>
      </c>
      <c r="F157" s="135">
        <f>SUMIF('YEP Personnel Calc'!$H:$H,'YEP Summaries'!$A157,'YEP Personnel Calc'!AD:AD)</f>
        <v>0</v>
      </c>
      <c r="G157" s="135">
        <f>SUMIF('YEP Personnel Calc'!$H:$H,'YEP Summaries'!$A157,'YEP Personnel Calc'!AE:AE)</f>
        <v>0</v>
      </c>
      <c r="H157" s="135">
        <f>SUMIF('YEP Personnel Calc'!$H:$H,'YEP Summaries'!$A157,'YEP Personnel Calc'!AF:AF)</f>
        <v>0</v>
      </c>
      <c r="I157" s="135">
        <f>SUMIF('YEP Personnel Calc'!$H:$H,'YEP Summaries'!$A157,'YEP Personnel Calc'!AF:AF)</f>
        <v>0</v>
      </c>
      <c r="J157" s="135"/>
      <c r="K157" s="135">
        <f>SUMIF('YEP Personnel Calc'!$H:$H,'YEP Summaries'!$A157,'YEP Personnel Calc'!AG:AG)</f>
        <v>0</v>
      </c>
      <c r="L157" s="135">
        <f>SUMIF('YEP Personnel Calc'!$H:$H,'YEP Summaries'!$A157,'YEP Personnel Calc'!AH:AH)</f>
        <v>0</v>
      </c>
      <c r="M157" s="135">
        <f>SUMIF('YEP Personnel Calc'!$H:$H,'YEP Summaries'!$A157,'YEP Personnel Calc'!AI:AI)</f>
        <v>0</v>
      </c>
      <c r="N157" s="135">
        <f>SUMIF('YEP Personnel Calc'!$H:$H,'YEP Summaries'!$A157,'YEP Personnel Calc'!AK:AK)</f>
        <v>226.02086206896547</v>
      </c>
      <c r="O157" s="135">
        <f>SUMIF('YEP Personnel Calc'!$H:$H,'YEP Summaries'!$A157,'YEP Personnel Calc'!AL:AL)</f>
        <v>548.35822467924493</v>
      </c>
      <c r="P157" s="135">
        <f>SUMIF('YEP Personnel Calc'!$H:$H,'YEP Summaries'!$A157,'YEP Personnel Calc'!AM:AM)</f>
        <v>0</v>
      </c>
      <c r="Q157" s="135">
        <f>SUMIF('YEP Personnel Calc'!$H:$H,'YEP Summaries'!$A157,'YEP Personnel Calc'!AN:AN)</f>
        <v>492.51866283524885</v>
      </c>
      <c r="R157" s="135">
        <f t="shared" si="19"/>
        <v>4377.4149909627686</v>
      </c>
    </row>
    <row r="158" spans="1:18">
      <c r="A158" s="130" t="s">
        <v>784</v>
      </c>
      <c r="B158" s="225" t="s">
        <v>81</v>
      </c>
      <c r="C158" s="135">
        <f>SUMIF('YEP Personnel Calc'!$H:$H,'YEP Summaries'!$A158,'YEP Personnel Calc'!AA:AA)</f>
        <v>2888.5134099616848</v>
      </c>
      <c r="D158" s="135">
        <f>SUMIF('YEP Personnel Calc'!$H:$H,'YEP Summaries'!$A158,'YEP Personnel Calc'!AB:AB)</f>
        <v>0</v>
      </c>
      <c r="E158" s="368">
        <f>ROUND(E95/'YEP Personnel Calc'!$AA$2*'YEP Personnel Calc'!$AB$2,0)</f>
        <v>0</v>
      </c>
      <c r="F158" s="135">
        <f>SUMIF('YEP Personnel Calc'!$H:$H,'YEP Summaries'!$A158,'YEP Personnel Calc'!AD:AD)</f>
        <v>0</v>
      </c>
      <c r="G158" s="135">
        <f>SUMIF('YEP Personnel Calc'!$H:$H,'YEP Summaries'!$A158,'YEP Personnel Calc'!AE:AE)</f>
        <v>0</v>
      </c>
      <c r="H158" s="135">
        <f>SUMIF('YEP Personnel Calc'!$H:$H,'YEP Summaries'!$A158,'YEP Personnel Calc'!AF:AF)</f>
        <v>0</v>
      </c>
      <c r="I158" s="135">
        <f>SUMIF('YEP Personnel Calc'!$H:$H,'YEP Summaries'!$A158,'YEP Personnel Calc'!AF:AF)</f>
        <v>0</v>
      </c>
      <c r="J158" s="135"/>
      <c r="K158" s="135">
        <f>SUMIF('YEP Personnel Calc'!$H:$H,'YEP Summaries'!$A158,'YEP Personnel Calc'!AG:AG)</f>
        <v>0</v>
      </c>
      <c r="L158" s="135">
        <f>SUMIF('YEP Personnel Calc'!$H:$H,'YEP Summaries'!$A158,'YEP Personnel Calc'!AH:AH)</f>
        <v>0</v>
      </c>
      <c r="M158" s="135">
        <f>SUMIF('YEP Personnel Calc'!$H:$H,'YEP Summaries'!$A158,'YEP Personnel Calc'!AI:AI)</f>
        <v>0</v>
      </c>
      <c r="N158" s="135">
        <f>SUMIF('YEP Personnel Calc'!$H:$H,'YEP Summaries'!$A158,'YEP Personnel Calc'!AK:AK)</f>
        <v>220.97127586206889</v>
      </c>
      <c r="O158" s="135">
        <f>SUMIF('YEP Personnel Calc'!$H:$H,'YEP Summaries'!$A158,'YEP Personnel Calc'!AL:AL)</f>
        <v>549.91668342641469</v>
      </c>
      <c r="P158" s="135">
        <f>SUMIF('YEP Personnel Calc'!$H:$H,'YEP Summaries'!$A158,'YEP Personnel Calc'!AM:AM)</f>
        <v>0</v>
      </c>
      <c r="Q158" s="135">
        <f>SUMIF('YEP Personnel Calc'!$H:$H,'YEP Summaries'!$A158,'YEP Personnel Calc'!AN:AN)</f>
        <v>481.51518544061281</v>
      </c>
      <c r="R158" s="135">
        <f t="shared" si="19"/>
        <v>4140.9165546907816</v>
      </c>
    </row>
    <row r="159" spans="1:18">
      <c r="A159" s="130" t="s">
        <v>785</v>
      </c>
      <c r="B159" s="225" t="s">
        <v>110</v>
      </c>
      <c r="C159" s="135">
        <f>SUMIF('YEP Personnel Calc'!$H:$H,'YEP Summaries'!$A159,'YEP Personnel Calc'!AA:AA)</f>
        <v>3193.2337164750948</v>
      </c>
      <c r="D159" s="135">
        <f>SUMIF('YEP Personnel Calc'!$H:$H,'YEP Summaries'!$A159,'YEP Personnel Calc'!AB:AB)</f>
        <v>0</v>
      </c>
      <c r="E159" s="368">
        <f>ROUND(E96/'YEP Personnel Calc'!$AA$2*'YEP Personnel Calc'!$AB$2,0)</f>
        <v>28</v>
      </c>
      <c r="F159" s="135">
        <f>SUMIF('YEP Personnel Calc'!$H:$H,'YEP Summaries'!$A159,'YEP Personnel Calc'!AD:AD)</f>
        <v>0</v>
      </c>
      <c r="G159" s="135">
        <f>SUMIF('YEP Personnel Calc'!$H:$H,'YEP Summaries'!$A159,'YEP Personnel Calc'!AE:AE)</f>
        <v>0</v>
      </c>
      <c r="H159" s="135">
        <f>SUMIF('YEP Personnel Calc'!$H:$H,'YEP Summaries'!$A159,'YEP Personnel Calc'!AF:AF)</f>
        <v>0</v>
      </c>
      <c r="I159" s="135">
        <f>SUMIF('YEP Personnel Calc'!$H:$H,'YEP Summaries'!$A159,'YEP Personnel Calc'!AF:AF)</f>
        <v>0</v>
      </c>
      <c r="J159" s="135"/>
      <c r="K159" s="135">
        <f>SUMIF('YEP Personnel Calc'!$H:$H,'YEP Summaries'!$A159,'YEP Personnel Calc'!AG:AG)</f>
        <v>0</v>
      </c>
      <c r="L159" s="135">
        <f>SUMIF('YEP Personnel Calc'!$H:$H,'YEP Summaries'!$A159,'YEP Personnel Calc'!AH:AH)</f>
        <v>0</v>
      </c>
      <c r="M159" s="135">
        <f>SUMIF('YEP Personnel Calc'!$H:$H,'YEP Summaries'!$A159,'YEP Personnel Calc'!AI:AI)</f>
        <v>0</v>
      </c>
      <c r="N159" s="135">
        <f>SUMIF('YEP Personnel Calc'!$H:$H,'YEP Summaries'!$A159,'YEP Personnel Calc'!AK:AK)</f>
        <v>246.01168965517232</v>
      </c>
      <c r="O159" s="135">
        <f>SUMIF('YEP Personnel Calc'!$H:$H,'YEP Summaries'!$A159,'YEP Personnel Calc'!AL:AL)</f>
        <v>913.02471666415033</v>
      </c>
      <c r="P159" s="135">
        <f>SUMIF('YEP Personnel Calc'!$H:$H,'YEP Summaries'!$A159,'YEP Personnel Calc'!AM:AM)</f>
        <v>0</v>
      </c>
      <c r="Q159" s="135">
        <f>SUMIF('YEP Personnel Calc'!$H:$H,'YEP Summaries'!$A159,'YEP Personnel Calc'!AN:AN)</f>
        <v>536.08037471264345</v>
      </c>
      <c r="R159" s="135">
        <f t="shared" si="19"/>
        <v>4916.3504975070609</v>
      </c>
    </row>
    <row r="160" spans="1:18">
      <c r="A160" s="130" t="s">
        <v>786</v>
      </c>
      <c r="B160" s="225" t="s">
        <v>81</v>
      </c>
      <c r="C160" s="135">
        <f>SUMIF('YEP Personnel Calc'!$H:$H,'YEP Summaries'!$A160,'YEP Personnel Calc'!AA:AA)</f>
        <v>0</v>
      </c>
      <c r="D160" s="135">
        <f>SUMIF('YEP Personnel Calc'!$H:$H,'YEP Summaries'!$A160,'YEP Personnel Calc'!AB:AB)</f>
        <v>0</v>
      </c>
      <c r="E160" s="368">
        <f>ROUND(E97/'YEP Personnel Calc'!$AA$2*'YEP Personnel Calc'!$AB$2,0)</f>
        <v>238</v>
      </c>
      <c r="F160" s="135">
        <f>SUMIF('YEP Personnel Calc'!$H:$H,'YEP Summaries'!$A160,'YEP Personnel Calc'!AD:AD)</f>
        <v>0</v>
      </c>
      <c r="G160" s="135">
        <f>SUMIF('YEP Personnel Calc'!$H:$H,'YEP Summaries'!$A160,'YEP Personnel Calc'!AE:AE)</f>
        <v>0</v>
      </c>
      <c r="H160" s="135">
        <f>SUMIF('YEP Personnel Calc'!$H:$H,'YEP Summaries'!$A160,'YEP Personnel Calc'!AF:AF)</f>
        <v>0</v>
      </c>
      <c r="I160" s="135">
        <f>SUMIF('YEP Personnel Calc'!$H:$H,'YEP Summaries'!$A160,'YEP Personnel Calc'!AF:AF)</f>
        <v>0</v>
      </c>
      <c r="J160" s="135"/>
      <c r="K160" s="135">
        <f>SUMIF('YEP Personnel Calc'!$H:$H,'YEP Summaries'!$A160,'YEP Personnel Calc'!AG:AG)</f>
        <v>0</v>
      </c>
      <c r="L160" s="135">
        <f>SUMIF('YEP Personnel Calc'!$H:$H,'YEP Summaries'!$A160,'YEP Personnel Calc'!AH:AH)</f>
        <v>0</v>
      </c>
      <c r="M160" s="135">
        <f>SUMIF('YEP Personnel Calc'!$H:$H,'YEP Summaries'!$A160,'YEP Personnel Calc'!AI:AI)</f>
        <v>0</v>
      </c>
      <c r="N160" s="135">
        <f>SUMIF('YEP Personnel Calc'!$H:$H,'YEP Summaries'!$A160,'YEP Personnel Calc'!AK:AK)</f>
        <v>17.293103448275858</v>
      </c>
      <c r="O160" s="135">
        <f>SUMIF('YEP Personnel Calc'!$H:$H,'YEP Summaries'!$A160,'YEP Personnel Calc'!AL:AL)</f>
        <v>0.44999999999999973</v>
      </c>
      <c r="P160" s="135">
        <f>SUMIF('YEP Personnel Calc'!$H:$H,'YEP Summaries'!$A160,'YEP Personnel Calc'!AM:AM)</f>
        <v>0</v>
      </c>
      <c r="Q160" s="135">
        <f>SUMIF('YEP Personnel Calc'!$H:$H,'YEP Summaries'!$A160,'YEP Personnel Calc'!AN:AN)</f>
        <v>37.683141762452095</v>
      </c>
      <c r="R160" s="135">
        <f t="shared" si="19"/>
        <v>293.42624521072798</v>
      </c>
    </row>
    <row r="161" spans="1:18">
      <c r="A161" s="130" t="s">
        <v>787</v>
      </c>
      <c r="B161" s="225" t="s">
        <v>110</v>
      </c>
      <c r="C161" s="135">
        <f>SUMIF('YEP Personnel Calc'!$H:$H,'YEP Summaries'!$A161,'YEP Personnel Calc'!AA:AA)</f>
        <v>0</v>
      </c>
      <c r="D161" s="135">
        <f>SUMIF('YEP Personnel Calc'!$H:$H,'YEP Summaries'!$A161,'YEP Personnel Calc'!AB:AB)</f>
        <v>0</v>
      </c>
      <c r="E161" s="368">
        <f>ROUND(E98/'YEP Personnel Calc'!$AA$2*'YEP Personnel Calc'!$AB$2,0)</f>
        <v>20</v>
      </c>
      <c r="F161" s="135">
        <f>SUMIF('YEP Personnel Calc'!$H:$H,'YEP Summaries'!$A161,'YEP Personnel Calc'!AD:AD)</f>
        <v>0</v>
      </c>
      <c r="G161" s="135">
        <f>SUMIF('YEP Personnel Calc'!$H:$H,'YEP Summaries'!$A161,'YEP Personnel Calc'!AE:AE)</f>
        <v>0</v>
      </c>
      <c r="H161" s="135">
        <f>SUMIF('YEP Personnel Calc'!$H:$H,'YEP Summaries'!$A161,'YEP Personnel Calc'!AF:AF)</f>
        <v>0</v>
      </c>
      <c r="I161" s="135">
        <f>SUMIF('YEP Personnel Calc'!$H:$H,'YEP Summaries'!$A161,'YEP Personnel Calc'!AF:AF)</f>
        <v>0</v>
      </c>
      <c r="J161" s="135"/>
      <c r="K161" s="135">
        <f>SUMIF('YEP Personnel Calc'!$H:$H,'YEP Summaries'!$A161,'YEP Personnel Calc'!AG:AG)</f>
        <v>0</v>
      </c>
      <c r="L161" s="135">
        <f>SUMIF('YEP Personnel Calc'!$H:$H,'YEP Summaries'!$A161,'YEP Personnel Calc'!AH:AH)</f>
        <v>0</v>
      </c>
      <c r="M161" s="135">
        <f>SUMIF('YEP Personnel Calc'!$H:$H,'YEP Summaries'!$A161,'YEP Personnel Calc'!AI:AI)</f>
        <v>0</v>
      </c>
      <c r="N161" s="135">
        <f>SUMIF('YEP Personnel Calc'!$H:$H,'YEP Summaries'!$A161,'YEP Personnel Calc'!AK:AK)</f>
        <v>0</v>
      </c>
      <c r="O161" s="135">
        <f>SUMIF('YEP Personnel Calc'!$H:$H,'YEP Summaries'!$A161,'YEP Personnel Calc'!AL:AL)</f>
        <v>0</v>
      </c>
      <c r="P161" s="135">
        <f>SUMIF('YEP Personnel Calc'!$H:$H,'YEP Summaries'!$A161,'YEP Personnel Calc'!AM:AM)</f>
        <v>0</v>
      </c>
      <c r="Q161" s="135">
        <f>SUMIF('YEP Personnel Calc'!$H:$H,'YEP Summaries'!$A161,'YEP Personnel Calc'!AN:AN)</f>
        <v>0</v>
      </c>
      <c r="R161" s="135">
        <f t="shared" si="19"/>
        <v>20</v>
      </c>
    </row>
    <row r="162" spans="1:18">
      <c r="A162" s="130"/>
      <c r="B162" s="225" t="s">
        <v>81</v>
      </c>
      <c r="C162" s="135">
        <f>SUM(C133:C161)</f>
        <v>31642.536398467422</v>
      </c>
      <c r="D162" s="135">
        <f t="shared" ref="D162:Q162" si="20">SUM(D133:D161)</f>
        <v>81654.372413793055</v>
      </c>
      <c r="E162" s="135">
        <f t="shared" si="20"/>
        <v>69491</v>
      </c>
      <c r="F162" s="135">
        <f t="shared" si="20"/>
        <v>1799.8390804597695</v>
      </c>
      <c r="G162" s="135">
        <f t="shared" si="20"/>
        <v>0</v>
      </c>
      <c r="H162" s="135">
        <f t="shared" si="20"/>
        <v>0</v>
      </c>
      <c r="I162" s="135">
        <f t="shared" si="20"/>
        <v>0</v>
      </c>
      <c r="J162" s="135">
        <f t="shared" si="20"/>
        <v>0</v>
      </c>
      <c r="K162" s="135">
        <f t="shared" si="20"/>
        <v>4390.0239999999976</v>
      </c>
      <c r="L162" s="135">
        <f t="shared" si="20"/>
        <v>0</v>
      </c>
      <c r="M162" s="135">
        <f t="shared" si="20"/>
        <v>0</v>
      </c>
      <c r="N162" s="135">
        <f t="shared" si="20"/>
        <v>10937.228226421452</v>
      </c>
      <c r="O162" s="135">
        <f t="shared" si="20"/>
        <v>28515.484096423406</v>
      </c>
      <c r="P162" s="135">
        <f t="shared" si="20"/>
        <v>0</v>
      </c>
      <c r="Q162" s="135">
        <f t="shared" si="20"/>
        <v>26687.03804148965</v>
      </c>
      <c r="R162" s="135">
        <f t="shared" si="19"/>
        <v>255117.52225705475</v>
      </c>
    </row>
    <row r="163" spans="1:18">
      <c r="A163" s="13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1:18">
      <c r="A164" s="13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1:18">
      <c r="A165" s="130" t="s">
        <v>1913</v>
      </c>
      <c r="B165" s="224" t="s">
        <v>110</v>
      </c>
      <c r="C165" s="135">
        <f>SUMIF('YEP Personnel Calc'!$H:$H,'YEP Summaries'!$A165,'YEP Personnel Calc'!AA:AA)</f>
        <v>0</v>
      </c>
      <c r="D165" s="135">
        <f>SUMIF('YEP Personnel Calc'!$H:$H,'YEP Summaries'!$A165,'YEP Personnel Calc'!AB:AB)</f>
        <v>0</v>
      </c>
      <c r="E165" s="368">
        <f>ROUND(E102/'YEP Personnel Calc'!$AA$2*'YEP Personnel Calc'!$AB$2,0)</f>
        <v>0</v>
      </c>
      <c r="F165" s="135">
        <f>SUMIF('YEP Personnel Calc'!$H:$H,'YEP Summaries'!$A165,'YEP Personnel Calc'!AD:AD)</f>
        <v>0</v>
      </c>
      <c r="G165" s="135">
        <f>SUMIF('YEP Personnel Calc'!$H:$H,'YEP Summaries'!$A165,'YEP Personnel Calc'!AE:AE)</f>
        <v>0</v>
      </c>
      <c r="H165" s="135">
        <f>SUMIF('YEP Personnel Calc'!$H:$H,'YEP Summaries'!$A165,'YEP Personnel Calc'!AF:AF)</f>
        <v>0</v>
      </c>
      <c r="I165" s="135">
        <f>SUMIF('YEP Personnel Calc'!$H:$H,'YEP Summaries'!$A165,'YEP Personnel Calc'!AF:AF)</f>
        <v>0</v>
      </c>
      <c r="J165" s="135"/>
      <c r="K165" s="135">
        <f>SUMIF('YEP Personnel Calc'!$H:$H,'YEP Summaries'!$A165,'YEP Personnel Calc'!AG:AG)</f>
        <v>0</v>
      </c>
      <c r="L165" s="135">
        <f>SUMIF('YEP Personnel Calc'!$H:$H,'YEP Summaries'!$A165,'YEP Personnel Calc'!AH:AH)</f>
        <v>0</v>
      </c>
      <c r="M165" s="135">
        <f>SUMIF('YEP Personnel Calc'!$H:$H,'YEP Summaries'!$A165,'YEP Personnel Calc'!AI:AI)</f>
        <v>0</v>
      </c>
      <c r="N165" s="135">
        <f>SUMIF('YEP Personnel Calc'!$H:$H,'YEP Summaries'!$A165,'YEP Personnel Calc'!AK:AK)</f>
        <v>0</v>
      </c>
      <c r="O165" s="135">
        <f>SUMIF('YEP Personnel Calc'!$H:$H,'YEP Summaries'!$A165,'YEP Personnel Calc'!AL:AL)</f>
        <v>0</v>
      </c>
      <c r="P165" s="135">
        <f>SUMIF('YEP Personnel Calc'!$H:$H,'YEP Summaries'!$A165,'YEP Personnel Calc'!AM:AM)</f>
        <v>0</v>
      </c>
      <c r="Q165" s="135">
        <f>SUMIF('YEP Personnel Calc'!$H:$H,'YEP Summaries'!$A165,'YEP Personnel Calc'!AN:AN)</f>
        <v>0</v>
      </c>
      <c r="R165" s="135">
        <f>SUM(C165:Q165)</f>
        <v>0</v>
      </c>
    </row>
    <row r="166" spans="1:18">
      <c r="A166" s="13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1:18">
      <c r="A167" s="130" t="s">
        <v>789</v>
      </c>
      <c r="B167" s="224" t="s">
        <v>110</v>
      </c>
      <c r="C167" s="135">
        <f>SUMIF('YEP Personnel Calc'!$H:$H,'YEP Summaries'!$A167,'YEP Personnel Calc'!AA:AA)</f>
        <v>0</v>
      </c>
      <c r="D167" s="135">
        <f>SUMIF('YEP Personnel Calc'!$H:$H,'YEP Summaries'!$A167,'YEP Personnel Calc'!AB:AB)</f>
        <v>0</v>
      </c>
      <c r="E167" s="368">
        <f>ROUND(E104/'YEP Personnel Calc'!$AA$2*'YEP Personnel Calc'!$AB$2,0)</f>
        <v>0</v>
      </c>
      <c r="F167" s="135">
        <f>SUMIF('YEP Personnel Calc'!$H:$H,'YEP Summaries'!$A167,'YEP Personnel Calc'!AD:AD)</f>
        <v>0</v>
      </c>
      <c r="G167" s="135">
        <f>SUMIF('YEP Personnel Calc'!$H:$H,'YEP Summaries'!$A167,'YEP Personnel Calc'!AE:AE)</f>
        <v>0</v>
      </c>
      <c r="H167" s="135">
        <f>SUMIF('YEP Personnel Calc'!$H:$H,'YEP Summaries'!$A167,'YEP Personnel Calc'!AF:AF)</f>
        <v>0</v>
      </c>
      <c r="I167" s="135">
        <f>SUMIF('YEP Personnel Calc'!$H:$H,'YEP Summaries'!$A167,'YEP Personnel Calc'!AF:AF)</f>
        <v>0</v>
      </c>
      <c r="J167" s="135"/>
      <c r="K167" s="135">
        <f>SUMIF('YEP Personnel Calc'!$H:$H,'YEP Summaries'!$A167,'YEP Personnel Calc'!AG:AG)</f>
        <v>0</v>
      </c>
      <c r="L167" s="135">
        <f>SUMIF('YEP Personnel Calc'!$H:$H,'YEP Summaries'!$A167,'YEP Personnel Calc'!AH:AH)</f>
        <v>0</v>
      </c>
      <c r="M167" s="135">
        <f>SUMIF('YEP Personnel Calc'!$H:$H,'YEP Summaries'!$A167,'YEP Personnel Calc'!AI:AI)</f>
        <v>0</v>
      </c>
      <c r="N167" s="135">
        <f>SUMIF('YEP Personnel Calc'!$H:$H,'YEP Summaries'!$A167,'YEP Personnel Calc'!AK:AK)</f>
        <v>0</v>
      </c>
      <c r="O167" s="135">
        <f>SUMIF('YEP Personnel Calc'!$H:$H,'YEP Summaries'!$A167,'YEP Personnel Calc'!AL:AL)</f>
        <v>0</v>
      </c>
      <c r="P167" s="135">
        <f>SUMIF('YEP Personnel Calc'!$H:$H,'YEP Summaries'!$A167,'YEP Personnel Calc'!AM:AM)</f>
        <v>0</v>
      </c>
      <c r="Q167" s="135">
        <f>SUMIF('YEP Personnel Calc'!$H:$H,'YEP Summaries'!$A167,'YEP Personnel Calc'!AN:AN)</f>
        <v>0</v>
      </c>
      <c r="R167" s="135">
        <f>SUM(C167:Q167)</f>
        <v>0</v>
      </c>
    </row>
    <row r="168" spans="1:18">
      <c r="A168" s="13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1:18">
      <c r="A169" s="130" t="s">
        <v>790</v>
      </c>
      <c r="B169" s="224" t="s">
        <v>110</v>
      </c>
      <c r="C169" s="135">
        <f>SUMIF('YEP Personnel Calc'!$H:$H,'YEP Summaries'!$A169,'YEP Personnel Calc'!AA:AA)</f>
        <v>4012.9042145593858</v>
      </c>
      <c r="D169" s="135">
        <f>SUMIF('YEP Personnel Calc'!$H:$H,'YEP Summaries'!$A169,'YEP Personnel Calc'!AB:AB)</f>
        <v>2526.8275862068958</v>
      </c>
      <c r="E169" s="368">
        <f>ROUND(E106/'YEP Personnel Calc'!$AA$2*'YEP Personnel Calc'!$AB$2,0)</f>
        <v>1</v>
      </c>
      <c r="F169" s="135">
        <f>SUMIF('YEP Personnel Calc'!$H:$H,'YEP Summaries'!$A169,'YEP Personnel Calc'!AD:AD)</f>
        <v>0</v>
      </c>
      <c r="G169" s="135">
        <f>SUMIF('YEP Personnel Calc'!$H:$H,'YEP Summaries'!$A169,'YEP Personnel Calc'!AE:AE)</f>
        <v>0</v>
      </c>
      <c r="H169" s="135">
        <f>SUMIF('YEP Personnel Calc'!$H:$H,'YEP Summaries'!$A169,'YEP Personnel Calc'!AF:AF)</f>
        <v>0</v>
      </c>
      <c r="I169" s="135">
        <f>SUMIF('YEP Personnel Calc'!$H:$H,'YEP Summaries'!$A169,'YEP Personnel Calc'!AF:AF)</f>
        <v>0</v>
      </c>
      <c r="J169" s="135"/>
      <c r="K169" s="135">
        <f>SUMIF('YEP Personnel Calc'!$H:$H,'YEP Summaries'!$A169,'YEP Personnel Calc'!AG:AG)</f>
        <v>299.99999999999983</v>
      </c>
      <c r="L169" s="135">
        <f>SUMIF('YEP Personnel Calc'!$H:$H,'YEP Summaries'!$A169,'YEP Personnel Calc'!AH:AH)</f>
        <v>0</v>
      </c>
      <c r="M169" s="135">
        <f>SUMIF('YEP Personnel Calc'!$H:$H,'YEP Summaries'!$A169,'YEP Personnel Calc'!AI:AI)</f>
        <v>1269.6551724137923</v>
      </c>
      <c r="N169" s="135">
        <f>SUMIF('YEP Personnel Calc'!$H:$H,'YEP Summaries'!$A169,'YEP Personnel Calc'!AK:AK)</f>
        <v>630.74396551724112</v>
      </c>
      <c r="O169" s="135">
        <f>SUMIF('YEP Personnel Calc'!$H:$H,'YEP Summaries'!$A169,'YEP Personnel Calc'!AL:AL)</f>
        <v>1638.3519217056596</v>
      </c>
      <c r="P169" s="135">
        <f>SUMIF('YEP Personnel Calc'!$H:$H,'YEP Summaries'!$A169,'YEP Personnel Calc'!AM:AM)</f>
        <v>0</v>
      </c>
      <c r="Q169" s="135">
        <f>SUMIF('YEP Personnel Calc'!$H:$H,'YEP Summaries'!$A169,'YEP Personnel Calc'!AN:AN)</f>
        <v>1374.4446934865896</v>
      </c>
      <c r="R169" s="135">
        <f>SUM(C169:Q169)</f>
        <v>11753.927553889565</v>
      </c>
    </row>
    <row r="170" spans="1:18">
      <c r="A170" s="130" t="s">
        <v>791</v>
      </c>
      <c r="B170" s="224" t="s">
        <v>81</v>
      </c>
      <c r="C170" s="135">
        <f>SUMIF('YEP Personnel Calc'!$H:$H,'YEP Summaries'!$A170,'YEP Personnel Calc'!AA:AA)</f>
        <v>4275.5785440613017</v>
      </c>
      <c r="D170" s="135">
        <f>SUMIF('YEP Personnel Calc'!$H:$H,'YEP Summaries'!$A170,'YEP Personnel Calc'!AB:AB)</f>
        <v>0</v>
      </c>
      <c r="E170" s="368">
        <f>ROUND(E107/'YEP Personnel Calc'!$AA$2*'YEP Personnel Calc'!$AB$2,0)</f>
        <v>0</v>
      </c>
      <c r="F170" s="135">
        <f>SUMIF('YEP Personnel Calc'!$H:$H,'YEP Summaries'!$A170,'YEP Personnel Calc'!AD:AD)</f>
        <v>0</v>
      </c>
      <c r="G170" s="135">
        <f>SUMIF('YEP Personnel Calc'!$H:$H,'YEP Summaries'!$A170,'YEP Personnel Calc'!AE:AE)</f>
        <v>0</v>
      </c>
      <c r="H170" s="135">
        <f>SUMIF('YEP Personnel Calc'!$H:$H,'YEP Summaries'!$A170,'YEP Personnel Calc'!AF:AF)</f>
        <v>0</v>
      </c>
      <c r="I170" s="135">
        <f>SUMIF('YEP Personnel Calc'!$H:$H,'YEP Summaries'!$A170,'YEP Personnel Calc'!AF:AF)</f>
        <v>0</v>
      </c>
      <c r="J170" s="135"/>
      <c r="K170" s="135">
        <f>SUMIF('YEP Personnel Calc'!$H:$H,'YEP Summaries'!$A170,'YEP Personnel Calc'!AG:AG)</f>
        <v>149.99999999999991</v>
      </c>
      <c r="L170" s="135">
        <f>SUMIF('YEP Personnel Calc'!$H:$H,'YEP Summaries'!$A170,'YEP Personnel Calc'!AH:AH)</f>
        <v>0</v>
      </c>
      <c r="M170" s="135">
        <f>SUMIF('YEP Personnel Calc'!$H:$H,'YEP Summaries'!$A170,'YEP Personnel Calc'!AI:AI)</f>
        <v>0</v>
      </c>
      <c r="N170" s="135">
        <f>SUMIF('YEP Personnel Calc'!$H:$H,'YEP Summaries'!$A170,'YEP Personnel Calc'!AK:AK)</f>
        <v>343.74468965517235</v>
      </c>
      <c r="O170" s="135">
        <f>SUMIF('YEP Personnel Calc'!$H:$H,'YEP Summaries'!$A170,'YEP Personnel Calc'!AL:AL)</f>
        <v>549.5123294339619</v>
      </c>
      <c r="P170" s="135">
        <f>SUMIF('YEP Personnel Calc'!$H:$H,'YEP Summaries'!$A170,'YEP Personnel Calc'!AM:AM)</f>
        <v>0</v>
      </c>
      <c r="Q170" s="135">
        <f>SUMIF('YEP Personnel Calc'!$H:$H,'YEP Summaries'!$A170,'YEP Personnel Calc'!AN:AN)</f>
        <v>749.04888582375463</v>
      </c>
      <c r="R170" s="135">
        <f>SUM(C170:Q170)</f>
        <v>6067.8844489741905</v>
      </c>
    </row>
    <row r="171" spans="1:18">
      <c r="A171" s="130" t="s">
        <v>792</v>
      </c>
      <c r="C171" s="135">
        <f>SUMIF('YEP Personnel Calc'!$H:$H,'YEP Summaries'!$A171,'YEP Personnel Calc'!AA:AA)</f>
        <v>0</v>
      </c>
      <c r="D171" s="135">
        <f>SUMIF('YEP Personnel Calc'!$H:$H,'YEP Summaries'!$A171,'YEP Personnel Calc'!AB:AB)</f>
        <v>0</v>
      </c>
      <c r="E171" s="368">
        <f>ROUND(E108/'YEP Personnel Calc'!$AA$2*'YEP Personnel Calc'!$AB$2,0)</f>
        <v>1</v>
      </c>
      <c r="F171" s="135">
        <f>SUMIF('YEP Personnel Calc'!$H:$H,'YEP Summaries'!$A171,'YEP Personnel Calc'!AD:AD)</f>
        <v>0</v>
      </c>
      <c r="G171" s="135">
        <f>SUMIF('YEP Personnel Calc'!$H:$H,'YEP Summaries'!$A171,'YEP Personnel Calc'!AE:AE)</f>
        <v>0</v>
      </c>
      <c r="H171" s="135">
        <f>SUMIF('YEP Personnel Calc'!$H:$H,'YEP Summaries'!$A171,'YEP Personnel Calc'!AF:AF)</f>
        <v>0</v>
      </c>
      <c r="I171" s="135">
        <f>SUMIF('YEP Personnel Calc'!$H:$H,'YEP Summaries'!$A171,'YEP Personnel Calc'!AF:AF)</f>
        <v>0</v>
      </c>
      <c r="J171" s="135"/>
      <c r="K171" s="135">
        <f>SUMIF('YEP Personnel Calc'!$H:$H,'YEP Summaries'!$A171,'YEP Personnel Calc'!AG:AG)</f>
        <v>0</v>
      </c>
      <c r="L171" s="135">
        <f>SUMIF('YEP Personnel Calc'!$H:$H,'YEP Summaries'!$A171,'YEP Personnel Calc'!AH:AH)</f>
        <v>0</v>
      </c>
      <c r="M171" s="135">
        <f>SUMIF('YEP Personnel Calc'!$H:$H,'YEP Summaries'!$A171,'YEP Personnel Calc'!AI:AI)</f>
        <v>0</v>
      </c>
      <c r="N171" s="135">
        <f>SUMIF('YEP Personnel Calc'!$H:$H,'YEP Summaries'!$A171,'YEP Personnel Calc'!AK:AK)</f>
        <v>0</v>
      </c>
      <c r="O171" s="135">
        <f>SUMIF('YEP Personnel Calc'!$H:$H,'YEP Summaries'!$A171,'YEP Personnel Calc'!AL:AL)</f>
        <v>0</v>
      </c>
      <c r="P171" s="135">
        <f>SUMIF('YEP Personnel Calc'!$H:$H,'YEP Summaries'!$A171,'YEP Personnel Calc'!AM:AM)</f>
        <v>0</v>
      </c>
      <c r="Q171" s="135">
        <f>SUMIF('YEP Personnel Calc'!$H:$H,'YEP Summaries'!$A171,'YEP Personnel Calc'!AN:AN)</f>
        <v>0</v>
      </c>
      <c r="R171" s="135">
        <f t="shared" ref="R171" si="21">SUM(C171:Q171)</f>
        <v>1</v>
      </c>
    </row>
    <row r="172" spans="1:18">
      <c r="A172" s="130" t="s">
        <v>793</v>
      </c>
      <c r="B172" s="224" t="s">
        <v>110</v>
      </c>
      <c r="C172" s="135">
        <f>SUMIF('YEP Personnel Calc'!$H:$H,'YEP Summaries'!$A172,'YEP Personnel Calc'!AA:AA)</f>
        <v>5330.7969348658989</v>
      </c>
      <c r="D172" s="135">
        <f>SUMIF('YEP Personnel Calc'!$H:$H,'YEP Summaries'!$A172,'YEP Personnel Calc'!AB:AB)</f>
        <v>0</v>
      </c>
      <c r="E172" s="368">
        <f>ROUND(E109/'YEP Personnel Calc'!$AA$2*'YEP Personnel Calc'!$AB$2,0)</f>
        <v>0</v>
      </c>
      <c r="F172" s="135">
        <f>SUMIF('YEP Personnel Calc'!$H:$H,'YEP Summaries'!$A172,'YEP Personnel Calc'!AD:AD)</f>
        <v>12525.632183908043</v>
      </c>
      <c r="G172" s="135">
        <f>SUMIF('YEP Personnel Calc'!$H:$H,'YEP Summaries'!$A172,'YEP Personnel Calc'!AE:AE)</f>
        <v>0</v>
      </c>
      <c r="H172" s="135">
        <f>SUMIF('YEP Personnel Calc'!$H:$H,'YEP Summaries'!$A172,'YEP Personnel Calc'!AF:AF)</f>
        <v>0</v>
      </c>
      <c r="I172" s="135">
        <f>SUMIF('YEP Personnel Calc'!$H:$H,'YEP Summaries'!$A172,'YEP Personnel Calc'!AF:AF)</f>
        <v>0</v>
      </c>
      <c r="J172" s="135"/>
      <c r="K172" s="135">
        <f>SUMIF('YEP Personnel Calc'!$H:$H,'YEP Summaries'!$A172,'YEP Personnel Calc'!AG:AG)</f>
        <v>0</v>
      </c>
      <c r="L172" s="135">
        <f>SUMIF('YEP Personnel Calc'!$H:$H,'YEP Summaries'!$A172,'YEP Personnel Calc'!AH:AH)</f>
        <v>0</v>
      </c>
      <c r="M172" s="135">
        <f>SUMIF('YEP Personnel Calc'!$H:$H,'YEP Summaries'!$A172,'YEP Personnel Calc'!AI:AI)</f>
        <v>0</v>
      </c>
      <c r="N172" s="135">
        <f>SUMIF('YEP Personnel Calc'!$H:$H,'YEP Summaries'!$A172,'YEP Personnel Calc'!AK:AK)</f>
        <v>1255.8292413793099</v>
      </c>
      <c r="O172" s="135">
        <f>SUMIF('YEP Personnel Calc'!$H:$H,'YEP Summaries'!$A172,'YEP Personnel Calc'!AL:AL)</f>
        <v>969.72341477735779</v>
      </c>
      <c r="P172" s="135">
        <f>SUMIF('YEP Personnel Calc'!$H:$H,'YEP Summaries'!$A172,'YEP Personnel Calc'!AM:AM)</f>
        <v>0</v>
      </c>
      <c r="Q172" s="135">
        <f>SUMIF('YEP Personnel Calc'!$H:$H,'YEP Summaries'!$A172,'YEP Personnel Calc'!AN:AN)</f>
        <v>893.16582605363965</v>
      </c>
      <c r="R172" s="135">
        <f t="shared" ref="R172:R183" si="22">SUM(C172:Q172)</f>
        <v>20975.147600984248</v>
      </c>
    </row>
    <row r="173" spans="1:18">
      <c r="A173" s="130" t="s">
        <v>794</v>
      </c>
      <c r="B173" s="224" t="s">
        <v>81</v>
      </c>
      <c r="C173" s="135">
        <f>SUMIF('YEP Personnel Calc'!$H:$H,'YEP Summaries'!$A173,'YEP Personnel Calc'!AA:AA)</f>
        <v>0</v>
      </c>
      <c r="D173" s="135">
        <f>SUMIF('YEP Personnel Calc'!$H:$H,'YEP Summaries'!$A173,'YEP Personnel Calc'!AB:AB)</f>
        <v>0</v>
      </c>
      <c r="E173" s="368">
        <f>ROUND(E110/'YEP Personnel Calc'!$AA$2*'YEP Personnel Calc'!$AB$2,0)</f>
        <v>0</v>
      </c>
      <c r="F173" s="135">
        <f>SUMIF('YEP Personnel Calc'!$H:$H,'YEP Summaries'!$A173,'YEP Personnel Calc'!AD:AD)</f>
        <v>0</v>
      </c>
      <c r="G173" s="135">
        <f>SUMIF('YEP Personnel Calc'!$H:$H,'YEP Summaries'!$A173,'YEP Personnel Calc'!AE:AE)</f>
        <v>0</v>
      </c>
      <c r="H173" s="135">
        <f>SUMIF('YEP Personnel Calc'!$H:$H,'YEP Summaries'!$A173,'YEP Personnel Calc'!AF:AF)</f>
        <v>0</v>
      </c>
      <c r="I173" s="135">
        <f>SUMIF('YEP Personnel Calc'!$H:$H,'YEP Summaries'!$A173,'YEP Personnel Calc'!AF:AF)</f>
        <v>0</v>
      </c>
      <c r="J173" s="135"/>
      <c r="K173" s="135">
        <f>SUMIF('YEP Personnel Calc'!$H:$H,'YEP Summaries'!$A173,'YEP Personnel Calc'!AG:AG)</f>
        <v>0</v>
      </c>
      <c r="L173" s="135">
        <f>SUMIF('YEP Personnel Calc'!$H:$H,'YEP Summaries'!$A173,'YEP Personnel Calc'!AH:AH)</f>
        <v>0</v>
      </c>
      <c r="M173" s="135">
        <f>SUMIF('YEP Personnel Calc'!$H:$H,'YEP Summaries'!$A173,'YEP Personnel Calc'!AI:AI)</f>
        <v>0</v>
      </c>
      <c r="N173" s="135">
        <f>SUMIF('YEP Personnel Calc'!$H:$H,'YEP Summaries'!$A173,'YEP Personnel Calc'!AK:AK)</f>
        <v>0</v>
      </c>
      <c r="O173" s="135">
        <f>SUMIF('YEP Personnel Calc'!$H:$H,'YEP Summaries'!$A173,'YEP Personnel Calc'!AL:AL)</f>
        <v>0</v>
      </c>
      <c r="P173" s="135">
        <f>SUMIF('YEP Personnel Calc'!$H:$H,'YEP Summaries'!$A173,'YEP Personnel Calc'!AM:AM)</f>
        <v>0</v>
      </c>
      <c r="Q173" s="135">
        <f>SUMIF('YEP Personnel Calc'!$H:$H,'YEP Summaries'!$A173,'YEP Personnel Calc'!AN:AN)</f>
        <v>0</v>
      </c>
      <c r="R173" s="135">
        <f t="shared" si="22"/>
        <v>0</v>
      </c>
    </row>
    <row r="174" spans="1:18">
      <c r="A174" s="130" t="s">
        <v>795</v>
      </c>
      <c r="B174" s="244" t="s">
        <v>148</v>
      </c>
      <c r="C174" s="135">
        <f>SUMIF('YEP Personnel Calc'!$H:$H,'YEP Summaries'!$A174,'YEP Personnel Calc'!AA:AA)</f>
        <v>0</v>
      </c>
      <c r="D174" s="135">
        <f>SUMIF('YEP Personnel Calc'!$H:$H,'YEP Summaries'!$A174,'YEP Personnel Calc'!AB:AB)</f>
        <v>0</v>
      </c>
      <c r="E174" s="368">
        <f>ROUND(E111/'YEP Personnel Calc'!$AA$2*'YEP Personnel Calc'!$AB$2,0)</f>
        <v>0</v>
      </c>
      <c r="F174" s="135">
        <f>SUMIF('YEP Personnel Calc'!$H:$H,'YEP Summaries'!$A174,'YEP Personnel Calc'!AD:AD)</f>
        <v>0</v>
      </c>
      <c r="G174" s="135">
        <f>SUMIF('YEP Personnel Calc'!$H:$H,'YEP Summaries'!$A174,'YEP Personnel Calc'!AE:AE)</f>
        <v>0</v>
      </c>
      <c r="H174" s="135">
        <f>SUMIF('YEP Personnel Calc'!$H:$H,'YEP Summaries'!$A174,'YEP Personnel Calc'!AF:AF)</f>
        <v>0</v>
      </c>
      <c r="I174" s="135">
        <f>SUMIF('YEP Personnel Calc'!$H:$H,'YEP Summaries'!$A174,'YEP Personnel Calc'!AF:AF)</f>
        <v>0</v>
      </c>
      <c r="J174" s="135"/>
      <c r="K174" s="135">
        <f>SUMIF('YEP Personnel Calc'!$H:$H,'YEP Summaries'!$A174,'YEP Personnel Calc'!AG:AG)</f>
        <v>0</v>
      </c>
      <c r="L174" s="135">
        <f>SUMIF('YEP Personnel Calc'!$H:$H,'YEP Summaries'!$A174,'YEP Personnel Calc'!AH:AH)</f>
        <v>0</v>
      </c>
      <c r="M174" s="135">
        <f>SUMIF('YEP Personnel Calc'!$H:$H,'YEP Summaries'!$A174,'YEP Personnel Calc'!AI:AI)</f>
        <v>0</v>
      </c>
      <c r="N174" s="135">
        <f>SUMIF('YEP Personnel Calc'!$H:$H,'YEP Summaries'!$A174,'YEP Personnel Calc'!AK:AK)</f>
        <v>2.7668965517241371</v>
      </c>
      <c r="O174" s="135">
        <f>SUMIF('YEP Personnel Calc'!$H:$H,'YEP Summaries'!$A174,'YEP Personnel Calc'!AL:AL)</f>
        <v>7.1999999999999953E-2</v>
      </c>
      <c r="P174" s="135">
        <f>SUMIF('YEP Personnel Calc'!$H:$H,'YEP Summaries'!$A174,'YEP Personnel Calc'!AM:AM)</f>
        <v>0</v>
      </c>
      <c r="Q174" s="135">
        <f>SUMIF('YEP Personnel Calc'!$H:$H,'YEP Summaries'!$A174,'YEP Personnel Calc'!AN:AN)</f>
        <v>6.0293026819923359</v>
      </c>
      <c r="R174" s="135">
        <f t="shared" si="22"/>
        <v>8.8681992337164726</v>
      </c>
    </row>
    <row r="175" spans="1:18">
      <c r="A175" s="130" t="s">
        <v>796</v>
      </c>
      <c r="B175" s="224" t="s">
        <v>81</v>
      </c>
      <c r="C175" s="135">
        <f>SUMIF('YEP Personnel Calc'!$H:$H,'YEP Summaries'!$A175,'YEP Personnel Calc'!AA:AA)</f>
        <v>0</v>
      </c>
      <c r="D175" s="135">
        <f>SUMIF('YEP Personnel Calc'!$H:$H,'YEP Summaries'!$A175,'YEP Personnel Calc'!AB:AB)</f>
        <v>0</v>
      </c>
      <c r="E175" s="368">
        <f>ROUND(E112/'YEP Personnel Calc'!$AA$2*'YEP Personnel Calc'!$AB$2,0)</f>
        <v>0</v>
      </c>
      <c r="F175" s="135">
        <f>SUMIF('YEP Personnel Calc'!$H:$H,'YEP Summaries'!$A175,'YEP Personnel Calc'!AD:AD)</f>
        <v>0</v>
      </c>
      <c r="G175" s="135">
        <f>SUMIF('YEP Personnel Calc'!$H:$H,'YEP Summaries'!$A175,'YEP Personnel Calc'!AE:AE)</f>
        <v>0</v>
      </c>
      <c r="H175" s="135">
        <f>SUMIF('YEP Personnel Calc'!$H:$H,'YEP Summaries'!$A175,'YEP Personnel Calc'!AF:AF)</f>
        <v>0</v>
      </c>
      <c r="I175" s="135">
        <f>SUMIF('YEP Personnel Calc'!$H:$H,'YEP Summaries'!$A175,'YEP Personnel Calc'!AF:AF)</f>
        <v>0</v>
      </c>
      <c r="J175" s="135"/>
      <c r="K175" s="135">
        <f>SUMIF('YEP Personnel Calc'!$H:$H,'YEP Summaries'!$A175,'YEP Personnel Calc'!AG:AG)</f>
        <v>0</v>
      </c>
      <c r="L175" s="135">
        <f>SUMIF('YEP Personnel Calc'!$H:$H,'YEP Summaries'!$A175,'YEP Personnel Calc'!AH:AH)</f>
        <v>0</v>
      </c>
      <c r="M175" s="135">
        <f>SUMIF('YEP Personnel Calc'!$H:$H,'YEP Summaries'!$A175,'YEP Personnel Calc'!AI:AI)</f>
        <v>0</v>
      </c>
      <c r="N175" s="135">
        <f>SUMIF('YEP Personnel Calc'!$H:$H,'YEP Summaries'!$A175,'YEP Personnel Calc'!AK:AK)</f>
        <v>0</v>
      </c>
      <c r="O175" s="135">
        <f>SUMIF('YEP Personnel Calc'!$H:$H,'YEP Summaries'!$A175,'YEP Personnel Calc'!AL:AL)</f>
        <v>0</v>
      </c>
      <c r="P175" s="135">
        <f>SUMIF('YEP Personnel Calc'!$H:$H,'YEP Summaries'!$A175,'YEP Personnel Calc'!AM:AM)</f>
        <v>0</v>
      </c>
      <c r="Q175" s="135">
        <f>SUMIF('YEP Personnel Calc'!$H:$H,'YEP Summaries'!$A175,'YEP Personnel Calc'!AN:AN)</f>
        <v>0</v>
      </c>
      <c r="R175" s="135">
        <f t="shared" si="22"/>
        <v>0</v>
      </c>
    </row>
    <row r="176" spans="1:18">
      <c r="A176" s="130" t="s">
        <v>797</v>
      </c>
      <c r="B176" s="224" t="s">
        <v>110</v>
      </c>
      <c r="C176" s="135">
        <f>SUMIF('YEP Personnel Calc'!$H:$H,'YEP Summaries'!$A176,'YEP Personnel Calc'!AA:AA)</f>
        <v>0</v>
      </c>
      <c r="D176" s="135">
        <f>SUMIF('YEP Personnel Calc'!$H:$H,'YEP Summaries'!$A176,'YEP Personnel Calc'!AB:AB)</f>
        <v>0</v>
      </c>
      <c r="E176" s="368">
        <f>ROUND(E113/'YEP Personnel Calc'!$AA$2*'YEP Personnel Calc'!$AB$2,0)</f>
        <v>0</v>
      </c>
      <c r="F176" s="135">
        <f>SUMIF('YEP Personnel Calc'!$H:$H,'YEP Summaries'!$A176,'YEP Personnel Calc'!AD:AD)</f>
        <v>2015.042145593869</v>
      </c>
      <c r="G176" s="135">
        <f>SUMIF('YEP Personnel Calc'!$H:$H,'YEP Summaries'!$A176,'YEP Personnel Calc'!AE:AE)</f>
        <v>0</v>
      </c>
      <c r="H176" s="135">
        <f>SUMIF('YEP Personnel Calc'!$H:$H,'YEP Summaries'!$A176,'YEP Personnel Calc'!AF:AF)</f>
        <v>0</v>
      </c>
      <c r="I176" s="135">
        <f>SUMIF('YEP Personnel Calc'!$H:$H,'YEP Summaries'!$A176,'YEP Personnel Calc'!AF:AF)</f>
        <v>0</v>
      </c>
      <c r="J176" s="135"/>
      <c r="K176" s="135">
        <f>SUMIF('YEP Personnel Calc'!$H:$H,'YEP Summaries'!$A176,'YEP Personnel Calc'!AG:AG)</f>
        <v>0</v>
      </c>
      <c r="L176" s="135">
        <f>SUMIF('YEP Personnel Calc'!$H:$H,'YEP Summaries'!$A176,'YEP Personnel Calc'!AH:AH)</f>
        <v>0</v>
      </c>
      <c r="M176" s="135">
        <f>SUMIF('YEP Personnel Calc'!$H:$H,'YEP Summaries'!$A176,'YEP Personnel Calc'!AI:AI)</f>
        <v>0</v>
      </c>
      <c r="N176" s="135">
        <f>SUMIF('YEP Personnel Calc'!$H:$H,'YEP Summaries'!$A176,'YEP Personnel Calc'!AK:AK)</f>
        <v>156.91762068965511</v>
      </c>
      <c r="O176" s="135">
        <f>SUMIF('YEP Personnel Calc'!$H:$H,'YEP Summaries'!$A176,'YEP Personnel Calc'!AL:AL)</f>
        <v>4.0076320754716956</v>
      </c>
      <c r="P176" s="135">
        <f>SUMIF('YEP Personnel Calc'!$H:$H,'YEP Summaries'!$A176,'YEP Personnel Calc'!AM:AM)</f>
        <v>0</v>
      </c>
      <c r="Q176" s="135">
        <f>SUMIF('YEP Personnel Calc'!$H:$H,'YEP Summaries'!$A176,'YEP Personnel Calc'!AN:AN)</f>
        <v>6.0293026819923359</v>
      </c>
      <c r="R176" s="135">
        <f t="shared" si="22"/>
        <v>2181.9967010409878</v>
      </c>
    </row>
    <row r="177" spans="1:18">
      <c r="A177" s="130"/>
      <c r="B177" s="224" t="s">
        <v>81</v>
      </c>
      <c r="C177" s="135">
        <f>SUMIF('YEP Personnel Calc'!$H:$H,'YEP Summaries'!$A177,'YEP Personnel Calc'!AA:AA)</f>
        <v>0</v>
      </c>
      <c r="D177" s="135">
        <f>SUMIF('YEP Personnel Calc'!$H:$H,'YEP Summaries'!$A177,'YEP Personnel Calc'!AB:AB)</f>
        <v>0</v>
      </c>
      <c r="E177" s="368">
        <f>ROUND(E114/'YEP Personnel Calc'!$AA$2*'YEP Personnel Calc'!$AB$2,0)</f>
        <v>0</v>
      </c>
      <c r="F177" s="135">
        <f>SUMIF('YEP Personnel Calc'!$H:$H,'YEP Summaries'!$A177,'YEP Personnel Calc'!AD:AD)</f>
        <v>0</v>
      </c>
      <c r="G177" s="135">
        <f>SUMIF('YEP Personnel Calc'!$H:$H,'YEP Summaries'!$A177,'YEP Personnel Calc'!AE:AE)</f>
        <v>0</v>
      </c>
      <c r="H177" s="135">
        <f>SUMIF('YEP Personnel Calc'!$H:$H,'YEP Summaries'!$A177,'YEP Personnel Calc'!AF:AF)</f>
        <v>0</v>
      </c>
      <c r="I177" s="135">
        <f>SUMIF('YEP Personnel Calc'!$H:$H,'YEP Summaries'!$A177,'YEP Personnel Calc'!AF:AF)</f>
        <v>0</v>
      </c>
      <c r="J177" s="135"/>
      <c r="K177" s="135">
        <f>SUMIF('YEP Personnel Calc'!$H:$H,'YEP Summaries'!$A177,'YEP Personnel Calc'!AG:AG)</f>
        <v>28695.167999999976</v>
      </c>
      <c r="L177" s="135">
        <f>SUMIF('YEP Personnel Calc'!$H:$H,'YEP Summaries'!$A177,'YEP Personnel Calc'!AH:AH)</f>
        <v>0</v>
      </c>
      <c r="M177" s="135">
        <f>SUMIF('YEP Personnel Calc'!$H:$H,'YEP Summaries'!$A177,'YEP Personnel Calc'!AI:AI)</f>
        <v>0</v>
      </c>
      <c r="N177" s="135">
        <f>SUMIF('YEP Personnel Calc'!$H:$H,'YEP Summaries'!$A177,'YEP Personnel Calc'!AK:AK)</f>
        <v>1265.4778607816083</v>
      </c>
      <c r="O177" s="135">
        <f>SUMIF('YEP Personnel Calc'!$H:$H,'YEP Summaries'!$A177,'YEP Personnel Calc'!AL:AL)</f>
        <v>51080.970244151897</v>
      </c>
      <c r="P177" s="135">
        <f>SUMIF('YEP Personnel Calc'!$H:$H,'YEP Summaries'!$A177,'YEP Personnel Calc'!AM:AM)</f>
        <v>0</v>
      </c>
      <c r="Q177" s="135">
        <f>SUMIF('YEP Personnel Calc'!$H:$H,'YEP Summaries'!$A177,'YEP Personnel Calc'!AN:AN)</f>
        <v>4285.8810047999959</v>
      </c>
      <c r="R177" s="135">
        <f t="shared" si="22"/>
        <v>85327.497109733478</v>
      </c>
    </row>
    <row r="178" spans="1:18">
      <c r="A178" s="130" t="s">
        <v>799</v>
      </c>
      <c r="C178" s="135">
        <f>SUMIF('YEP Personnel Calc'!$H:$H,'YEP Summaries'!$A178,'YEP Personnel Calc'!AA:AA)</f>
        <v>3639.4636015325659</v>
      </c>
      <c r="D178" s="135">
        <f>SUMIF('YEP Personnel Calc'!$H:$H,'YEP Summaries'!$A178,'YEP Personnel Calc'!AB:AB)</f>
        <v>2096.4214559386965</v>
      </c>
      <c r="E178" s="368">
        <f>ROUND(E115/'YEP Personnel Calc'!$AA$2*'YEP Personnel Calc'!$AB$2,0)</f>
        <v>1779</v>
      </c>
      <c r="F178" s="135">
        <f>SUMIF('YEP Personnel Calc'!$H:$H,'YEP Summaries'!$A178,'YEP Personnel Calc'!AD:AD)</f>
        <v>0</v>
      </c>
      <c r="G178" s="135">
        <f>SUMIF('YEP Personnel Calc'!$H:$H,'YEP Summaries'!$A178,'YEP Personnel Calc'!AE:AE)</f>
        <v>0</v>
      </c>
      <c r="H178" s="135">
        <f>SUMIF('YEP Personnel Calc'!$H:$H,'YEP Summaries'!$A178,'YEP Personnel Calc'!AF:AF)</f>
        <v>0</v>
      </c>
      <c r="I178" s="135">
        <f>SUMIF('YEP Personnel Calc'!$H:$H,'YEP Summaries'!$A178,'YEP Personnel Calc'!AF:AF)</f>
        <v>0</v>
      </c>
      <c r="J178" s="135"/>
      <c r="K178" s="135">
        <f>SUMIF('YEP Personnel Calc'!$H:$H,'YEP Summaries'!$A178,'YEP Personnel Calc'!AG:AG)</f>
        <v>0</v>
      </c>
      <c r="L178" s="135">
        <f>SUMIF('YEP Personnel Calc'!$H:$H,'YEP Summaries'!$A178,'YEP Personnel Calc'!AH:AH)</f>
        <v>0</v>
      </c>
      <c r="M178" s="135">
        <f>SUMIF('YEP Personnel Calc'!$H:$H,'YEP Summaries'!$A178,'YEP Personnel Calc'!AI:AI)</f>
        <v>0</v>
      </c>
      <c r="N178" s="135">
        <f>SUMIF('YEP Personnel Calc'!$H:$H,'YEP Summaries'!$A178,'YEP Personnel Calc'!AK:AK)</f>
        <v>577.14003448275844</v>
      </c>
      <c r="O178" s="135">
        <f>SUMIF('YEP Personnel Calc'!$H:$H,'YEP Summaries'!$A178,'YEP Personnel Calc'!AL:AL)</f>
        <v>1098.057813547169</v>
      </c>
      <c r="P178" s="135">
        <f>SUMIF('YEP Personnel Calc'!$H:$H,'YEP Summaries'!$A178,'YEP Personnel Calc'!AM:AM)</f>
        <v>0</v>
      </c>
      <c r="Q178" s="135">
        <f>SUMIF('YEP Personnel Calc'!$H:$H,'YEP Summaries'!$A178,'YEP Personnel Calc'!AN:AN)</f>
        <v>1257.6371731800762</v>
      </c>
      <c r="R178" s="135">
        <f t="shared" si="22"/>
        <v>10447.720078681266</v>
      </c>
    </row>
    <row r="179" spans="1:18">
      <c r="A179" s="130" t="s">
        <v>800</v>
      </c>
      <c r="C179" s="135">
        <f>SUMIF('YEP Personnel Calc'!$H:$H,'YEP Summaries'!$A179,'YEP Personnel Calc'!AA:AA)</f>
        <v>2499.7011494252865</v>
      </c>
      <c r="D179" s="135">
        <f>SUMIF('YEP Personnel Calc'!$H:$H,'YEP Summaries'!$A179,'YEP Personnel Calc'!AB:AB)</f>
        <v>1823.8007662835244</v>
      </c>
      <c r="E179" s="368">
        <f>ROUND(E116/'YEP Personnel Calc'!$AA$2*'YEP Personnel Calc'!$AB$2,0)</f>
        <v>2</v>
      </c>
      <c r="F179" s="135">
        <f>SUMIF('YEP Personnel Calc'!$H:$H,'YEP Summaries'!$A179,'YEP Personnel Calc'!AD:AD)</f>
        <v>0</v>
      </c>
      <c r="G179" s="135">
        <f>SUMIF('YEP Personnel Calc'!$H:$H,'YEP Summaries'!$A179,'YEP Personnel Calc'!AE:AE)</f>
        <v>0</v>
      </c>
      <c r="H179" s="135">
        <f>SUMIF('YEP Personnel Calc'!$H:$H,'YEP Summaries'!$A179,'YEP Personnel Calc'!AF:AF)</f>
        <v>0</v>
      </c>
      <c r="I179" s="135">
        <f>SUMIF('YEP Personnel Calc'!$H:$H,'YEP Summaries'!$A179,'YEP Personnel Calc'!AF:AF)</f>
        <v>0</v>
      </c>
      <c r="J179" s="135"/>
      <c r="K179" s="135">
        <f>SUMIF('YEP Personnel Calc'!$H:$H,'YEP Summaries'!$A179,'YEP Personnel Calc'!AG:AG)</f>
        <v>0</v>
      </c>
      <c r="L179" s="135">
        <f>SUMIF('YEP Personnel Calc'!$H:$H,'YEP Summaries'!$A179,'YEP Personnel Calc'!AH:AH)</f>
        <v>0</v>
      </c>
      <c r="M179" s="135">
        <f>SUMIF('YEP Personnel Calc'!$H:$H,'YEP Summaries'!$A179,'YEP Personnel Calc'!AI:AI)</f>
        <v>0</v>
      </c>
      <c r="N179" s="135">
        <f>SUMIF('YEP Personnel Calc'!$H:$H,'YEP Summaries'!$A179,'YEP Personnel Calc'!AK:AK)</f>
        <v>334.20651724137917</v>
      </c>
      <c r="O179" s="135">
        <f>SUMIF('YEP Personnel Calc'!$H:$H,'YEP Summaries'!$A179,'YEP Personnel Calc'!AL:AL)</f>
        <v>1866.2476393735835</v>
      </c>
      <c r="P179" s="135">
        <f>SUMIF('YEP Personnel Calc'!$H:$H,'YEP Summaries'!$A179,'YEP Personnel Calc'!AM:AM)</f>
        <v>0</v>
      </c>
      <c r="Q179" s="135">
        <f>SUMIF('YEP Personnel Calc'!$H:$H,'YEP Summaries'!$A179,'YEP Personnel Calc'!AN:AN)</f>
        <v>728.26439770114916</v>
      </c>
      <c r="R179" s="135">
        <f t="shared" si="22"/>
        <v>7254.2204700249231</v>
      </c>
    </row>
    <row r="180" spans="1:18">
      <c r="A180" s="130" t="s">
        <v>801</v>
      </c>
      <c r="B180" s="224" t="s">
        <v>148</v>
      </c>
      <c r="C180" s="135">
        <f>SUMIF('YEP Personnel Calc'!$H:$H,'YEP Summaries'!$A180,'YEP Personnel Calc'!AA:AA)</f>
        <v>0</v>
      </c>
      <c r="D180" s="135">
        <f>SUMIF('YEP Personnel Calc'!$H:$H,'YEP Summaries'!$A180,'YEP Personnel Calc'!AB:AB)</f>
        <v>2662.4597701149423</v>
      </c>
      <c r="E180" s="368">
        <f>ROUND(E117/'YEP Personnel Calc'!$AA$2*'YEP Personnel Calc'!$AB$2,0)</f>
        <v>38</v>
      </c>
      <c r="F180" s="135">
        <f>SUMIF('YEP Personnel Calc'!$H:$H,'YEP Summaries'!$A180,'YEP Personnel Calc'!AD:AD)</f>
        <v>0</v>
      </c>
      <c r="G180" s="135">
        <f>SUMIF('YEP Personnel Calc'!$H:$H,'YEP Summaries'!$A180,'YEP Personnel Calc'!AE:AE)</f>
        <v>0</v>
      </c>
      <c r="H180" s="135">
        <f>SUMIF('YEP Personnel Calc'!$H:$H,'YEP Summaries'!$A180,'YEP Personnel Calc'!AF:AF)</f>
        <v>0</v>
      </c>
      <c r="I180" s="135">
        <f>SUMIF('YEP Personnel Calc'!$H:$H,'YEP Summaries'!$A180,'YEP Personnel Calc'!AF:AF)</f>
        <v>0</v>
      </c>
      <c r="J180" s="135"/>
      <c r="K180" s="135">
        <f>SUMIF('YEP Personnel Calc'!$H:$H,'YEP Summaries'!$A180,'YEP Personnel Calc'!AG:AG)</f>
        <v>89.999999999999943</v>
      </c>
      <c r="L180" s="135">
        <f>SUMIF('YEP Personnel Calc'!$H:$H,'YEP Summaries'!$A180,'YEP Personnel Calc'!AH:AH)</f>
        <v>0</v>
      </c>
      <c r="M180" s="135">
        <f>SUMIF('YEP Personnel Calc'!$H:$H,'YEP Summaries'!$A180,'YEP Personnel Calc'!AI:AI)</f>
        <v>0</v>
      </c>
      <c r="N180" s="135">
        <f>SUMIF('YEP Personnel Calc'!$H:$H,'YEP Summaries'!$A180,'YEP Personnel Calc'!AK:AK)</f>
        <v>217.48041379310342</v>
      </c>
      <c r="O180" s="135">
        <f>SUMIF('YEP Personnel Calc'!$H:$H,'YEP Summaries'!$A180,'YEP Personnel Calc'!AL:AL)</f>
        <v>971.18169036981089</v>
      </c>
      <c r="P180" s="135">
        <f>SUMIF('YEP Personnel Calc'!$H:$H,'YEP Summaries'!$A180,'YEP Personnel Calc'!AM:AM)</f>
        <v>0</v>
      </c>
      <c r="Q180" s="135">
        <f>SUMIF('YEP Personnel Calc'!$H:$H,'YEP Summaries'!$A180,'YEP Personnel Calc'!AN:AN)</f>
        <v>473.90830038314169</v>
      </c>
      <c r="R180" s="135">
        <f t="shared" si="22"/>
        <v>4453.0301746609985</v>
      </c>
    </row>
    <row r="181" spans="1:18">
      <c r="A181" s="130" t="s">
        <v>802</v>
      </c>
      <c r="B181" s="224" t="s">
        <v>110</v>
      </c>
      <c r="C181" s="135">
        <f>SUMIF('YEP Personnel Calc'!$H:$H,'YEP Summaries'!$A181,'YEP Personnel Calc'!AA:AA)</f>
        <v>0</v>
      </c>
      <c r="D181" s="135">
        <f>SUMIF('YEP Personnel Calc'!$H:$H,'YEP Summaries'!$A181,'YEP Personnel Calc'!AB:AB)</f>
        <v>8602.2452107279678</v>
      </c>
      <c r="E181" s="368">
        <f>ROUND(E118/'YEP Personnel Calc'!$AA$2*'YEP Personnel Calc'!$AB$2,0)</f>
        <v>1026</v>
      </c>
      <c r="F181" s="135">
        <f>SUMIF('YEP Personnel Calc'!$H:$H,'YEP Summaries'!$A181,'YEP Personnel Calc'!AD:AD)</f>
        <v>0</v>
      </c>
      <c r="G181" s="135">
        <f>SUMIF('YEP Personnel Calc'!$H:$H,'YEP Summaries'!$A181,'YEP Personnel Calc'!AE:AE)</f>
        <v>0</v>
      </c>
      <c r="H181" s="135">
        <f>SUMIF('YEP Personnel Calc'!$H:$H,'YEP Summaries'!$A181,'YEP Personnel Calc'!AF:AF)</f>
        <v>0</v>
      </c>
      <c r="I181" s="135">
        <f>SUMIF('YEP Personnel Calc'!$H:$H,'YEP Summaries'!$A181,'YEP Personnel Calc'!AF:AF)</f>
        <v>0</v>
      </c>
      <c r="J181" s="135"/>
      <c r="K181" s="135">
        <f>SUMIF('YEP Personnel Calc'!$H:$H,'YEP Summaries'!$A181,'YEP Personnel Calc'!AG:AG)</f>
        <v>329.99999999999983</v>
      </c>
      <c r="L181" s="135">
        <f>SUMIF('YEP Personnel Calc'!$H:$H,'YEP Summaries'!$A181,'YEP Personnel Calc'!AH:AH)</f>
        <v>0</v>
      </c>
      <c r="M181" s="135">
        <f>SUMIF('YEP Personnel Calc'!$H:$H,'YEP Summaries'!$A181,'YEP Personnel Calc'!AI:AI)</f>
        <v>0</v>
      </c>
      <c r="N181" s="135">
        <f>SUMIF('YEP Personnel Calc'!$H:$H,'YEP Summaries'!$A181,'YEP Personnel Calc'!AK:AK)</f>
        <v>759.4064137931033</v>
      </c>
      <c r="O181" s="135">
        <f>SUMIF('YEP Personnel Calc'!$H:$H,'YEP Summaries'!$A181,'YEP Personnel Calc'!AL:AL)</f>
        <v>2770.18656842264</v>
      </c>
      <c r="P181" s="135">
        <f>SUMIF('YEP Personnel Calc'!$H:$H,'YEP Summaries'!$A181,'YEP Personnel Calc'!AM:AM)</f>
        <v>0</v>
      </c>
      <c r="Q181" s="135">
        <f>SUMIF('YEP Personnel Calc'!$H:$H,'YEP Summaries'!$A181,'YEP Personnel Calc'!AN:AN)</f>
        <v>1654.8111003831409</v>
      </c>
      <c r="R181" s="135">
        <f t="shared" si="22"/>
        <v>15142.649293326853</v>
      </c>
    </row>
    <row r="182" spans="1:18">
      <c r="A182" s="130" t="s">
        <v>803</v>
      </c>
      <c r="B182" s="224" t="s">
        <v>81</v>
      </c>
      <c r="C182" s="135">
        <f>SUMIF('YEP Personnel Calc'!$H:$H,'YEP Summaries'!$A182,'YEP Personnel Calc'!AA:AA)</f>
        <v>0</v>
      </c>
      <c r="D182" s="135">
        <f>SUMIF('YEP Personnel Calc'!$H:$H,'YEP Summaries'!$A182,'YEP Personnel Calc'!AB:AB)</f>
        <v>9215.7547892720286</v>
      </c>
      <c r="E182" s="368">
        <f>ROUND(E119/'YEP Personnel Calc'!$AA$2*'YEP Personnel Calc'!$AB$2,0)</f>
        <v>775</v>
      </c>
      <c r="F182" s="135">
        <f>SUMIF('YEP Personnel Calc'!$H:$H,'YEP Summaries'!$A182,'YEP Personnel Calc'!AD:AD)</f>
        <v>0</v>
      </c>
      <c r="G182" s="135">
        <f>SUMIF('YEP Personnel Calc'!$H:$H,'YEP Summaries'!$A182,'YEP Personnel Calc'!AE:AE)</f>
        <v>0</v>
      </c>
      <c r="H182" s="135">
        <f>SUMIF('YEP Personnel Calc'!$H:$H,'YEP Summaries'!$A182,'YEP Personnel Calc'!AF:AF)</f>
        <v>0</v>
      </c>
      <c r="I182" s="135">
        <f>SUMIF('YEP Personnel Calc'!$H:$H,'YEP Summaries'!$A182,'YEP Personnel Calc'!AF:AF)</f>
        <v>0</v>
      </c>
      <c r="J182" s="135"/>
      <c r="K182" s="135">
        <f>SUMIF('YEP Personnel Calc'!$H:$H,'YEP Summaries'!$A182,'YEP Personnel Calc'!AG:AG)</f>
        <v>184.99999999999989</v>
      </c>
      <c r="L182" s="135">
        <f>SUMIF('YEP Personnel Calc'!$H:$H,'YEP Summaries'!$A182,'YEP Personnel Calc'!AH:AH)</f>
        <v>0</v>
      </c>
      <c r="M182" s="135">
        <f>SUMIF('YEP Personnel Calc'!$H:$H,'YEP Summaries'!$A182,'YEP Personnel Calc'!AI:AI)</f>
        <v>0</v>
      </c>
      <c r="N182" s="135">
        <f>SUMIF('YEP Personnel Calc'!$H:$H,'YEP Summaries'!$A182,'YEP Personnel Calc'!AK:AK)</f>
        <v>834.32981034482737</v>
      </c>
      <c r="O182" s="135">
        <f>SUMIF('YEP Personnel Calc'!$H:$H,'YEP Summaries'!$A182,'YEP Personnel Calc'!AL:AL)</f>
        <v>3505.7153332001935</v>
      </c>
      <c r="P182" s="135">
        <f>SUMIF('YEP Personnel Calc'!$H:$H,'YEP Summaries'!$A182,'YEP Personnel Calc'!AM:AM)</f>
        <v>0</v>
      </c>
      <c r="Q182" s="135">
        <f>SUMIF('YEP Personnel Calc'!$H:$H,'YEP Summaries'!$A182,'YEP Personnel Calc'!AN:AN)</f>
        <v>1818.075547509578</v>
      </c>
      <c r="R182" s="135">
        <f t="shared" si="22"/>
        <v>16333.875480326626</v>
      </c>
    </row>
    <row r="183" spans="1:18">
      <c r="A183" s="130" t="s">
        <v>804</v>
      </c>
      <c r="B183" s="224" t="s">
        <v>110</v>
      </c>
      <c r="C183" s="135">
        <f>SUMIF('YEP Personnel Calc'!$H:$H,'YEP Summaries'!$A183,'YEP Personnel Calc'!AA:AA)</f>
        <v>0</v>
      </c>
      <c r="D183" s="135">
        <f>SUMIF('YEP Personnel Calc'!$H:$H,'YEP Summaries'!$A183,'YEP Personnel Calc'!AB:AB)</f>
        <v>11284.145593869727</v>
      </c>
      <c r="E183" s="368">
        <f>ROUND(E120/'YEP Personnel Calc'!$AA$2*'YEP Personnel Calc'!$AB$2,0)</f>
        <v>753</v>
      </c>
      <c r="F183" s="135">
        <f>SUMIF('YEP Personnel Calc'!$H:$H,'YEP Summaries'!$A183,'YEP Personnel Calc'!AD:AD)</f>
        <v>0</v>
      </c>
      <c r="G183" s="135">
        <f>SUMIF('YEP Personnel Calc'!$H:$H,'YEP Summaries'!$A183,'YEP Personnel Calc'!AE:AE)</f>
        <v>0</v>
      </c>
      <c r="H183" s="135">
        <f>SUMIF('YEP Personnel Calc'!$H:$H,'YEP Summaries'!$A183,'YEP Personnel Calc'!AF:AF)</f>
        <v>0</v>
      </c>
      <c r="I183" s="135">
        <f>SUMIF('YEP Personnel Calc'!$H:$H,'YEP Summaries'!$A183,'YEP Personnel Calc'!AF:AF)</f>
        <v>0</v>
      </c>
      <c r="J183" s="135"/>
      <c r="K183" s="135">
        <f>SUMIF('YEP Personnel Calc'!$H:$H,'YEP Summaries'!$A183,'YEP Personnel Calc'!AG:AG)</f>
        <v>139.99999999999991</v>
      </c>
      <c r="L183" s="135">
        <f>SUMIF('YEP Personnel Calc'!$H:$H,'YEP Summaries'!$A183,'YEP Personnel Calc'!AH:AH)</f>
        <v>0</v>
      </c>
      <c r="M183" s="135">
        <f>SUMIF('YEP Personnel Calc'!$H:$H,'YEP Summaries'!$A183,'YEP Personnel Calc'!AI:AI)</f>
        <v>0</v>
      </c>
      <c r="N183" s="135">
        <f>SUMIF('YEP Personnel Calc'!$H:$H,'YEP Summaries'!$A183,'YEP Personnel Calc'!AK:AK)</f>
        <v>960.41265517241345</v>
      </c>
      <c r="O183" s="135">
        <f>SUMIF('YEP Personnel Calc'!$H:$H,'YEP Summaries'!$A183,'YEP Personnel Calc'!AL:AL)</f>
        <v>5940.8722117584875</v>
      </c>
      <c r="P183" s="135">
        <f>SUMIF('YEP Personnel Calc'!$H:$H,'YEP Summaries'!$A183,'YEP Personnel Calc'!AM:AM)</f>
        <v>0</v>
      </c>
      <c r="Q183" s="135">
        <f>SUMIF('YEP Personnel Calc'!$H:$H,'YEP Summaries'!$A183,'YEP Personnel Calc'!AN:AN)</f>
        <v>2092.8207793103438</v>
      </c>
      <c r="R183" s="135">
        <f t="shared" si="22"/>
        <v>21171.251240110971</v>
      </c>
    </row>
    <row r="184" spans="1:18">
      <c r="A184" s="130" t="s">
        <v>805</v>
      </c>
      <c r="B184" s="224" t="s">
        <v>81</v>
      </c>
      <c r="C184" s="135">
        <f>SUMIF('YEP Personnel Calc'!$H:$H,'YEP Summaries'!$A184,'YEP Personnel Calc'!AA:AA)</f>
        <v>0</v>
      </c>
      <c r="D184" s="135">
        <f>SUMIF('YEP Personnel Calc'!$H:$H,'YEP Summaries'!$A184,'YEP Personnel Calc'!AB:AB)</f>
        <v>4711.8620689655163</v>
      </c>
      <c r="E184" s="368">
        <f>ROUND(E121/'YEP Personnel Calc'!$AA$2*'YEP Personnel Calc'!$AB$2,0)</f>
        <v>3</v>
      </c>
      <c r="F184" s="135">
        <f>SUMIF('YEP Personnel Calc'!$H:$H,'YEP Summaries'!$A184,'YEP Personnel Calc'!AD:AD)</f>
        <v>0</v>
      </c>
      <c r="G184" s="135">
        <f>SUMIF('YEP Personnel Calc'!$H:$H,'YEP Summaries'!$A184,'YEP Personnel Calc'!AE:AE)</f>
        <v>0</v>
      </c>
      <c r="H184" s="135">
        <f>SUMIF('YEP Personnel Calc'!$H:$H,'YEP Summaries'!$A184,'YEP Personnel Calc'!AF:AF)</f>
        <v>0</v>
      </c>
      <c r="I184" s="135">
        <f>SUMIF('YEP Personnel Calc'!$H:$H,'YEP Summaries'!$A184,'YEP Personnel Calc'!AF:AF)</f>
        <v>0</v>
      </c>
      <c r="J184" s="135"/>
      <c r="K184" s="135">
        <f>SUMIF('YEP Personnel Calc'!$H:$H,'YEP Summaries'!$A184,'YEP Personnel Calc'!AG:AG)</f>
        <v>0</v>
      </c>
      <c r="L184" s="135">
        <f>SUMIF('YEP Personnel Calc'!$H:$H,'YEP Summaries'!$A184,'YEP Personnel Calc'!AH:AH)</f>
        <v>0</v>
      </c>
      <c r="M184" s="135">
        <f>SUMIF('YEP Personnel Calc'!$H:$H,'YEP Summaries'!$A184,'YEP Personnel Calc'!AI:AI)</f>
        <v>0</v>
      </c>
      <c r="N184" s="135">
        <f>SUMIF('YEP Personnel Calc'!$H:$H,'YEP Summaries'!$A184,'YEP Personnel Calc'!AK:AK)</f>
        <v>363.91606896551718</v>
      </c>
      <c r="O184" s="135">
        <f>SUMIF('YEP Personnel Calc'!$H:$H,'YEP Summaries'!$A184,'YEP Personnel Calc'!AL:AL)</f>
        <v>1000.6291384830183</v>
      </c>
      <c r="P184" s="135">
        <f>SUMIF('YEP Personnel Calc'!$H:$H,'YEP Summaries'!$A184,'YEP Personnel Calc'!AM:AM)</f>
        <v>0</v>
      </c>
      <c r="Q184" s="135">
        <f>SUMIF('YEP Personnel Calc'!$H:$H,'YEP Summaries'!$A184,'YEP Personnel Calc'!AN:AN)</f>
        <v>793.00403524904186</v>
      </c>
      <c r="R184" s="135">
        <f t="shared" ref="R184:R185" si="23">SUM(C184:Q184)</f>
        <v>6872.4113116630942</v>
      </c>
    </row>
    <row r="185" spans="1:18">
      <c r="A185" s="130"/>
      <c r="B185" s="224" t="s">
        <v>110</v>
      </c>
      <c r="C185" s="135">
        <f>SUMIF('YEP Personnel Calc'!$H:$H,'YEP Summaries'!$A185,'YEP Personnel Calc'!AA:AA)</f>
        <v>0</v>
      </c>
      <c r="D185" s="135">
        <f>SUMIF('YEP Personnel Calc'!$H:$H,'YEP Summaries'!$A185,'YEP Personnel Calc'!AB:AB)</f>
        <v>0</v>
      </c>
      <c r="E185" s="368">
        <f>ROUND(E122/'YEP Personnel Calc'!$AA$2*'YEP Personnel Calc'!$AB$2,0)</f>
        <v>0</v>
      </c>
      <c r="F185" s="135">
        <f>SUMIF('YEP Personnel Calc'!$H:$H,'YEP Summaries'!$A185,'YEP Personnel Calc'!AD:AD)</f>
        <v>0</v>
      </c>
      <c r="G185" s="135">
        <f>SUMIF('YEP Personnel Calc'!$H:$H,'YEP Summaries'!$A185,'YEP Personnel Calc'!AE:AE)</f>
        <v>0</v>
      </c>
      <c r="H185" s="135">
        <f>SUMIF('YEP Personnel Calc'!$H:$H,'YEP Summaries'!$A185,'YEP Personnel Calc'!AF:AF)</f>
        <v>0</v>
      </c>
      <c r="I185" s="135">
        <f>SUMIF('YEP Personnel Calc'!$H:$H,'YEP Summaries'!$A185,'YEP Personnel Calc'!AF:AF)</f>
        <v>0</v>
      </c>
      <c r="J185" s="135"/>
      <c r="K185" s="135">
        <f>SUMIF('YEP Personnel Calc'!$H:$H,'YEP Summaries'!$A185,'YEP Personnel Calc'!AG:AG)</f>
        <v>28695.167999999976</v>
      </c>
      <c r="L185" s="135">
        <f>SUMIF('YEP Personnel Calc'!$H:$H,'YEP Summaries'!$A185,'YEP Personnel Calc'!AH:AH)</f>
        <v>0</v>
      </c>
      <c r="M185" s="135">
        <f>SUMIF('YEP Personnel Calc'!$H:$H,'YEP Summaries'!$A185,'YEP Personnel Calc'!AI:AI)</f>
        <v>0</v>
      </c>
      <c r="N185" s="135">
        <f>SUMIF('YEP Personnel Calc'!$H:$H,'YEP Summaries'!$A185,'YEP Personnel Calc'!AK:AK)</f>
        <v>1265.4778607816083</v>
      </c>
      <c r="O185" s="135">
        <f>SUMIF('YEP Personnel Calc'!$H:$H,'YEP Summaries'!$A185,'YEP Personnel Calc'!AL:AL)</f>
        <v>51080.970244151897</v>
      </c>
      <c r="P185" s="135">
        <f>SUMIF('YEP Personnel Calc'!$H:$H,'YEP Summaries'!$A185,'YEP Personnel Calc'!AM:AM)</f>
        <v>0</v>
      </c>
      <c r="Q185" s="135">
        <f>SUMIF('YEP Personnel Calc'!$H:$H,'YEP Summaries'!$A185,'YEP Personnel Calc'!AN:AN)</f>
        <v>4285.8810047999959</v>
      </c>
      <c r="R185" s="135">
        <f t="shared" si="23"/>
        <v>85327.497109733478</v>
      </c>
    </row>
    <row r="186" spans="1:18">
      <c r="A186" s="130"/>
      <c r="B186" s="224"/>
      <c r="C186" s="135"/>
      <c r="D186" s="135"/>
      <c r="E186" s="368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1:18">
      <c r="A187" s="130"/>
    </row>
    <row r="188" spans="1:18">
      <c r="A188" s="130" t="s">
        <v>798</v>
      </c>
      <c r="C188" s="135">
        <f>SUMIF('YEP Personnel Calc'!$H:$H,'YEP Summaries'!$A188,'YEP Personnel Calc'!AA:AA)</f>
        <v>0</v>
      </c>
      <c r="D188" s="135">
        <f>SUMIF('YEP Personnel Calc'!$H:$H,'YEP Summaries'!$A188,'YEP Personnel Calc'!AB:AB)</f>
        <v>7457.0574712643665</v>
      </c>
      <c r="E188" s="368">
        <f>ROUND(E125/'YEP Personnel Calc'!$AA$2*'YEP Personnel Calc'!$AB$2,0)</f>
        <v>1046</v>
      </c>
      <c r="F188" s="135">
        <f>SUMIF('YEP Personnel Calc'!$H:$H,'YEP Summaries'!$A188,'YEP Personnel Calc'!AD:AD)</f>
        <v>0</v>
      </c>
      <c r="G188" s="135">
        <f>SUMIF('YEP Personnel Calc'!$H:$H,'YEP Summaries'!$A188,'YEP Personnel Calc'!AE:AE)</f>
        <v>0</v>
      </c>
      <c r="H188" s="135">
        <f>SUMIF('YEP Personnel Calc'!$H:$H,'YEP Summaries'!$A188,'YEP Personnel Calc'!AF:AF)</f>
        <v>0</v>
      </c>
      <c r="I188" s="135">
        <f>SUMIF('YEP Personnel Calc'!$H:$H,'YEP Summaries'!$A188,'YEP Personnel Calc'!AF:AF)</f>
        <v>0</v>
      </c>
      <c r="J188" s="135"/>
      <c r="K188" s="135">
        <f>SUMIF('YEP Personnel Calc'!$H:$H,'YEP Summaries'!$A188,'YEP Personnel Calc'!AG:AG)</f>
        <v>0</v>
      </c>
      <c r="L188" s="135">
        <f>SUMIF('YEP Personnel Calc'!$H:$H,'YEP Summaries'!$A188,'YEP Personnel Calc'!AH:AH)</f>
        <v>0</v>
      </c>
      <c r="M188" s="135">
        <f>SUMIF('YEP Personnel Calc'!$H:$H,'YEP Summaries'!$A188,'YEP Personnel Calc'!AI:AI)</f>
        <v>0</v>
      </c>
      <c r="N188" s="135">
        <f>SUMIF('YEP Personnel Calc'!$H:$H,'YEP Summaries'!$A188,'YEP Personnel Calc'!AK:AK)</f>
        <v>674.22351724137911</v>
      </c>
      <c r="O188" s="135">
        <f>SUMIF('YEP Personnel Calc'!$H:$H,'YEP Summaries'!$A188,'YEP Personnel Calc'!AL:AL)</f>
        <v>2022.6232945811305</v>
      </c>
      <c r="P188" s="135">
        <f>SUMIF('YEP Personnel Calc'!$H:$H,'YEP Summaries'!$A188,'YEP Personnel Calc'!AM:AM)</f>
        <v>0</v>
      </c>
      <c r="Q188" s="135">
        <f>SUMIF('YEP Personnel Calc'!$H:$H,'YEP Summaries'!$A188,'YEP Personnel Calc'!AN:AN)</f>
        <v>1469.1903310344821</v>
      </c>
      <c r="R188" s="135">
        <f t="shared" ref="R188" si="24">SUM(C188:Q188)</f>
        <v>12669.094614121357</v>
      </c>
    </row>
    <row r="189" spans="1:18">
      <c r="A189" s="130"/>
    </row>
    <row r="190" spans="1:18">
      <c r="A190" s="130"/>
      <c r="B190" s="224"/>
      <c r="C190" s="135"/>
      <c r="D190" s="135"/>
      <c r="E190" s="368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1:18">
      <c r="A191" s="130"/>
    </row>
    <row r="192" spans="1:18">
      <c r="A192" s="130"/>
    </row>
    <row r="193" spans="1:19" ht="16.2" thickBot="1">
      <c r="A193" s="130"/>
    </row>
    <row r="194" spans="1:19" ht="16.2" thickBot="1">
      <c r="A194" s="130"/>
      <c r="C194" s="140" t="s">
        <v>329</v>
      </c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245"/>
    </row>
    <row r="195" spans="1:19">
      <c r="A195" s="13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1:19">
      <c r="A196" s="130" t="s">
        <v>759</v>
      </c>
      <c r="C196" s="135">
        <f t="shared" ref="C196:Q196" si="25">C70+C133</f>
        <v>247769.29141762451</v>
      </c>
      <c r="D196" s="135">
        <f t="shared" si="25"/>
        <v>48873.494022988503</v>
      </c>
      <c r="E196" s="135">
        <f t="shared" si="25"/>
        <v>1413.9</v>
      </c>
      <c r="F196" s="135">
        <f t="shared" si="25"/>
        <v>0</v>
      </c>
      <c r="G196" s="135">
        <f t="shared" si="25"/>
        <v>2450</v>
      </c>
      <c r="H196" s="135">
        <f t="shared" ref="H196" si="26">H70+H133</f>
        <v>0</v>
      </c>
      <c r="I196" s="135">
        <f t="shared" si="25"/>
        <v>0</v>
      </c>
      <c r="J196" s="135">
        <f t="shared" si="25"/>
        <v>0</v>
      </c>
      <c r="K196" s="135">
        <f t="shared" si="25"/>
        <v>0</v>
      </c>
      <c r="L196" s="135">
        <f t="shared" si="25"/>
        <v>2976</v>
      </c>
      <c r="M196" s="135">
        <f t="shared" si="25"/>
        <v>0</v>
      </c>
      <c r="N196" s="135">
        <f t="shared" si="25"/>
        <v>18685.646586206894</v>
      </c>
      <c r="O196" s="135">
        <f t="shared" si="25"/>
        <v>34493.120556724527</v>
      </c>
      <c r="P196" s="135">
        <f t="shared" si="25"/>
        <v>591.51</v>
      </c>
      <c r="Q196" s="135">
        <f t="shared" si="25"/>
        <v>52896.021632950193</v>
      </c>
      <c r="R196" s="135">
        <f>SUM(C196:Q196)</f>
        <v>410148.98421649466</v>
      </c>
    </row>
    <row r="197" spans="1:19">
      <c r="A197" s="130" t="s">
        <v>760</v>
      </c>
      <c r="C197" s="135">
        <f t="shared" ref="C197:Q197" si="27">C71+C134</f>
        <v>0</v>
      </c>
      <c r="D197" s="135">
        <f t="shared" si="27"/>
        <v>0</v>
      </c>
      <c r="E197" s="135">
        <f t="shared" si="27"/>
        <v>0</v>
      </c>
      <c r="F197" s="135">
        <f t="shared" si="27"/>
        <v>0</v>
      </c>
      <c r="G197" s="135">
        <f t="shared" si="27"/>
        <v>0</v>
      </c>
      <c r="H197" s="135">
        <f t="shared" ref="H197" si="28">H71+H134</f>
        <v>0</v>
      </c>
      <c r="I197" s="135">
        <f t="shared" si="27"/>
        <v>0</v>
      </c>
      <c r="J197" s="135">
        <f t="shared" si="27"/>
        <v>0</v>
      </c>
      <c r="K197" s="135">
        <f t="shared" si="27"/>
        <v>0</v>
      </c>
      <c r="L197" s="135">
        <f t="shared" si="27"/>
        <v>0</v>
      </c>
      <c r="M197" s="135">
        <f t="shared" si="27"/>
        <v>0</v>
      </c>
      <c r="N197" s="135">
        <f t="shared" si="27"/>
        <v>0</v>
      </c>
      <c r="O197" s="135">
        <f t="shared" si="27"/>
        <v>0</v>
      </c>
      <c r="P197" s="135">
        <f t="shared" si="27"/>
        <v>23.98</v>
      </c>
      <c r="Q197" s="135">
        <f t="shared" si="27"/>
        <v>0</v>
      </c>
      <c r="R197" s="135">
        <f t="shared" ref="R197:R224" si="29">SUM(C197:Q197)</f>
        <v>23.98</v>
      </c>
    </row>
    <row r="198" spans="1:19">
      <c r="A198" s="130" t="s">
        <v>761</v>
      </c>
      <c r="C198" s="135">
        <f t="shared" ref="C198:Q198" si="30">C72+C135</f>
        <v>171301.16256704982</v>
      </c>
      <c r="D198" s="135">
        <f t="shared" si="30"/>
        <v>0</v>
      </c>
      <c r="E198" s="135">
        <f t="shared" si="30"/>
        <v>0</v>
      </c>
      <c r="F198" s="135">
        <f t="shared" si="30"/>
        <v>0</v>
      </c>
      <c r="G198" s="135">
        <f t="shared" si="30"/>
        <v>655</v>
      </c>
      <c r="H198" s="135">
        <f t="shared" ref="H198" si="31">H72+H135</f>
        <v>0</v>
      </c>
      <c r="I198" s="135">
        <f t="shared" si="30"/>
        <v>0</v>
      </c>
      <c r="J198" s="135">
        <f t="shared" si="30"/>
        <v>0</v>
      </c>
      <c r="K198" s="135">
        <f t="shared" si="30"/>
        <v>0</v>
      </c>
      <c r="L198" s="135">
        <f t="shared" si="30"/>
        <v>0</v>
      </c>
      <c r="M198" s="135">
        <f t="shared" si="30"/>
        <v>0</v>
      </c>
      <c r="N198" s="135">
        <f>N72+N135</f>
        <v>12323.90424137931</v>
      </c>
      <c r="O198" s="135">
        <f t="shared" si="30"/>
        <v>30968.292197577361</v>
      </c>
      <c r="P198" s="135">
        <f t="shared" si="30"/>
        <v>254.79</v>
      </c>
      <c r="Q198" s="135">
        <f t="shared" si="30"/>
        <v>28618.762078927204</v>
      </c>
      <c r="R198" s="135">
        <f>SUM(C198:Q198)</f>
        <v>244121.91108493373</v>
      </c>
    </row>
    <row r="199" spans="1:19">
      <c r="A199" s="130" t="s">
        <v>762</v>
      </c>
      <c r="C199" s="135">
        <f t="shared" ref="C199:P199" si="32">C73+C136</f>
        <v>129609.44229885057</v>
      </c>
      <c r="D199" s="135">
        <f t="shared" si="32"/>
        <v>0</v>
      </c>
      <c r="E199" s="135">
        <f t="shared" si="32"/>
        <v>0</v>
      </c>
      <c r="F199" s="135">
        <f t="shared" si="32"/>
        <v>0</v>
      </c>
      <c r="G199" s="135">
        <f t="shared" si="32"/>
        <v>820</v>
      </c>
      <c r="H199" s="135">
        <f t="shared" ref="H199" si="33">H73+H136</f>
        <v>0</v>
      </c>
      <c r="I199" s="135">
        <f t="shared" si="32"/>
        <v>0</v>
      </c>
      <c r="J199" s="135">
        <f t="shared" si="32"/>
        <v>0</v>
      </c>
      <c r="K199" s="135">
        <f t="shared" si="32"/>
        <v>0</v>
      </c>
      <c r="L199" s="135">
        <f t="shared" si="32"/>
        <v>0</v>
      </c>
      <c r="M199" s="135">
        <f t="shared" si="32"/>
        <v>0</v>
      </c>
      <c r="N199" s="135">
        <f t="shared" si="32"/>
        <v>9037.3852758620687</v>
      </c>
      <c r="O199" s="135">
        <f t="shared" si="32"/>
        <v>24883.201610317174</v>
      </c>
      <c r="P199" s="135">
        <f t="shared" si="32"/>
        <v>240.81</v>
      </c>
      <c r="Q199" s="135">
        <f>Q73+Q136</f>
        <v>21829.17016321839</v>
      </c>
      <c r="R199" s="135">
        <f t="shared" si="29"/>
        <v>186420.00934824819</v>
      </c>
    </row>
    <row r="200" spans="1:19">
      <c r="A200" s="130" t="s">
        <v>763</v>
      </c>
      <c r="C200" s="135">
        <f t="shared" ref="C200:Q200" si="34">C74+C137</f>
        <v>0</v>
      </c>
      <c r="D200" s="135">
        <f t="shared" si="34"/>
        <v>0</v>
      </c>
      <c r="E200" s="135">
        <f t="shared" si="34"/>
        <v>0</v>
      </c>
      <c r="F200" s="135">
        <f t="shared" si="34"/>
        <v>0</v>
      </c>
      <c r="G200" s="135">
        <f t="shared" si="34"/>
        <v>0</v>
      </c>
      <c r="H200" s="135">
        <f t="shared" ref="H200" si="35">H74+H137</f>
        <v>0</v>
      </c>
      <c r="I200" s="135">
        <f t="shared" si="34"/>
        <v>0</v>
      </c>
      <c r="J200" s="135">
        <f t="shared" si="34"/>
        <v>0</v>
      </c>
      <c r="K200" s="135">
        <f t="shared" si="34"/>
        <v>0</v>
      </c>
      <c r="L200" s="135">
        <f t="shared" si="34"/>
        <v>0</v>
      </c>
      <c r="M200" s="135">
        <f t="shared" si="34"/>
        <v>0</v>
      </c>
      <c r="N200" s="135">
        <f t="shared" si="34"/>
        <v>0</v>
      </c>
      <c r="O200" s="135">
        <f t="shared" si="34"/>
        <v>0</v>
      </c>
      <c r="P200" s="135">
        <f t="shared" si="34"/>
        <v>277.77</v>
      </c>
      <c r="Q200" s="135">
        <f t="shared" si="34"/>
        <v>0</v>
      </c>
      <c r="R200" s="135">
        <f t="shared" si="29"/>
        <v>277.77</v>
      </c>
    </row>
    <row r="201" spans="1:19">
      <c r="A201" s="130" t="s">
        <v>764</v>
      </c>
      <c r="C201" s="135">
        <f t="shared" ref="C201:Q201" si="36">C75+C138</f>
        <v>87190.89</v>
      </c>
      <c r="D201" s="135">
        <f t="shared" si="36"/>
        <v>81938.78</v>
      </c>
      <c r="E201" s="135">
        <f t="shared" si="36"/>
        <v>914.34</v>
      </c>
      <c r="F201" s="135">
        <f t="shared" si="36"/>
        <v>0</v>
      </c>
      <c r="G201" s="135">
        <f t="shared" si="36"/>
        <v>2015</v>
      </c>
      <c r="H201" s="135">
        <f t="shared" ref="H201" si="37">H75+H138</f>
        <v>0</v>
      </c>
      <c r="I201" s="135">
        <f t="shared" si="36"/>
        <v>0</v>
      </c>
      <c r="J201" s="135">
        <f t="shared" si="36"/>
        <v>0</v>
      </c>
      <c r="K201" s="135">
        <f t="shared" si="36"/>
        <v>0</v>
      </c>
      <c r="L201" s="135">
        <f t="shared" si="36"/>
        <v>0</v>
      </c>
      <c r="M201" s="135">
        <f t="shared" si="36"/>
        <v>0</v>
      </c>
      <c r="N201" s="135">
        <f t="shared" si="36"/>
        <v>12854.27</v>
      </c>
      <c r="O201" s="135">
        <f t="shared" si="36"/>
        <v>32323.39</v>
      </c>
      <c r="P201" s="135">
        <f t="shared" si="36"/>
        <v>3542.11</v>
      </c>
      <c r="Q201" s="135">
        <f t="shared" si="36"/>
        <v>28974.22</v>
      </c>
      <c r="R201" s="135">
        <f t="shared" si="29"/>
        <v>249752.99999999997</v>
      </c>
    </row>
    <row r="202" spans="1:19">
      <c r="A202" s="130" t="s">
        <v>765</v>
      </c>
      <c r="C202" s="135">
        <f t="shared" ref="C202:Q202" si="38">C76+C139</f>
        <v>574008.92160919541</v>
      </c>
      <c r="D202" s="135">
        <f t="shared" si="38"/>
        <v>47660.997471264367</v>
      </c>
      <c r="E202" s="135">
        <f t="shared" si="38"/>
        <v>267</v>
      </c>
      <c r="F202" s="135">
        <f t="shared" si="38"/>
        <v>0</v>
      </c>
      <c r="G202" s="135">
        <f t="shared" si="38"/>
        <v>3800</v>
      </c>
      <c r="H202" s="135">
        <f t="shared" ref="H202" si="39">H76+H139</f>
        <v>0</v>
      </c>
      <c r="I202" s="135">
        <f t="shared" si="38"/>
        <v>0</v>
      </c>
      <c r="J202" s="135">
        <f t="shared" si="38"/>
        <v>0</v>
      </c>
      <c r="K202" s="135">
        <f t="shared" si="38"/>
        <v>0</v>
      </c>
      <c r="L202" s="135">
        <f t="shared" si="38"/>
        <v>0</v>
      </c>
      <c r="M202" s="135">
        <f t="shared" si="38"/>
        <v>0</v>
      </c>
      <c r="N202" s="135">
        <f t="shared" si="38"/>
        <v>46315.578689655173</v>
      </c>
      <c r="O202" s="135">
        <f t="shared" si="38"/>
        <v>112214.36601910942</v>
      </c>
      <c r="P202" s="135">
        <f t="shared" si="38"/>
        <v>896.26</v>
      </c>
      <c r="Q202" s="135">
        <f t="shared" si="38"/>
        <v>104578.53497471265</v>
      </c>
      <c r="R202" s="135">
        <f t="shared" si="29"/>
        <v>889741.65876393695</v>
      </c>
    </row>
    <row r="203" spans="1:19">
      <c r="A203" s="130" t="s">
        <v>767</v>
      </c>
      <c r="C203" s="135">
        <f t="shared" ref="C203:Q203" si="40">C77+C140</f>
        <v>168722.01061302683</v>
      </c>
      <c r="D203" s="135">
        <f t="shared" si="40"/>
        <v>0</v>
      </c>
      <c r="E203" s="135">
        <f t="shared" si="40"/>
        <v>0</v>
      </c>
      <c r="F203" s="135">
        <f t="shared" si="40"/>
        <v>527.15708812260527</v>
      </c>
      <c r="G203" s="135">
        <f t="shared" si="40"/>
        <v>555</v>
      </c>
      <c r="H203" s="135">
        <f t="shared" ref="H203" si="41">H77+H140</f>
        <v>0</v>
      </c>
      <c r="I203" s="135">
        <f t="shared" si="40"/>
        <v>0</v>
      </c>
      <c r="J203" s="135">
        <f t="shared" si="40"/>
        <v>0</v>
      </c>
      <c r="K203" s="135">
        <f t="shared" si="40"/>
        <v>0</v>
      </c>
      <c r="L203" s="135">
        <f t="shared" si="40"/>
        <v>4584</v>
      </c>
      <c r="M203" s="135">
        <f t="shared" si="40"/>
        <v>0</v>
      </c>
      <c r="N203" s="135">
        <f t="shared" si="40"/>
        <v>12339.979724137931</v>
      </c>
      <c r="O203" s="135">
        <f t="shared" si="40"/>
        <v>36125.800591871703</v>
      </c>
      <c r="P203" s="135">
        <f t="shared" si="40"/>
        <v>296.76</v>
      </c>
      <c r="Q203" s="135">
        <f t="shared" si="40"/>
        <v>29101.63575019157</v>
      </c>
      <c r="R203" s="135">
        <f>SUM(C203:Q203)</f>
        <v>252252.34376735063</v>
      </c>
    </row>
    <row r="204" spans="1:19">
      <c r="A204" s="516" t="s">
        <v>766</v>
      </c>
      <c r="C204" s="135">
        <f t="shared" ref="C204:Q204" si="42">C78+C141</f>
        <v>294741.8</v>
      </c>
      <c r="D204" s="135">
        <f t="shared" si="42"/>
        <v>42102.962145593869</v>
      </c>
      <c r="E204" s="135">
        <f t="shared" si="42"/>
        <v>0</v>
      </c>
      <c r="F204" s="135">
        <f t="shared" si="42"/>
        <v>1272.6819923371643</v>
      </c>
      <c r="G204" s="135">
        <f t="shared" si="42"/>
        <v>1425</v>
      </c>
      <c r="H204" s="135">
        <f t="shared" ref="H204" si="43">H78+H141</f>
        <v>0</v>
      </c>
      <c r="I204" s="135">
        <f t="shared" si="42"/>
        <v>0</v>
      </c>
      <c r="J204" s="135">
        <f t="shared" si="42"/>
        <v>0</v>
      </c>
      <c r="K204" s="135">
        <f t="shared" si="42"/>
        <v>0</v>
      </c>
      <c r="L204" s="135">
        <f t="shared" si="42"/>
        <v>0</v>
      </c>
      <c r="M204" s="135">
        <f t="shared" si="42"/>
        <v>0</v>
      </c>
      <c r="N204" s="135">
        <f t="shared" si="42"/>
        <v>26601.523206896552</v>
      </c>
      <c r="O204" s="135">
        <f t="shared" si="42"/>
        <v>83296.533050211321</v>
      </c>
      <c r="P204" s="135">
        <f t="shared" si="42"/>
        <v>547.54999999999995</v>
      </c>
      <c r="Q204" s="135">
        <f t="shared" si="42"/>
        <v>56409.255239846745</v>
      </c>
      <c r="R204" s="135">
        <f t="shared" si="29"/>
        <v>506397.30563488568</v>
      </c>
      <c r="S204" s="129">
        <v>71647</v>
      </c>
    </row>
    <row r="205" spans="1:19">
      <c r="A205" s="516" t="s">
        <v>768</v>
      </c>
      <c r="C205" s="135">
        <f t="shared" ref="C205:Q205" si="44">C79+C142</f>
        <v>222017.39</v>
      </c>
      <c r="D205" s="135">
        <f t="shared" si="44"/>
        <v>38163.977931034482</v>
      </c>
      <c r="E205" s="515">
        <f t="shared" si="44"/>
        <v>190.44</v>
      </c>
      <c r="F205" s="135">
        <f t="shared" si="44"/>
        <v>0</v>
      </c>
      <c r="G205" s="135">
        <f t="shared" si="44"/>
        <v>660</v>
      </c>
      <c r="H205" s="135">
        <f t="shared" ref="H205" si="45">H79+H142</f>
        <v>0</v>
      </c>
      <c r="I205" s="135">
        <f t="shared" si="44"/>
        <v>0</v>
      </c>
      <c r="J205" s="135">
        <f t="shared" si="44"/>
        <v>0</v>
      </c>
      <c r="K205" s="135">
        <f t="shared" si="44"/>
        <v>0</v>
      </c>
      <c r="L205" s="135">
        <f t="shared" si="44"/>
        <v>4584</v>
      </c>
      <c r="M205" s="135">
        <f t="shared" si="44"/>
        <v>0</v>
      </c>
      <c r="N205" s="135">
        <f t="shared" si="44"/>
        <v>19834.814551724136</v>
      </c>
      <c r="O205" s="135">
        <f t="shared" si="44"/>
        <v>35687.37150769811</v>
      </c>
      <c r="P205" s="135">
        <f t="shared" si="44"/>
        <v>546.54999999999995</v>
      </c>
      <c r="Q205" s="135">
        <f t="shared" si="44"/>
        <v>44127.776193103447</v>
      </c>
      <c r="R205" s="135">
        <f t="shared" si="29"/>
        <v>365812.32018356014</v>
      </c>
    </row>
    <row r="206" spans="1:19">
      <c r="A206" s="130" t="s">
        <v>769</v>
      </c>
      <c r="C206" s="135">
        <f t="shared" ref="C206:Q206" si="46">C80+C143</f>
        <v>57342.17</v>
      </c>
      <c r="D206" s="135">
        <f t="shared" si="46"/>
        <v>170817.47</v>
      </c>
      <c r="E206" s="135">
        <f t="shared" si="46"/>
        <v>1170.53</v>
      </c>
      <c r="F206" s="135">
        <f t="shared" si="46"/>
        <v>0</v>
      </c>
      <c r="G206" s="135">
        <f t="shared" si="46"/>
        <v>1050</v>
      </c>
      <c r="H206" s="135">
        <f t="shared" ref="H206" si="47">H80+H143</f>
        <v>0</v>
      </c>
      <c r="I206" s="135">
        <f t="shared" si="46"/>
        <v>0</v>
      </c>
      <c r="J206" s="135">
        <f t="shared" si="46"/>
        <v>0</v>
      </c>
      <c r="K206" s="135">
        <f t="shared" si="46"/>
        <v>0</v>
      </c>
      <c r="L206" s="135">
        <f t="shared" si="46"/>
        <v>0</v>
      </c>
      <c r="M206" s="135">
        <f t="shared" si="46"/>
        <v>0</v>
      </c>
      <c r="N206" s="135">
        <f t="shared" si="46"/>
        <v>17169.669999999998</v>
      </c>
      <c r="O206" s="135">
        <f t="shared" si="46"/>
        <v>51825.33</v>
      </c>
      <c r="P206" s="135">
        <f t="shared" si="46"/>
        <v>426.65</v>
      </c>
      <c r="Q206" s="135">
        <f t="shared" si="46"/>
        <v>38215.53</v>
      </c>
      <c r="R206" s="135">
        <f t="shared" si="29"/>
        <v>338017.35000000009</v>
      </c>
    </row>
    <row r="207" spans="1:19">
      <c r="A207" s="130" t="s">
        <v>770</v>
      </c>
      <c r="C207" s="135">
        <f t="shared" ref="C207:Q207" si="48">C81+C144</f>
        <v>77676.639999999999</v>
      </c>
      <c r="D207" s="135">
        <f t="shared" si="48"/>
        <v>108216.59141762451</v>
      </c>
      <c r="E207" s="135">
        <f t="shared" si="48"/>
        <v>1141.3</v>
      </c>
      <c r="F207" s="135">
        <f t="shared" si="48"/>
        <v>0</v>
      </c>
      <c r="G207" s="135">
        <f t="shared" si="48"/>
        <v>3020</v>
      </c>
      <c r="H207" s="135">
        <f t="shared" ref="H207" si="49">H81+H144</f>
        <v>0</v>
      </c>
      <c r="I207" s="135">
        <f t="shared" si="48"/>
        <v>0</v>
      </c>
      <c r="J207" s="135">
        <f t="shared" si="48"/>
        <v>0</v>
      </c>
      <c r="K207" s="135">
        <f t="shared" si="48"/>
        <v>0</v>
      </c>
      <c r="L207" s="135">
        <f t="shared" si="48"/>
        <v>0</v>
      </c>
      <c r="M207" s="135">
        <f t="shared" si="48"/>
        <v>0</v>
      </c>
      <c r="N207" s="135">
        <f t="shared" si="48"/>
        <v>13276.583103448274</v>
      </c>
      <c r="O207" s="135">
        <f t="shared" si="48"/>
        <v>44185.657405124526</v>
      </c>
      <c r="P207" s="135">
        <f t="shared" si="48"/>
        <v>620.5</v>
      </c>
      <c r="Q207" s="135">
        <f t="shared" si="48"/>
        <v>31722.972697318008</v>
      </c>
      <c r="R207" s="135">
        <f t="shared" si="29"/>
        <v>279860.24462351529</v>
      </c>
    </row>
    <row r="208" spans="1:19">
      <c r="A208" s="130" t="s">
        <v>771</v>
      </c>
      <c r="C208" s="135">
        <f>C82+C145</f>
        <v>282851.67</v>
      </c>
      <c r="D208" s="135">
        <f t="shared" ref="D208:Q208" si="50">D82+D145</f>
        <v>83121.69</v>
      </c>
      <c r="E208" s="135">
        <f t="shared" si="50"/>
        <v>1535.5</v>
      </c>
      <c r="F208" s="135">
        <f t="shared" si="50"/>
        <v>0</v>
      </c>
      <c r="G208" s="135">
        <f t="shared" si="50"/>
        <v>2926.5</v>
      </c>
      <c r="H208" s="135">
        <f t="shared" ref="H208" si="51">H82+H145</f>
        <v>0</v>
      </c>
      <c r="I208" s="135">
        <f t="shared" si="50"/>
        <v>0</v>
      </c>
      <c r="J208" s="135">
        <f t="shared" si="50"/>
        <v>0</v>
      </c>
      <c r="K208" s="135">
        <f t="shared" si="50"/>
        <v>2292</v>
      </c>
      <c r="L208" s="135">
        <f t="shared" si="50"/>
        <v>0</v>
      </c>
      <c r="M208" s="135">
        <f t="shared" si="50"/>
        <v>0</v>
      </c>
      <c r="N208" s="135">
        <f t="shared" si="50"/>
        <v>26572.76</v>
      </c>
      <c r="O208" s="135">
        <f t="shared" si="50"/>
        <v>57144.77</v>
      </c>
      <c r="P208" s="135">
        <f t="shared" si="50"/>
        <v>5282.68</v>
      </c>
      <c r="Q208" s="135">
        <f t="shared" si="50"/>
        <v>62020.04</v>
      </c>
      <c r="R208" s="135">
        <f t="shared" si="29"/>
        <v>523747.61</v>
      </c>
    </row>
    <row r="209" spans="1:18">
      <c r="A209" s="516" t="s">
        <v>772</v>
      </c>
      <c r="C209" s="135">
        <f t="shared" ref="C209:Q209" si="52">C83+C146</f>
        <v>104572.68</v>
      </c>
      <c r="D209" s="135">
        <f t="shared" si="52"/>
        <v>4178007.7577777775</v>
      </c>
      <c r="E209" s="135">
        <f t="shared" si="52"/>
        <v>347404.39</v>
      </c>
      <c r="F209" s="135">
        <f t="shared" si="52"/>
        <v>0</v>
      </c>
      <c r="G209" s="135">
        <f t="shared" si="52"/>
        <v>27000</v>
      </c>
      <c r="H209" s="135">
        <f t="shared" ref="H209" si="53">H83+H146</f>
        <v>0</v>
      </c>
      <c r="I209" s="135">
        <f t="shared" si="52"/>
        <v>0</v>
      </c>
      <c r="J209" s="135">
        <f t="shared" si="52"/>
        <v>0</v>
      </c>
      <c r="K209" s="135">
        <f t="shared" si="52"/>
        <v>30926.5</v>
      </c>
      <c r="L209" s="135">
        <f t="shared" si="52"/>
        <v>0</v>
      </c>
      <c r="M209" s="135">
        <f t="shared" si="52"/>
        <v>0</v>
      </c>
      <c r="N209" s="135">
        <f t="shared" si="52"/>
        <v>342435.2555739464</v>
      </c>
      <c r="O209" s="135">
        <f t="shared" si="52"/>
        <v>711797.51130187919</v>
      </c>
      <c r="P209" s="135">
        <f t="shared" si="52"/>
        <v>73399.98</v>
      </c>
      <c r="Q209" s="135">
        <f t="shared" si="52"/>
        <v>776025.7471549426</v>
      </c>
      <c r="R209" s="135">
        <f t="shared" si="29"/>
        <v>6591569.8218085449</v>
      </c>
    </row>
    <row r="210" spans="1:18">
      <c r="A210" s="516" t="s">
        <v>773</v>
      </c>
      <c r="C210" s="135">
        <f t="shared" ref="C210:Q210" si="54">C84+C147</f>
        <v>143216.5</v>
      </c>
      <c r="D210" s="135">
        <f t="shared" si="54"/>
        <v>1148316.1313409961</v>
      </c>
      <c r="E210" s="135">
        <f t="shared" si="54"/>
        <v>347857.85</v>
      </c>
      <c r="F210" s="135">
        <f t="shared" si="54"/>
        <v>0</v>
      </c>
      <c r="G210" s="135">
        <f t="shared" si="54"/>
        <v>12540</v>
      </c>
      <c r="H210" s="135">
        <f t="shared" ref="H210" si="55">H84+H147</f>
        <v>0</v>
      </c>
      <c r="I210" s="135">
        <f t="shared" si="54"/>
        <v>0</v>
      </c>
      <c r="J210" s="135">
        <f t="shared" si="54"/>
        <v>0</v>
      </c>
      <c r="K210" s="135">
        <f t="shared" si="54"/>
        <v>81770.707999999999</v>
      </c>
      <c r="L210" s="135">
        <f t="shared" si="54"/>
        <v>0</v>
      </c>
      <c r="M210" s="135">
        <f t="shared" si="54"/>
        <v>0</v>
      </c>
      <c r="N210" s="135">
        <f t="shared" si="54"/>
        <v>127989.51177062069</v>
      </c>
      <c r="O210" s="135">
        <f t="shared" si="54"/>
        <v>216543.25527581904</v>
      </c>
      <c r="P210" s="135">
        <f t="shared" si="54"/>
        <v>6250.89</v>
      </c>
      <c r="Q210" s="135">
        <f t="shared" si="54"/>
        <v>284345.06448578392</v>
      </c>
      <c r="R210" s="135">
        <f t="shared" si="29"/>
        <v>2368829.9108732194</v>
      </c>
    </row>
    <row r="211" spans="1:18">
      <c r="A211" s="516" t="s">
        <v>774</v>
      </c>
      <c r="C211" s="135">
        <f t="shared" ref="C211:Q211" si="56">C85+C148</f>
        <v>0</v>
      </c>
      <c r="D211" s="135">
        <f t="shared" si="56"/>
        <v>144156.07862068966</v>
      </c>
      <c r="E211" s="135">
        <f t="shared" si="56"/>
        <v>13590</v>
      </c>
      <c r="F211" s="135">
        <f t="shared" si="56"/>
        <v>0</v>
      </c>
      <c r="G211" s="135">
        <f t="shared" si="56"/>
        <v>465</v>
      </c>
      <c r="H211" s="135">
        <f t="shared" ref="H211" si="57">H85+H148</f>
        <v>0</v>
      </c>
      <c r="I211" s="135">
        <f t="shared" si="56"/>
        <v>0</v>
      </c>
      <c r="J211" s="135">
        <f t="shared" si="56"/>
        <v>0</v>
      </c>
      <c r="K211" s="135">
        <f t="shared" si="56"/>
        <v>14689.608</v>
      </c>
      <c r="L211" s="135">
        <f t="shared" si="56"/>
        <v>0</v>
      </c>
      <c r="M211" s="135">
        <f t="shared" si="56"/>
        <v>0</v>
      </c>
      <c r="N211" s="135">
        <f t="shared" si="56"/>
        <v>12898.478853379311</v>
      </c>
      <c r="O211" s="135">
        <f t="shared" si="56"/>
        <v>44175.733231471699</v>
      </c>
      <c r="P211" s="135">
        <f t="shared" si="56"/>
        <v>4437.37</v>
      </c>
      <c r="Q211" s="135">
        <f t="shared" si="56"/>
        <v>28899.327279193869</v>
      </c>
      <c r="R211" s="135">
        <f t="shared" si="29"/>
        <v>263311.59598473454</v>
      </c>
    </row>
    <row r="212" spans="1:18">
      <c r="A212" s="130" t="s">
        <v>775</v>
      </c>
      <c r="C212" s="135">
        <f t="shared" ref="C212:Q212" si="58">C86+C149</f>
        <v>12562.21</v>
      </c>
      <c r="D212" s="135">
        <f t="shared" si="58"/>
        <v>460984.9540229885</v>
      </c>
      <c r="E212" s="135">
        <f t="shared" si="58"/>
        <v>27201.7</v>
      </c>
      <c r="F212" s="135">
        <f t="shared" si="58"/>
        <v>0</v>
      </c>
      <c r="G212" s="135">
        <f t="shared" si="58"/>
        <v>1083.5</v>
      </c>
      <c r="H212" s="135">
        <f t="shared" ref="H212" si="59">H86+H149</f>
        <v>0</v>
      </c>
      <c r="I212" s="135">
        <f t="shared" si="58"/>
        <v>0</v>
      </c>
      <c r="J212" s="135">
        <f t="shared" si="58"/>
        <v>0</v>
      </c>
      <c r="K212" s="135">
        <f t="shared" si="58"/>
        <v>41480.478000000003</v>
      </c>
      <c r="L212" s="135">
        <f t="shared" si="58"/>
        <v>0</v>
      </c>
      <c r="M212" s="135">
        <f t="shared" si="58"/>
        <v>0</v>
      </c>
      <c r="N212" s="135">
        <f t="shared" si="58"/>
        <v>40274.197232689658</v>
      </c>
      <c r="O212" s="135">
        <f t="shared" si="58"/>
        <v>123558.55737769812</v>
      </c>
      <c r="P212" s="135">
        <f t="shared" si="58"/>
        <v>8680.9</v>
      </c>
      <c r="Q212" s="135">
        <f t="shared" si="58"/>
        <v>89965.493695285826</v>
      </c>
      <c r="R212" s="135">
        <f t="shared" si="29"/>
        <v>805791.99032866221</v>
      </c>
    </row>
    <row r="213" spans="1:18">
      <c r="A213" s="516" t="s">
        <v>776</v>
      </c>
      <c r="C213" s="135">
        <f t="shared" ref="C213:Q213" si="60">C87+C150</f>
        <v>299162.23</v>
      </c>
      <c r="D213" s="135">
        <f t="shared" si="60"/>
        <v>369303.73</v>
      </c>
      <c r="E213" s="135">
        <f t="shared" si="60"/>
        <v>15702.15</v>
      </c>
      <c r="F213" s="135">
        <f t="shared" si="60"/>
        <v>0</v>
      </c>
      <c r="G213" s="135">
        <f t="shared" si="60"/>
        <v>4850</v>
      </c>
      <c r="H213" s="135">
        <f t="shared" ref="H213" si="61">H87+H150</f>
        <v>0</v>
      </c>
      <c r="I213" s="135">
        <f t="shared" si="60"/>
        <v>0</v>
      </c>
      <c r="J213" s="135">
        <f t="shared" si="60"/>
        <v>0</v>
      </c>
      <c r="K213" s="135">
        <f t="shared" si="60"/>
        <v>4584</v>
      </c>
      <c r="L213" s="135">
        <f t="shared" si="60"/>
        <v>0</v>
      </c>
      <c r="M213" s="135">
        <f t="shared" si="60"/>
        <v>0</v>
      </c>
      <c r="N213" s="135">
        <f t="shared" si="60"/>
        <v>52143.787586206898</v>
      </c>
      <c r="O213" s="135">
        <f t="shared" si="60"/>
        <v>44520.409999999996</v>
      </c>
      <c r="P213" s="135">
        <f t="shared" si="60"/>
        <v>11927.25</v>
      </c>
      <c r="Q213" s="135">
        <f t="shared" si="60"/>
        <v>115504.02965517242</v>
      </c>
      <c r="R213" s="135">
        <f t="shared" si="29"/>
        <v>917697.58724137931</v>
      </c>
    </row>
    <row r="214" spans="1:18">
      <c r="A214" s="516" t="s">
        <v>777</v>
      </c>
      <c r="C214" s="135">
        <f t="shared" ref="C214:Q214" si="62">C88+C151</f>
        <v>0</v>
      </c>
      <c r="D214" s="135">
        <f t="shared" si="62"/>
        <v>4285079.8655555556</v>
      </c>
      <c r="E214" s="135">
        <f t="shared" si="62"/>
        <v>735944.18</v>
      </c>
      <c r="F214" s="135">
        <f t="shared" si="62"/>
        <v>0</v>
      </c>
      <c r="G214" s="135">
        <f t="shared" si="62"/>
        <v>33340</v>
      </c>
      <c r="H214" s="135">
        <f t="shared" ref="H214" si="63">H88+H151</f>
        <v>0</v>
      </c>
      <c r="I214" s="135">
        <f t="shared" si="62"/>
        <v>0</v>
      </c>
      <c r="J214" s="135">
        <f t="shared" si="62"/>
        <v>0</v>
      </c>
      <c r="K214" s="135">
        <f t="shared" si="62"/>
        <v>32367</v>
      </c>
      <c r="L214" s="135">
        <f t="shared" si="62"/>
        <v>0</v>
      </c>
      <c r="M214" s="135">
        <f t="shared" si="62"/>
        <v>0</v>
      </c>
      <c r="N214" s="135">
        <f t="shared" si="62"/>
        <v>364287.45338888885</v>
      </c>
      <c r="O214" s="135">
        <f t="shared" si="62"/>
        <v>739887.90249969054</v>
      </c>
      <c r="P214" s="135">
        <f t="shared" si="62"/>
        <v>91022.6</v>
      </c>
      <c r="Q214" s="135">
        <f t="shared" si="62"/>
        <v>840664.96331302682</v>
      </c>
      <c r="R214" s="135">
        <f t="shared" si="29"/>
        <v>7122593.9647571612</v>
      </c>
    </row>
    <row r="215" spans="1:18">
      <c r="A215" s="516" t="s">
        <v>778</v>
      </c>
      <c r="C215" s="135">
        <f t="shared" ref="C215:Q215" si="64">C89+C152</f>
        <v>283894.37</v>
      </c>
      <c r="D215" s="135">
        <f t="shared" si="64"/>
        <v>33769.71</v>
      </c>
      <c r="E215" s="135">
        <f t="shared" si="64"/>
        <v>74.34</v>
      </c>
      <c r="F215" s="135">
        <f t="shared" si="64"/>
        <v>0</v>
      </c>
      <c r="G215" s="135">
        <f t="shared" si="64"/>
        <v>1265</v>
      </c>
      <c r="H215" s="135">
        <f t="shared" ref="H215" si="65">H89+H152</f>
        <v>0</v>
      </c>
      <c r="I215" s="135">
        <f t="shared" si="64"/>
        <v>0</v>
      </c>
      <c r="J215" s="135">
        <f t="shared" si="64"/>
        <v>0</v>
      </c>
      <c r="K215" s="135">
        <f t="shared" si="64"/>
        <v>0</v>
      </c>
      <c r="L215" s="135">
        <f t="shared" si="64"/>
        <v>4584</v>
      </c>
      <c r="M215" s="135">
        <f t="shared" si="64"/>
        <v>0</v>
      </c>
      <c r="N215" s="135">
        <f t="shared" si="64"/>
        <v>23461.72</v>
      </c>
      <c r="O215" s="135">
        <f t="shared" si="64"/>
        <v>44342.58</v>
      </c>
      <c r="P215" s="135">
        <f t="shared" si="64"/>
        <v>493.6</v>
      </c>
      <c r="Q215" s="135">
        <f t="shared" si="64"/>
        <v>54069.82</v>
      </c>
      <c r="R215" s="135">
        <f t="shared" si="29"/>
        <v>445955.14</v>
      </c>
    </row>
    <row r="216" spans="1:18">
      <c r="A216" s="516" t="s">
        <v>779</v>
      </c>
      <c r="C216" s="135">
        <f t="shared" ref="C216:Q216" si="66">C90+C153</f>
        <v>226539.31785440611</v>
      </c>
      <c r="D216" s="135">
        <f t="shared" si="66"/>
        <v>104487.1032183908</v>
      </c>
      <c r="E216" s="135">
        <f t="shared" si="66"/>
        <v>5676.86</v>
      </c>
      <c r="F216" s="135">
        <f t="shared" si="66"/>
        <v>0</v>
      </c>
      <c r="G216" s="135">
        <f t="shared" si="66"/>
        <v>2385</v>
      </c>
      <c r="H216" s="135">
        <f t="shared" ref="H216" si="67">H90+H153</f>
        <v>0</v>
      </c>
      <c r="I216" s="135">
        <f t="shared" si="66"/>
        <v>0</v>
      </c>
      <c r="J216" s="135">
        <f t="shared" si="66"/>
        <v>0</v>
      </c>
      <c r="K216" s="135">
        <f t="shared" si="66"/>
        <v>0</v>
      </c>
      <c r="L216" s="135">
        <f t="shared" si="66"/>
        <v>4011</v>
      </c>
      <c r="M216" s="135">
        <f t="shared" si="66"/>
        <v>0</v>
      </c>
      <c r="N216" s="135">
        <f t="shared" si="66"/>
        <v>25947.521793103449</v>
      </c>
      <c r="O216" s="135">
        <f t="shared" si="66"/>
        <v>46448.920371977554</v>
      </c>
      <c r="P216" s="135">
        <f t="shared" si="66"/>
        <v>1086.1199999999999</v>
      </c>
      <c r="Q216" s="135">
        <f t="shared" si="66"/>
        <v>57323.734116475091</v>
      </c>
      <c r="R216" s="135">
        <f t="shared" si="29"/>
        <v>473905.57735435298</v>
      </c>
    </row>
    <row r="217" spans="1:18" ht="15" customHeight="1">
      <c r="A217" s="516" t="s">
        <v>780</v>
      </c>
      <c r="C217" s="135">
        <f t="shared" ref="C217:Q217" si="68">C91+C154</f>
        <v>0</v>
      </c>
      <c r="D217" s="135">
        <f t="shared" si="68"/>
        <v>324484.6660153257</v>
      </c>
      <c r="E217" s="135">
        <f t="shared" si="68"/>
        <v>7438.15</v>
      </c>
      <c r="F217" s="135">
        <f t="shared" si="68"/>
        <v>0</v>
      </c>
      <c r="G217" s="135">
        <f t="shared" si="68"/>
        <v>980</v>
      </c>
      <c r="H217" s="135">
        <f t="shared" ref="H217" si="69">H91+H154</f>
        <v>0</v>
      </c>
      <c r="I217" s="135">
        <f t="shared" si="68"/>
        <v>0</v>
      </c>
      <c r="J217" s="135">
        <f t="shared" si="68"/>
        <v>0</v>
      </c>
      <c r="K217" s="135">
        <f t="shared" si="68"/>
        <v>0</v>
      </c>
      <c r="L217" s="135">
        <f t="shared" si="68"/>
        <v>0</v>
      </c>
      <c r="M217" s="135">
        <f t="shared" si="68"/>
        <v>0</v>
      </c>
      <c r="N217" s="135">
        <f t="shared" si="68"/>
        <v>24433.891303448276</v>
      </c>
      <c r="O217" s="135">
        <f t="shared" si="68"/>
        <v>89554.96655200774</v>
      </c>
      <c r="P217" s="135">
        <f t="shared" si="68"/>
        <v>11429.66</v>
      </c>
      <c r="Q217" s="135">
        <f t="shared" si="68"/>
        <v>55479.555546206895</v>
      </c>
      <c r="R217" s="135">
        <f t="shared" si="29"/>
        <v>513800.88941698865</v>
      </c>
    </row>
    <row r="218" spans="1:18">
      <c r="A218" s="130" t="s">
        <v>781</v>
      </c>
      <c r="C218" s="135">
        <f t="shared" ref="C218:Q218" si="70">C92+C155</f>
        <v>425110.03291187738</v>
      </c>
      <c r="D218" s="135">
        <f t="shared" si="70"/>
        <v>238606.77563218391</v>
      </c>
      <c r="E218" s="135">
        <f t="shared" si="70"/>
        <v>7.68</v>
      </c>
      <c r="F218" s="135">
        <f t="shared" si="70"/>
        <v>0</v>
      </c>
      <c r="G218" s="135">
        <f t="shared" si="70"/>
        <v>3250</v>
      </c>
      <c r="H218" s="135">
        <f t="shared" ref="H218" si="71">H92+H155</f>
        <v>0</v>
      </c>
      <c r="I218" s="135">
        <f t="shared" si="70"/>
        <v>0</v>
      </c>
      <c r="J218" s="135">
        <f t="shared" si="70"/>
        <v>0</v>
      </c>
      <c r="K218" s="135">
        <f t="shared" si="70"/>
        <v>0</v>
      </c>
      <c r="L218" s="135">
        <f t="shared" si="70"/>
        <v>0</v>
      </c>
      <c r="M218" s="135">
        <f t="shared" si="70"/>
        <v>0</v>
      </c>
      <c r="N218" s="135">
        <f t="shared" si="70"/>
        <v>58134.678413793103</v>
      </c>
      <c r="O218" s="135">
        <f t="shared" si="70"/>
        <v>127264.16492247547</v>
      </c>
      <c r="P218" s="135">
        <f t="shared" si="70"/>
        <v>1559.73</v>
      </c>
      <c r="Q218" s="135">
        <f t="shared" si="70"/>
        <v>110634.62670038313</v>
      </c>
      <c r="R218" s="135">
        <f t="shared" si="29"/>
        <v>964567.688580713</v>
      </c>
    </row>
    <row r="219" spans="1:18">
      <c r="A219" s="130" t="s">
        <v>782</v>
      </c>
      <c r="C219" s="135">
        <f t="shared" ref="C219:Q219" si="72">C93+C156</f>
        <v>134596.66</v>
      </c>
      <c r="D219" s="135">
        <f t="shared" si="72"/>
        <v>82053.06</v>
      </c>
      <c r="E219" s="135">
        <f t="shared" si="72"/>
        <v>752.22</v>
      </c>
      <c r="F219" s="135">
        <f t="shared" si="72"/>
        <v>0</v>
      </c>
      <c r="G219" s="135">
        <f t="shared" si="72"/>
        <v>515</v>
      </c>
      <c r="H219" s="135">
        <f t="shared" ref="H219" si="73">H93+H156</f>
        <v>0</v>
      </c>
      <c r="I219" s="135">
        <f t="shared" si="72"/>
        <v>0</v>
      </c>
      <c r="J219" s="135">
        <f t="shared" si="72"/>
        <v>0</v>
      </c>
      <c r="K219" s="135">
        <f t="shared" si="72"/>
        <v>0</v>
      </c>
      <c r="L219" s="135">
        <f t="shared" si="72"/>
        <v>0</v>
      </c>
      <c r="M219" s="135">
        <f t="shared" si="72"/>
        <v>0</v>
      </c>
      <c r="N219" s="135">
        <f t="shared" si="72"/>
        <v>16896.95</v>
      </c>
      <c r="O219" s="135">
        <f t="shared" si="72"/>
        <v>21482.83</v>
      </c>
      <c r="P219" s="135">
        <f t="shared" si="72"/>
        <v>317.74</v>
      </c>
      <c r="Q219" s="135">
        <f t="shared" si="72"/>
        <v>36734.300000000003</v>
      </c>
      <c r="R219" s="135">
        <f t="shared" si="29"/>
        <v>293348.76</v>
      </c>
    </row>
    <row r="220" spans="1:18">
      <c r="A220" s="130" t="s">
        <v>783</v>
      </c>
      <c r="C220" s="135">
        <f t="shared" ref="C220:Q220" si="74">C94+C157</f>
        <v>0</v>
      </c>
      <c r="D220" s="135">
        <f t="shared" si="74"/>
        <v>396198.7672413793</v>
      </c>
      <c r="E220" s="135">
        <f t="shared" si="74"/>
        <v>22447.63</v>
      </c>
      <c r="F220" s="135">
        <f t="shared" si="74"/>
        <v>0</v>
      </c>
      <c r="G220" s="135">
        <f t="shared" si="74"/>
        <v>6354</v>
      </c>
      <c r="H220" s="135">
        <f t="shared" ref="H220" si="75">H94+H157</f>
        <v>0</v>
      </c>
      <c r="I220" s="135">
        <f t="shared" si="74"/>
        <v>0</v>
      </c>
      <c r="J220" s="135">
        <f t="shared" si="74"/>
        <v>0</v>
      </c>
      <c r="K220" s="135">
        <f t="shared" si="74"/>
        <v>0</v>
      </c>
      <c r="L220" s="135">
        <f t="shared" si="74"/>
        <v>0</v>
      </c>
      <c r="M220" s="135">
        <f t="shared" si="74"/>
        <v>0</v>
      </c>
      <c r="N220" s="135">
        <f t="shared" si="74"/>
        <v>31579.040862068967</v>
      </c>
      <c r="O220" s="135">
        <f t="shared" si="74"/>
        <v>87094.938224679252</v>
      </c>
      <c r="P220" s="135">
        <f t="shared" si="74"/>
        <v>5462.53</v>
      </c>
      <c r="Q220" s="135">
        <f t="shared" si="74"/>
        <v>70102.488662835254</v>
      </c>
      <c r="R220" s="135">
        <f t="shared" si="29"/>
        <v>619239.3949909627</v>
      </c>
    </row>
    <row r="221" spans="1:18">
      <c r="A221" s="130" t="s">
        <v>784</v>
      </c>
      <c r="C221" s="135">
        <f t="shared" ref="C221:Q221" si="76">C95+C158</f>
        <v>64122.953409961687</v>
      </c>
      <c r="D221" s="135">
        <f t="shared" si="76"/>
        <v>0</v>
      </c>
      <c r="E221" s="135">
        <f t="shared" si="76"/>
        <v>0</v>
      </c>
      <c r="F221" s="135">
        <f t="shared" si="76"/>
        <v>0</v>
      </c>
      <c r="G221" s="135">
        <f t="shared" si="76"/>
        <v>495</v>
      </c>
      <c r="H221" s="135">
        <f t="shared" ref="H221" si="77">H95+H158</f>
        <v>0</v>
      </c>
      <c r="I221" s="135">
        <f t="shared" si="76"/>
        <v>0</v>
      </c>
      <c r="J221" s="135">
        <f t="shared" si="76"/>
        <v>0</v>
      </c>
      <c r="K221" s="135">
        <f t="shared" si="76"/>
        <v>0</v>
      </c>
      <c r="L221" s="135">
        <f t="shared" si="76"/>
        <v>0</v>
      </c>
      <c r="M221" s="135">
        <f t="shared" si="76"/>
        <v>0</v>
      </c>
      <c r="N221" s="135">
        <f t="shared" si="76"/>
        <v>4796.2612758620689</v>
      </c>
      <c r="O221" s="135">
        <f t="shared" si="76"/>
        <v>11376.176683426414</v>
      </c>
      <c r="P221" s="135">
        <f t="shared" si="76"/>
        <v>93.92</v>
      </c>
      <c r="Q221" s="135">
        <f t="shared" si="76"/>
        <v>10971.345185440612</v>
      </c>
      <c r="R221" s="135">
        <f t="shared" si="29"/>
        <v>91855.65655469078</v>
      </c>
    </row>
    <row r="222" spans="1:18">
      <c r="A222" s="130" t="s">
        <v>785</v>
      </c>
      <c r="C222" s="135">
        <f t="shared" ref="C222:Q222" si="78">C96+C159</f>
        <v>123690.15371647509</v>
      </c>
      <c r="D222" s="135">
        <f t="shared" si="78"/>
        <v>65178.61</v>
      </c>
      <c r="E222" s="135">
        <f t="shared" si="78"/>
        <v>625.04</v>
      </c>
      <c r="F222" s="135">
        <f t="shared" si="78"/>
        <v>0</v>
      </c>
      <c r="G222" s="135">
        <f t="shared" si="78"/>
        <v>1530</v>
      </c>
      <c r="H222" s="135">
        <f t="shared" ref="H222" si="79">H96+H159</f>
        <v>0</v>
      </c>
      <c r="I222" s="135">
        <f t="shared" si="78"/>
        <v>0</v>
      </c>
      <c r="J222" s="135">
        <f t="shared" si="78"/>
        <v>0</v>
      </c>
      <c r="K222" s="135">
        <f t="shared" si="78"/>
        <v>0</v>
      </c>
      <c r="L222" s="135">
        <f t="shared" si="78"/>
        <v>0</v>
      </c>
      <c r="M222" s="135">
        <f t="shared" si="78"/>
        <v>0</v>
      </c>
      <c r="N222" s="135">
        <f t="shared" si="78"/>
        <v>15643.211689655172</v>
      </c>
      <c r="O222" s="135">
        <f t="shared" si="78"/>
        <v>58533.904716664147</v>
      </c>
      <c r="P222" s="135">
        <f t="shared" si="78"/>
        <v>353.72</v>
      </c>
      <c r="Q222" s="135">
        <f t="shared" si="78"/>
        <v>31853.840374712643</v>
      </c>
      <c r="R222" s="135">
        <f t="shared" si="29"/>
        <v>297408.48049750709</v>
      </c>
    </row>
    <row r="223" spans="1:18">
      <c r="A223" s="130" t="s">
        <v>786</v>
      </c>
      <c r="C223" s="135">
        <f t="shared" ref="C223:Q223" si="80">C97+C160</f>
        <v>0</v>
      </c>
      <c r="D223" s="135">
        <f t="shared" si="80"/>
        <v>179465</v>
      </c>
      <c r="E223" s="135">
        <f t="shared" si="80"/>
        <v>5273.03</v>
      </c>
      <c r="F223" s="135">
        <f t="shared" si="80"/>
        <v>0</v>
      </c>
      <c r="G223" s="135">
        <f t="shared" si="80"/>
        <v>1700</v>
      </c>
      <c r="H223" s="135">
        <f t="shared" ref="H223" si="81">H97+H160</f>
        <v>0</v>
      </c>
      <c r="I223" s="135">
        <f t="shared" si="80"/>
        <v>0</v>
      </c>
      <c r="J223" s="135">
        <f t="shared" si="80"/>
        <v>0</v>
      </c>
      <c r="K223" s="135">
        <f t="shared" si="80"/>
        <v>0</v>
      </c>
      <c r="L223" s="135">
        <f t="shared" si="80"/>
        <v>0</v>
      </c>
      <c r="M223" s="135">
        <f t="shared" si="80"/>
        <v>0</v>
      </c>
      <c r="N223" s="135">
        <f t="shared" si="80"/>
        <v>14105.553103448276</v>
      </c>
      <c r="O223" s="135">
        <f t="shared" si="80"/>
        <v>45831.57</v>
      </c>
      <c r="P223" s="135">
        <f t="shared" si="80"/>
        <v>2630.84</v>
      </c>
      <c r="Q223" s="135">
        <f t="shared" si="80"/>
        <v>31011.183141762453</v>
      </c>
      <c r="R223" s="135">
        <f t="shared" si="29"/>
        <v>280017.17624521075</v>
      </c>
    </row>
    <row r="224" spans="1:18">
      <c r="A224" s="130" t="s">
        <v>787</v>
      </c>
      <c r="C224" s="135">
        <f t="shared" ref="C224:Q224" si="82">C98+C161</f>
        <v>0</v>
      </c>
      <c r="D224" s="135">
        <f t="shared" si="82"/>
        <v>27468.73</v>
      </c>
      <c r="E224" s="135">
        <f t="shared" si="82"/>
        <v>443.81</v>
      </c>
      <c r="F224" s="135">
        <f t="shared" si="82"/>
        <v>0</v>
      </c>
      <c r="G224" s="135">
        <f t="shared" si="82"/>
        <v>126</v>
      </c>
      <c r="H224" s="135">
        <f t="shared" ref="H224" si="83">H98+H161</f>
        <v>0</v>
      </c>
      <c r="I224" s="135">
        <f t="shared" si="82"/>
        <v>0</v>
      </c>
      <c r="J224" s="135">
        <f t="shared" si="82"/>
        <v>0</v>
      </c>
      <c r="K224" s="135">
        <f t="shared" si="82"/>
        <v>0</v>
      </c>
      <c r="L224" s="135">
        <f t="shared" si="82"/>
        <v>0</v>
      </c>
      <c r="M224" s="135">
        <f t="shared" si="82"/>
        <v>0</v>
      </c>
      <c r="N224" s="135">
        <f t="shared" si="82"/>
        <v>2062.91</v>
      </c>
      <c r="O224" s="135">
        <f t="shared" si="82"/>
        <v>7403.89</v>
      </c>
      <c r="P224" s="135">
        <f t="shared" si="82"/>
        <v>300.76</v>
      </c>
      <c r="Q224" s="135">
        <f t="shared" si="82"/>
        <v>4635.62</v>
      </c>
      <c r="R224" s="135">
        <f t="shared" si="29"/>
        <v>42441.720000000008</v>
      </c>
    </row>
    <row r="225" spans="1:18">
      <c r="A225" s="130"/>
      <c r="C225" s="135">
        <f>SUM(C196:C224)</f>
        <v>4130698.4963984685</v>
      </c>
      <c r="D225" s="135">
        <f t="shared" ref="D225" si="84">SUM(D196:D224)</f>
        <v>12658456.902413795</v>
      </c>
      <c r="E225" s="135">
        <f t="shared" ref="E225" si="85">SUM(E196:E224)</f>
        <v>1537072.04</v>
      </c>
      <c r="F225" s="135">
        <f t="shared" ref="F225" si="86">SUM(F196:F224)</f>
        <v>1799.8390804597695</v>
      </c>
      <c r="G225" s="135">
        <f t="shared" ref="G225" si="87">SUM(G196:G224)</f>
        <v>117255</v>
      </c>
      <c r="H225" s="135">
        <f t="shared" ref="H225" si="88">SUM(H196:H224)</f>
        <v>0</v>
      </c>
      <c r="I225" s="135">
        <f t="shared" ref="I225" si="89">SUM(I196:I224)</f>
        <v>0</v>
      </c>
      <c r="J225" s="135">
        <f t="shared" ref="J225" si="90">SUM(J196:J224)</f>
        <v>0</v>
      </c>
      <c r="K225" s="135">
        <f t="shared" ref="K225" si="91">SUM(K196:K224)</f>
        <v>208110.29399999999</v>
      </c>
      <c r="L225" s="135">
        <f t="shared" ref="L225" si="92">SUM(L196:L224)</f>
        <v>20739</v>
      </c>
      <c r="M225" s="135">
        <f t="shared" ref="M225" si="93">SUM(M196:M224)</f>
        <v>0</v>
      </c>
      <c r="N225" s="135">
        <f t="shared" ref="N225" si="94">SUM(N196:N224)</f>
        <v>1372102.5382264217</v>
      </c>
      <c r="O225" s="135">
        <f t="shared" ref="O225" si="95">SUM(O196:O224)</f>
        <v>2962965.1440964229</v>
      </c>
      <c r="P225" s="135">
        <f t="shared" ref="P225" si="96">SUM(P196:P224)</f>
        <v>232995.53</v>
      </c>
      <c r="Q225" s="135">
        <f t="shared" ref="Q225" si="97">SUM(Q196:Q224)</f>
        <v>3096715.0580414897</v>
      </c>
      <c r="R225" s="135">
        <f t="shared" ref="R225" si="98">SUM(C225:Q225)</f>
        <v>26338909.84225706</v>
      </c>
    </row>
    <row r="226" spans="1:18">
      <c r="A226" s="130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514"/>
      <c r="P226" s="135"/>
      <c r="Q226" s="135"/>
      <c r="R226" s="135"/>
    </row>
    <row r="227" spans="1:18">
      <c r="A227" s="130" t="s">
        <v>105</v>
      </c>
      <c r="C227" s="135">
        <f t="shared" ref="C227:Q227" si="99">C101+C164</f>
        <v>0</v>
      </c>
      <c r="D227" s="135">
        <f t="shared" si="99"/>
        <v>0</v>
      </c>
      <c r="E227" s="135">
        <f t="shared" si="99"/>
        <v>0</v>
      </c>
      <c r="F227" s="135">
        <f t="shared" si="99"/>
        <v>0</v>
      </c>
      <c r="G227" s="135">
        <f t="shared" si="99"/>
        <v>0</v>
      </c>
      <c r="H227" s="135">
        <f t="shared" ref="H227" si="100">H101+H164</f>
        <v>0</v>
      </c>
      <c r="I227" s="135">
        <f t="shared" si="99"/>
        <v>0</v>
      </c>
      <c r="J227" s="135">
        <f t="shared" si="99"/>
        <v>0</v>
      </c>
      <c r="K227" s="135">
        <f t="shared" si="99"/>
        <v>0</v>
      </c>
      <c r="L227" s="135">
        <f t="shared" si="99"/>
        <v>0</v>
      </c>
      <c r="M227" s="135">
        <f t="shared" si="99"/>
        <v>0</v>
      </c>
      <c r="N227" s="135">
        <f t="shared" si="99"/>
        <v>0</v>
      </c>
      <c r="O227" s="135">
        <f t="shared" si="99"/>
        <v>0</v>
      </c>
      <c r="P227" s="135">
        <f t="shared" si="99"/>
        <v>16.989999999999998</v>
      </c>
      <c r="Q227" s="135">
        <f t="shared" si="99"/>
        <v>0</v>
      </c>
      <c r="R227" s="135">
        <f t="shared" ref="R227" si="101">SUM(C227:Q227)</f>
        <v>16.989999999999998</v>
      </c>
    </row>
    <row r="228" spans="1:18">
      <c r="A228" s="130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1:18">
      <c r="A229" s="130" t="s">
        <v>788</v>
      </c>
      <c r="C229" s="135">
        <f>C103+C167</f>
        <v>81327.67</v>
      </c>
      <c r="D229" s="135">
        <f t="shared" ref="D229:I229" si="102">D103+D167</f>
        <v>0</v>
      </c>
      <c r="E229" s="135">
        <f t="shared" si="102"/>
        <v>0</v>
      </c>
      <c r="F229" s="135">
        <f t="shared" si="102"/>
        <v>0</v>
      </c>
      <c r="G229" s="135">
        <f t="shared" si="102"/>
        <v>980</v>
      </c>
      <c r="H229" s="135">
        <f t="shared" ref="H229" si="103">H103+H167</f>
        <v>0</v>
      </c>
      <c r="I229" s="135">
        <f t="shared" si="102"/>
        <v>0</v>
      </c>
      <c r="J229" s="135">
        <f t="shared" ref="J229" si="104">J103+J166</f>
        <v>0</v>
      </c>
      <c r="K229" s="135">
        <f t="shared" ref="K229:Q229" si="105">K103+K167</f>
        <v>0</v>
      </c>
      <c r="L229" s="135">
        <f t="shared" si="105"/>
        <v>0</v>
      </c>
      <c r="M229" s="135">
        <f t="shared" si="105"/>
        <v>0</v>
      </c>
      <c r="N229" s="135">
        <f t="shared" si="105"/>
        <v>5787.9</v>
      </c>
      <c r="O229" s="135">
        <f t="shared" si="105"/>
        <v>17423.55</v>
      </c>
      <c r="P229" s="135">
        <f t="shared" si="105"/>
        <v>122.9</v>
      </c>
      <c r="Q229" s="135">
        <f t="shared" si="105"/>
        <v>13615.04</v>
      </c>
      <c r="R229" s="135">
        <f t="shared" ref="R229" si="106">SUM(C229:Q229)</f>
        <v>119257.06</v>
      </c>
    </row>
    <row r="230" spans="1:18">
      <c r="A230" s="130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1:18">
      <c r="A231" s="130" t="s">
        <v>790</v>
      </c>
      <c r="C231" s="135">
        <f>C105+C169</f>
        <v>356890.27421455941</v>
      </c>
      <c r="D231" s="135">
        <f t="shared" ref="D231:I231" si="107">D105+D169</f>
        <v>56947.117586206899</v>
      </c>
      <c r="E231" s="135">
        <f t="shared" si="107"/>
        <v>2044.36</v>
      </c>
      <c r="F231" s="135">
        <f t="shared" si="107"/>
        <v>0</v>
      </c>
      <c r="G231" s="135">
        <f t="shared" si="107"/>
        <v>4470</v>
      </c>
      <c r="H231" s="135">
        <f t="shared" ref="H231" si="108">H105+H169</f>
        <v>0</v>
      </c>
      <c r="I231" s="135">
        <f t="shared" si="107"/>
        <v>0</v>
      </c>
      <c r="J231" s="135">
        <f>J105+J169</f>
        <v>0</v>
      </c>
      <c r="K231" s="135">
        <f t="shared" ref="K231:Q231" si="109">K105+K169</f>
        <v>7087.5</v>
      </c>
      <c r="L231" s="135">
        <f t="shared" si="109"/>
        <v>0</v>
      </c>
      <c r="M231" s="135">
        <f t="shared" si="109"/>
        <v>76775.655172413797</v>
      </c>
      <c r="N231" s="135">
        <f t="shared" si="109"/>
        <v>31740.113965517241</v>
      </c>
      <c r="O231" s="135">
        <f t="shared" si="109"/>
        <v>65228.291921705662</v>
      </c>
      <c r="P231" s="135">
        <f t="shared" si="109"/>
        <v>769.38</v>
      </c>
      <c r="Q231" s="135">
        <f t="shared" si="109"/>
        <v>71750.254693486582</v>
      </c>
      <c r="R231" s="135">
        <f t="shared" ref="R231:R232" si="110">SUM(C231:Q231)</f>
        <v>673702.94755388959</v>
      </c>
    </row>
    <row r="232" spans="1:18">
      <c r="A232" s="130" t="s">
        <v>791</v>
      </c>
      <c r="C232" s="135">
        <f>C106+C170</f>
        <v>94915.5985440613</v>
      </c>
      <c r="D232" s="135">
        <f t="shared" ref="D232:Q232" si="111">D106+D170</f>
        <v>52989.9</v>
      </c>
      <c r="E232" s="135">
        <f t="shared" si="111"/>
        <v>20.58</v>
      </c>
      <c r="F232" s="135">
        <f t="shared" si="111"/>
        <v>0</v>
      </c>
      <c r="G232" s="135">
        <f t="shared" si="111"/>
        <v>1425</v>
      </c>
      <c r="H232" s="135">
        <f t="shared" ref="H232" si="112">H106+H170</f>
        <v>0</v>
      </c>
      <c r="I232" s="135">
        <f t="shared" si="111"/>
        <v>0</v>
      </c>
      <c r="J232" s="135">
        <f t="shared" si="111"/>
        <v>0</v>
      </c>
      <c r="K232" s="135">
        <f t="shared" si="111"/>
        <v>3015</v>
      </c>
      <c r="L232" s="135">
        <f t="shared" si="111"/>
        <v>0</v>
      </c>
      <c r="M232" s="135">
        <f t="shared" si="111"/>
        <v>0</v>
      </c>
      <c r="N232" s="135">
        <f t="shared" si="111"/>
        <v>11707.514689655172</v>
      </c>
      <c r="O232" s="135">
        <f t="shared" si="111"/>
        <v>22186.45232943396</v>
      </c>
      <c r="P232" s="135">
        <f t="shared" si="111"/>
        <v>218.83</v>
      </c>
      <c r="Q232" s="135">
        <f t="shared" si="111"/>
        <v>25484.818885823755</v>
      </c>
      <c r="R232" s="135">
        <f t="shared" si="110"/>
        <v>211963.69444897416</v>
      </c>
    </row>
    <row r="233" spans="1:18">
      <c r="A233" s="130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1:18">
      <c r="A234" s="130" t="s">
        <v>792</v>
      </c>
      <c r="C234" s="135">
        <f t="shared" ref="C234:Q234" si="113">C108+C171</f>
        <v>177657.63</v>
      </c>
      <c r="D234" s="135">
        <f t="shared" si="113"/>
        <v>33659.949999999997</v>
      </c>
      <c r="E234" s="135">
        <f t="shared" si="113"/>
        <v>14.97</v>
      </c>
      <c r="F234" s="135">
        <f t="shared" si="113"/>
        <v>0</v>
      </c>
      <c r="G234" s="135">
        <f t="shared" si="113"/>
        <v>915</v>
      </c>
      <c r="H234" s="135">
        <f t="shared" ref="H234" si="114">H108+H171</f>
        <v>0</v>
      </c>
      <c r="I234" s="135">
        <f t="shared" si="113"/>
        <v>0</v>
      </c>
      <c r="J234" s="135">
        <f t="shared" si="113"/>
        <v>0</v>
      </c>
      <c r="K234" s="135">
        <f t="shared" si="113"/>
        <v>0</v>
      </c>
      <c r="L234" s="135">
        <f t="shared" si="113"/>
        <v>0</v>
      </c>
      <c r="M234" s="135">
        <f t="shared" si="113"/>
        <v>0</v>
      </c>
      <c r="N234" s="135">
        <f t="shared" si="113"/>
        <v>15330.25</v>
      </c>
      <c r="O234" s="135">
        <f t="shared" si="113"/>
        <v>54506.49</v>
      </c>
      <c r="P234" s="135">
        <f t="shared" si="113"/>
        <v>617.47</v>
      </c>
      <c r="Q234" s="135">
        <f t="shared" si="113"/>
        <v>36460.300000000003</v>
      </c>
      <c r="R234" s="135">
        <f t="shared" ref="R234:R239" si="115">SUM(C234:Q234)</f>
        <v>319162.06</v>
      </c>
    </row>
    <row r="235" spans="1:18">
      <c r="A235" s="130" t="s">
        <v>793</v>
      </c>
      <c r="C235" s="135">
        <f t="shared" ref="C235:Q235" si="116">C109+C172</f>
        <v>109798.9869348659</v>
      </c>
      <c r="D235" s="135">
        <f t="shared" si="116"/>
        <v>0</v>
      </c>
      <c r="E235" s="135">
        <f t="shared" si="116"/>
        <v>0</v>
      </c>
      <c r="F235" s="135">
        <f t="shared" si="116"/>
        <v>12525.632183908043</v>
      </c>
      <c r="G235" s="135">
        <f t="shared" si="116"/>
        <v>165</v>
      </c>
      <c r="H235" s="135">
        <f t="shared" ref="H235" si="117">H109+H172</f>
        <v>0</v>
      </c>
      <c r="I235" s="135">
        <f t="shared" si="116"/>
        <v>0</v>
      </c>
      <c r="J235" s="135">
        <f t="shared" si="116"/>
        <v>0</v>
      </c>
      <c r="K235" s="135">
        <f t="shared" si="116"/>
        <v>0</v>
      </c>
      <c r="L235" s="135">
        <f t="shared" si="116"/>
        <v>0</v>
      </c>
      <c r="M235" s="135">
        <f t="shared" si="116"/>
        <v>0</v>
      </c>
      <c r="N235" s="135">
        <f t="shared" si="116"/>
        <v>35715.639241379307</v>
      </c>
      <c r="O235" s="135">
        <f t="shared" si="116"/>
        <v>16131.803414777358</v>
      </c>
      <c r="P235" s="135">
        <f t="shared" si="116"/>
        <v>5130.8100000000004</v>
      </c>
      <c r="Q235" s="135">
        <f t="shared" si="116"/>
        <v>18456.74582605364</v>
      </c>
      <c r="R235" s="135">
        <f t="shared" si="115"/>
        <v>197924.61760098423</v>
      </c>
    </row>
    <row r="236" spans="1:18">
      <c r="A236" s="130" t="s">
        <v>794</v>
      </c>
      <c r="C236" s="135">
        <f t="shared" ref="C236:Q236" si="118">C110+C173</f>
        <v>0</v>
      </c>
      <c r="D236" s="135">
        <f t="shared" si="118"/>
        <v>0</v>
      </c>
      <c r="E236" s="135">
        <f t="shared" si="118"/>
        <v>0</v>
      </c>
      <c r="F236" s="135">
        <f t="shared" si="118"/>
        <v>0</v>
      </c>
      <c r="G236" s="135">
        <f t="shared" si="118"/>
        <v>0</v>
      </c>
      <c r="H236" s="135">
        <f t="shared" ref="H236" si="119">H110+H173</f>
        <v>4215</v>
      </c>
      <c r="I236" s="135">
        <f t="shared" si="118"/>
        <v>0</v>
      </c>
      <c r="J236" s="135">
        <f t="shared" si="118"/>
        <v>0</v>
      </c>
      <c r="K236" s="135">
        <f t="shared" si="118"/>
        <v>0</v>
      </c>
      <c r="L236" s="135">
        <f t="shared" si="118"/>
        <v>0</v>
      </c>
      <c r="M236" s="135">
        <f t="shared" si="118"/>
        <v>0</v>
      </c>
      <c r="N236" s="135">
        <f t="shared" si="118"/>
        <v>832.88</v>
      </c>
      <c r="O236" s="135">
        <f t="shared" si="118"/>
        <v>0</v>
      </c>
      <c r="P236" s="135">
        <f t="shared" si="118"/>
        <v>198.84</v>
      </c>
      <c r="Q236" s="135">
        <f t="shared" si="118"/>
        <v>0</v>
      </c>
      <c r="R236" s="135">
        <f t="shared" si="115"/>
        <v>5246.72</v>
      </c>
    </row>
    <row r="237" spans="1:18">
      <c r="A237" s="130" t="s">
        <v>795</v>
      </c>
      <c r="C237" s="135">
        <f t="shared" ref="C237:Q237" si="120">C111+C174</f>
        <v>115624.86</v>
      </c>
      <c r="D237" s="135">
        <f t="shared" si="120"/>
        <v>0</v>
      </c>
      <c r="E237" s="135">
        <f t="shared" si="120"/>
        <v>0</v>
      </c>
      <c r="F237" s="135">
        <f t="shared" si="120"/>
        <v>0</v>
      </c>
      <c r="G237" s="135">
        <f t="shared" si="120"/>
        <v>285</v>
      </c>
      <c r="H237" s="135">
        <f t="shared" ref="H237" si="121">H111+H174</f>
        <v>0</v>
      </c>
      <c r="I237" s="513">
        <f t="shared" si="120"/>
        <v>0</v>
      </c>
      <c r="J237" s="135">
        <f t="shared" si="120"/>
        <v>0</v>
      </c>
      <c r="K237" s="135">
        <f t="shared" si="120"/>
        <v>0</v>
      </c>
      <c r="L237" s="135">
        <f t="shared" si="120"/>
        <v>0</v>
      </c>
      <c r="M237" s="135">
        <f t="shared" si="120"/>
        <v>0</v>
      </c>
      <c r="N237" s="135">
        <f t="shared" si="120"/>
        <v>28428.706896551725</v>
      </c>
      <c r="O237" s="135">
        <f t="shared" si="120"/>
        <v>18301.272000000001</v>
      </c>
      <c r="P237" s="135">
        <f t="shared" si="120"/>
        <v>3959.79</v>
      </c>
      <c r="Q237" s="135">
        <f t="shared" si="120"/>
        <v>19412.909302681994</v>
      </c>
      <c r="R237" s="135">
        <f t="shared" si="115"/>
        <v>186012.53819923374</v>
      </c>
    </row>
    <row r="238" spans="1:18">
      <c r="A238" s="130" t="s">
        <v>796</v>
      </c>
      <c r="C238" s="135">
        <f t="shared" ref="C238:Q238" si="122">C112+C175</f>
        <v>57304.29</v>
      </c>
      <c r="D238" s="135">
        <f t="shared" si="122"/>
        <v>0</v>
      </c>
      <c r="E238" s="135">
        <f t="shared" si="122"/>
        <v>0</v>
      </c>
      <c r="F238" s="135">
        <f t="shared" si="122"/>
        <v>0</v>
      </c>
      <c r="G238" s="135">
        <f t="shared" si="122"/>
        <v>335</v>
      </c>
      <c r="H238" s="135">
        <f t="shared" ref="H238" si="123">H112+H175</f>
        <v>0</v>
      </c>
      <c r="I238" s="135">
        <f t="shared" si="122"/>
        <v>0</v>
      </c>
      <c r="J238" s="135">
        <f t="shared" si="122"/>
        <v>0</v>
      </c>
      <c r="K238" s="135">
        <f t="shared" si="122"/>
        <v>0</v>
      </c>
      <c r="L238" s="135">
        <f t="shared" si="122"/>
        <v>0</v>
      </c>
      <c r="M238" s="135">
        <f t="shared" si="122"/>
        <v>0</v>
      </c>
      <c r="N238" s="135">
        <f t="shared" si="122"/>
        <v>5279.54</v>
      </c>
      <c r="O238" s="135">
        <f t="shared" si="122"/>
        <v>11219.34</v>
      </c>
      <c r="P238" s="135">
        <f t="shared" si="122"/>
        <v>1257.97</v>
      </c>
      <c r="Q238" s="135">
        <f t="shared" si="122"/>
        <v>9700.2199999999993</v>
      </c>
      <c r="R238" s="135">
        <f t="shared" si="115"/>
        <v>85096.36</v>
      </c>
    </row>
    <row r="239" spans="1:18">
      <c r="A239" s="130" t="s">
        <v>797</v>
      </c>
      <c r="C239" s="135">
        <f t="shared" ref="C239:Q239" si="124">C113+C176</f>
        <v>60656.89</v>
      </c>
      <c r="D239" s="135">
        <f t="shared" si="124"/>
        <v>0</v>
      </c>
      <c r="E239" s="135">
        <f t="shared" si="124"/>
        <v>0</v>
      </c>
      <c r="F239" s="135">
        <f t="shared" si="124"/>
        <v>2015.042145593869</v>
      </c>
      <c r="G239" s="135">
        <f t="shared" si="124"/>
        <v>430</v>
      </c>
      <c r="H239" s="135">
        <f t="shared" ref="H239" si="125">H113+H176</f>
        <v>0</v>
      </c>
      <c r="I239" s="135">
        <f t="shared" si="124"/>
        <v>0</v>
      </c>
      <c r="J239" s="135">
        <f t="shared" si="124"/>
        <v>0</v>
      </c>
      <c r="K239" s="135">
        <f t="shared" si="124"/>
        <v>0</v>
      </c>
      <c r="L239" s="135">
        <f t="shared" si="124"/>
        <v>0</v>
      </c>
      <c r="M239" s="135">
        <f t="shared" si="124"/>
        <v>0</v>
      </c>
      <c r="N239" s="135">
        <f t="shared" si="124"/>
        <v>19955.567620689657</v>
      </c>
      <c r="O239" s="135">
        <f t="shared" si="124"/>
        <v>1796.0576320754717</v>
      </c>
      <c r="P239" s="135">
        <f t="shared" si="124"/>
        <v>2483.9699999999998</v>
      </c>
      <c r="Q239" s="135">
        <f t="shared" si="124"/>
        <v>10243.379302681993</v>
      </c>
      <c r="R239" s="135">
        <f t="shared" si="115"/>
        <v>97580.906701040993</v>
      </c>
    </row>
    <row r="240" spans="1:18">
      <c r="A240" s="130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1:21">
      <c r="A241" s="516" t="s">
        <v>799</v>
      </c>
      <c r="C241" s="135">
        <f t="shared" ref="C241:Q241" si="126">C115+C178</f>
        <v>140026.62360153257</v>
      </c>
      <c r="D241" s="135">
        <f t="shared" si="126"/>
        <v>213513.38145593868</v>
      </c>
      <c r="E241" s="135">
        <f t="shared" si="126"/>
        <v>39357.800000000003</v>
      </c>
      <c r="F241" s="135">
        <f t="shared" si="126"/>
        <v>0</v>
      </c>
      <c r="G241" s="135">
        <f t="shared" si="126"/>
        <v>3695</v>
      </c>
      <c r="H241" s="135">
        <f t="shared" ref="H241" si="127">H115+H178</f>
        <v>0</v>
      </c>
      <c r="I241" s="135">
        <f t="shared" si="126"/>
        <v>0</v>
      </c>
      <c r="J241" s="135">
        <f t="shared" si="126"/>
        <v>0</v>
      </c>
      <c r="K241" s="135">
        <f t="shared" si="126"/>
        <v>0</v>
      </c>
      <c r="L241" s="135">
        <f t="shared" si="126"/>
        <v>0</v>
      </c>
      <c r="M241" s="135">
        <f t="shared" si="126"/>
        <v>0</v>
      </c>
      <c r="N241" s="135">
        <f t="shared" si="126"/>
        <v>30097.89003448276</v>
      </c>
      <c r="O241" s="135">
        <f t="shared" si="126"/>
        <v>85611.617813547171</v>
      </c>
      <c r="P241" s="135">
        <f t="shared" si="126"/>
        <v>1622.68</v>
      </c>
      <c r="Q241" s="135">
        <f t="shared" si="126"/>
        <v>66193.167173180074</v>
      </c>
      <c r="R241" s="135">
        <f t="shared" ref="R241:R247" si="128">SUM(C241:Q241)</f>
        <v>580118.16007868119</v>
      </c>
    </row>
    <row r="242" spans="1:21">
      <c r="A242" s="130" t="s">
        <v>800</v>
      </c>
      <c r="C242" s="135">
        <f t="shared" ref="C242:Q242" si="129">C116+C179</f>
        <v>208297.75114942528</v>
      </c>
      <c r="D242" s="135">
        <f t="shared" si="129"/>
        <v>117891.60076628353</v>
      </c>
      <c r="E242" s="135">
        <f t="shared" si="129"/>
        <v>45.75</v>
      </c>
      <c r="F242" s="135">
        <f t="shared" si="129"/>
        <v>0</v>
      </c>
      <c r="G242" s="135">
        <f t="shared" si="129"/>
        <v>2610</v>
      </c>
      <c r="H242" s="135">
        <f t="shared" ref="H242" si="130">H116+H179</f>
        <v>0</v>
      </c>
      <c r="I242" s="135">
        <f t="shared" si="129"/>
        <v>0</v>
      </c>
      <c r="J242" s="135">
        <f t="shared" si="129"/>
        <v>0</v>
      </c>
      <c r="K242" s="135">
        <f t="shared" si="129"/>
        <v>0</v>
      </c>
      <c r="L242" s="135">
        <f t="shared" si="129"/>
        <v>0</v>
      </c>
      <c r="M242" s="135">
        <f t="shared" si="129"/>
        <v>0</v>
      </c>
      <c r="N242" s="135">
        <f t="shared" si="129"/>
        <v>24259.416517241378</v>
      </c>
      <c r="O242" s="135">
        <f t="shared" si="129"/>
        <v>66872.75763937358</v>
      </c>
      <c r="P242" s="135">
        <f t="shared" si="129"/>
        <v>499.6</v>
      </c>
      <c r="Q242" s="135">
        <f t="shared" si="129"/>
        <v>54440.884397701149</v>
      </c>
      <c r="R242" s="135">
        <f t="shared" si="128"/>
        <v>474917.76047002489</v>
      </c>
    </row>
    <row r="243" spans="1:21">
      <c r="A243" s="130" t="s">
        <v>801</v>
      </c>
      <c r="C243" s="135">
        <f t="shared" ref="C243:Q243" si="131">C117+C180</f>
        <v>0</v>
      </c>
      <c r="D243" s="135">
        <f t="shared" si="131"/>
        <v>189466.40977011496</v>
      </c>
      <c r="E243" s="135">
        <f t="shared" si="131"/>
        <v>839.72</v>
      </c>
      <c r="F243" s="135">
        <f t="shared" si="131"/>
        <v>0</v>
      </c>
      <c r="G243" s="135">
        <f t="shared" si="131"/>
        <v>2045</v>
      </c>
      <c r="H243" s="135">
        <f t="shared" ref="H243" si="132">H117+H180</f>
        <v>0</v>
      </c>
      <c r="I243" s="135">
        <f t="shared" si="131"/>
        <v>0</v>
      </c>
      <c r="J243" s="135">
        <f t="shared" si="131"/>
        <v>0</v>
      </c>
      <c r="K243" s="135">
        <f t="shared" si="131"/>
        <v>949.5</v>
      </c>
      <c r="L243" s="135">
        <f t="shared" si="131"/>
        <v>0</v>
      </c>
      <c r="M243" s="135">
        <f t="shared" si="131"/>
        <v>0</v>
      </c>
      <c r="N243" s="135">
        <f t="shared" si="131"/>
        <v>13414.770413793105</v>
      </c>
      <c r="O243" s="135">
        <f t="shared" si="131"/>
        <v>75131.871690369808</v>
      </c>
      <c r="P243" s="135">
        <f t="shared" si="131"/>
        <v>3209.37</v>
      </c>
      <c r="Q243" s="135">
        <f t="shared" si="131"/>
        <v>32296.148300383142</v>
      </c>
      <c r="R243" s="135">
        <f t="shared" si="128"/>
        <v>317352.79017466097</v>
      </c>
    </row>
    <row r="244" spans="1:21">
      <c r="A244" s="130" t="s">
        <v>802</v>
      </c>
      <c r="C244" s="135">
        <f t="shared" ref="C244:Q244" si="133">C118+C181</f>
        <v>0</v>
      </c>
      <c r="D244" s="135">
        <f t="shared" si="133"/>
        <v>331756.88521072798</v>
      </c>
      <c r="E244" s="135">
        <f t="shared" si="133"/>
        <v>22697.29</v>
      </c>
      <c r="F244" s="135">
        <f t="shared" si="133"/>
        <v>0</v>
      </c>
      <c r="G244" s="135">
        <f t="shared" si="133"/>
        <v>5980</v>
      </c>
      <c r="H244" s="135">
        <f t="shared" ref="H244" si="134">H118+H181</f>
        <v>0</v>
      </c>
      <c r="I244" s="135">
        <f t="shared" si="133"/>
        <v>0</v>
      </c>
      <c r="J244" s="135">
        <f t="shared" si="133"/>
        <v>0</v>
      </c>
      <c r="K244" s="135">
        <f t="shared" si="133"/>
        <v>3259.5</v>
      </c>
      <c r="L244" s="135">
        <f t="shared" si="133"/>
        <v>0</v>
      </c>
      <c r="M244" s="135">
        <f t="shared" si="133"/>
        <v>0</v>
      </c>
      <c r="N244" s="135">
        <f t="shared" si="133"/>
        <v>26200.726413793102</v>
      </c>
      <c r="O244" s="135">
        <f t="shared" si="133"/>
        <v>92545.526568422632</v>
      </c>
      <c r="P244" s="135">
        <f t="shared" si="133"/>
        <v>5330.64</v>
      </c>
      <c r="Q244" s="135">
        <f t="shared" si="133"/>
        <v>60388.631100383143</v>
      </c>
      <c r="R244" s="135">
        <f t="shared" si="128"/>
        <v>548159.19929332682</v>
      </c>
      <c r="U244" s="129">
        <v>28205</v>
      </c>
    </row>
    <row r="245" spans="1:21">
      <c r="A245" s="130" t="s">
        <v>803</v>
      </c>
      <c r="C245" s="135">
        <f t="shared" ref="C245:Q245" si="135">C119+C182</f>
        <v>0</v>
      </c>
      <c r="D245" s="135">
        <f t="shared" si="135"/>
        <v>267851.04478927201</v>
      </c>
      <c r="E245" s="135">
        <f t="shared" si="135"/>
        <v>17148.879999999997</v>
      </c>
      <c r="F245" s="135">
        <f t="shared" si="135"/>
        <v>0</v>
      </c>
      <c r="G245" s="135">
        <f t="shared" si="135"/>
        <v>1150</v>
      </c>
      <c r="H245" s="135">
        <f t="shared" ref="H245" si="136">H119+H182</f>
        <v>0</v>
      </c>
      <c r="I245" s="135">
        <f t="shared" si="135"/>
        <v>0</v>
      </c>
      <c r="J245" s="135">
        <f t="shared" si="135"/>
        <v>0</v>
      </c>
      <c r="K245" s="135">
        <f t="shared" si="135"/>
        <v>2224.25</v>
      </c>
      <c r="L245" s="135">
        <f t="shared" si="135"/>
        <v>0</v>
      </c>
      <c r="M245" s="135">
        <f t="shared" si="135"/>
        <v>0</v>
      </c>
      <c r="N245" s="135">
        <f t="shared" si="135"/>
        <v>20530.699810344828</v>
      </c>
      <c r="O245" s="135">
        <f t="shared" si="135"/>
        <v>95961.415333200188</v>
      </c>
      <c r="P245" s="135">
        <f t="shared" si="135"/>
        <v>7751.67</v>
      </c>
      <c r="Q245" s="135">
        <f t="shared" si="135"/>
        <v>48092.485547509583</v>
      </c>
      <c r="R245" s="135">
        <f t="shared" si="128"/>
        <v>460710.4454803266</v>
      </c>
      <c r="U245" s="129">
        <v>15498</v>
      </c>
    </row>
    <row r="246" spans="1:21">
      <c r="A246" s="516" t="s">
        <v>804</v>
      </c>
      <c r="C246" s="135">
        <f t="shared" ref="C246:Q246" si="137">C120+C183</f>
        <v>0</v>
      </c>
      <c r="D246" s="135">
        <f t="shared" si="137"/>
        <v>396572.55559386971</v>
      </c>
      <c r="E246" s="135">
        <f t="shared" si="137"/>
        <v>16654.690000000002</v>
      </c>
      <c r="F246" s="135">
        <f t="shared" si="137"/>
        <v>0</v>
      </c>
      <c r="G246" s="135">
        <f t="shared" si="137"/>
        <v>4055</v>
      </c>
      <c r="H246" s="135">
        <f t="shared" ref="H246" si="138">H120+H183</f>
        <v>0</v>
      </c>
      <c r="I246" s="135">
        <f t="shared" si="137"/>
        <v>0</v>
      </c>
      <c r="J246" s="135">
        <f t="shared" si="137"/>
        <v>0</v>
      </c>
      <c r="K246" s="135">
        <f t="shared" si="137"/>
        <v>2081</v>
      </c>
      <c r="L246" s="135">
        <f t="shared" si="137"/>
        <v>0</v>
      </c>
      <c r="M246" s="135">
        <f t="shared" si="137"/>
        <v>0</v>
      </c>
      <c r="N246" s="135">
        <f t="shared" si="137"/>
        <v>30485.912655172415</v>
      </c>
      <c r="O246" s="135">
        <f t="shared" si="137"/>
        <v>133279.52221175848</v>
      </c>
      <c r="P246" s="135">
        <f t="shared" si="137"/>
        <v>8306.2099999999991</v>
      </c>
      <c r="Q246" s="135">
        <f t="shared" si="137"/>
        <v>69765.340779310354</v>
      </c>
      <c r="R246" s="135">
        <f t="shared" si="128"/>
        <v>661200.23124011094</v>
      </c>
      <c r="U246" s="129">
        <f>U244-U245</f>
        <v>12707</v>
      </c>
    </row>
    <row r="247" spans="1:21">
      <c r="A247" s="130" t="s">
        <v>805</v>
      </c>
      <c r="C247" s="135">
        <f t="shared" ref="C247:Q247" si="139">C121+C184</f>
        <v>0</v>
      </c>
      <c r="D247" s="135">
        <f t="shared" si="139"/>
        <v>108476.06206896552</v>
      </c>
      <c r="E247" s="135">
        <f t="shared" si="139"/>
        <v>60</v>
      </c>
      <c r="F247" s="135">
        <f t="shared" si="139"/>
        <v>0</v>
      </c>
      <c r="G247" s="135">
        <f t="shared" si="139"/>
        <v>1500</v>
      </c>
      <c r="H247" s="135">
        <f t="shared" ref="H247" si="140">H121+H184</f>
        <v>0</v>
      </c>
      <c r="I247" s="135">
        <f t="shared" si="139"/>
        <v>0</v>
      </c>
      <c r="J247" s="135">
        <f t="shared" si="139"/>
        <v>0</v>
      </c>
      <c r="K247" s="135">
        <f t="shared" si="139"/>
        <v>0</v>
      </c>
      <c r="L247" s="135">
        <f t="shared" si="139"/>
        <v>0</v>
      </c>
      <c r="M247" s="135">
        <f t="shared" si="139"/>
        <v>0</v>
      </c>
      <c r="N247" s="135">
        <f t="shared" si="139"/>
        <v>7927.1060689655169</v>
      </c>
      <c r="O247" s="135">
        <f t="shared" si="139"/>
        <v>21979.379138483018</v>
      </c>
      <c r="P247" s="135">
        <f t="shared" si="139"/>
        <v>1456.81</v>
      </c>
      <c r="Q247" s="135">
        <f t="shared" si="139"/>
        <v>18313.494035249045</v>
      </c>
      <c r="R247" s="135">
        <f t="shared" si="128"/>
        <v>159712.85131166311</v>
      </c>
    </row>
    <row r="248" spans="1:21">
      <c r="A248" s="130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1:21">
      <c r="A249" s="130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1:21">
      <c r="A250" s="130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1:21">
      <c r="A251" s="516" t="s">
        <v>798</v>
      </c>
      <c r="C251" s="388">
        <f t="shared" ref="C251:Q251" si="141">C125+C188</f>
        <v>0</v>
      </c>
      <c r="D251" s="388">
        <f t="shared" si="141"/>
        <v>420218.45747126441</v>
      </c>
      <c r="E251" s="388">
        <f t="shared" si="141"/>
        <v>23126.89</v>
      </c>
      <c r="F251" s="388">
        <f t="shared" si="141"/>
        <v>0</v>
      </c>
      <c r="G251" s="388">
        <f t="shared" si="141"/>
        <v>4290</v>
      </c>
      <c r="H251" s="388">
        <f t="shared" ref="H251" si="142">H125+H188</f>
        <v>0</v>
      </c>
      <c r="I251" s="388">
        <f t="shared" si="141"/>
        <v>0</v>
      </c>
      <c r="J251" s="388">
        <f t="shared" si="141"/>
        <v>0</v>
      </c>
      <c r="K251" s="388">
        <f t="shared" si="141"/>
        <v>0</v>
      </c>
      <c r="L251" s="388">
        <f t="shared" si="141"/>
        <v>0</v>
      </c>
      <c r="M251" s="388">
        <f t="shared" si="141"/>
        <v>0</v>
      </c>
      <c r="N251" s="388">
        <f t="shared" si="141"/>
        <v>33022.133517241382</v>
      </c>
      <c r="O251" s="388">
        <f t="shared" si="141"/>
        <v>106140.85329458113</v>
      </c>
      <c r="P251" s="388">
        <f t="shared" si="141"/>
        <v>9980.84</v>
      </c>
      <c r="Q251" s="388">
        <f t="shared" si="141"/>
        <v>74553.480331034472</v>
      </c>
      <c r="R251" s="265">
        <f t="shared" ref="R251" si="143">SUM(C251:Q251)</f>
        <v>671332.65461412142</v>
      </c>
    </row>
    <row r="252" spans="1:21">
      <c r="A252" s="130"/>
    </row>
    <row r="253" spans="1:21">
      <c r="A253" s="130"/>
    </row>
    <row r="254" spans="1:21" s="269" customFormat="1">
      <c r="A254" s="363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364"/>
    </row>
    <row r="255" spans="1:21">
      <c r="A255" s="130"/>
    </row>
    <row r="256" spans="1:21">
      <c r="A256" s="130"/>
    </row>
    <row r="257" spans="1:23" ht="16.2" thickBot="1">
      <c r="A257" s="130"/>
    </row>
    <row r="258" spans="1:23" ht="20.399999999999999" thickBot="1">
      <c r="A258" s="130"/>
      <c r="C258" s="142" t="s">
        <v>330</v>
      </c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246"/>
      <c r="S258" s="266" t="s">
        <v>371</v>
      </c>
      <c r="T258" s="264" t="s">
        <v>372</v>
      </c>
    </row>
    <row r="259" spans="1:23">
      <c r="A259" s="130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1:23">
      <c r="A260" s="130" t="s">
        <v>759</v>
      </c>
      <c r="C260" s="135">
        <f t="shared" ref="C260:I269" si="144">C9-C196</f>
        <v>102492.70858237549</v>
      </c>
      <c r="D260" s="135">
        <f t="shared" si="144"/>
        <v>-223.49402298850327</v>
      </c>
      <c r="E260" s="135">
        <f t="shared" si="144"/>
        <v>2086.1</v>
      </c>
      <c r="F260" s="135">
        <f t="shared" si="144"/>
        <v>0</v>
      </c>
      <c r="G260" s="135">
        <f t="shared" si="144"/>
        <v>-11</v>
      </c>
      <c r="H260" s="135">
        <f t="shared" ref="H260" si="145">H9-H196</f>
        <v>0</v>
      </c>
      <c r="I260" s="135">
        <f t="shared" si="144"/>
        <v>0</v>
      </c>
      <c r="J260" s="135"/>
      <c r="K260" s="135">
        <f t="shared" ref="K260:Q269" si="146">K9-K196</f>
        <v>0</v>
      </c>
      <c r="L260" s="135">
        <f t="shared" si="146"/>
        <v>4224</v>
      </c>
      <c r="M260" s="135">
        <f t="shared" si="146"/>
        <v>0</v>
      </c>
      <c r="N260" s="135">
        <f t="shared" si="146"/>
        <v>3694.3534137931056</v>
      </c>
      <c r="O260" s="135">
        <f t="shared" si="146"/>
        <v>7366.879443275473</v>
      </c>
      <c r="P260" s="135">
        <f t="shared" si="146"/>
        <v>0.49000000000000909</v>
      </c>
      <c r="Q260" s="135">
        <f t="shared" si="146"/>
        <v>15628.978367049807</v>
      </c>
      <c r="R260" s="135">
        <f t="shared" ref="R260" si="147">SUM(C260:Q260)</f>
        <v>135259.0157835054</v>
      </c>
      <c r="S260" s="268">
        <v>80000</v>
      </c>
      <c r="T260" s="135">
        <f>R260-S260</f>
        <v>55259.015783505398</v>
      </c>
      <c r="U260" s="129">
        <f>COUNTIF('YEP Personnel Calc'!H:H,'YEP Summaries'!$A260)</f>
        <v>2</v>
      </c>
      <c r="V260" s="129">
        <f>COUNTIF('Prop Budget Calc'!G:G,'YEP Summaries'!$A260)</f>
        <v>2</v>
      </c>
      <c r="W260" s="129">
        <f>V260-U260</f>
        <v>0</v>
      </c>
    </row>
    <row r="261" spans="1:23">
      <c r="A261" s="130" t="s">
        <v>760</v>
      </c>
      <c r="C261" s="135">
        <f t="shared" si="144"/>
        <v>0</v>
      </c>
      <c r="D261" s="135">
        <f t="shared" si="144"/>
        <v>0</v>
      </c>
      <c r="E261" s="135">
        <f t="shared" si="144"/>
        <v>1600</v>
      </c>
      <c r="F261" s="135">
        <f t="shared" si="144"/>
        <v>0</v>
      </c>
      <c r="G261" s="135">
        <f t="shared" si="144"/>
        <v>0</v>
      </c>
      <c r="H261" s="135">
        <f t="shared" ref="H261" si="148">H10-H197</f>
        <v>0</v>
      </c>
      <c r="I261" s="135">
        <f t="shared" si="144"/>
        <v>0</v>
      </c>
      <c r="J261" s="135"/>
      <c r="K261" s="135">
        <f t="shared" si="146"/>
        <v>0</v>
      </c>
      <c r="L261" s="135">
        <f t="shared" si="146"/>
        <v>0</v>
      </c>
      <c r="M261" s="135">
        <f t="shared" si="146"/>
        <v>0</v>
      </c>
      <c r="N261" s="135">
        <f t="shared" si="146"/>
        <v>130</v>
      </c>
      <c r="O261" s="135">
        <f t="shared" si="146"/>
        <v>3</v>
      </c>
      <c r="P261" s="135">
        <f t="shared" si="146"/>
        <v>1.9999999999999574E-2</v>
      </c>
      <c r="Q261" s="135">
        <f t="shared" si="146"/>
        <v>265</v>
      </c>
      <c r="R261" s="135">
        <f t="shared" ref="R261:R288" si="149">SUM(C261:Q261)</f>
        <v>1998.02</v>
      </c>
      <c r="S261" s="268"/>
      <c r="T261" s="135">
        <f t="shared" ref="T261:T288" si="150">R261-S261</f>
        <v>1998.02</v>
      </c>
      <c r="U261" s="129">
        <f>COUNTIF('YEP Personnel Calc'!H:H,'YEP Summaries'!$A261)</f>
        <v>0</v>
      </c>
      <c r="V261" s="129">
        <f>COUNTIF('Prop Budget Calc'!G:G,'YEP Summaries'!$A261)</f>
        <v>0</v>
      </c>
      <c r="W261" s="129">
        <f t="shared" ref="W261:W288" si="151">V261-U261</f>
        <v>0</v>
      </c>
    </row>
    <row r="262" spans="1:23">
      <c r="A262" s="130" t="s">
        <v>761</v>
      </c>
      <c r="C262" s="135">
        <f t="shared" si="144"/>
        <v>4976.8374329501821</v>
      </c>
      <c r="D262" s="135">
        <f t="shared" si="144"/>
        <v>0</v>
      </c>
      <c r="E262" s="135">
        <f t="shared" si="144"/>
        <v>0</v>
      </c>
      <c r="F262" s="135">
        <f t="shared" si="144"/>
        <v>0</v>
      </c>
      <c r="G262" s="135">
        <f t="shared" si="144"/>
        <v>542</v>
      </c>
      <c r="H262" s="135">
        <f t="shared" ref="H262" si="152">H11-H198</f>
        <v>0</v>
      </c>
      <c r="I262" s="135">
        <f t="shared" si="144"/>
        <v>0</v>
      </c>
      <c r="J262" s="135"/>
      <c r="K262" s="135">
        <f t="shared" si="146"/>
        <v>0</v>
      </c>
      <c r="L262" s="135">
        <f t="shared" si="146"/>
        <v>0</v>
      </c>
      <c r="M262" s="135">
        <f t="shared" si="146"/>
        <v>0</v>
      </c>
      <c r="N262" s="135">
        <f t="shared" si="146"/>
        <v>1346.0957586206896</v>
      </c>
      <c r="O262" s="135">
        <f t="shared" si="146"/>
        <v>362.70780242263936</v>
      </c>
      <c r="P262" s="135">
        <f t="shared" si="146"/>
        <v>0.21000000000000796</v>
      </c>
      <c r="Q262" s="135">
        <f t="shared" si="146"/>
        <v>907.23792107279587</v>
      </c>
      <c r="R262" s="135">
        <f t="shared" si="149"/>
        <v>8135.088915066307</v>
      </c>
      <c r="S262" s="268"/>
      <c r="T262" s="135">
        <f t="shared" si="150"/>
        <v>8135.088915066307</v>
      </c>
      <c r="U262" s="129">
        <f>COUNTIF('YEP Personnel Calc'!H:H,'YEP Summaries'!$A262)</f>
        <v>1</v>
      </c>
      <c r="V262" s="129">
        <f>COUNTIF('Prop Budget Calc'!G:G,'YEP Summaries'!$A262)</f>
        <v>1</v>
      </c>
      <c r="W262" s="129">
        <f t="shared" si="151"/>
        <v>0</v>
      </c>
    </row>
    <row r="263" spans="1:23">
      <c r="A263" s="130" t="s">
        <v>762</v>
      </c>
      <c r="C263" s="135">
        <f t="shared" si="144"/>
        <v>36114.557701149432</v>
      </c>
      <c r="D263" s="135">
        <f t="shared" si="144"/>
        <v>0</v>
      </c>
      <c r="E263" s="135">
        <f t="shared" si="144"/>
        <v>0</v>
      </c>
      <c r="F263" s="135">
        <f t="shared" si="144"/>
        <v>0</v>
      </c>
      <c r="G263" s="135">
        <f t="shared" si="144"/>
        <v>10</v>
      </c>
      <c r="H263" s="135">
        <f t="shared" ref="H263" si="153">H12-H199</f>
        <v>0</v>
      </c>
      <c r="I263" s="135">
        <f t="shared" si="144"/>
        <v>0</v>
      </c>
      <c r="J263" s="135"/>
      <c r="K263" s="135">
        <f t="shared" si="146"/>
        <v>0</v>
      </c>
      <c r="L263" s="135">
        <f t="shared" si="146"/>
        <v>0</v>
      </c>
      <c r="M263" s="135">
        <f t="shared" si="146"/>
        <v>0</v>
      </c>
      <c r="N263" s="135">
        <f t="shared" si="146"/>
        <v>3882.6147241379313</v>
      </c>
      <c r="O263" s="135">
        <f t="shared" si="146"/>
        <v>7685.7983896828264</v>
      </c>
      <c r="P263" s="135">
        <f t="shared" si="146"/>
        <v>0.18999999999999773</v>
      </c>
      <c r="Q263" s="135">
        <f t="shared" si="146"/>
        <v>6090.8298367816096</v>
      </c>
      <c r="R263" s="135">
        <f t="shared" si="149"/>
        <v>53783.990651751803</v>
      </c>
      <c r="S263" s="268">
        <v>40000</v>
      </c>
      <c r="T263" s="135">
        <f t="shared" si="150"/>
        <v>13783.990651751803</v>
      </c>
      <c r="U263" s="129">
        <f>COUNTIF('YEP Personnel Calc'!H:H,'YEP Summaries'!$A263)</f>
        <v>1</v>
      </c>
      <c r="V263" s="129">
        <f>COUNTIF('Prop Budget Calc'!G:G,'YEP Summaries'!$A263)</f>
        <v>1</v>
      </c>
      <c r="W263" s="129">
        <f t="shared" si="151"/>
        <v>0</v>
      </c>
    </row>
    <row r="264" spans="1:23">
      <c r="A264" s="130" t="s">
        <v>763</v>
      </c>
      <c r="C264" s="135">
        <f t="shared" si="144"/>
        <v>0</v>
      </c>
      <c r="D264" s="135">
        <f t="shared" si="144"/>
        <v>0</v>
      </c>
      <c r="E264" s="135">
        <f t="shared" si="144"/>
        <v>18340</v>
      </c>
      <c r="F264" s="135">
        <f t="shared" si="144"/>
        <v>0</v>
      </c>
      <c r="G264" s="135">
        <f t="shared" si="144"/>
        <v>0</v>
      </c>
      <c r="H264" s="135">
        <f t="shared" ref="H264" si="154">H13-H200</f>
        <v>0</v>
      </c>
      <c r="I264" s="135">
        <f t="shared" si="144"/>
        <v>0</v>
      </c>
      <c r="J264" s="135"/>
      <c r="K264" s="135">
        <f t="shared" si="146"/>
        <v>0</v>
      </c>
      <c r="L264" s="135">
        <f t="shared" si="146"/>
        <v>0</v>
      </c>
      <c r="M264" s="135">
        <f t="shared" si="146"/>
        <v>0</v>
      </c>
      <c r="N264" s="135">
        <f t="shared" si="146"/>
        <v>1410</v>
      </c>
      <c r="O264" s="135">
        <f t="shared" si="146"/>
        <v>33</v>
      </c>
      <c r="P264" s="135">
        <f t="shared" si="146"/>
        <v>0.23000000000001819</v>
      </c>
      <c r="Q264" s="135">
        <f t="shared" si="146"/>
        <v>3033</v>
      </c>
      <c r="R264" s="135">
        <f t="shared" si="149"/>
        <v>22816.23</v>
      </c>
      <c r="S264" s="268"/>
      <c r="T264" s="135">
        <f t="shared" si="150"/>
        <v>22816.23</v>
      </c>
      <c r="U264" s="129">
        <f>COUNTIF('YEP Personnel Calc'!H:H,'YEP Summaries'!$A264)</f>
        <v>0</v>
      </c>
      <c r="V264" s="129">
        <f>COUNTIF('Prop Budget Calc'!G:G,'YEP Summaries'!$A264)</f>
        <v>0</v>
      </c>
      <c r="W264" s="129">
        <f t="shared" si="151"/>
        <v>0</v>
      </c>
    </row>
    <row r="265" spans="1:23" ht="16.2" customHeight="1">
      <c r="A265" s="130" t="s">
        <v>764</v>
      </c>
      <c r="C265" s="135">
        <f t="shared" si="144"/>
        <v>3737.1100000000006</v>
      </c>
      <c r="D265" s="135">
        <f t="shared" si="144"/>
        <v>3320.2200000000012</v>
      </c>
      <c r="E265" s="135">
        <f t="shared" si="144"/>
        <v>2085.66</v>
      </c>
      <c r="F265" s="135">
        <f t="shared" si="144"/>
        <v>0</v>
      </c>
      <c r="G265" s="135">
        <f t="shared" si="144"/>
        <v>29</v>
      </c>
      <c r="H265" s="135">
        <f t="shared" ref="H265" si="155">H14-H201</f>
        <v>0</v>
      </c>
      <c r="I265" s="135">
        <f t="shared" si="144"/>
        <v>0</v>
      </c>
      <c r="J265" s="135"/>
      <c r="K265" s="135">
        <f t="shared" si="146"/>
        <v>0</v>
      </c>
      <c r="L265" s="135">
        <f t="shared" si="146"/>
        <v>0</v>
      </c>
      <c r="M265" s="135">
        <f t="shared" si="146"/>
        <v>0</v>
      </c>
      <c r="N265" s="135">
        <f t="shared" si="146"/>
        <v>1265.7299999999996</v>
      </c>
      <c r="O265" s="135">
        <f t="shared" si="146"/>
        <v>679.61000000000058</v>
      </c>
      <c r="P265" s="135">
        <f t="shared" si="146"/>
        <v>2.8899999999998727</v>
      </c>
      <c r="Q265" s="135">
        <f t="shared" si="146"/>
        <v>1514.7799999999988</v>
      </c>
      <c r="R265" s="135">
        <f t="shared" si="149"/>
        <v>12635</v>
      </c>
      <c r="S265" s="268"/>
      <c r="T265" s="135">
        <f t="shared" si="150"/>
        <v>12635</v>
      </c>
      <c r="U265" s="129">
        <f>COUNTIF('YEP Personnel Calc'!H:H,'YEP Summaries'!$A265)</f>
        <v>0</v>
      </c>
      <c r="V265" s="129">
        <f>COUNTIF('Prop Budget Calc'!G:G,'YEP Summaries'!$A265)</f>
        <v>0</v>
      </c>
      <c r="W265" s="129">
        <f t="shared" si="151"/>
        <v>0</v>
      </c>
    </row>
    <row r="266" spans="1:23">
      <c r="A266" s="130" t="s">
        <v>765</v>
      </c>
      <c r="C266" s="135">
        <f t="shared" si="144"/>
        <v>-3522.9216091954149</v>
      </c>
      <c r="D266" s="135">
        <f t="shared" si="144"/>
        <v>-173.99747126436705</v>
      </c>
      <c r="E266" s="135">
        <f t="shared" si="144"/>
        <v>3233</v>
      </c>
      <c r="F266" s="135">
        <f t="shared" si="144"/>
        <v>0</v>
      </c>
      <c r="G266" s="135">
        <f t="shared" si="144"/>
        <v>324</v>
      </c>
      <c r="H266" s="135">
        <f t="shared" ref="H266" si="156">H15-H202</f>
        <v>0</v>
      </c>
      <c r="I266" s="135">
        <f t="shared" si="144"/>
        <v>0</v>
      </c>
      <c r="J266" s="135"/>
      <c r="K266" s="135">
        <f t="shared" si="146"/>
        <v>0</v>
      </c>
      <c r="L266" s="135">
        <f t="shared" si="146"/>
        <v>0</v>
      </c>
      <c r="M266" s="135">
        <f t="shared" si="146"/>
        <v>0</v>
      </c>
      <c r="N266" s="135">
        <f t="shared" si="146"/>
        <v>204.42131034482736</v>
      </c>
      <c r="O266" s="135">
        <f t="shared" si="146"/>
        <v>396.63398089057591</v>
      </c>
      <c r="P266" s="135">
        <f t="shared" si="146"/>
        <v>0.74000000000000909</v>
      </c>
      <c r="Q266" s="135">
        <f t="shared" si="146"/>
        <v>-762.53497471264564</v>
      </c>
      <c r="R266" s="135">
        <f t="shared" si="149"/>
        <v>-300.65876393702433</v>
      </c>
      <c r="S266" s="268"/>
      <c r="T266" s="135">
        <f t="shared" si="150"/>
        <v>-300.65876393702433</v>
      </c>
      <c r="U266" s="129">
        <f>COUNTIF('YEP Personnel Calc'!H:H,'YEP Summaries'!$A266)</f>
        <v>3</v>
      </c>
      <c r="V266" s="129">
        <f>COUNTIF('Prop Budget Calc'!G:G,'YEP Summaries'!$A266)</f>
        <v>3</v>
      </c>
      <c r="W266" s="129">
        <f t="shared" si="151"/>
        <v>0</v>
      </c>
    </row>
    <row r="267" spans="1:23">
      <c r="A267" s="130" t="s">
        <v>767</v>
      </c>
      <c r="C267" s="135">
        <f t="shared" si="144"/>
        <v>15722.989386973175</v>
      </c>
      <c r="D267" s="135">
        <f t="shared" si="144"/>
        <v>0</v>
      </c>
      <c r="E267" s="135">
        <f t="shared" si="144"/>
        <v>0</v>
      </c>
      <c r="F267" s="135">
        <f t="shared" si="144"/>
        <v>-527.15708812260527</v>
      </c>
      <c r="G267" s="135">
        <f t="shared" si="144"/>
        <v>9</v>
      </c>
      <c r="H267" s="135">
        <f t="shared" ref="H267" si="157">H16-H203</f>
        <v>0</v>
      </c>
      <c r="I267" s="135">
        <f t="shared" si="144"/>
        <v>0</v>
      </c>
      <c r="J267" s="135"/>
      <c r="K267" s="135">
        <f t="shared" si="146"/>
        <v>0</v>
      </c>
      <c r="L267" s="135">
        <f t="shared" si="146"/>
        <v>216</v>
      </c>
      <c r="M267" s="135">
        <f t="shared" si="146"/>
        <v>0</v>
      </c>
      <c r="N267" s="135">
        <f t="shared" si="146"/>
        <v>3560.020275862069</v>
      </c>
      <c r="O267" s="135">
        <f t="shared" si="146"/>
        <v>6672.1994081282974</v>
      </c>
      <c r="P267" s="135">
        <f t="shared" si="146"/>
        <v>0.24000000000000909</v>
      </c>
      <c r="Q267" s="135">
        <f t="shared" si="146"/>
        <v>2665.36424980843</v>
      </c>
      <c r="R267" s="135">
        <f>SUM(C267:Q267)</f>
        <v>28318.656232649369</v>
      </c>
      <c r="S267" s="268">
        <v>15000</v>
      </c>
      <c r="T267" s="135">
        <f>R267-S267</f>
        <v>13318.656232649369</v>
      </c>
      <c r="U267" s="129">
        <f>COUNTIF('YEP Personnel Calc'!H:H,'YEP Summaries'!$A267)</f>
        <v>2</v>
      </c>
      <c r="V267" s="129">
        <f>COUNTIF('Prop Budget Calc'!G:G,'YEP Summaries'!$A267)</f>
        <v>2</v>
      </c>
      <c r="W267" s="129">
        <f t="shared" si="151"/>
        <v>0</v>
      </c>
    </row>
    <row r="268" spans="1:23">
      <c r="A268" s="130" t="s">
        <v>766</v>
      </c>
      <c r="C268" s="135">
        <f t="shared" si="144"/>
        <v>12741.200000000012</v>
      </c>
      <c r="D268" s="135">
        <f t="shared" si="144"/>
        <v>1100.0378544061314</v>
      </c>
      <c r="E268" s="135">
        <f t="shared" si="144"/>
        <v>500</v>
      </c>
      <c r="F268" s="135">
        <f t="shared" si="144"/>
        <v>-1272.6819923371643</v>
      </c>
      <c r="G268" s="135">
        <f t="shared" si="144"/>
        <v>86</v>
      </c>
      <c r="H268" s="135">
        <f t="shared" ref="H268" si="158">H17-H204</f>
        <v>0</v>
      </c>
      <c r="I268" s="135">
        <f t="shared" si="144"/>
        <v>0</v>
      </c>
      <c r="J268" s="135"/>
      <c r="K268" s="135">
        <f t="shared" si="146"/>
        <v>0</v>
      </c>
      <c r="L268" s="135">
        <f t="shared" si="146"/>
        <v>0</v>
      </c>
      <c r="M268" s="135">
        <f t="shared" si="146"/>
        <v>0</v>
      </c>
      <c r="N268" s="135">
        <f t="shared" si="146"/>
        <v>2688.4767931034476</v>
      </c>
      <c r="O268" s="135">
        <f t="shared" si="146"/>
        <v>-3624.5330502113211</v>
      </c>
      <c r="P268" s="135">
        <f t="shared" si="146"/>
        <v>0.45000000000004547</v>
      </c>
      <c r="Q268" s="135">
        <f t="shared" si="146"/>
        <v>2331.7447601532549</v>
      </c>
      <c r="R268" s="135">
        <f t="shared" si="149"/>
        <v>14550.694365114361</v>
      </c>
      <c r="S268" s="268"/>
      <c r="T268" s="135">
        <f t="shared" si="150"/>
        <v>14550.694365114361</v>
      </c>
      <c r="U268" s="129">
        <f>COUNTIF('YEP Personnel Calc'!H:H,'YEP Summaries'!$A268)</f>
        <v>3</v>
      </c>
      <c r="V268" s="129">
        <f>COUNTIF('Prop Budget Calc'!G:G,'YEP Summaries'!$A268)</f>
        <v>3</v>
      </c>
      <c r="W268" s="129">
        <f t="shared" si="151"/>
        <v>0</v>
      </c>
    </row>
    <row r="269" spans="1:23">
      <c r="A269" s="130" t="s">
        <v>768</v>
      </c>
      <c r="C269" s="135">
        <f t="shared" si="144"/>
        <v>111196.60999999999</v>
      </c>
      <c r="D269" s="135">
        <f t="shared" si="144"/>
        <v>5039.022068965518</v>
      </c>
      <c r="E269" s="135">
        <f t="shared" si="144"/>
        <v>-190.44</v>
      </c>
      <c r="F269" s="135">
        <f t="shared" si="144"/>
        <v>0</v>
      </c>
      <c r="G269" s="135">
        <f t="shared" si="144"/>
        <v>80</v>
      </c>
      <c r="H269" s="135">
        <f t="shared" ref="H269" si="159">H18-H205</f>
        <v>0</v>
      </c>
      <c r="I269" s="135">
        <f t="shared" si="144"/>
        <v>0</v>
      </c>
      <c r="J269" s="135"/>
      <c r="K269" s="135">
        <f t="shared" si="146"/>
        <v>0</v>
      </c>
      <c r="L269" s="135">
        <f t="shared" si="146"/>
        <v>216</v>
      </c>
      <c r="M269" s="135">
        <f t="shared" si="146"/>
        <v>0</v>
      </c>
      <c r="N269" s="135">
        <f t="shared" si="146"/>
        <v>9505.1854482758645</v>
      </c>
      <c r="O269" s="135">
        <f t="shared" si="146"/>
        <v>21613.62849230189</v>
      </c>
      <c r="P269" s="135">
        <f t="shared" si="146"/>
        <v>0.45000000000004547</v>
      </c>
      <c r="Q269" s="135">
        <f t="shared" si="146"/>
        <v>19219.223806896553</v>
      </c>
      <c r="R269" s="135">
        <f t="shared" si="149"/>
        <v>166679.67981643981</v>
      </c>
      <c r="S269" s="268">
        <v>40000</v>
      </c>
      <c r="T269" s="135">
        <f t="shared" si="150"/>
        <v>126679.67981643981</v>
      </c>
      <c r="U269" s="129">
        <f>COUNTIF('YEP Personnel Calc'!H:H,'YEP Summaries'!$A269)</f>
        <v>2</v>
      </c>
      <c r="V269" s="129">
        <f>COUNTIF('Prop Budget Calc'!G:G,'YEP Summaries'!$A269)</f>
        <v>2</v>
      </c>
      <c r="W269" s="129">
        <f t="shared" si="151"/>
        <v>0</v>
      </c>
    </row>
    <row r="270" spans="1:23">
      <c r="A270" s="130" t="s">
        <v>769</v>
      </c>
      <c r="C270" s="135">
        <f t="shared" ref="C270:I279" si="160">C19-C206</f>
        <v>2486.8300000000017</v>
      </c>
      <c r="D270" s="135">
        <f t="shared" si="160"/>
        <v>7461.5299999999988</v>
      </c>
      <c r="E270" s="135">
        <f t="shared" si="160"/>
        <v>1611.47</v>
      </c>
      <c r="F270" s="135">
        <f t="shared" si="160"/>
        <v>0</v>
      </c>
      <c r="G270" s="135">
        <f t="shared" si="160"/>
        <v>18</v>
      </c>
      <c r="H270" s="135">
        <f t="shared" ref="H270" si="161">H19-H206</f>
        <v>0</v>
      </c>
      <c r="I270" s="135">
        <f t="shared" si="160"/>
        <v>0</v>
      </c>
      <c r="J270" s="135"/>
      <c r="K270" s="135">
        <f t="shared" ref="K270:Q279" si="162">K19-K206</f>
        <v>0</v>
      </c>
      <c r="L270" s="135">
        <f t="shared" si="162"/>
        <v>0</v>
      </c>
      <c r="M270" s="135">
        <f t="shared" si="162"/>
        <v>0</v>
      </c>
      <c r="N270" s="135">
        <f t="shared" si="162"/>
        <v>1430.3300000000017</v>
      </c>
      <c r="O270" s="135">
        <f t="shared" si="162"/>
        <v>11011.669999999998</v>
      </c>
      <c r="P270" s="135">
        <f t="shared" si="162"/>
        <v>0.35000000000002274</v>
      </c>
      <c r="Q270" s="135">
        <f t="shared" si="162"/>
        <v>1906.4700000000012</v>
      </c>
      <c r="R270" s="135">
        <f t="shared" si="149"/>
        <v>25926.65</v>
      </c>
      <c r="S270" s="268"/>
      <c r="T270" s="135">
        <f t="shared" si="150"/>
        <v>25926.65</v>
      </c>
      <c r="U270" s="129">
        <f>COUNTIF('YEP Personnel Calc'!H:H,'YEP Summaries'!$A270)</f>
        <v>0</v>
      </c>
      <c r="V270" s="129">
        <f>COUNTIF('Prop Budget Calc'!G:G,'YEP Summaries'!$A270)</f>
        <v>0</v>
      </c>
      <c r="W270" s="129">
        <f t="shared" si="151"/>
        <v>0</v>
      </c>
    </row>
    <row r="271" spans="1:23">
      <c r="A271" s="130" t="s">
        <v>770</v>
      </c>
      <c r="C271" s="135">
        <f t="shared" si="160"/>
        <v>3339.3600000000006</v>
      </c>
      <c r="D271" s="135">
        <f t="shared" si="160"/>
        <v>2118.4085823754867</v>
      </c>
      <c r="E271" s="135">
        <f t="shared" si="160"/>
        <v>7202.7</v>
      </c>
      <c r="F271" s="135">
        <f t="shared" si="160"/>
        <v>0</v>
      </c>
      <c r="G271" s="135">
        <f t="shared" si="160"/>
        <v>44</v>
      </c>
      <c r="H271" s="135">
        <f t="shared" ref="H271" si="163">H20-H207</f>
        <v>0</v>
      </c>
      <c r="I271" s="135">
        <f t="shared" si="160"/>
        <v>0</v>
      </c>
      <c r="J271" s="135"/>
      <c r="K271" s="135">
        <f t="shared" si="162"/>
        <v>0</v>
      </c>
      <c r="L271" s="135">
        <f t="shared" si="162"/>
        <v>0</v>
      </c>
      <c r="M271" s="135">
        <f t="shared" si="162"/>
        <v>0</v>
      </c>
      <c r="N271" s="135">
        <f t="shared" si="162"/>
        <v>2393.4168965517256</v>
      </c>
      <c r="O271" s="135">
        <f t="shared" si="162"/>
        <v>52.342594875473878</v>
      </c>
      <c r="P271" s="135">
        <f t="shared" si="162"/>
        <v>0.5</v>
      </c>
      <c r="Q271" s="135">
        <f t="shared" si="162"/>
        <v>2119.0273026819923</v>
      </c>
      <c r="R271" s="135">
        <f t="shared" si="149"/>
        <v>17269.755376484682</v>
      </c>
      <c r="S271" s="268"/>
      <c r="T271" s="135">
        <f t="shared" si="150"/>
        <v>17269.755376484682</v>
      </c>
      <c r="U271" s="129">
        <f>COUNTIF('YEP Personnel Calc'!H:H,'YEP Summaries'!$A271)</f>
        <v>1</v>
      </c>
      <c r="V271" s="129">
        <f>COUNTIF('Prop Budget Calc'!G:G,'YEP Summaries'!$A271)</f>
        <v>1</v>
      </c>
      <c r="W271" s="129">
        <f t="shared" si="151"/>
        <v>0</v>
      </c>
    </row>
    <row r="272" spans="1:23">
      <c r="A272" s="130" t="s">
        <v>771</v>
      </c>
      <c r="C272" s="135">
        <f t="shared" si="160"/>
        <v>8423.3300000000163</v>
      </c>
      <c r="D272" s="135">
        <f t="shared" si="160"/>
        <v>15290.309999999998</v>
      </c>
      <c r="E272" s="135">
        <f t="shared" si="160"/>
        <v>964.5</v>
      </c>
      <c r="F272" s="135">
        <f t="shared" si="160"/>
        <v>0</v>
      </c>
      <c r="G272" s="135">
        <f t="shared" si="160"/>
        <v>41.5</v>
      </c>
      <c r="H272" s="135">
        <f t="shared" ref="H272" si="164">H21-H208</f>
        <v>0</v>
      </c>
      <c r="I272" s="135">
        <f t="shared" si="160"/>
        <v>0</v>
      </c>
      <c r="J272" s="135"/>
      <c r="K272" s="135">
        <f t="shared" si="162"/>
        <v>988</v>
      </c>
      <c r="L272" s="135">
        <f t="shared" si="162"/>
        <v>0</v>
      </c>
      <c r="M272" s="135">
        <f t="shared" si="162"/>
        <v>0</v>
      </c>
      <c r="N272" s="135">
        <f t="shared" si="162"/>
        <v>985.2400000000016</v>
      </c>
      <c r="O272" s="135">
        <f t="shared" si="162"/>
        <v>1469.2300000000032</v>
      </c>
      <c r="P272" s="135">
        <f t="shared" si="162"/>
        <v>4.319999999999709</v>
      </c>
      <c r="Q272" s="135">
        <f t="shared" si="162"/>
        <v>4262.9599999999991</v>
      </c>
      <c r="R272" s="135">
        <f t="shared" si="149"/>
        <v>32429.390000000018</v>
      </c>
      <c r="S272" s="268"/>
      <c r="T272" s="135">
        <f t="shared" si="150"/>
        <v>32429.390000000018</v>
      </c>
      <c r="U272" s="129">
        <f>COUNTIF('YEP Personnel Calc'!H:H,'YEP Summaries'!$A272)</f>
        <v>0</v>
      </c>
      <c r="V272" s="129">
        <f>COUNTIF('Prop Budget Calc'!G:G,'YEP Summaries'!$A272)</f>
        <v>0</v>
      </c>
      <c r="W272" s="129">
        <f t="shared" si="151"/>
        <v>0</v>
      </c>
    </row>
    <row r="273" spans="1:24">
      <c r="A273" s="130" t="s">
        <v>772</v>
      </c>
      <c r="C273" s="135">
        <f t="shared" si="160"/>
        <v>23805.320000000007</v>
      </c>
      <c r="D273" s="135">
        <f t="shared" si="160"/>
        <v>138759.2422222225</v>
      </c>
      <c r="E273" s="135">
        <f t="shared" si="160"/>
        <v>-148886.39000000001</v>
      </c>
      <c r="F273" s="135">
        <f t="shared" si="160"/>
        <v>0</v>
      </c>
      <c r="G273" s="135">
        <f t="shared" si="160"/>
        <v>1591</v>
      </c>
      <c r="H273" s="135">
        <f t="shared" ref="H273" si="165">H22-H209</f>
        <v>0</v>
      </c>
      <c r="I273" s="135">
        <f t="shared" si="160"/>
        <v>0</v>
      </c>
      <c r="J273" s="135"/>
      <c r="K273" s="135">
        <f t="shared" si="162"/>
        <v>3273.5</v>
      </c>
      <c r="L273" s="135">
        <f t="shared" si="162"/>
        <v>0</v>
      </c>
      <c r="M273" s="135">
        <f t="shared" si="162"/>
        <v>0</v>
      </c>
      <c r="N273" s="135">
        <f t="shared" si="162"/>
        <v>6134.7444260535995</v>
      </c>
      <c r="O273" s="135">
        <f t="shared" si="162"/>
        <v>26923.488698120811</v>
      </c>
      <c r="P273" s="135">
        <f t="shared" si="162"/>
        <v>60.020000000004075</v>
      </c>
      <c r="Q273" s="135">
        <f t="shared" si="162"/>
        <v>3821.2528450574027</v>
      </c>
      <c r="R273" s="135">
        <f t="shared" si="149"/>
        <v>55482.17819145431</v>
      </c>
      <c r="S273" s="268"/>
      <c r="T273" s="135">
        <f t="shared" si="150"/>
        <v>55482.17819145431</v>
      </c>
      <c r="U273" s="129">
        <f>COUNTIF('YEP Personnel Calc'!H:H,'YEP Summaries'!$A273)</f>
        <v>11</v>
      </c>
      <c r="V273" s="129">
        <f>COUNTIF('Prop Budget Calc'!G:G,'YEP Summaries'!$A273)</f>
        <v>11</v>
      </c>
      <c r="W273" s="129">
        <f t="shared" si="151"/>
        <v>0</v>
      </c>
      <c r="X273" s="135"/>
    </row>
    <row r="274" spans="1:24">
      <c r="A274" s="130" t="s">
        <v>773</v>
      </c>
      <c r="C274" s="135">
        <f t="shared" si="160"/>
        <v>28259.5</v>
      </c>
      <c r="D274" s="135">
        <f t="shared" si="160"/>
        <v>195397.86865900387</v>
      </c>
      <c r="E274" s="135">
        <f t="shared" si="160"/>
        <v>-245915.84999999998</v>
      </c>
      <c r="F274" s="135">
        <f t="shared" si="160"/>
        <v>0</v>
      </c>
      <c r="G274" s="135">
        <f t="shared" si="160"/>
        <v>81</v>
      </c>
      <c r="H274" s="135">
        <f t="shared" ref="H274" si="166">H23-H210</f>
        <v>0</v>
      </c>
      <c r="I274" s="135">
        <f t="shared" si="160"/>
        <v>0</v>
      </c>
      <c r="J274" s="135"/>
      <c r="K274" s="135">
        <f t="shared" si="162"/>
        <v>15831.292000000001</v>
      </c>
      <c r="L274" s="135">
        <f t="shared" si="162"/>
        <v>0</v>
      </c>
      <c r="M274" s="135">
        <f t="shared" si="162"/>
        <v>0</v>
      </c>
      <c r="N274" s="135">
        <f t="shared" si="162"/>
        <v>4370.4882293793053</v>
      </c>
      <c r="O274" s="135">
        <f t="shared" si="162"/>
        <v>69110.744724180957</v>
      </c>
      <c r="P274" s="135">
        <f t="shared" si="162"/>
        <v>5.1099999999996726</v>
      </c>
      <c r="Q274" s="135">
        <f t="shared" si="162"/>
        <v>1530.9355142160784</v>
      </c>
      <c r="R274" s="135">
        <f t="shared" si="149"/>
        <v>68671.089126780236</v>
      </c>
      <c r="S274" s="268"/>
      <c r="T274" s="135">
        <f t="shared" si="150"/>
        <v>68671.089126780236</v>
      </c>
      <c r="U274" s="129">
        <f>COUNTIF('YEP Personnel Calc'!H:H,'YEP Summaries'!$A274)</f>
        <v>7</v>
      </c>
      <c r="V274" s="129">
        <f>COUNTIF('Prop Budget Calc'!G:G,'YEP Summaries'!$A274)</f>
        <v>7</v>
      </c>
      <c r="W274" s="129">
        <f t="shared" si="151"/>
        <v>0</v>
      </c>
      <c r="X274" s="135"/>
    </row>
    <row r="275" spans="1:24">
      <c r="A275" s="130" t="s">
        <v>774</v>
      </c>
      <c r="C275" s="135">
        <f t="shared" si="160"/>
        <v>0</v>
      </c>
      <c r="D275" s="135">
        <f t="shared" si="160"/>
        <v>27481.921379310341</v>
      </c>
      <c r="E275" s="135">
        <f t="shared" si="160"/>
        <v>-3079</v>
      </c>
      <c r="F275" s="135">
        <f t="shared" si="160"/>
        <v>0</v>
      </c>
      <c r="G275" s="135">
        <f t="shared" si="160"/>
        <v>10</v>
      </c>
      <c r="H275" s="135">
        <f t="shared" ref="H275" si="167">H24-H211</f>
        <v>0</v>
      </c>
      <c r="I275" s="135">
        <f t="shared" si="160"/>
        <v>0</v>
      </c>
      <c r="J275" s="135"/>
      <c r="K275" s="135">
        <f t="shared" si="162"/>
        <v>6510.3919999999998</v>
      </c>
      <c r="L275" s="135">
        <f t="shared" si="162"/>
        <v>0</v>
      </c>
      <c r="M275" s="135">
        <f t="shared" si="162"/>
        <v>0</v>
      </c>
      <c r="N275" s="135">
        <f t="shared" si="162"/>
        <v>2711.5211466206893</v>
      </c>
      <c r="O275" s="135">
        <f t="shared" si="162"/>
        <v>10783.266768528301</v>
      </c>
      <c r="P275" s="135">
        <f t="shared" si="162"/>
        <v>3.6300000000001091</v>
      </c>
      <c r="Q275" s="135">
        <f t="shared" si="162"/>
        <v>4812.6727208061311</v>
      </c>
      <c r="R275" s="135">
        <f t="shared" si="149"/>
        <v>49234.404015265463</v>
      </c>
      <c r="S275" s="268"/>
      <c r="T275" s="135">
        <f t="shared" si="150"/>
        <v>49234.404015265463</v>
      </c>
      <c r="U275" s="129">
        <f>COUNTIF('YEP Personnel Calc'!H:H,'YEP Summaries'!$A275)</f>
        <v>2</v>
      </c>
      <c r="V275" s="129">
        <f>COUNTIF('Prop Budget Calc'!G:G,'YEP Summaries'!$A275)</f>
        <v>2</v>
      </c>
      <c r="W275" s="129">
        <f t="shared" si="151"/>
        <v>0</v>
      </c>
    </row>
    <row r="276" spans="1:24">
      <c r="A276" s="130" t="s">
        <v>775</v>
      </c>
      <c r="C276" s="135">
        <f t="shared" si="160"/>
        <v>124.79000000000087</v>
      </c>
      <c r="D276" s="135">
        <f t="shared" si="160"/>
        <v>35043.045977011498</v>
      </c>
      <c r="E276" s="135">
        <f t="shared" si="160"/>
        <v>-14987.7</v>
      </c>
      <c r="F276" s="135">
        <f t="shared" si="160"/>
        <v>0</v>
      </c>
      <c r="G276" s="135">
        <f t="shared" si="160"/>
        <v>436.5</v>
      </c>
      <c r="H276" s="135">
        <f t="shared" ref="H276" si="168">H25-H212</f>
        <v>0</v>
      </c>
      <c r="I276" s="135">
        <f t="shared" si="160"/>
        <v>0</v>
      </c>
      <c r="J276" s="135"/>
      <c r="K276" s="135">
        <f t="shared" si="162"/>
        <v>7840.5219999999972</v>
      </c>
      <c r="L276" s="135">
        <f t="shared" si="162"/>
        <v>0</v>
      </c>
      <c r="M276" s="135">
        <f t="shared" si="162"/>
        <v>0</v>
      </c>
      <c r="N276" s="135">
        <f t="shared" si="162"/>
        <v>3617.8027673103425</v>
      </c>
      <c r="O276" s="135">
        <f t="shared" si="162"/>
        <v>18043.442622301882</v>
      </c>
      <c r="P276" s="135">
        <f t="shared" si="162"/>
        <v>7.1000000000003638</v>
      </c>
      <c r="Q276" s="135">
        <f t="shared" si="162"/>
        <v>4796.5063047141739</v>
      </c>
      <c r="R276" s="135">
        <f t="shared" si="149"/>
        <v>54922.009671337895</v>
      </c>
      <c r="S276" s="268"/>
      <c r="T276" s="135">
        <f t="shared" si="150"/>
        <v>54922.009671337895</v>
      </c>
      <c r="U276" s="129">
        <f>COUNTIF('YEP Personnel Calc'!H:H,'YEP Summaries'!$A276)</f>
        <v>4</v>
      </c>
      <c r="V276" s="129">
        <f>COUNTIF('Prop Budget Calc'!G:G,'YEP Summaries'!$A276)</f>
        <v>4</v>
      </c>
      <c r="W276" s="129">
        <f t="shared" si="151"/>
        <v>0</v>
      </c>
    </row>
    <row r="277" spans="1:24">
      <c r="A277" s="130" t="s">
        <v>776</v>
      </c>
      <c r="C277" s="135">
        <f t="shared" si="160"/>
        <v>5683.7700000000186</v>
      </c>
      <c r="D277" s="135">
        <f t="shared" si="160"/>
        <v>45437.270000000019</v>
      </c>
      <c r="E277" s="135">
        <f t="shared" si="160"/>
        <v>-6702.15</v>
      </c>
      <c r="F277" s="135">
        <f t="shared" si="160"/>
        <v>0</v>
      </c>
      <c r="G277" s="135">
        <f t="shared" si="160"/>
        <v>49</v>
      </c>
      <c r="H277" s="135">
        <f t="shared" ref="H277" si="169">H26-H213</f>
        <v>0</v>
      </c>
      <c r="I277" s="135">
        <f t="shared" si="160"/>
        <v>0</v>
      </c>
      <c r="J277" s="135"/>
      <c r="K277" s="135">
        <f t="shared" si="162"/>
        <v>216</v>
      </c>
      <c r="L277" s="135">
        <f t="shared" si="162"/>
        <v>0</v>
      </c>
      <c r="M277" s="135">
        <f t="shared" si="162"/>
        <v>0</v>
      </c>
      <c r="N277" s="135">
        <f t="shared" si="162"/>
        <v>926.21241379310231</v>
      </c>
      <c r="O277" s="135">
        <f t="shared" si="162"/>
        <v>13060.590000000004</v>
      </c>
      <c r="P277" s="135">
        <f t="shared" si="162"/>
        <v>9.75</v>
      </c>
      <c r="Q277" s="135">
        <f t="shared" si="162"/>
        <v>7454.9703448275832</v>
      </c>
      <c r="R277" s="135">
        <f t="shared" si="149"/>
        <v>66135.412758620718</v>
      </c>
      <c r="S277" s="268"/>
      <c r="T277" s="135">
        <f t="shared" si="150"/>
        <v>66135.412758620718</v>
      </c>
      <c r="U277" s="129">
        <f>COUNTIF('YEP Personnel Calc'!H:H,'YEP Summaries'!$A277)</f>
        <v>1</v>
      </c>
      <c r="V277" s="129">
        <f>COUNTIF('Prop Budget Calc'!G:G,'YEP Summaries'!$A277)</f>
        <v>1</v>
      </c>
      <c r="W277" s="129">
        <f t="shared" si="151"/>
        <v>0</v>
      </c>
    </row>
    <row r="278" spans="1:24">
      <c r="A278" s="130" t="s">
        <v>777</v>
      </c>
      <c r="C278" s="135">
        <f t="shared" si="160"/>
        <v>0</v>
      </c>
      <c r="D278" s="135">
        <f t="shared" si="160"/>
        <v>421511.13444444444</v>
      </c>
      <c r="E278" s="135">
        <f t="shared" si="160"/>
        <v>-140924.18000000005</v>
      </c>
      <c r="F278" s="135">
        <f t="shared" si="160"/>
        <v>0</v>
      </c>
      <c r="G278" s="135">
        <f t="shared" si="160"/>
        <v>307</v>
      </c>
      <c r="H278" s="135">
        <f t="shared" ref="H278" si="170">H27-H214</f>
        <v>0</v>
      </c>
      <c r="I278" s="135">
        <f t="shared" si="160"/>
        <v>0</v>
      </c>
      <c r="J278" s="135"/>
      <c r="K278" s="135">
        <f t="shared" si="162"/>
        <v>333</v>
      </c>
      <c r="L278" s="135">
        <f t="shared" si="162"/>
        <v>0</v>
      </c>
      <c r="M278" s="135">
        <f t="shared" si="162"/>
        <v>0</v>
      </c>
      <c r="N278" s="135">
        <f t="shared" si="162"/>
        <v>9522.5466111111455</v>
      </c>
      <c r="O278" s="135">
        <f t="shared" si="162"/>
        <v>44944.097500309465</v>
      </c>
      <c r="P278" s="135">
        <f t="shared" si="162"/>
        <v>74.399999999994179</v>
      </c>
      <c r="Q278" s="135">
        <f t="shared" si="162"/>
        <v>47553.036686973181</v>
      </c>
      <c r="R278" s="135">
        <f t="shared" si="149"/>
        <v>383321.0352428382</v>
      </c>
      <c r="S278" s="268">
        <v>80000</v>
      </c>
      <c r="T278" s="135">
        <f t="shared" si="150"/>
        <v>303321.0352428382</v>
      </c>
      <c r="U278" s="129">
        <f>COUNTIF('YEP Personnel Calc'!H:H,'YEP Summaries'!$A278)</f>
        <v>10</v>
      </c>
      <c r="V278" s="129">
        <f>COUNTIF('Prop Budget Calc'!G:G,'YEP Summaries'!$A278)</f>
        <v>10</v>
      </c>
      <c r="W278" s="129">
        <f t="shared" si="151"/>
        <v>0</v>
      </c>
      <c r="X278" s="135"/>
    </row>
    <row r="279" spans="1:24">
      <c r="A279" s="130" t="s">
        <v>778</v>
      </c>
      <c r="C279" s="135">
        <f t="shared" si="160"/>
        <v>12194.630000000005</v>
      </c>
      <c r="D279" s="135">
        <f t="shared" si="160"/>
        <v>6036.2900000000009</v>
      </c>
      <c r="E279" s="135">
        <f t="shared" si="160"/>
        <v>525.66</v>
      </c>
      <c r="F279" s="135">
        <f t="shared" si="160"/>
        <v>0</v>
      </c>
      <c r="G279" s="135">
        <f t="shared" si="160"/>
        <v>16</v>
      </c>
      <c r="H279" s="135">
        <f t="shared" ref="H279" si="171">H28-H215</f>
        <v>0</v>
      </c>
      <c r="I279" s="135">
        <f t="shared" si="160"/>
        <v>0</v>
      </c>
      <c r="J279" s="135"/>
      <c r="K279" s="135">
        <f t="shared" si="162"/>
        <v>0</v>
      </c>
      <c r="L279" s="135">
        <f t="shared" si="162"/>
        <v>216</v>
      </c>
      <c r="M279" s="135">
        <f t="shared" si="162"/>
        <v>0</v>
      </c>
      <c r="N279" s="135">
        <f t="shared" si="162"/>
        <v>8.2799999999988358</v>
      </c>
      <c r="O279" s="135">
        <f t="shared" si="162"/>
        <v>1116.4199999999983</v>
      </c>
      <c r="P279" s="135">
        <f t="shared" si="162"/>
        <v>0.39999999999997726</v>
      </c>
      <c r="Q279" s="135">
        <f t="shared" si="162"/>
        <v>3138.1800000000003</v>
      </c>
      <c r="R279" s="135">
        <f t="shared" si="149"/>
        <v>23251.860000000004</v>
      </c>
      <c r="S279" s="268"/>
      <c r="T279" s="135">
        <f t="shared" si="150"/>
        <v>23251.860000000004</v>
      </c>
      <c r="U279" s="129">
        <f>COUNTIF('YEP Personnel Calc'!H:H,'YEP Summaries'!$A279)</f>
        <v>0</v>
      </c>
      <c r="V279" s="129">
        <f>COUNTIF('Prop Budget Calc'!G:G,'YEP Summaries'!$A279)</f>
        <v>0</v>
      </c>
      <c r="W279" s="129">
        <f t="shared" si="151"/>
        <v>0</v>
      </c>
    </row>
    <row r="280" spans="1:24">
      <c r="A280" s="130" t="s">
        <v>779</v>
      </c>
      <c r="C280" s="135">
        <f t="shared" ref="C280:I288" si="172">C29-C216</f>
        <v>49000.682145593892</v>
      </c>
      <c r="D280" s="135">
        <f t="shared" si="172"/>
        <v>15945.896781609204</v>
      </c>
      <c r="E280" s="135">
        <f t="shared" si="172"/>
        <v>10323.14</v>
      </c>
      <c r="F280" s="135">
        <f t="shared" si="172"/>
        <v>0</v>
      </c>
      <c r="G280" s="135">
        <f t="shared" si="172"/>
        <v>84</v>
      </c>
      <c r="H280" s="135">
        <f t="shared" ref="H280" si="173">H29-H216</f>
        <v>0</v>
      </c>
      <c r="I280" s="135">
        <f t="shared" si="172"/>
        <v>0</v>
      </c>
      <c r="J280" s="135"/>
      <c r="K280" s="135">
        <f t="shared" ref="K280:Q288" si="174">K29-K216</f>
        <v>0</v>
      </c>
      <c r="L280" s="135">
        <f t="shared" si="174"/>
        <v>189</v>
      </c>
      <c r="M280" s="135">
        <f t="shared" si="174"/>
        <v>0</v>
      </c>
      <c r="N280" s="135">
        <f t="shared" si="174"/>
        <v>5432.4782068965505</v>
      </c>
      <c r="O280" s="135">
        <f t="shared" si="174"/>
        <v>17676.079628022446</v>
      </c>
      <c r="P280" s="135">
        <f t="shared" si="174"/>
        <v>0.88000000000010914</v>
      </c>
      <c r="Q280" s="135">
        <f t="shared" si="174"/>
        <v>12433.265883524909</v>
      </c>
      <c r="R280" s="135">
        <f t="shared" si="149"/>
        <v>111085.42264564699</v>
      </c>
      <c r="S280" s="268">
        <v>45000</v>
      </c>
      <c r="T280" s="135">
        <f t="shared" si="150"/>
        <v>66085.422645646991</v>
      </c>
      <c r="U280" s="129">
        <f>COUNTIF('YEP Personnel Calc'!H:H,'YEP Summaries'!$A280)</f>
        <v>4</v>
      </c>
      <c r="V280" s="129">
        <f>COUNTIF('Prop Budget Calc'!G:G,'YEP Summaries'!$A280)</f>
        <v>4</v>
      </c>
      <c r="W280" s="129">
        <f t="shared" si="151"/>
        <v>0</v>
      </c>
    </row>
    <row r="281" spans="1:24">
      <c r="A281" s="130" t="s">
        <v>780</v>
      </c>
      <c r="C281" s="135">
        <f t="shared" si="172"/>
        <v>52801</v>
      </c>
      <c r="D281" s="135">
        <f t="shared" si="172"/>
        <v>21335.333984674304</v>
      </c>
      <c r="E281" s="135">
        <f t="shared" si="172"/>
        <v>23612.85</v>
      </c>
      <c r="F281" s="135">
        <f t="shared" si="172"/>
        <v>0</v>
      </c>
      <c r="G281" s="135">
        <f t="shared" si="172"/>
        <v>-20</v>
      </c>
      <c r="H281" s="135">
        <f t="shared" ref="H281" si="175">H30-H217</f>
        <v>0</v>
      </c>
      <c r="I281" s="135">
        <f t="shared" si="172"/>
        <v>0</v>
      </c>
      <c r="J281" s="135"/>
      <c r="K281" s="135">
        <f t="shared" si="174"/>
        <v>0</v>
      </c>
      <c r="L281" s="135">
        <f t="shared" si="174"/>
        <v>0</v>
      </c>
      <c r="M281" s="135">
        <f t="shared" si="174"/>
        <v>0</v>
      </c>
      <c r="N281" s="135">
        <f t="shared" si="174"/>
        <v>8546.1086965517243</v>
      </c>
      <c r="O281" s="135">
        <f t="shared" si="174"/>
        <v>44238.03344799226</v>
      </c>
      <c r="P281" s="135">
        <f t="shared" si="174"/>
        <v>9.3400000000001455</v>
      </c>
      <c r="Q281" s="135">
        <f t="shared" si="174"/>
        <v>15746.444453793105</v>
      </c>
      <c r="R281" s="135">
        <f t="shared" si="149"/>
        <v>166269.11058301141</v>
      </c>
      <c r="S281" s="268">
        <v>75000</v>
      </c>
      <c r="T281" s="135">
        <f t="shared" si="150"/>
        <v>91269.11058301141</v>
      </c>
      <c r="U281" s="129">
        <f>COUNTIF('YEP Personnel Calc'!H:H,'YEP Summaries'!$A281)</f>
        <v>3</v>
      </c>
      <c r="V281" s="129">
        <f>COUNTIF('Prop Budget Calc'!G:G,'YEP Summaries'!$A281)</f>
        <v>3</v>
      </c>
      <c r="W281" s="129">
        <f t="shared" si="151"/>
        <v>0</v>
      </c>
    </row>
    <row r="282" spans="1:24">
      <c r="A282" s="130" t="s">
        <v>781</v>
      </c>
      <c r="C282" s="135">
        <f t="shared" si="172"/>
        <v>-45189.032911877381</v>
      </c>
      <c r="D282" s="135">
        <f t="shared" si="172"/>
        <v>70423.224367816088</v>
      </c>
      <c r="E282" s="135">
        <f t="shared" si="172"/>
        <v>242.32</v>
      </c>
      <c r="F282" s="135">
        <f t="shared" si="172"/>
        <v>0</v>
      </c>
      <c r="G282" s="135">
        <f t="shared" si="172"/>
        <v>2268</v>
      </c>
      <c r="H282" s="135">
        <f t="shared" ref="H282" si="176">H31-H218</f>
        <v>0</v>
      </c>
      <c r="I282" s="135">
        <f t="shared" si="172"/>
        <v>0</v>
      </c>
      <c r="J282" s="135"/>
      <c r="K282" s="135">
        <f t="shared" si="174"/>
        <v>0</v>
      </c>
      <c r="L282" s="135">
        <f t="shared" si="174"/>
        <v>0</v>
      </c>
      <c r="M282" s="135">
        <f t="shared" si="174"/>
        <v>0</v>
      </c>
      <c r="N282" s="135">
        <f t="shared" si="174"/>
        <v>5505.3215862068973</v>
      </c>
      <c r="O282" s="135">
        <f t="shared" si="174"/>
        <v>-8616.1649224754656</v>
      </c>
      <c r="P282" s="135">
        <f t="shared" si="174"/>
        <v>1.2699999999999818</v>
      </c>
      <c r="Q282" s="135">
        <f t="shared" si="174"/>
        <v>4646.3732996168692</v>
      </c>
      <c r="R282" s="135">
        <f t="shared" si="149"/>
        <v>29281.311419287009</v>
      </c>
      <c r="S282" s="268"/>
      <c r="T282" s="135">
        <f t="shared" si="150"/>
        <v>29281.311419287009</v>
      </c>
      <c r="U282" s="129">
        <f>COUNTIF('YEP Personnel Calc'!H:H,'YEP Summaries'!$A282)</f>
        <v>3</v>
      </c>
      <c r="V282" s="129">
        <f>COUNTIF('Prop Budget Calc'!G:G,'YEP Summaries'!$A282)</f>
        <v>3</v>
      </c>
      <c r="W282" s="129">
        <f t="shared" si="151"/>
        <v>0</v>
      </c>
    </row>
    <row r="283" spans="1:24">
      <c r="A283" s="130" t="s">
        <v>782</v>
      </c>
      <c r="C283" s="135">
        <f t="shared" si="172"/>
        <v>5783.3399999999965</v>
      </c>
      <c r="D283" s="135">
        <f t="shared" si="172"/>
        <v>-2359.0599999999977</v>
      </c>
      <c r="E283" s="135">
        <f t="shared" si="172"/>
        <v>-252.22000000000003</v>
      </c>
      <c r="F283" s="135">
        <f t="shared" si="172"/>
        <v>0</v>
      </c>
      <c r="G283" s="135">
        <f t="shared" si="172"/>
        <v>136</v>
      </c>
      <c r="H283" s="135">
        <f t="shared" ref="H283" si="177">H32-H219</f>
        <v>0</v>
      </c>
      <c r="I283" s="135">
        <f t="shared" si="172"/>
        <v>0</v>
      </c>
      <c r="J283" s="135"/>
      <c r="K283" s="135">
        <f t="shared" si="174"/>
        <v>0</v>
      </c>
      <c r="L283" s="135">
        <f t="shared" si="174"/>
        <v>0</v>
      </c>
      <c r="M283" s="135">
        <f t="shared" si="174"/>
        <v>0</v>
      </c>
      <c r="N283" s="135">
        <f t="shared" si="174"/>
        <v>-656.95000000000073</v>
      </c>
      <c r="O283" s="135">
        <f t="shared" si="174"/>
        <v>480.16999999999825</v>
      </c>
      <c r="P283" s="135">
        <f t="shared" si="174"/>
        <v>0.25999999999999091</v>
      </c>
      <c r="Q283" s="135">
        <f t="shared" si="174"/>
        <v>27.69999999999709</v>
      </c>
      <c r="R283" s="135">
        <f t="shared" si="149"/>
        <v>3159.2399999999934</v>
      </c>
      <c r="S283" s="268"/>
      <c r="T283" s="135">
        <f t="shared" si="150"/>
        <v>3159.2399999999934</v>
      </c>
      <c r="U283" s="129">
        <f>COUNTIF('YEP Personnel Calc'!H:H,'YEP Summaries'!$A283)</f>
        <v>0</v>
      </c>
      <c r="V283" s="129">
        <f>COUNTIF('Prop Budget Calc'!G:G,'YEP Summaries'!$A283)</f>
        <v>0</v>
      </c>
      <c r="W283" s="129">
        <f t="shared" si="151"/>
        <v>0</v>
      </c>
    </row>
    <row r="284" spans="1:24" s="269" customFormat="1">
      <c r="A284" s="130" t="s">
        <v>783</v>
      </c>
      <c r="B284" s="129"/>
      <c r="C284" s="135">
        <f t="shared" si="172"/>
        <v>0</v>
      </c>
      <c r="D284" s="135">
        <f t="shared" si="172"/>
        <v>11756.232758620696</v>
      </c>
      <c r="E284" s="135">
        <f t="shared" si="172"/>
        <v>-3447.630000000001</v>
      </c>
      <c r="F284" s="135">
        <f t="shared" si="172"/>
        <v>0</v>
      </c>
      <c r="G284" s="135">
        <f t="shared" si="172"/>
        <v>78</v>
      </c>
      <c r="H284" s="135">
        <f t="shared" ref="H284" si="178">H33-H220</f>
        <v>0</v>
      </c>
      <c r="I284" s="135">
        <f t="shared" si="172"/>
        <v>0</v>
      </c>
      <c r="J284" s="135"/>
      <c r="K284" s="135">
        <f t="shared" si="174"/>
        <v>0</v>
      </c>
      <c r="L284" s="135">
        <f t="shared" si="174"/>
        <v>0</v>
      </c>
      <c r="M284" s="135">
        <f t="shared" si="174"/>
        <v>0</v>
      </c>
      <c r="N284" s="135">
        <f t="shared" si="174"/>
        <v>1815.9591379310332</v>
      </c>
      <c r="O284" s="135">
        <f t="shared" si="174"/>
        <v>-6388.938224679252</v>
      </c>
      <c r="P284" s="135">
        <f t="shared" si="174"/>
        <v>4.4700000000002547</v>
      </c>
      <c r="Q284" s="135">
        <f t="shared" si="174"/>
        <v>1954.5113371647458</v>
      </c>
      <c r="R284" s="135">
        <f t="shared" si="149"/>
        <v>5772.6050090372219</v>
      </c>
      <c r="S284" s="268"/>
      <c r="T284" s="135">
        <f t="shared" si="150"/>
        <v>5772.6050090372219</v>
      </c>
      <c r="U284" s="129">
        <f>COUNTIF('YEP Personnel Calc'!H:H,'YEP Summaries'!$A284)</f>
        <v>3</v>
      </c>
      <c r="V284" s="129">
        <f>COUNTIF('Prop Budget Calc'!G:G,'YEP Summaries'!$A284)</f>
        <v>3</v>
      </c>
      <c r="W284" s="129">
        <f t="shared" si="151"/>
        <v>0</v>
      </c>
      <c r="X284" s="135"/>
    </row>
    <row r="285" spans="1:24">
      <c r="A285" s="130" t="s">
        <v>784</v>
      </c>
      <c r="C285" s="135">
        <f t="shared" si="172"/>
        <v>-233.9534099616867</v>
      </c>
      <c r="D285" s="135">
        <f t="shared" si="172"/>
        <v>0</v>
      </c>
      <c r="E285" s="135">
        <f t="shared" si="172"/>
        <v>0</v>
      </c>
      <c r="F285" s="135">
        <f t="shared" si="172"/>
        <v>0</v>
      </c>
      <c r="G285" s="135">
        <f t="shared" si="172"/>
        <v>9</v>
      </c>
      <c r="H285" s="135">
        <f t="shared" ref="H285" si="179">H34-H221</f>
        <v>0</v>
      </c>
      <c r="I285" s="135">
        <f t="shared" si="172"/>
        <v>0</v>
      </c>
      <c r="J285" s="135"/>
      <c r="K285" s="135">
        <f t="shared" si="174"/>
        <v>0</v>
      </c>
      <c r="L285" s="135">
        <f t="shared" si="174"/>
        <v>0</v>
      </c>
      <c r="M285" s="135">
        <f t="shared" si="174"/>
        <v>0</v>
      </c>
      <c r="N285" s="135">
        <f t="shared" si="174"/>
        <v>213.73872413793106</v>
      </c>
      <c r="O285" s="135">
        <f t="shared" si="174"/>
        <v>-299.17668342641446</v>
      </c>
      <c r="P285" s="135">
        <f t="shared" si="174"/>
        <v>7.9999999999998295E-2</v>
      </c>
      <c r="Q285" s="135">
        <f t="shared" si="174"/>
        <v>-149.34518544061211</v>
      </c>
      <c r="R285" s="135">
        <f t="shared" si="149"/>
        <v>-459.65655469078223</v>
      </c>
      <c r="S285" s="268"/>
      <c r="T285" s="135">
        <f t="shared" si="150"/>
        <v>-459.65655469078223</v>
      </c>
      <c r="U285" s="129">
        <f>COUNTIF('YEP Personnel Calc'!H:H,'YEP Summaries'!$A285)</f>
        <v>2</v>
      </c>
      <c r="V285" s="129">
        <f>COUNTIF('Prop Budget Calc'!G:G,'YEP Summaries'!$A285)</f>
        <v>2</v>
      </c>
      <c r="W285" s="129">
        <f t="shared" si="151"/>
        <v>0</v>
      </c>
    </row>
    <row r="286" spans="1:24">
      <c r="A286" s="130" t="s">
        <v>785</v>
      </c>
      <c r="C286" s="135">
        <f t="shared" si="172"/>
        <v>7234.8462835249084</v>
      </c>
      <c r="D286" s="135">
        <f t="shared" si="172"/>
        <v>10211.39</v>
      </c>
      <c r="E286" s="135">
        <f t="shared" si="172"/>
        <v>-125.03999999999996</v>
      </c>
      <c r="F286" s="135">
        <f t="shared" si="172"/>
        <v>0</v>
      </c>
      <c r="G286" s="135">
        <f t="shared" si="172"/>
        <v>20</v>
      </c>
      <c r="H286" s="135">
        <f t="shared" ref="H286" si="180">H35-H222</f>
        <v>0</v>
      </c>
      <c r="I286" s="135">
        <f t="shared" si="172"/>
        <v>0</v>
      </c>
      <c r="J286" s="135"/>
      <c r="K286" s="135">
        <f t="shared" si="174"/>
        <v>0</v>
      </c>
      <c r="L286" s="135">
        <f t="shared" si="174"/>
        <v>0</v>
      </c>
      <c r="M286" s="135">
        <f t="shared" si="174"/>
        <v>0</v>
      </c>
      <c r="N286" s="135">
        <f t="shared" si="174"/>
        <v>3026.7883103448276</v>
      </c>
      <c r="O286" s="135">
        <f t="shared" si="174"/>
        <v>773.09528333585331</v>
      </c>
      <c r="P286" s="135">
        <f t="shared" si="174"/>
        <v>0.27999999999997272</v>
      </c>
      <c r="Q286" s="135">
        <f t="shared" si="174"/>
        <v>2883.1596252873569</v>
      </c>
      <c r="R286" s="135">
        <f t="shared" si="149"/>
        <v>24024.519502492942</v>
      </c>
      <c r="S286" s="268"/>
      <c r="T286" s="135">
        <f t="shared" si="150"/>
        <v>24024.519502492942</v>
      </c>
      <c r="U286" s="129">
        <f>COUNTIF('YEP Personnel Calc'!H:H,'YEP Summaries'!$A286)</f>
        <v>2</v>
      </c>
      <c r="V286" s="129">
        <f>COUNTIF('Prop Budget Calc'!G:G,'YEP Summaries'!$A286)</f>
        <v>2</v>
      </c>
      <c r="W286" s="129">
        <f t="shared" si="151"/>
        <v>0</v>
      </c>
    </row>
    <row r="287" spans="1:24">
      <c r="A287" s="130" t="s">
        <v>786</v>
      </c>
      <c r="C287" s="135">
        <f t="shared" si="172"/>
        <v>0</v>
      </c>
      <c r="D287" s="135">
        <f t="shared" si="172"/>
        <v>22483</v>
      </c>
      <c r="E287" s="135">
        <f t="shared" si="172"/>
        <v>-273.02999999999975</v>
      </c>
      <c r="F287" s="135">
        <f t="shared" si="172"/>
        <v>0</v>
      </c>
      <c r="G287" s="135">
        <f t="shared" si="172"/>
        <v>22</v>
      </c>
      <c r="H287" s="135">
        <f t="shared" ref="H287" si="181">H36-H223</f>
        <v>0</v>
      </c>
      <c r="I287" s="135">
        <f t="shared" si="172"/>
        <v>0</v>
      </c>
      <c r="J287" s="135"/>
      <c r="K287" s="135">
        <f t="shared" si="174"/>
        <v>0</v>
      </c>
      <c r="L287" s="135">
        <f t="shared" si="174"/>
        <v>0</v>
      </c>
      <c r="M287" s="135">
        <f t="shared" si="174"/>
        <v>0</v>
      </c>
      <c r="N287" s="135">
        <f t="shared" si="174"/>
        <v>1974.4468965517244</v>
      </c>
      <c r="O287" s="135">
        <f t="shared" si="174"/>
        <v>8756.43</v>
      </c>
      <c r="P287" s="135">
        <f t="shared" si="174"/>
        <v>2.1599999999998545</v>
      </c>
      <c r="Q287" s="135">
        <f t="shared" si="174"/>
        <v>3693.8168582375474</v>
      </c>
      <c r="R287" s="135">
        <f t="shared" si="149"/>
        <v>36658.823754789279</v>
      </c>
      <c r="S287" s="268"/>
      <c r="T287" s="135">
        <f t="shared" si="150"/>
        <v>36658.823754789279</v>
      </c>
      <c r="U287" s="129">
        <f>COUNTIF('YEP Personnel Calc'!H:H,'YEP Summaries'!$A287)</f>
        <v>1</v>
      </c>
      <c r="V287" s="129">
        <f>COUNTIF('Prop Budget Calc'!G:G,'YEP Summaries'!$A287)</f>
        <v>1</v>
      </c>
      <c r="W287" s="129">
        <f t="shared" si="151"/>
        <v>0</v>
      </c>
    </row>
    <row r="288" spans="1:24">
      <c r="A288" s="130" t="s">
        <v>787</v>
      </c>
      <c r="C288" s="135">
        <f t="shared" si="172"/>
        <v>0</v>
      </c>
      <c r="D288" s="135">
        <f t="shared" si="172"/>
        <v>-3896.7299999999996</v>
      </c>
      <c r="E288" s="135">
        <f t="shared" si="172"/>
        <v>-143.81</v>
      </c>
      <c r="F288" s="135">
        <f t="shared" si="172"/>
        <v>0</v>
      </c>
      <c r="G288" s="135">
        <f t="shared" si="172"/>
        <v>-11</v>
      </c>
      <c r="H288" s="135">
        <f t="shared" ref="H288" si="182">H37-H224</f>
        <v>0</v>
      </c>
      <c r="I288" s="135">
        <f t="shared" si="172"/>
        <v>0</v>
      </c>
      <c r="J288" s="135"/>
      <c r="K288" s="135">
        <f t="shared" si="174"/>
        <v>0</v>
      </c>
      <c r="L288" s="135">
        <f t="shared" si="174"/>
        <v>0</v>
      </c>
      <c r="M288" s="135">
        <f t="shared" si="174"/>
        <v>0</v>
      </c>
      <c r="N288" s="135">
        <f t="shared" si="174"/>
        <v>-216.90999999999985</v>
      </c>
      <c r="O288" s="135">
        <f t="shared" si="174"/>
        <v>-948.89000000000033</v>
      </c>
      <c r="P288" s="135">
        <f t="shared" si="174"/>
        <v>0.24000000000000909</v>
      </c>
      <c r="Q288" s="135">
        <f t="shared" si="174"/>
        <v>-668.61999999999989</v>
      </c>
      <c r="R288" s="135">
        <f t="shared" si="149"/>
        <v>-5885.7199999999993</v>
      </c>
      <c r="S288" s="268"/>
      <c r="T288" s="135">
        <f t="shared" si="150"/>
        <v>-5885.7199999999993</v>
      </c>
      <c r="U288" s="129">
        <f>COUNTIF('YEP Personnel Calc'!H:H,'YEP Summaries'!$A288)</f>
        <v>0</v>
      </c>
      <c r="V288" s="129">
        <f>COUNTIF('Prop Budget Calc'!G:G,'YEP Summaries'!$A288)</f>
        <v>0</v>
      </c>
      <c r="W288" s="129">
        <f t="shared" si="151"/>
        <v>0</v>
      </c>
    </row>
    <row r="289" spans="1:23">
      <c r="A289" s="130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>
        <f>SUM(R260:R288)</f>
        <v>1590425.1577429459</v>
      </c>
      <c r="S289" s="135">
        <f>SUM(S260:S288)</f>
        <v>375000</v>
      </c>
      <c r="V289" s="271">
        <f>R289/R38</f>
        <v>5.6944612456506609E-2</v>
      </c>
    </row>
    <row r="290" spans="1:23">
      <c r="A290" s="130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265"/>
      <c r="T290" s="135">
        <f>S290-S289</f>
        <v>-375000</v>
      </c>
    </row>
    <row r="291" spans="1:23">
      <c r="A291" s="130" t="s">
        <v>105</v>
      </c>
      <c r="C291" s="135">
        <f t="shared" ref="C291:I291" si="183">C40-C227</f>
        <v>0</v>
      </c>
      <c r="D291" s="135">
        <f t="shared" si="183"/>
        <v>0</v>
      </c>
      <c r="E291" s="135">
        <f t="shared" si="183"/>
        <v>750</v>
      </c>
      <c r="F291" s="135">
        <f t="shared" si="183"/>
        <v>0</v>
      </c>
      <c r="G291" s="135">
        <f t="shared" si="183"/>
        <v>0</v>
      </c>
      <c r="H291" s="135">
        <f t="shared" ref="H291" si="184">H40-H227</f>
        <v>0</v>
      </c>
      <c r="I291" s="135">
        <f t="shared" si="183"/>
        <v>0</v>
      </c>
      <c r="J291" s="135"/>
      <c r="K291" s="135">
        <f t="shared" ref="K291:Q291" si="185">K40-K227</f>
        <v>0</v>
      </c>
      <c r="L291" s="135">
        <f t="shared" si="185"/>
        <v>0</v>
      </c>
      <c r="M291" s="135">
        <f t="shared" si="185"/>
        <v>0</v>
      </c>
      <c r="N291" s="135">
        <f t="shared" si="185"/>
        <v>80</v>
      </c>
      <c r="O291" s="135">
        <f t="shared" si="185"/>
        <v>2</v>
      </c>
      <c r="P291" s="135">
        <f t="shared" si="185"/>
        <v>1.0000000000001563E-2</v>
      </c>
      <c r="Q291" s="135">
        <f t="shared" si="185"/>
        <v>124</v>
      </c>
      <c r="R291" s="135">
        <f t="shared" ref="R291" si="186">SUM(C291:Q291)</f>
        <v>956.01</v>
      </c>
      <c r="S291" s="268"/>
      <c r="T291" s="135">
        <f>R291-S291</f>
        <v>956.01</v>
      </c>
      <c r="V291" s="135">
        <f>R289-R279</f>
        <v>1567173.2977429458</v>
      </c>
    </row>
    <row r="292" spans="1:23">
      <c r="A292" s="130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1:23">
      <c r="A293" s="130" t="s">
        <v>788</v>
      </c>
      <c r="C293" s="135">
        <f t="shared" ref="C293:I293" si="187">C42-C229</f>
        <v>3495.3300000000017</v>
      </c>
      <c r="D293" s="135">
        <f t="shared" si="187"/>
        <v>0</v>
      </c>
      <c r="E293" s="135">
        <f t="shared" si="187"/>
        <v>0</v>
      </c>
      <c r="F293" s="135">
        <f t="shared" si="187"/>
        <v>0</v>
      </c>
      <c r="G293" s="135">
        <f t="shared" si="187"/>
        <v>15</v>
      </c>
      <c r="H293" s="135">
        <f t="shared" ref="H293" si="188">H42-H229</f>
        <v>0</v>
      </c>
      <c r="I293" s="135">
        <f t="shared" si="187"/>
        <v>0</v>
      </c>
      <c r="J293" s="135"/>
      <c r="K293" s="135">
        <f t="shared" ref="K293:Q293" si="189">K42-K229</f>
        <v>0</v>
      </c>
      <c r="L293" s="135">
        <f t="shared" si="189"/>
        <v>0</v>
      </c>
      <c r="M293" s="135">
        <f t="shared" si="189"/>
        <v>0</v>
      </c>
      <c r="N293" s="135">
        <f t="shared" si="189"/>
        <v>782.10000000000036</v>
      </c>
      <c r="O293" s="135">
        <f t="shared" si="189"/>
        <v>-6379.5499999999993</v>
      </c>
      <c r="P293" s="135">
        <f t="shared" si="189"/>
        <v>9.9999999999994316E-2</v>
      </c>
      <c r="Q293" s="135">
        <f t="shared" si="189"/>
        <v>454.95999999999913</v>
      </c>
      <c r="R293" s="135">
        <f t="shared" ref="R293" si="190">SUM(C293:Q293)</f>
        <v>-1632.0599999999981</v>
      </c>
      <c r="S293" s="268"/>
      <c r="T293" s="135">
        <f>R293-S293</f>
        <v>-1632.0599999999981</v>
      </c>
    </row>
    <row r="294" spans="1:23">
      <c r="A294" s="130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268"/>
      <c r="T294" s="135"/>
    </row>
    <row r="295" spans="1:23">
      <c r="A295" s="130" t="s">
        <v>790</v>
      </c>
      <c r="C295" s="135">
        <f>C44-C231</f>
        <v>25570.725785440591</v>
      </c>
      <c r="D295" s="135">
        <f t="shared" ref="D295:I295" si="191">D44-D231</f>
        <v>-5344.1175862068994</v>
      </c>
      <c r="E295" s="135">
        <f t="shared" si="191"/>
        <v>955.6400000000001</v>
      </c>
      <c r="F295" s="135">
        <f t="shared" si="191"/>
        <v>0</v>
      </c>
      <c r="G295" s="135">
        <f t="shared" si="191"/>
        <v>64</v>
      </c>
      <c r="H295" s="135">
        <f t="shared" ref="H295" si="192">H44-H231</f>
        <v>0</v>
      </c>
      <c r="I295" s="135">
        <f t="shared" si="191"/>
        <v>0</v>
      </c>
      <c r="J295" s="135"/>
      <c r="K295" s="135">
        <f t="shared" ref="K295:Q295" si="193">K44-K231</f>
        <v>412.5</v>
      </c>
      <c r="L295" s="135">
        <f t="shared" si="193"/>
        <v>0</v>
      </c>
      <c r="M295" s="135">
        <f t="shared" si="193"/>
        <v>7244.3448275862029</v>
      </c>
      <c r="N295" s="135">
        <f t="shared" si="193"/>
        <v>9259.886034482759</v>
      </c>
      <c r="O295" s="135">
        <f t="shared" si="193"/>
        <v>7755.7080782943376</v>
      </c>
      <c r="P295" s="135">
        <f t="shared" si="193"/>
        <v>0.62000000000000455</v>
      </c>
      <c r="Q295" s="135">
        <f t="shared" si="193"/>
        <v>17312.745306513418</v>
      </c>
      <c r="R295" s="135">
        <f t="shared" ref="R295:R296" si="194">SUM(C295:Q295)</f>
        <v>63232.052446110414</v>
      </c>
      <c r="U295" s="129">
        <f>COUNTIF('YEP Personnel Calc'!H:H,'YEP Summaries'!$A295)</f>
        <v>5</v>
      </c>
      <c r="V295" s="129">
        <f>COUNTIF('Prop Budget Calc'!G:G,'YEP Summaries'!$A295)</f>
        <v>5</v>
      </c>
      <c r="W295" s="129">
        <f t="shared" ref="W295:W296" si="195">V295-U295</f>
        <v>0</v>
      </c>
    </row>
    <row r="296" spans="1:23">
      <c r="A296" s="130" t="s">
        <v>791</v>
      </c>
      <c r="C296" s="135">
        <f t="shared" ref="C296:I296" si="196">C45-C232</f>
        <v>-379.59854406130034</v>
      </c>
      <c r="D296" s="135">
        <f t="shared" si="196"/>
        <v>-1575.9000000000015</v>
      </c>
      <c r="E296" s="135">
        <f t="shared" si="196"/>
        <v>1479.42</v>
      </c>
      <c r="F296" s="135">
        <f t="shared" si="196"/>
        <v>0</v>
      </c>
      <c r="G296" s="135">
        <f t="shared" si="196"/>
        <v>19</v>
      </c>
      <c r="H296" s="135">
        <f t="shared" ref="H296" si="197">H45-H232</f>
        <v>0</v>
      </c>
      <c r="I296" s="135">
        <f t="shared" si="196"/>
        <v>0</v>
      </c>
      <c r="J296" s="135"/>
      <c r="K296" s="135">
        <f t="shared" ref="K296:Q296" si="198">K45-K232</f>
        <v>-15</v>
      </c>
      <c r="L296" s="135">
        <f t="shared" si="198"/>
        <v>0</v>
      </c>
      <c r="M296" s="135">
        <f t="shared" si="198"/>
        <v>0</v>
      </c>
      <c r="N296" s="135">
        <f t="shared" si="198"/>
        <v>52.485310344827667</v>
      </c>
      <c r="O296" s="135">
        <f t="shared" si="198"/>
        <v>-101.45232943395968</v>
      </c>
      <c r="P296" s="135">
        <f t="shared" si="198"/>
        <v>0.16999999999998749</v>
      </c>
      <c r="Q296" s="135">
        <f t="shared" si="198"/>
        <v>-88.818885823755409</v>
      </c>
      <c r="R296" s="135">
        <f t="shared" si="194"/>
        <v>-609.69444897418919</v>
      </c>
      <c r="S296" s="268"/>
      <c r="T296" s="135">
        <f>R296-S296</f>
        <v>-609.69444897418919</v>
      </c>
      <c r="U296" s="129">
        <f>COUNTIF('YEP Personnel Calc'!H:H,'YEP Summaries'!$A296)</f>
        <v>2</v>
      </c>
      <c r="V296" s="129">
        <f>COUNTIF('Prop Budget Calc'!G:G,'YEP Summaries'!$A296)</f>
        <v>2</v>
      </c>
      <c r="W296" s="129">
        <f t="shared" si="195"/>
        <v>0</v>
      </c>
    </row>
    <row r="297" spans="1:23">
      <c r="A297" s="130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268"/>
      <c r="T297" s="135"/>
    </row>
    <row r="298" spans="1:23">
      <c r="A298" s="130" t="s">
        <v>792</v>
      </c>
      <c r="C298" s="135">
        <f>C47-C234</f>
        <v>13954.369999999995</v>
      </c>
      <c r="D298" s="135">
        <f t="shared" ref="D298:I298" si="199">D47-D234</f>
        <v>6146.0500000000029</v>
      </c>
      <c r="E298" s="135">
        <f t="shared" si="199"/>
        <v>485.03</v>
      </c>
      <c r="F298" s="135">
        <f t="shared" si="199"/>
        <v>0</v>
      </c>
      <c r="G298" s="135">
        <f t="shared" si="199"/>
        <v>25</v>
      </c>
      <c r="H298" s="135">
        <f t="shared" ref="H298" si="200">H47-H234</f>
        <v>0</v>
      </c>
      <c r="I298" s="135">
        <f t="shared" si="199"/>
        <v>0</v>
      </c>
      <c r="J298" s="135"/>
      <c r="K298" s="135">
        <f t="shared" ref="K298:Q298" si="201">K47-K234</f>
        <v>0</v>
      </c>
      <c r="L298" s="135">
        <f t="shared" si="201"/>
        <v>0</v>
      </c>
      <c r="M298" s="135">
        <f t="shared" si="201"/>
        <v>0</v>
      </c>
      <c r="N298" s="135">
        <f t="shared" si="201"/>
        <v>2679.75</v>
      </c>
      <c r="O298" s="135">
        <f t="shared" si="201"/>
        <v>7238.510000000002</v>
      </c>
      <c r="P298" s="135">
        <f t="shared" si="201"/>
        <v>-281.47000000000003</v>
      </c>
      <c r="Q298" s="135">
        <f t="shared" si="201"/>
        <v>2428.6999999999971</v>
      </c>
      <c r="R298" s="135">
        <f t="shared" ref="R298:R303" si="202">SUM(C298:Q298)</f>
        <v>32675.939999999995</v>
      </c>
      <c r="U298" s="129">
        <f>COUNTIF('YEP Personnel Calc'!H:H,'YEP Summaries'!$A298)</f>
        <v>0</v>
      </c>
      <c r="V298" s="129">
        <f>COUNTIF('Prop Budget Calc'!G:G,'YEP Summaries'!$A298)</f>
        <v>0</v>
      </c>
      <c r="W298" s="129">
        <f t="shared" ref="W298:W303" si="203">V298-U298</f>
        <v>0</v>
      </c>
    </row>
    <row r="299" spans="1:23">
      <c r="A299" s="130" t="s">
        <v>793</v>
      </c>
      <c r="C299" s="135">
        <f t="shared" ref="C299:I299" si="204">C48-C235</f>
        <v>9360.0130651341024</v>
      </c>
      <c r="D299" s="135">
        <f t="shared" si="204"/>
        <v>0</v>
      </c>
      <c r="E299" s="135">
        <f t="shared" si="204"/>
        <v>600</v>
      </c>
      <c r="F299" s="135">
        <f t="shared" si="204"/>
        <v>-12525.632183908043</v>
      </c>
      <c r="G299" s="135">
        <f t="shared" si="204"/>
        <v>257</v>
      </c>
      <c r="H299" s="135">
        <f t="shared" ref="H299" si="205">H48-H235</f>
        <v>0</v>
      </c>
      <c r="I299" s="135">
        <f t="shared" si="204"/>
        <v>0</v>
      </c>
      <c r="J299" s="135"/>
      <c r="K299" s="135">
        <f t="shared" ref="K299:Q299" si="206">K48-K235</f>
        <v>0</v>
      </c>
      <c r="L299" s="135">
        <f t="shared" si="206"/>
        <v>0</v>
      </c>
      <c r="M299" s="135">
        <f t="shared" si="206"/>
        <v>0</v>
      </c>
      <c r="N299" s="135">
        <f t="shared" si="206"/>
        <v>-4345.6392413793074</v>
      </c>
      <c r="O299" s="135">
        <f t="shared" si="206"/>
        <v>-4482.8034147773578</v>
      </c>
      <c r="P299" s="135">
        <f t="shared" si="206"/>
        <v>4.1899999999995998</v>
      </c>
      <c r="Q299" s="135">
        <f t="shared" si="206"/>
        <v>1654.2541739463595</v>
      </c>
      <c r="R299" s="135">
        <f t="shared" si="202"/>
        <v>-9478.6176009842457</v>
      </c>
      <c r="U299" s="129">
        <f>COUNTIF('YEP Personnel Calc'!H:H,'YEP Summaries'!$A299)</f>
        <v>5</v>
      </c>
      <c r="V299" s="129">
        <f>COUNTIF('Prop Budget Calc'!G:G,'YEP Summaries'!$A299)</f>
        <v>5</v>
      </c>
      <c r="W299" s="129">
        <f t="shared" si="203"/>
        <v>0</v>
      </c>
    </row>
    <row r="300" spans="1:23">
      <c r="A300" s="130" t="s">
        <v>794</v>
      </c>
      <c r="C300" s="135">
        <f t="shared" ref="C300:I300" si="207">C49-C236</f>
        <v>0</v>
      </c>
      <c r="D300" s="135">
        <f t="shared" si="207"/>
        <v>0</v>
      </c>
      <c r="E300" s="135">
        <f t="shared" si="207"/>
        <v>0</v>
      </c>
      <c r="F300" s="135">
        <f t="shared" si="207"/>
        <v>0</v>
      </c>
      <c r="G300" s="135">
        <f t="shared" si="207"/>
        <v>0</v>
      </c>
      <c r="H300" s="135">
        <f t="shared" ref="H300" si="208">H49-H236</f>
        <v>-4215</v>
      </c>
      <c r="I300" s="135">
        <f t="shared" si="207"/>
        <v>0</v>
      </c>
      <c r="J300" s="135"/>
      <c r="K300" s="135">
        <f t="shared" ref="K300:Q300" si="209">K49-K236</f>
        <v>0</v>
      </c>
      <c r="L300" s="135">
        <f t="shared" si="209"/>
        <v>0</v>
      </c>
      <c r="M300" s="135">
        <f t="shared" si="209"/>
        <v>0</v>
      </c>
      <c r="N300" s="135">
        <f t="shared" si="209"/>
        <v>387.12</v>
      </c>
      <c r="O300" s="135">
        <f t="shared" si="209"/>
        <v>0</v>
      </c>
      <c r="P300" s="135">
        <f t="shared" si="209"/>
        <v>0.15999999999999659</v>
      </c>
      <c r="Q300" s="135">
        <f t="shared" si="209"/>
        <v>0</v>
      </c>
      <c r="R300" s="135">
        <f t="shared" si="202"/>
        <v>-3827.7200000000003</v>
      </c>
      <c r="U300" s="129">
        <f>COUNTIF('YEP Personnel Calc'!H:H,'YEP Summaries'!$A300)</f>
        <v>0</v>
      </c>
      <c r="V300" s="129">
        <f>COUNTIF('Prop Budget Calc'!G:G,'YEP Summaries'!$A300)</f>
        <v>0</v>
      </c>
      <c r="W300" s="129">
        <f t="shared" si="203"/>
        <v>0</v>
      </c>
    </row>
    <row r="301" spans="1:23">
      <c r="A301" s="130" t="s">
        <v>795</v>
      </c>
      <c r="C301" s="135">
        <f t="shared" ref="C301:I301" si="210">C50-C237</f>
        <v>4472.1399999999994</v>
      </c>
      <c r="D301" s="135">
        <f t="shared" si="210"/>
        <v>0</v>
      </c>
      <c r="E301" s="135">
        <f t="shared" si="210"/>
        <v>800</v>
      </c>
      <c r="F301" s="135">
        <f t="shared" si="210"/>
        <v>0</v>
      </c>
      <c r="G301" s="135">
        <f t="shared" si="210"/>
        <v>4</v>
      </c>
      <c r="H301" s="135">
        <f t="shared" ref="H301" si="211">H50-H237</f>
        <v>0</v>
      </c>
      <c r="I301" s="135">
        <f t="shared" si="210"/>
        <v>0</v>
      </c>
      <c r="J301" s="135"/>
      <c r="K301" s="135">
        <f t="shared" ref="K301:Q301" si="212">K50-K237</f>
        <v>0</v>
      </c>
      <c r="L301" s="135">
        <f t="shared" si="212"/>
        <v>0</v>
      </c>
      <c r="M301" s="135">
        <f t="shared" si="212"/>
        <v>0</v>
      </c>
      <c r="N301" s="135">
        <f t="shared" si="212"/>
        <v>-2468.7068965517246</v>
      </c>
      <c r="O301" s="135">
        <f t="shared" si="212"/>
        <v>1413.7279999999992</v>
      </c>
      <c r="P301" s="135">
        <f t="shared" si="212"/>
        <v>285.21000000000004</v>
      </c>
      <c r="Q301" s="135">
        <f t="shared" si="212"/>
        <v>864.09069731800628</v>
      </c>
      <c r="R301" s="135">
        <f t="shared" si="202"/>
        <v>5370.4618007662802</v>
      </c>
      <c r="U301" s="129">
        <f>COUNTIF('YEP Personnel Calc'!H:H,'YEP Summaries'!$A301)</f>
        <v>1</v>
      </c>
      <c r="V301" s="129">
        <f>COUNTIF('Prop Budget Calc'!G:G,'YEP Summaries'!$A301)</f>
        <v>1</v>
      </c>
      <c r="W301" s="129">
        <f t="shared" si="203"/>
        <v>0</v>
      </c>
    </row>
    <row r="302" spans="1:23">
      <c r="A302" s="130" t="s">
        <v>796</v>
      </c>
      <c r="C302" s="135">
        <f t="shared" ref="C302:I302" si="213">C51-C238</f>
        <v>2493.7099999999991</v>
      </c>
      <c r="D302" s="135">
        <f t="shared" si="213"/>
        <v>0</v>
      </c>
      <c r="E302" s="135">
        <f t="shared" si="213"/>
        <v>0</v>
      </c>
      <c r="F302" s="135">
        <f t="shared" si="213"/>
        <v>0</v>
      </c>
      <c r="G302" s="135">
        <f t="shared" si="213"/>
        <v>4</v>
      </c>
      <c r="H302" s="135">
        <f t="shared" ref="H302" si="214">H51-H238</f>
        <v>0</v>
      </c>
      <c r="I302" s="135">
        <f t="shared" si="213"/>
        <v>0</v>
      </c>
      <c r="J302" s="135"/>
      <c r="K302" s="135">
        <f t="shared" ref="K302:Q302" si="215">K51-K238</f>
        <v>0</v>
      </c>
      <c r="L302" s="135">
        <f t="shared" si="215"/>
        <v>0</v>
      </c>
      <c r="M302" s="135">
        <f t="shared" si="215"/>
        <v>0</v>
      </c>
      <c r="N302" s="135">
        <f t="shared" si="215"/>
        <v>1490.46</v>
      </c>
      <c r="O302" s="135">
        <f t="shared" si="215"/>
        <v>7191.66</v>
      </c>
      <c r="P302" s="135">
        <f t="shared" si="215"/>
        <v>1.0299999999999727</v>
      </c>
      <c r="Q302" s="135">
        <f t="shared" si="215"/>
        <v>417.78000000000065</v>
      </c>
      <c r="R302" s="135">
        <f t="shared" si="202"/>
        <v>11598.64</v>
      </c>
      <c r="U302" s="129">
        <f>COUNTIF('YEP Personnel Calc'!H:H,'YEP Summaries'!$A302)</f>
        <v>0</v>
      </c>
      <c r="V302" s="129">
        <f>COUNTIF('Prop Budget Calc'!G:G,'YEP Summaries'!$A302)</f>
        <v>0</v>
      </c>
      <c r="W302" s="129">
        <f t="shared" si="203"/>
        <v>0</v>
      </c>
    </row>
    <row r="303" spans="1:23">
      <c r="A303" s="130" t="s">
        <v>797</v>
      </c>
      <c r="C303" s="135">
        <f t="shared" ref="C303:I303" si="216">C52-C239</f>
        <v>2650.1100000000006</v>
      </c>
      <c r="D303" s="135">
        <f t="shared" si="216"/>
        <v>0</v>
      </c>
      <c r="E303" s="135">
        <f t="shared" si="216"/>
        <v>800</v>
      </c>
      <c r="F303" s="135">
        <f t="shared" si="216"/>
        <v>-2015.042145593869</v>
      </c>
      <c r="G303" s="135">
        <f t="shared" si="216"/>
        <v>4</v>
      </c>
      <c r="H303" s="135">
        <f t="shared" ref="H303" si="217">H52-H239</f>
        <v>0</v>
      </c>
      <c r="I303" s="135">
        <f t="shared" si="216"/>
        <v>0</v>
      </c>
      <c r="J303" s="135"/>
      <c r="K303" s="135">
        <f t="shared" ref="K303:Q303" si="218">K52-K239</f>
        <v>0</v>
      </c>
      <c r="L303" s="135">
        <f t="shared" si="218"/>
        <v>0</v>
      </c>
      <c r="M303" s="135">
        <f t="shared" si="218"/>
        <v>0</v>
      </c>
      <c r="N303" s="135">
        <f t="shared" si="218"/>
        <v>-355.56762068965691</v>
      </c>
      <c r="O303" s="135">
        <f t="shared" si="218"/>
        <v>-306.0576320754717</v>
      </c>
      <c r="P303" s="135">
        <f t="shared" si="218"/>
        <v>2.0300000000002001</v>
      </c>
      <c r="Q303" s="135">
        <f t="shared" si="218"/>
        <v>563.62069731800693</v>
      </c>
      <c r="R303" s="135">
        <f t="shared" si="202"/>
        <v>1343.0932989590101</v>
      </c>
      <c r="U303" s="129">
        <f>COUNTIF('YEP Personnel Calc'!H:H,'YEP Summaries'!$A303)</f>
        <v>2</v>
      </c>
      <c r="V303" s="129">
        <f>COUNTIF('Prop Budget Calc'!G:G,'YEP Summaries'!$A303)</f>
        <v>2</v>
      </c>
      <c r="W303" s="129">
        <f t="shared" si="203"/>
        <v>0</v>
      </c>
    </row>
    <row r="304" spans="1:23">
      <c r="A304" s="130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1:25">
      <c r="A305" s="130" t="s">
        <v>799</v>
      </c>
      <c r="C305" s="135">
        <f>C54-C241</f>
        <v>31438.37639846743</v>
      </c>
      <c r="D305" s="135">
        <f t="shared" ref="D305:I305" si="219">D54-D241</f>
        <v>9954.618544061319</v>
      </c>
      <c r="E305" s="135">
        <f t="shared" si="219"/>
        <v>642.19999999999709</v>
      </c>
      <c r="F305" s="135">
        <f t="shared" si="219"/>
        <v>0</v>
      </c>
      <c r="G305" s="135">
        <f t="shared" si="219"/>
        <v>104</v>
      </c>
      <c r="H305" s="135">
        <f t="shared" ref="H305" si="220">H54-H241</f>
        <v>0</v>
      </c>
      <c r="I305" s="135">
        <f t="shared" si="219"/>
        <v>0</v>
      </c>
      <c r="J305" s="135"/>
      <c r="K305" s="135">
        <f t="shared" ref="K305:Q305" si="221">K54-K241</f>
        <v>600</v>
      </c>
      <c r="L305" s="135">
        <f t="shared" si="221"/>
        <v>0</v>
      </c>
      <c r="M305" s="135">
        <f t="shared" si="221"/>
        <v>0</v>
      </c>
      <c r="N305" s="135">
        <f t="shared" si="221"/>
        <v>5022.1099655172402</v>
      </c>
      <c r="O305" s="135">
        <f t="shared" si="221"/>
        <v>11833.382186452829</v>
      </c>
      <c r="P305" s="135">
        <f t="shared" si="221"/>
        <v>1.3199999999999363</v>
      </c>
      <c r="Q305" s="135">
        <f t="shared" si="221"/>
        <v>6916.8328268199257</v>
      </c>
      <c r="R305" s="135">
        <f t="shared" ref="R305:R311" si="222">SUM(C305:Q305)</f>
        <v>66512.839921318751</v>
      </c>
      <c r="S305" s="129">
        <v>35500</v>
      </c>
      <c r="U305" s="129">
        <f>COUNTIF('YEP Personnel Calc'!H:H,'YEP Summaries'!$A305)</f>
        <v>3</v>
      </c>
      <c r="V305" s="129">
        <f>COUNTIF('Prop Budget Calc'!G:G,'YEP Summaries'!$A305)</f>
        <v>3</v>
      </c>
      <c r="W305" s="129">
        <f t="shared" ref="W305:W311" si="223">V305-U305</f>
        <v>0</v>
      </c>
    </row>
    <row r="306" spans="1:25">
      <c r="A306" s="130" t="s">
        <v>800</v>
      </c>
      <c r="C306" s="135">
        <f t="shared" ref="C306:I306" si="224">C55-C242</f>
        <v>17157.248850574717</v>
      </c>
      <c r="D306" s="135">
        <f t="shared" si="224"/>
        <v>3119.3992337164673</v>
      </c>
      <c r="E306" s="135">
        <f t="shared" si="224"/>
        <v>954.25</v>
      </c>
      <c r="F306" s="135">
        <f t="shared" si="224"/>
        <v>0</v>
      </c>
      <c r="G306" s="135">
        <f t="shared" si="224"/>
        <v>12</v>
      </c>
      <c r="H306" s="135">
        <f t="shared" ref="H306" si="225">H55-H242</f>
        <v>0</v>
      </c>
      <c r="I306" s="135">
        <f t="shared" si="224"/>
        <v>0</v>
      </c>
      <c r="J306" s="135"/>
      <c r="K306" s="135">
        <f t="shared" ref="K306:Q306" si="226">K55-K242</f>
        <v>0</v>
      </c>
      <c r="L306" s="135">
        <f t="shared" si="226"/>
        <v>0</v>
      </c>
      <c r="M306" s="135">
        <f t="shared" si="226"/>
        <v>0</v>
      </c>
      <c r="N306" s="135">
        <f t="shared" si="226"/>
        <v>2550.5834827586223</v>
      </c>
      <c r="O306" s="135">
        <f t="shared" si="226"/>
        <v>2976.2423606264201</v>
      </c>
      <c r="P306" s="135">
        <f t="shared" si="226"/>
        <v>0.39999999999997726</v>
      </c>
      <c r="Q306" s="135">
        <f t="shared" si="226"/>
        <v>3463.1156022988507</v>
      </c>
      <c r="R306" s="135">
        <f t="shared" si="222"/>
        <v>30233.239529975079</v>
      </c>
      <c r="S306" s="129">
        <v>9500</v>
      </c>
      <c r="U306" s="129">
        <f>COUNTIF('YEP Personnel Calc'!H:H,'YEP Summaries'!$A306)</f>
        <v>3</v>
      </c>
      <c r="V306" s="129">
        <f>COUNTIF('Prop Budget Calc'!G:G,'YEP Summaries'!$A306)</f>
        <v>3</v>
      </c>
      <c r="W306" s="129">
        <f t="shared" si="223"/>
        <v>0</v>
      </c>
    </row>
    <row r="307" spans="1:25">
      <c r="A307" s="130" t="s">
        <v>801</v>
      </c>
      <c r="C307" s="135">
        <f t="shared" ref="C307:I307" si="227">C56-C243</f>
        <v>0</v>
      </c>
      <c r="D307" s="135">
        <f t="shared" si="227"/>
        <v>5410.5902298850415</v>
      </c>
      <c r="E307" s="135">
        <f t="shared" si="227"/>
        <v>1160.28</v>
      </c>
      <c r="F307" s="135">
        <f t="shared" si="227"/>
        <v>0</v>
      </c>
      <c r="G307" s="135">
        <f t="shared" si="227"/>
        <v>31</v>
      </c>
      <c r="H307" s="135">
        <f t="shared" ref="H307" si="228">H56-H243</f>
        <v>0</v>
      </c>
      <c r="I307" s="135">
        <f t="shared" si="227"/>
        <v>0</v>
      </c>
      <c r="J307" s="135"/>
      <c r="K307" s="135">
        <f t="shared" ref="K307:Q307" si="229">K56-K243</f>
        <v>-49.5</v>
      </c>
      <c r="L307" s="135">
        <f t="shared" si="229"/>
        <v>0</v>
      </c>
      <c r="M307" s="135">
        <f t="shared" si="229"/>
        <v>0</v>
      </c>
      <c r="N307" s="135">
        <f t="shared" si="229"/>
        <v>1915.229586206895</v>
      </c>
      <c r="O307" s="135">
        <f t="shared" si="229"/>
        <v>8262.1283096301922</v>
      </c>
      <c r="P307" s="135">
        <f t="shared" si="229"/>
        <v>2.6300000000001091</v>
      </c>
      <c r="Q307" s="135">
        <f t="shared" si="229"/>
        <v>759.85169961685824</v>
      </c>
      <c r="R307" s="135">
        <f t="shared" si="222"/>
        <v>17492.209825338989</v>
      </c>
      <c r="U307" s="129">
        <f>COUNTIF('YEP Personnel Calc'!H:H,'YEP Summaries'!$A307)</f>
        <v>3</v>
      </c>
      <c r="V307" s="129">
        <f>COUNTIF('Prop Budget Calc'!G:G,'YEP Summaries'!$A307)</f>
        <v>3</v>
      </c>
      <c r="W307" s="129">
        <f t="shared" si="223"/>
        <v>0</v>
      </c>
    </row>
    <row r="308" spans="1:25">
      <c r="A308" s="130" t="s">
        <v>802</v>
      </c>
      <c r="C308" s="135">
        <f t="shared" ref="C308:I308" si="230">C57-C244</f>
        <v>0</v>
      </c>
      <c r="D308" s="135">
        <f t="shared" si="230"/>
        <v>-32228.885210727982</v>
      </c>
      <c r="E308" s="135">
        <f t="shared" si="230"/>
        <v>239.70999999999913</v>
      </c>
      <c r="F308" s="135">
        <f t="shared" si="230"/>
        <v>0</v>
      </c>
      <c r="G308" s="135">
        <f t="shared" si="230"/>
        <v>82</v>
      </c>
      <c r="H308" s="135">
        <f t="shared" ref="H308" si="231">H57-H244</f>
        <v>0</v>
      </c>
      <c r="I308" s="135">
        <f t="shared" si="230"/>
        <v>0</v>
      </c>
      <c r="J308" s="135"/>
      <c r="K308" s="135">
        <f t="shared" ref="K308:Q308" si="232">K57-K244</f>
        <v>-859.5</v>
      </c>
      <c r="L308" s="135">
        <f t="shared" si="232"/>
        <v>0</v>
      </c>
      <c r="M308" s="135">
        <f t="shared" si="232"/>
        <v>0</v>
      </c>
      <c r="N308" s="135">
        <f t="shared" si="232"/>
        <v>-780.72641379310153</v>
      </c>
      <c r="O308" s="135">
        <f t="shared" si="232"/>
        <v>-6322.5265684226324</v>
      </c>
      <c r="P308" s="135">
        <f t="shared" si="232"/>
        <v>4.3599999999996726</v>
      </c>
      <c r="Q308" s="135">
        <f t="shared" si="232"/>
        <v>-5481.6311003831433</v>
      </c>
      <c r="R308" s="135">
        <f t="shared" si="222"/>
        <v>-45347.199293326856</v>
      </c>
      <c r="S308" s="267"/>
      <c r="U308" s="129">
        <f>COUNTIF('YEP Personnel Calc'!H:H,'YEP Summaries'!$A308)</f>
        <v>5</v>
      </c>
      <c r="V308" s="129">
        <f>COUNTIF('Prop Budget Calc'!G:G,'YEP Summaries'!$A308)</f>
        <v>5</v>
      </c>
      <c r="W308" s="129">
        <f t="shared" si="223"/>
        <v>0</v>
      </c>
    </row>
    <row r="309" spans="1:25">
      <c r="A309" s="130" t="s">
        <v>803</v>
      </c>
      <c r="C309" s="135">
        <f t="shared" ref="C309:I309" si="233">C58-C245</f>
        <v>0</v>
      </c>
      <c r="D309" s="135">
        <f t="shared" si="233"/>
        <v>121820.95521072799</v>
      </c>
      <c r="E309" s="135">
        <f t="shared" si="233"/>
        <v>17808.120000000003</v>
      </c>
      <c r="F309" s="135">
        <f t="shared" si="233"/>
        <v>0</v>
      </c>
      <c r="G309" s="135">
        <f t="shared" si="233"/>
        <v>1649</v>
      </c>
      <c r="H309" s="135">
        <f t="shared" ref="H309" si="234">H58-H245</f>
        <v>0</v>
      </c>
      <c r="I309" s="135">
        <f t="shared" si="233"/>
        <v>0</v>
      </c>
      <c r="J309" s="135"/>
      <c r="K309" s="135">
        <f t="shared" ref="K309:Q309" si="235">K58-K245</f>
        <v>525.75</v>
      </c>
      <c r="L309" s="135">
        <f t="shared" si="235"/>
        <v>0</v>
      </c>
      <c r="M309" s="135">
        <f t="shared" si="235"/>
        <v>0</v>
      </c>
      <c r="N309" s="135">
        <f t="shared" si="235"/>
        <v>12559.300189655172</v>
      </c>
      <c r="O309" s="135">
        <f t="shared" si="235"/>
        <v>15077.584666799812</v>
      </c>
      <c r="P309" s="135">
        <f t="shared" si="235"/>
        <v>6.3299999999999272</v>
      </c>
      <c r="Q309" s="135">
        <f t="shared" si="235"/>
        <v>23331.514452490417</v>
      </c>
      <c r="R309" s="135">
        <f t="shared" si="222"/>
        <v>192778.55451967334</v>
      </c>
      <c r="S309" s="267">
        <v>110000</v>
      </c>
      <c r="U309" s="129">
        <f>COUNTIF('YEP Personnel Calc'!H:H,'YEP Summaries'!$A309)</f>
        <v>7</v>
      </c>
      <c r="V309" s="129">
        <f>COUNTIF('Prop Budget Calc'!G:G,'YEP Summaries'!$A309)</f>
        <v>7</v>
      </c>
      <c r="W309" s="129">
        <f t="shared" si="223"/>
        <v>0</v>
      </c>
    </row>
    <row r="310" spans="1:25">
      <c r="A310" s="130" t="s">
        <v>804</v>
      </c>
      <c r="C310" s="135">
        <f t="shared" ref="C310:I310" si="236">C59-C246</f>
        <v>0</v>
      </c>
      <c r="D310" s="135">
        <f t="shared" si="236"/>
        <v>61653.444406130293</v>
      </c>
      <c r="E310" s="135">
        <f t="shared" si="236"/>
        <v>9622.3099999999977</v>
      </c>
      <c r="F310" s="135">
        <f t="shared" si="236"/>
        <v>0</v>
      </c>
      <c r="G310" s="135">
        <f t="shared" si="236"/>
        <v>-1165</v>
      </c>
      <c r="H310" s="135">
        <f t="shared" ref="H310" si="237">H59-H246</f>
        <v>0</v>
      </c>
      <c r="I310" s="135">
        <f t="shared" si="236"/>
        <v>0</v>
      </c>
      <c r="J310" s="135"/>
      <c r="K310" s="135">
        <f t="shared" ref="K310:Q310" si="238">K59-K246</f>
        <v>219</v>
      </c>
      <c r="L310" s="135">
        <f t="shared" si="238"/>
        <v>0</v>
      </c>
      <c r="M310" s="135">
        <f t="shared" si="238"/>
        <v>0</v>
      </c>
      <c r="N310" s="135">
        <f t="shared" si="238"/>
        <v>7024.0873448275852</v>
      </c>
      <c r="O310" s="135">
        <f t="shared" si="238"/>
        <v>31329.477788241522</v>
      </c>
      <c r="P310" s="135">
        <f t="shared" si="238"/>
        <v>6.7900000000008731</v>
      </c>
      <c r="Q310" s="135">
        <f t="shared" si="238"/>
        <v>11229.659220689646</v>
      </c>
      <c r="R310" s="135">
        <f t="shared" si="222"/>
        <v>119919.76875988903</v>
      </c>
      <c r="S310" s="267">
        <v>70000</v>
      </c>
      <c r="U310" s="129">
        <f>COUNTIF('YEP Personnel Calc'!H:H,'YEP Summaries'!$A310)</f>
        <v>8</v>
      </c>
      <c r="V310" s="129">
        <f>COUNTIF('Prop Budget Calc'!G:G,'YEP Summaries'!$A310)</f>
        <v>8</v>
      </c>
      <c r="W310" s="129">
        <f t="shared" si="223"/>
        <v>0</v>
      </c>
    </row>
    <row r="311" spans="1:25">
      <c r="A311" s="130" t="s">
        <v>805</v>
      </c>
      <c r="C311" s="135">
        <f t="shared" ref="C311:I311" si="239">C60-C247</f>
        <v>0</v>
      </c>
      <c r="D311" s="135">
        <f t="shared" si="239"/>
        <v>-4159.0620689655188</v>
      </c>
      <c r="E311" s="135">
        <f t="shared" si="239"/>
        <v>940</v>
      </c>
      <c r="F311" s="135">
        <f t="shared" si="239"/>
        <v>0</v>
      </c>
      <c r="G311" s="135">
        <f t="shared" si="239"/>
        <v>114</v>
      </c>
      <c r="H311" s="135">
        <f t="shared" ref="H311" si="240">H60-H247</f>
        <v>0</v>
      </c>
      <c r="I311" s="135">
        <f t="shared" si="239"/>
        <v>0</v>
      </c>
      <c r="J311" s="135"/>
      <c r="K311" s="135">
        <f t="shared" ref="K311:Q311" si="241">K60-K247</f>
        <v>0</v>
      </c>
      <c r="L311" s="135">
        <f t="shared" si="241"/>
        <v>0</v>
      </c>
      <c r="M311" s="135">
        <f t="shared" si="241"/>
        <v>0</v>
      </c>
      <c r="N311" s="135">
        <f t="shared" si="241"/>
        <v>312.8939310344831</v>
      </c>
      <c r="O311" s="135">
        <f t="shared" si="241"/>
        <v>-2422.3791384830183</v>
      </c>
      <c r="P311" s="135">
        <f t="shared" si="241"/>
        <v>1.1900000000000546</v>
      </c>
      <c r="Q311" s="135">
        <f t="shared" si="241"/>
        <v>-525.49403524904483</v>
      </c>
      <c r="R311" s="135">
        <f t="shared" si="222"/>
        <v>-5738.8513116630984</v>
      </c>
      <c r="S311" s="267"/>
      <c r="U311" s="129">
        <f>COUNTIF('YEP Personnel Calc'!H:H,'YEP Summaries'!$A311)</f>
        <v>3</v>
      </c>
      <c r="V311" s="129">
        <f>COUNTIF('Prop Budget Calc'!G:G,'YEP Summaries'!$A311)</f>
        <v>3</v>
      </c>
      <c r="W311" s="129">
        <f t="shared" si="223"/>
        <v>0</v>
      </c>
      <c r="X311" s="434"/>
      <c r="Y311" s="434"/>
    </row>
    <row r="312" spans="1:25">
      <c r="A312" s="130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267"/>
      <c r="W312" s="434"/>
      <c r="X312" s="434"/>
      <c r="Y312" s="434"/>
    </row>
    <row r="313" spans="1:25">
      <c r="A313" s="130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267"/>
      <c r="W313" s="434"/>
      <c r="X313" s="434"/>
      <c r="Y313" s="434"/>
    </row>
    <row r="314" spans="1:25">
      <c r="A314" s="130" t="s">
        <v>798</v>
      </c>
      <c r="C314" s="135">
        <f>C64-C251</f>
        <v>0</v>
      </c>
      <c r="D314" s="135">
        <f t="shared" ref="D314:I314" si="242">D64-D251</f>
        <v>10218.54252873559</v>
      </c>
      <c r="E314" s="135">
        <f t="shared" si="242"/>
        <v>8260.11</v>
      </c>
      <c r="F314" s="135">
        <f t="shared" si="242"/>
        <v>0</v>
      </c>
      <c r="G314" s="135">
        <f t="shared" si="242"/>
        <v>-21</v>
      </c>
      <c r="H314" s="135">
        <f t="shared" ref="H314" si="243">H64-H251</f>
        <v>0</v>
      </c>
      <c r="I314" s="135">
        <f t="shared" si="242"/>
        <v>0</v>
      </c>
      <c r="J314" s="135"/>
      <c r="K314" s="135">
        <f t="shared" ref="K314:Q314" si="244">K64-K251</f>
        <v>0</v>
      </c>
      <c r="L314" s="135">
        <f t="shared" si="244"/>
        <v>0</v>
      </c>
      <c r="M314" s="135">
        <f t="shared" si="244"/>
        <v>0</v>
      </c>
      <c r="N314" s="135">
        <f t="shared" si="244"/>
        <v>2767.8664827586181</v>
      </c>
      <c r="O314" s="135">
        <f t="shared" si="244"/>
        <v>-826.85329458113119</v>
      </c>
      <c r="P314" s="135">
        <f t="shared" si="244"/>
        <v>8.1599999999998545</v>
      </c>
      <c r="Q314" s="135">
        <f t="shared" si="244"/>
        <v>2739.5196689655277</v>
      </c>
      <c r="R314" s="135">
        <f t="shared" ref="R314" si="245">SUM(C314:Q314)</f>
        <v>23146.345385878605</v>
      </c>
      <c r="S314" s="267"/>
      <c r="U314" s="129">
        <f>COUNTIF('YEP Personnel Calc'!H:H,'YEP Summaries'!$A314)</f>
        <v>4</v>
      </c>
      <c r="V314" s="129">
        <f>COUNTIF('Prop Budget Calc'!G:G,'YEP Summaries'!$A314)</f>
        <v>4</v>
      </c>
      <c r="W314" s="129">
        <f t="shared" ref="W314" si="246">V314-U314</f>
        <v>0</v>
      </c>
      <c r="X314" s="434"/>
      <c r="Y314" s="434"/>
    </row>
    <row r="315" spans="1:25">
      <c r="A315" s="130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>
        <f>SUM(S305:S314)</f>
        <v>225000</v>
      </c>
      <c r="W315" s="434"/>
      <c r="X315" s="434"/>
      <c r="Y315" s="434"/>
    </row>
    <row r="316" spans="1:25">
      <c r="A316" s="130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433">
        <v>225000</v>
      </c>
      <c r="T316" s="135">
        <f>S316-S315</f>
        <v>0</v>
      </c>
      <c r="W316" s="434"/>
      <c r="X316" s="434"/>
      <c r="Y316" s="434"/>
    </row>
    <row r="317" spans="1:25">
      <c r="A317" s="130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1:25">
      <c r="A318" s="130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1:25">
      <c r="A319" s="130"/>
    </row>
    <row r="320" spans="1:25">
      <c r="A320" s="130"/>
    </row>
    <row r="321" spans="1:1">
      <c r="A321" s="130"/>
    </row>
    <row r="322" spans="1:1">
      <c r="A322" s="130"/>
    </row>
    <row r="323" spans="1:1">
      <c r="A323" s="130"/>
    </row>
    <row r="324" spans="1:1">
      <c r="A324" s="130"/>
    </row>
    <row r="325" spans="1:1">
      <c r="A325" s="130"/>
    </row>
    <row r="326" spans="1:1">
      <c r="A326" s="130"/>
    </row>
    <row r="327" spans="1:1">
      <c r="A327" s="130"/>
    </row>
    <row r="328" spans="1:1">
      <c r="A328" s="130"/>
    </row>
    <row r="329" spans="1:1">
      <c r="A329" s="130"/>
    </row>
    <row r="330" spans="1:1">
      <c r="A330" s="130"/>
    </row>
    <row r="331" spans="1:1">
      <c r="A331" s="130"/>
    </row>
    <row r="332" spans="1:1">
      <c r="A332" s="130"/>
    </row>
    <row r="333" spans="1:1">
      <c r="A333" s="130"/>
    </row>
    <row r="334" spans="1:1">
      <c r="A334" s="130"/>
    </row>
    <row r="335" spans="1:1">
      <c r="A335" s="130"/>
    </row>
    <row r="336" spans="1:1">
      <c r="A336" s="130"/>
    </row>
    <row r="337" spans="1:1">
      <c r="A337" s="130"/>
    </row>
    <row r="338" spans="1:1">
      <c r="A338" s="130"/>
    </row>
    <row r="339" spans="1:1">
      <c r="A339" s="130"/>
    </row>
    <row r="340" spans="1:1">
      <c r="A340" s="130"/>
    </row>
    <row r="341" spans="1:1">
      <c r="A341" s="130"/>
    </row>
    <row r="342" spans="1:1">
      <c r="A342" s="130"/>
    </row>
    <row r="343" spans="1:1">
      <c r="A343" s="130"/>
    </row>
    <row r="344" spans="1:1">
      <c r="A344" s="130"/>
    </row>
    <row r="345" spans="1:1">
      <c r="A345" s="130"/>
    </row>
    <row r="346" spans="1:1">
      <c r="A346" s="130"/>
    </row>
    <row r="347" spans="1:1">
      <c r="A347" s="130"/>
    </row>
    <row r="348" spans="1:1">
      <c r="A348" s="130"/>
    </row>
    <row r="349" spans="1:1">
      <c r="A349" s="130"/>
    </row>
    <row r="350" spans="1:1">
      <c r="A350" s="130"/>
    </row>
    <row r="351" spans="1:1">
      <c r="A351" s="130"/>
    </row>
    <row r="352" spans="1:1">
      <c r="A352" s="130"/>
    </row>
    <row r="353" spans="1:1">
      <c r="A353" s="130"/>
    </row>
    <row r="354" spans="1:1">
      <c r="A354" s="130"/>
    </row>
    <row r="355" spans="1:1">
      <c r="A355" s="130"/>
    </row>
    <row r="356" spans="1:1">
      <c r="A356" s="130"/>
    </row>
    <row r="357" spans="1:1">
      <c r="A357" s="130"/>
    </row>
    <row r="358" spans="1:1">
      <c r="A358" s="130"/>
    </row>
    <row r="359" spans="1:1">
      <c r="A359" s="130"/>
    </row>
    <row r="360" spans="1:1">
      <c r="A360" s="130"/>
    </row>
    <row r="361" spans="1:1">
      <c r="A361" s="130"/>
    </row>
    <row r="362" spans="1:1">
      <c r="A362" s="130"/>
    </row>
    <row r="363" spans="1:1">
      <c r="A363" s="130"/>
    </row>
    <row r="364" spans="1:1">
      <c r="A364" s="130"/>
    </row>
    <row r="365" spans="1:1">
      <c r="A365" s="130"/>
    </row>
    <row r="366" spans="1:1">
      <c r="A366" s="130"/>
    </row>
    <row r="367" spans="1:1">
      <c r="A367" s="130"/>
    </row>
    <row r="368" spans="1:1">
      <c r="A368" s="130"/>
    </row>
    <row r="369" spans="1:1">
      <c r="A369" s="130"/>
    </row>
    <row r="370" spans="1:1">
      <c r="A370" s="130"/>
    </row>
    <row r="371" spans="1:1">
      <c r="A371" s="130"/>
    </row>
    <row r="372" spans="1:1">
      <c r="A372" s="130"/>
    </row>
    <row r="373" spans="1:1">
      <c r="A373" s="130"/>
    </row>
    <row r="374" spans="1:1">
      <c r="A374" s="130"/>
    </row>
    <row r="375" spans="1:1">
      <c r="A375" s="130"/>
    </row>
    <row r="376" spans="1:1">
      <c r="A376" s="130"/>
    </row>
    <row r="377" spans="1:1">
      <c r="A377" s="130"/>
    </row>
    <row r="378" spans="1:1">
      <c r="A378" s="130"/>
    </row>
    <row r="379" spans="1:1">
      <c r="A379" s="130"/>
    </row>
    <row r="380" spans="1:1">
      <c r="A380" s="130"/>
    </row>
    <row r="381" spans="1:1">
      <c r="A381" s="130"/>
    </row>
    <row r="382" spans="1:1">
      <c r="A382" s="130"/>
    </row>
    <row r="383" spans="1:1">
      <c r="A383" s="130"/>
    </row>
    <row r="384" spans="1:1">
      <c r="A384" s="130"/>
    </row>
    <row r="385" spans="1:1">
      <c r="A385" s="130"/>
    </row>
    <row r="386" spans="1:1">
      <c r="A386" s="130"/>
    </row>
    <row r="387" spans="1:1">
      <c r="A387" s="130"/>
    </row>
    <row r="388" spans="1:1">
      <c r="A388" s="130"/>
    </row>
    <row r="389" spans="1:1">
      <c r="A389" s="130"/>
    </row>
    <row r="390" spans="1:1">
      <c r="A390" s="130"/>
    </row>
    <row r="391" spans="1:1">
      <c r="A391" s="130"/>
    </row>
    <row r="392" spans="1:1">
      <c r="A392" s="130"/>
    </row>
    <row r="393" spans="1:1">
      <c r="A393" s="130"/>
    </row>
    <row r="394" spans="1:1">
      <c r="A394" s="130"/>
    </row>
    <row r="395" spans="1:1">
      <c r="A395" s="130"/>
    </row>
    <row r="396" spans="1:1">
      <c r="A396" s="130"/>
    </row>
    <row r="397" spans="1:1">
      <c r="A397" s="130"/>
    </row>
    <row r="398" spans="1:1">
      <c r="A398" s="130"/>
    </row>
    <row r="399" spans="1:1">
      <c r="A399" s="130"/>
    </row>
    <row r="400" spans="1:1">
      <c r="A400" s="130"/>
    </row>
    <row r="401" spans="1:1">
      <c r="A401" s="130"/>
    </row>
    <row r="402" spans="1:1">
      <c r="A402" s="130"/>
    </row>
    <row r="403" spans="1:1">
      <c r="A403" s="130"/>
    </row>
    <row r="404" spans="1:1">
      <c r="A404" s="130"/>
    </row>
    <row r="405" spans="1:1">
      <c r="A405" s="130"/>
    </row>
    <row r="406" spans="1:1">
      <c r="A406" s="130"/>
    </row>
    <row r="407" spans="1:1">
      <c r="A407" s="130"/>
    </row>
    <row r="408" spans="1:1">
      <c r="A408" s="130"/>
    </row>
    <row r="409" spans="1:1">
      <c r="A409" s="130"/>
    </row>
    <row r="410" spans="1:1">
      <c r="A410" s="130"/>
    </row>
    <row r="411" spans="1:1">
      <c r="A411" s="130"/>
    </row>
    <row r="412" spans="1:1">
      <c r="A412" s="130"/>
    </row>
    <row r="413" spans="1:1">
      <c r="A413" s="130"/>
    </row>
    <row r="414" spans="1:1">
      <c r="A414" s="130"/>
    </row>
    <row r="415" spans="1:1">
      <c r="A415" s="130"/>
    </row>
    <row r="416" spans="1:1">
      <c r="A416" s="130"/>
    </row>
    <row r="417" spans="1:1">
      <c r="A417" s="130"/>
    </row>
    <row r="418" spans="1:1">
      <c r="A418" s="130"/>
    </row>
    <row r="419" spans="1:1">
      <c r="A419" s="130"/>
    </row>
    <row r="420" spans="1:1">
      <c r="A420" s="130"/>
    </row>
    <row r="421" spans="1:1">
      <c r="A421" s="130"/>
    </row>
    <row r="422" spans="1:1">
      <c r="A422" s="130"/>
    </row>
    <row r="423" spans="1:1">
      <c r="A423" s="130"/>
    </row>
    <row r="424" spans="1:1">
      <c r="A424" s="130"/>
    </row>
    <row r="425" spans="1:1">
      <c r="A425" s="130"/>
    </row>
    <row r="426" spans="1:1">
      <c r="A426" s="130"/>
    </row>
    <row r="427" spans="1:1">
      <c r="A427" s="130"/>
    </row>
    <row r="428" spans="1:1">
      <c r="A428" s="130"/>
    </row>
    <row r="429" spans="1:1">
      <c r="A429" s="130"/>
    </row>
    <row r="430" spans="1:1">
      <c r="A430" s="130"/>
    </row>
    <row r="431" spans="1:1">
      <c r="A431" s="130"/>
    </row>
    <row r="432" spans="1:1">
      <c r="A432" s="130"/>
    </row>
    <row r="433" spans="1:1">
      <c r="A433" s="130"/>
    </row>
    <row r="434" spans="1:1">
      <c r="A434" s="130"/>
    </row>
    <row r="435" spans="1:1">
      <c r="A435" s="130"/>
    </row>
    <row r="436" spans="1:1">
      <c r="A436" s="130"/>
    </row>
    <row r="437" spans="1:1">
      <c r="A437" s="130"/>
    </row>
    <row r="438" spans="1:1">
      <c r="A438" s="130"/>
    </row>
    <row r="439" spans="1:1">
      <c r="A439" s="130"/>
    </row>
    <row r="440" spans="1:1">
      <c r="A440" s="130"/>
    </row>
    <row r="441" spans="1:1">
      <c r="A441" s="130"/>
    </row>
    <row r="442" spans="1:1">
      <c r="A442" s="130"/>
    </row>
    <row r="443" spans="1:1">
      <c r="A443" s="130"/>
    </row>
    <row r="444" spans="1:1">
      <c r="A444" s="130"/>
    </row>
    <row r="445" spans="1:1">
      <c r="A445" s="130"/>
    </row>
    <row r="446" spans="1:1">
      <c r="A446" s="130"/>
    </row>
    <row r="447" spans="1:1">
      <c r="A447" s="130"/>
    </row>
    <row r="448" spans="1:1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>
      <c r="A457" s="130"/>
    </row>
    <row r="458" spans="1:1">
      <c r="A458" s="130"/>
    </row>
    <row r="459" spans="1:1">
      <c r="A459" s="130"/>
    </row>
    <row r="460" spans="1:1">
      <c r="A460" s="130"/>
    </row>
    <row r="461" spans="1:1">
      <c r="A461" s="130"/>
    </row>
    <row r="462" spans="1:1">
      <c r="A462" s="130"/>
    </row>
    <row r="463" spans="1:1">
      <c r="A463" s="130"/>
    </row>
    <row r="464" spans="1:1">
      <c r="A464" s="130"/>
    </row>
    <row r="465" spans="1:1">
      <c r="A465" s="130"/>
    </row>
    <row r="466" spans="1:1">
      <c r="A466" s="130"/>
    </row>
    <row r="467" spans="1:1">
      <c r="A467" s="130"/>
    </row>
    <row r="468" spans="1:1">
      <c r="A468" s="130"/>
    </row>
    <row r="469" spans="1:1">
      <c r="A469" s="130"/>
    </row>
    <row r="470" spans="1:1">
      <c r="A470" s="130"/>
    </row>
    <row r="471" spans="1:1">
      <c r="A471" s="130"/>
    </row>
    <row r="472" spans="1:1">
      <c r="A472" s="130"/>
    </row>
    <row r="473" spans="1:1">
      <c r="A473" s="130"/>
    </row>
    <row r="474" spans="1:1">
      <c r="A474" s="130"/>
    </row>
    <row r="475" spans="1:1">
      <c r="A475" s="130"/>
    </row>
    <row r="476" spans="1:1">
      <c r="A476" s="130"/>
    </row>
    <row r="477" spans="1:1">
      <c r="A477" s="130"/>
    </row>
    <row r="478" spans="1:1">
      <c r="A478" s="130"/>
    </row>
    <row r="479" spans="1:1">
      <c r="A479" s="130"/>
    </row>
    <row r="480" spans="1:1">
      <c r="A480" s="130"/>
    </row>
    <row r="481" spans="1:1">
      <c r="A481" s="130"/>
    </row>
    <row r="482" spans="1:1">
      <c r="A482" s="130"/>
    </row>
    <row r="483" spans="1:1">
      <c r="A483" s="130"/>
    </row>
    <row r="484" spans="1:1">
      <c r="A484" s="130"/>
    </row>
    <row r="485" spans="1:1">
      <c r="A485" s="130"/>
    </row>
    <row r="486" spans="1:1">
      <c r="A486" s="130"/>
    </row>
    <row r="487" spans="1:1">
      <c r="A487" s="130"/>
    </row>
    <row r="488" spans="1:1">
      <c r="A488" s="130"/>
    </row>
    <row r="489" spans="1:1">
      <c r="A489" s="130"/>
    </row>
    <row r="490" spans="1:1">
      <c r="A490" s="130"/>
    </row>
    <row r="491" spans="1:1">
      <c r="A491" s="130"/>
    </row>
    <row r="492" spans="1:1">
      <c r="A492" s="130"/>
    </row>
    <row r="493" spans="1:1">
      <c r="A493" s="130"/>
    </row>
    <row r="494" spans="1:1">
      <c r="A494" s="130"/>
    </row>
    <row r="495" spans="1:1">
      <c r="A495" s="130"/>
    </row>
    <row r="496" spans="1:1">
      <c r="A496" s="130"/>
    </row>
    <row r="497" spans="1:1">
      <c r="A497" s="130"/>
    </row>
    <row r="498" spans="1:1">
      <c r="A498" s="130"/>
    </row>
    <row r="499" spans="1:1">
      <c r="A499" s="130"/>
    </row>
    <row r="500" spans="1:1">
      <c r="A500" s="130"/>
    </row>
    <row r="501" spans="1:1">
      <c r="A501" s="130"/>
    </row>
    <row r="502" spans="1:1">
      <c r="A502" s="130"/>
    </row>
    <row r="503" spans="1:1">
      <c r="A503" s="130"/>
    </row>
    <row r="504" spans="1:1">
      <c r="A504" s="130"/>
    </row>
    <row r="505" spans="1:1">
      <c r="A505" s="130"/>
    </row>
    <row r="506" spans="1:1">
      <c r="A506" s="130"/>
    </row>
    <row r="507" spans="1:1">
      <c r="A507" s="130"/>
    </row>
    <row r="508" spans="1:1">
      <c r="A508" s="130"/>
    </row>
    <row r="509" spans="1:1">
      <c r="A509" s="130"/>
    </row>
    <row r="510" spans="1:1">
      <c r="A510" s="130"/>
    </row>
    <row r="511" spans="1:1">
      <c r="A511" s="130"/>
    </row>
    <row r="512" spans="1:1">
      <c r="A512" s="130"/>
    </row>
    <row r="513" spans="1:1">
      <c r="A513" s="130"/>
    </row>
    <row r="514" spans="1:1">
      <c r="A514" s="130"/>
    </row>
    <row r="515" spans="1:1">
      <c r="A515" s="130"/>
    </row>
    <row r="516" spans="1:1">
      <c r="A516" s="130"/>
    </row>
    <row r="517" spans="1:1">
      <c r="A517" s="130"/>
    </row>
    <row r="518" spans="1:1">
      <c r="A518" s="130"/>
    </row>
    <row r="519" spans="1:1">
      <c r="A519" s="130"/>
    </row>
    <row r="520" spans="1:1">
      <c r="A520" s="130"/>
    </row>
    <row r="521" spans="1:1">
      <c r="A521" s="130"/>
    </row>
    <row r="522" spans="1:1">
      <c r="A522" s="130"/>
    </row>
    <row r="523" spans="1:1">
      <c r="A523" s="130"/>
    </row>
    <row r="524" spans="1:1">
      <c r="A524" s="130"/>
    </row>
    <row r="525" spans="1:1">
      <c r="A525" s="130"/>
    </row>
    <row r="526" spans="1:1">
      <c r="A526" s="130"/>
    </row>
    <row r="527" spans="1:1">
      <c r="A527" s="130"/>
    </row>
    <row r="528" spans="1:1">
      <c r="A528" s="130"/>
    </row>
    <row r="529" spans="1:1">
      <c r="A529" s="130"/>
    </row>
    <row r="530" spans="1:1">
      <c r="A530" s="130"/>
    </row>
    <row r="531" spans="1:1">
      <c r="A531" s="130"/>
    </row>
    <row r="532" spans="1:1">
      <c r="A532" s="130"/>
    </row>
    <row r="533" spans="1:1">
      <c r="A533" s="130"/>
    </row>
    <row r="534" spans="1:1">
      <c r="A534" s="130"/>
    </row>
    <row r="535" spans="1:1">
      <c r="A535" s="130"/>
    </row>
    <row r="536" spans="1:1">
      <c r="A536" s="130"/>
    </row>
    <row r="537" spans="1:1">
      <c r="A537" s="130"/>
    </row>
    <row r="538" spans="1:1">
      <c r="A538" s="130"/>
    </row>
    <row r="539" spans="1:1">
      <c r="A539" s="130"/>
    </row>
    <row r="540" spans="1:1">
      <c r="A540" s="130"/>
    </row>
    <row r="541" spans="1:1">
      <c r="A541" s="130"/>
    </row>
    <row r="542" spans="1:1">
      <c r="A542" s="130"/>
    </row>
    <row r="543" spans="1:1">
      <c r="A543" s="130"/>
    </row>
    <row r="544" spans="1:1">
      <c r="A544" s="130"/>
    </row>
    <row r="545" spans="1:1">
      <c r="A545" s="130"/>
    </row>
    <row r="546" spans="1:1">
      <c r="A546" s="130"/>
    </row>
    <row r="547" spans="1:1">
      <c r="A547" s="130"/>
    </row>
    <row r="548" spans="1:1">
      <c r="A548" s="130"/>
    </row>
    <row r="549" spans="1:1">
      <c r="A549" s="130"/>
    </row>
    <row r="550" spans="1:1">
      <c r="A550" s="130"/>
    </row>
    <row r="551" spans="1:1">
      <c r="A551" s="130"/>
    </row>
    <row r="552" spans="1:1">
      <c r="A552" s="130"/>
    </row>
    <row r="553" spans="1:1">
      <c r="A553" s="130"/>
    </row>
    <row r="554" spans="1:1">
      <c r="A554" s="130"/>
    </row>
    <row r="555" spans="1:1">
      <c r="A555" s="130"/>
    </row>
    <row r="556" spans="1:1">
      <c r="A556" s="130"/>
    </row>
    <row r="557" spans="1:1">
      <c r="A557" s="130"/>
    </row>
    <row r="558" spans="1:1">
      <c r="A558" s="130"/>
    </row>
    <row r="559" spans="1:1">
      <c r="A559" s="130"/>
    </row>
    <row r="560" spans="1:1">
      <c r="A560" s="130"/>
    </row>
    <row r="561" spans="1:1">
      <c r="A561" s="130"/>
    </row>
    <row r="562" spans="1:1">
      <c r="A562" s="130"/>
    </row>
    <row r="563" spans="1:1">
      <c r="A563" s="130"/>
    </row>
    <row r="564" spans="1:1">
      <c r="A564" s="130"/>
    </row>
    <row r="565" spans="1:1">
      <c r="A565" s="130"/>
    </row>
    <row r="566" spans="1:1">
      <c r="A566" s="130"/>
    </row>
    <row r="567" spans="1:1">
      <c r="A567" s="130"/>
    </row>
    <row r="568" spans="1:1">
      <c r="A568" s="130"/>
    </row>
    <row r="569" spans="1:1">
      <c r="A569" s="130"/>
    </row>
    <row r="570" spans="1:1">
      <c r="A570" s="130"/>
    </row>
    <row r="571" spans="1:1">
      <c r="A571" s="130"/>
    </row>
    <row r="572" spans="1:1">
      <c r="A572" s="130"/>
    </row>
    <row r="573" spans="1:1">
      <c r="A573" s="130"/>
    </row>
    <row r="574" spans="1:1">
      <c r="A574" s="130"/>
    </row>
    <row r="575" spans="1:1">
      <c r="A575" s="130"/>
    </row>
    <row r="576" spans="1:1">
      <c r="A576" s="130"/>
    </row>
    <row r="577" spans="1:1">
      <c r="A577" s="130"/>
    </row>
    <row r="578" spans="1:1">
      <c r="A578" s="130"/>
    </row>
    <row r="579" spans="1:1">
      <c r="A579" s="130"/>
    </row>
    <row r="580" spans="1:1">
      <c r="A580" s="130"/>
    </row>
    <row r="581" spans="1:1">
      <c r="A581" s="130"/>
    </row>
    <row r="582" spans="1:1">
      <c r="A582" s="130"/>
    </row>
    <row r="583" spans="1:1">
      <c r="A583" s="130"/>
    </row>
    <row r="584" spans="1:1">
      <c r="A584" s="130"/>
    </row>
    <row r="585" spans="1:1">
      <c r="A585" s="130"/>
    </row>
    <row r="586" spans="1:1">
      <c r="A586" s="130"/>
    </row>
    <row r="587" spans="1:1">
      <c r="A587" s="130"/>
    </row>
    <row r="588" spans="1:1">
      <c r="A588" s="130"/>
    </row>
    <row r="589" spans="1:1">
      <c r="A589" s="130"/>
    </row>
    <row r="590" spans="1:1">
      <c r="A590" s="130"/>
    </row>
    <row r="591" spans="1:1">
      <c r="A591" s="130"/>
    </row>
    <row r="592" spans="1:1">
      <c r="A592" s="130"/>
    </row>
    <row r="593" spans="1:1">
      <c r="A593" s="130"/>
    </row>
    <row r="594" spans="1:1">
      <c r="A594" s="130"/>
    </row>
    <row r="595" spans="1:1">
      <c r="A595" s="130"/>
    </row>
    <row r="596" spans="1:1">
      <c r="A596" s="130"/>
    </row>
    <row r="597" spans="1:1">
      <c r="A597" s="130"/>
    </row>
    <row r="598" spans="1:1">
      <c r="A598" s="130"/>
    </row>
    <row r="599" spans="1:1">
      <c r="A599" s="130"/>
    </row>
    <row r="600" spans="1:1">
      <c r="A600" s="130"/>
    </row>
    <row r="601" spans="1:1">
      <c r="A601" s="130"/>
    </row>
    <row r="602" spans="1:1">
      <c r="A602" s="130"/>
    </row>
    <row r="603" spans="1:1">
      <c r="A603" s="130"/>
    </row>
    <row r="604" spans="1:1">
      <c r="A604" s="130"/>
    </row>
    <row r="605" spans="1:1">
      <c r="A605" s="130"/>
    </row>
    <row r="606" spans="1:1">
      <c r="A606" s="130"/>
    </row>
    <row r="607" spans="1:1">
      <c r="A607" s="130"/>
    </row>
    <row r="608" spans="1:1">
      <c r="A608" s="130"/>
    </row>
    <row r="609" spans="1:1">
      <c r="A609" s="130"/>
    </row>
    <row r="610" spans="1:1">
      <c r="A610" s="130"/>
    </row>
    <row r="611" spans="1:1">
      <c r="A611" s="130"/>
    </row>
    <row r="612" spans="1:1">
      <c r="A612" s="130"/>
    </row>
    <row r="613" spans="1:1">
      <c r="A613" s="130"/>
    </row>
    <row r="614" spans="1:1">
      <c r="A614" s="130"/>
    </row>
    <row r="615" spans="1:1">
      <c r="A615" s="130"/>
    </row>
    <row r="616" spans="1:1">
      <c r="A616" s="130"/>
    </row>
    <row r="617" spans="1:1">
      <c r="A617" s="130"/>
    </row>
    <row r="618" spans="1:1">
      <c r="A618" s="130"/>
    </row>
    <row r="619" spans="1:1">
      <c r="A619" s="130"/>
    </row>
    <row r="620" spans="1:1">
      <c r="A620" s="130"/>
    </row>
    <row r="621" spans="1:1">
      <c r="A621" s="130"/>
    </row>
    <row r="622" spans="1:1">
      <c r="A622" s="130"/>
    </row>
    <row r="623" spans="1:1">
      <c r="A623" s="130"/>
    </row>
    <row r="624" spans="1:1">
      <c r="A624" s="130"/>
    </row>
    <row r="625" spans="1:1">
      <c r="A625" s="130"/>
    </row>
    <row r="626" spans="1:1">
      <c r="A626" s="130"/>
    </row>
    <row r="627" spans="1:1">
      <c r="A627" s="130"/>
    </row>
    <row r="628" spans="1:1">
      <c r="A628" s="130"/>
    </row>
    <row r="629" spans="1:1">
      <c r="A629" s="130"/>
    </row>
    <row r="630" spans="1:1">
      <c r="A630" s="130"/>
    </row>
    <row r="631" spans="1:1">
      <c r="A631" s="130"/>
    </row>
    <row r="632" spans="1:1">
      <c r="A632" s="130"/>
    </row>
    <row r="633" spans="1:1">
      <c r="A633" s="130"/>
    </row>
    <row r="634" spans="1:1">
      <c r="A634" s="130"/>
    </row>
    <row r="635" spans="1:1">
      <c r="A635" s="130"/>
    </row>
    <row r="636" spans="1:1">
      <c r="A636" s="130"/>
    </row>
    <row r="637" spans="1:1">
      <c r="A637" s="130"/>
    </row>
    <row r="638" spans="1:1">
      <c r="A638" s="130"/>
    </row>
    <row r="639" spans="1:1">
      <c r="A639" s="130"/>
    </row>
    <row r="640" spans="1:1">
      <c r="A640" s="130"/>
    </row>
    <row r="641" spans="1:1">
      <c r="A641" s="130"/>
    </row>
    <row r="642" spans="1:1">
      <c r="A642" s="130"/>
    </row>
    <row r="643" spans="1:1">
      <c r="A643" s="130"/>
    </row>
    <row r="644" spans="1:1">
      <c r="A644" s="130"/>
    </row>
    <row r="645" spans="1:1">
      <c r="A645" s="130"/>
    </row>
    <row r="646" spans="1:1">
      <c r="A646" s="130"/>
    </row>
    <row r="647" spans="1:1">
      <c r="A647" s="130"/>
    </row>
    <row r="648" spans="1:1">
      <c r="A648" s="130"/>
    </row>
    <row r="649" spans="1:1">
      <c r="A649" s="130"/>
    </row>
    <row r="650" spans="1:1">
      <c r="A650" s="130"/>
    </row>
    <row r="651" spans="1:1">
      <c r="A651" s="130"/>
    </row>
    <row r="652" spans="1:1">
      <c r="A652" s="130"/>
    </row>
    <row r="653" spans="1:1">
      <c r="A653" s="130"/>
    </row>
    <row r="654" spans="1:1">
      <c r="A654" s="130"/>
    </row>
    <row r="655" spans="1:1">
      <c r="A655" s="130"/>
    </row>
    <row r="656" spans="1:1">
      <c r="A656" s="130"/>
    </row>
    <row r="657" spans="1:1">
      <c r="A657" s="130"/>
    </row>
    <row r="658" spans="1:1">
      <c r="A658" s="130"/>
    </row>
    <row r="659" spans="1:1">
      <c r="A659" s="130"/>
    </row>
    <row r="660" spans="1:1">
      <c r="A660" s="130"/>
    </row>
    <row r="661" spans="1:1">
      <c r="A661" s="130"/>
    </row>
    <row r="662" spans="1:1">
      <c r="A662" s="130"/>
    </row>
    <row r="663" spans="1:1">
      <c r="A663" s="130"/>
    </row>
    <row r="664" spans="1:1">
      <c r="A664" s="130"/>
    </row>
    <row r="665" spans="1:1">
      <c r="A665" s="130"/>
    </row>
    <row r="666" spans="1:1">
      <c r="A666" s="130"/>
    </row>
    <row r="667" spans="1:1">
      <c r="A667" s="130"/>
    </row>
    <row r="668" spans="1:1">
      <c r="A668" s="130"/>
    </row>
    <row r="669" spans="1:1">
      <c r="A669" s="130"/>
    </row>
    <row r="670" spans="1:1">
      <c r="A670" s="130"/>
    </row>
    <row r="671" spans="1:1">
      <c r="A671" s="130"/>
    </row>
    <row r="672" spans="1:1">
      <c r="A672" s="130"/>
    </row>
    <row r="673" spans="1:1">
      <c r="A673" s="130"/>
    </row>
    <row r="674" spans="1:1">
      <c r="A674" s="130"/>
    </row>
    <row r="675" spans="1:1">
      <c r="A675" s="130"/>
    </row>
    <row r="676" spans="1:1">
      <c r="A676" s="130"/>
    </row>
    <row r="677" spans="1:1">
      <c r="A677" s="130"/>
    </row>
    <row r="678" spans="1:1">
      <c r="A678" s="130"/>
    </row>
    <row r="679" spans="1:1">
      <c r="A679" s="130"/>
    </row>
    <row r="680" spans="1:1">
      <c r="A680" s="130"/>
    </row>
    <row r="681" spans="1:1">
      <c r="A681" s="130"/>
    </row>
    <row r="682" spans="1:1">
      <c r="A682" s="130"/>
    </row>
    <row r="683" spans="1:1">
      <c r="A683" s="130"/>
    </row>
    <row r="684" spans="1:1">
      <c r="A684" s="130"/>
    </row>
    <row r="685" spans="1:1">
      <c r="A685" s="130"/>
    </row>
    <row r="686" spans="1:1">
      <c r="A686" s="130"/>
    </row>
    <row r="687" spans="1:1">
      <c r="A687" s="130"/>
    </row>
    <row r="688" spans="1:1">
      <c r="A688" s="130"/>
    </row>
    <row r="689" spans="1:1">
      <c r="A689" s="130"/>
    </row>
    <row r="690" spans="1:1">
      <c r="A690" s="130"/>
    </row>
    <row r="691" spans="1:1">
      <c r="A691" s="130"/>
    </row>
    <row r="692" spans="1:1">
      <c r="A692" s="130"/>
    </row>
    <row r="693" spans="1:1">
      <c r="A693" s="130"/>
    </row>
    <row r="694" spans="1:1">
      <c r="A694" s="130"/>
    </row>
    <row r="695" spans="1:1">
      <c r="A695" s="130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59999389629810485"/>
  </sheetPr>
  <dimension ref="A1:AE539"/>
  <sheetViews>
    <sheetView zoomScale="130" zoomScaleNormal="130" workbookViewId="0">
      <pane ySplit="6" topLeftCell="A520" activePane="bottomLeft" state="frozen"/>
      <selection activeCell="C12" sqref="C12"/>
      <selection pane="bottomLeft" activeCell="C523" sqref="C523:C532"/>
    </sheetView>
  </sheetViews>
  <sheetFormatPr defaultColWidth="6.1796875" defaultRowHeight="13.2"/>
  <cols>
    <col min="1" max="1" width="3.54296875" style="145" customWidth="1"/>
    <col min="2" max="2" width="11.6328125" style="145" customWidth="1"/>
    <col min="3" max="3" width="12.1796875" style="145" customWidth="1"/>
    <col min="4" max="5" width="3.54296875" style="145" customWidth="1"/>
    <col min="6" max="6" width="3.453125" style="145" customWidth="1"/>
    <col min="7" max="7" width="7.08984375" style="145" customWidth="1"/>
    <col min="8" max="8" width="6.81640625" style="145" customWidth="1"/>
    <col min="9" max="9" width="6.6328125" style="145" customWidth="1"/>
    <col min="10" max="10" width="3.54296875" style="145" customWidth="1"/>
    <col min="11" max="11" width="5.36328125" style="145" customWidth="1"/>
    <col min="12" max="14" width="3.54296875" style="145" customWidth="1"/>
    <col min="15" max="15" width="17.54296875" style="145" customWidth="1"/>
    <col min="16" max="16" width="8" style="145" customWidth="1"/>
    <col min="17" max="17" width="10.54296875" style="145" customWidth="1"/>
    <col min="18" max="28" width="3.54296875" style="145" customWidth="1"/>
    <col min="29" max="16384" width="6.1796875" style="145"/>
  </cols>
  <sheetData>
    <row r="1" spans="1:28" ht="12.75" customHeight="1">
      <c r="A1" s="128"/>
      <c r="B1" s="144"/>
      <c r="C1" s="144"/>
      <c r="D1" s="144"/>
      <c r="E1" s="144"/>
      <c r="F1" s="144"/>
      <c r="G1" s="144"/>
      <c r="H1" s="144"/>
      <c r="I1" s="144"/>
      <c r="J1" s="128"/>
      <c r="K1" s="128"/>
      <c r="L1" s="128"/>
      <c r="O1" s="146"/>
      <c r="P1" s="146"/>
    </row>
    <row r="2" spans="1:28" ht="12.75" customHeight="1">
      <c r="A2" s="128"/>
      <c r="B2" s="144" t="s">
        <v>331</v>
      </c>
      <c r="C2" s="144"/>
      <c r="D2" s="144"/>
      <c r="E2" s="144"/>
      <c r="F2" s="144"/>
      <c r="G2" s="144"/>
      <c r="H2" s="144"/>
      <c r="I2" s="144"/>
      <c r="J2" s="128"/>
      <c r="K2" s="128"/>
      <c r="L2" s="128"/>
      <c r="O2" s="146"/>
      <c r="P2" s="146"/>
    </row>
    <row r="3" spans="1:28" ht="12.75" customHeight="1">
      <c r="A3" s="128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O3" s="146"/>
      <c r="P3" s="146"/>
    </row>
    <row r="4" spans="1:28" ht="12.75" customHeight="1">
      <c r="A4" s="128"/>
      <c r="B4" s="128"/>
      <c r="C4" s="128"/>
      <c r="D4" s="128"/>
      <c r="E4" s="147" t="s">
        <v>332</v>
      </c>
      <c r="F4" s="128"/>
      <c r="G4" s="128"/>
      <c r="H4" s="128"/>
      <c r="I4" s="128"/>
      <c r="J4" s="128"/>
      <c r="K4" s="128"/>
      <c r="L4" s="128"/>
      <c r="M4" s="148"/>
      <c r="O4" s="146"/>
      <c r="P4" s="146"/>
    </row>
    <row r="5" spans="1:28" ht="12.75" customHeight="1">
      <c r="A5" s="128"/>
      <c r="B5" s="128"/>
      <c r="C5" s="128"/>
      <c r="D5" s="147" t="s">
        <v>333</v>
      </c>
      <c r="E5" s="147" t="s">
        <v>334</v>
      </c>
      <c r="F5" s="147" t="s">
        <v>335</v>
      </c>
      <c r="G5" s="147" t="s">
        <v>336</v>
      </c>
      <c r="H5" s="147" t="s">
        <v>109</v>
      </c>
      <c r="I5" s="147"/>
      <c r="J5" s="128"/>
      <c r="K5" s="149" t="s">
        <v>337</v>
      </c>
      <c r="L5" s="128"/>
      <c r="O5" s="150"/>
      <c r="P5" s="150"/>
      <c r="Q5" s="150"/>
      <c r="R5" s="150"/>
      <c r="S5" s="150"/>
      <c r="T5" s="150"/>
      <c r="U5" s="146"/>
      <c r="V5" s="146"/>
      <c r="W5" s="146"/>
      <c r="X5" s="146"/>
      <c r="Y5" s="146"/>
      <c r="Z5" s="146"/>
      <c r="AA5" s="146"/>
      <c r="AB5" s="146"/>
    </row>
    <row r="6" spans="1:28" ht="12.75" customHeight="1">
      <c r="A6" s="128"/>
      <c r="B6" s="151" t="s">
        <v>338</v>
      </c>
      <c r="C6" s="151" t="s">
        <v>339</v>
      </c>
      <c r="D6" s="151" t="s">
        <v>340</v>
      </c>
      <c r="E6" s="151" t="s">
        <v>341</v>
      </c>
      <c r="F6" s="151" t="s">
        <v>342</v>
      </c>
      <c r="G6" s="151" t="s">
        <v>343</v>
      </c>
      <c r="H6" s="151" t="s">
        <v>344</v>
      </c>
      <c r="I6" s="151" t="s">
        <v>9</v>
      </c>
      <c r="J6" s="152" t="s">
        <v>341</v>
      </c>
      <c r="K6" s="152" t="s">
        <v>345</v>
      </c>
      <c r="L6" s="147" t="s">
        <v>346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</row>
    <row r="7" spans="1:28" s="161" customFormat="1" ht="14.4">
      <c r="A7" s="128"/>
      <c r="B7" s="154">
        <f t="shared" ref="B7:B40" si="0">+B8-14</f>
        <v>37106</v>
      </c>
      <c r="C7" s="154">
        <f t="shared" ref="C7:C40" si="1">B7+6</f>
        <v>37112</v>
      </c>
      <c r="D7" s="155" t="str">
        <f t="shared" ref="D7:D70" si="2">TEXT(C7,"ddd")</f>
        <v>Thu</v>
      </c>
      <c r="E7" s="156">
        <v>1</v>
      </c>
      <c r="F7" s="157">
        <v>16</v>
      </c>
      <c r="G7" s="157">
        <v>23</v>
      </c>
      <c r="H7" s="158"/>
      <c r="I7" s="158"/>
      <c r="J7" s="159" t="str">
        <f>TEXT(C7,"mmm")</f>
        <v>Aug</v>
      </c>
      <c r="K7" s="159">
        <f>YEAR(C7)</f>
        <v>2001</v>
      </c>
      <c r="L7" s="160">
        <v>1</v>
      </c>
    </row>
    <row r="8" spans="1:28" s="161" customFormat="1" ht="14.4">
      <c r="A8" s="128"/>
      <c r="B8" s="154">
        <f t="shared" si="0"/>
        <v>37120</v>
      </c>
      <c r="C8" s="154">
        <f t="shared" si="1"/>
        <v>37126</v>
      </c>
      <c r="D8" s="155" t="str">
        <f t="shared" si="2"/>
        <v>Thu</v>
      </c>
      <c r="E8" s="162">
        <f t="shared" ref="E8:E71" si="3">IF(MONTH(C8)=MONTH(C7),E7+1,1)</f>
        <v>2</v>
      </c>
      <c r="F8" s="163">
        <v>17</v>
      </c>
      <c r="G8" s="163">
        <v>24</v>
      </c>
      <c r="H8" s="158"/>
      <c r="I8" s="158"/>
      <c r="J8" s="159" t="str">
        <f t="shared" ref="J8:J71" si="4">TEXT(C8,"mmm")</f>
        <v>Aug</v>
      </c>
      <c r="K8" s="159">
        <f t="shared" ref="K8:K71" si="5">YEAR(C8)</f>
        <v>2001</v>
      </c>
      <c r="L8" s="160">
        <v>1</v>
      </c>
    </row>
    <row r="9" spans="1:28" s="161" customFormat="1" ht="14.4">
      <c r="A9" s="128"/>
      <c r="B9" s="154">
        <f t="shared" si="0"/>
        <v>37134</v>
      </c>
      <c r="C9" s="154">
        <f t="shared" si="1"/>
        <v>37140</v>
      </c>
      <c r="D9" s="155" t="str">
        <f t="shared" si="2"/>
        <v>Thu</v>
      </c>
      <c r="E9" s="162">
        <f t="shared" si="3"/>
        <v>1</v>
      </c>
      <c r="F9" s="163">
        <v>18</v>
      </c>
      <c r="G9" s="163">
        <v>25</v>
      </c>
      <c r="H9" s="158"/>
      <c r="I9" s="158"/>
      <c r="J9" s="159" t="str">
        <f t="shared" si="4"/>
        <v>Sep</v>
      </c>
      <c r="K9" s="159">
        <f t="shared" si="5"/>
        <v>2001</v>
      </c>
      <c r="L9" s="160">
        <v>1</v>
      </c>
    </row>
    <row r="10" spans="1:28" s="161" customFormat="1" ht="14.4">
      <c r="A10" s="128"/>
      <c r="B10" s="154">
        <f t="shared" si="0"/>
        <v>37148</v>
      </c>
      <c r="C10" s="154">
        <f t="shared" si="1"/>
        <v>37154</v>
      </c>
      <c r="D10" s="155" t="str">
        <f t="shared" si="2"/>
        <v>Thu</v>
      </c>
      <c r="E10" s="162">
        <f t="shared" si="3"/>
        <v>2</v>
      </c>
      <c r="F10" s="163">
        <v>19</v>
      </c>
      <c r="G10" s="164">
        <v>26</v>
      </c>
      <c r="H10" s="158"/>
      <c r="I10" s="158"/>
      <c r="J10" s="159" t="str">
        <f t="shared" si="4"/>
        <v>Sep</v>
      </c>
      <c r="K10" s="159">
        <f t="shared" si="5"/>
        <v>2001</v>
      </c>
      <c r="L10" s="160">
        <v>1</v>
      </c>
    </row>
    <row r="11" spans="1:28" s="161" customFormat="1" ht="14.4">
      <c r="A11" s="128"/>
      <c r="B11" s="154">
        <f t="shared" si="0"/>
        <v>37162</v>
      </c>
      <c r="C11" s="154">
        <f t="shared" si="1"/>
        <v>37168</v>
      </c>
      <c r="D11" s="155" t="str">
        <f t="shared" si="2"/>
        <v>Thu</v>
      </c>
      <c r="E11" s="162">
        <f t="shared" si="3"/>
        <v>1</v>
      </c>
      <c r="F11" s="163">
        <v>20</v>
      </c>
      <c r="G11" s="162">
        <f t="shared" ref="G11:G74" si="6">IF(AND(F11&lt;26,MONTH(C11)=10),E11,(G10+1))</f>
        <v>1</v>
      </c>
      <c r="H11" s="162"/>
      <c r="I11" s="162"/>
      <c r="J11" s="159" t="str">
        <f t="shared" si="4"/>
        <v>Oct</v>
      </c>
      <c r="K11" s="159">
        <f t="shared" si="5"/>
        <v>2001</v>
      </c>
      <c r="L11" s="160">
        <v>1</v>
      </c>
    </row>
    <row r="12" spans="1:28" s="161" customFormat="1" ht="14.4">
      <c r="A12" s="128"/>
      <c r="B12" s="154">
        <f t="shared" si="0"/>
        <v>37176</v>
      </c>
      <c r="C12" s="154">
        <f t="shared" si="1"/>
        <v>37182</v>
      </c>
      <c r="D12" s="155" t="str">
        <f t="shared" si="2"/>
        <v>Thu</v>
      </c>
      <c r="E12" s="162">
        <f t="shared" si="3"/>
        <v>2</v>
      </c>
      <c r="F12" s="163">
        <v>21</v>
      </c>
      <c r="G12" s="162">
        <f t="shared" si="6"/>
        <v>2</v>
      </c>
      <c r="H12" s="162"/>
      <c r="I12" s="162"/>
      <c r="J12" s="159" t="str">
        <f t="shared" si="4"/>
        <v>Oct</v>
      </c>
      <c r="K12" s="159">
        <f t="shared" si="5"/>
        <v>2001</v>
      </c>
      <c r="L12" s="160">
        <v>1</v>
      </c>
    </row>
    <row r="13" spans="1:28" s="161" customFormat="1" ht="14.4">
      <c r="A13" s="128"/>
      <c r="B13" s="154">
        <f t="shared" si="0"/>
        <v>37190</v>
      </c>
      <c r="C13" s="154">
        <f t="shared" si="1"/>
        <v>37196</v>
      </c>
      <c r="D13" s="155" t="str">
        <f t="shared" si="2"/>
        <v>Thu</v>
      </c>
      <c r="E13" s="162">
        <f t="shared" si="3"/>
        <v>1</v>
      </c>
      <c r="F13" s="163">
        <v>22</v>
      </c>
      <c r="G13" s="162">
        <f t="shared" si="6"/>
        <v>3</v>
      </c>
      <c r="H13" s="162"/>
      <c r="I13" s="162"/>
      <c r="J13" s="159" t="str">
        <f t="shared" si="4"/>
        <v>Nov</v>
      </c>
      <c r="K13" s="159">
        <f t="shared" si="5"/>
        <v>2001</v>
      </c>
      <c r="L13" s="160">
        <v>1</v>
      </c>
    </row>
    <row r="14" spans="1:28" s="161" customFormat="1" ht="14.4">
      <c r="A14" s="128"/>
      <c r="B14" s="154">
        <f t="shared" si="0"/>
        <v>37204</v>
      </c>
      <c r="C14" s="154">
        <f t="shared" si="1"/>
        <v>37210</v>
      </c>
      <c r="D14" s="155" t="str">
        <f t="shared" si="2"/>
        <v>Thu</v>
      </c>
      <c r="E14" s="162">
        <f t="shared" si="3"/>
        <v>2</v>
      </c>
      <c r="F14" s="163">
        <v>23</v>
      </c>
      <c r="G14" s="162">
        <f t="shared" si="6"/>
        <v>4</v>
      </c>
      <c r="H14" s="162"/>
      <c r="I14" s="162"/>
      <c r="J14" s="159" t="str">
        <f t="shared" si="4"/>
        <v>Nov</v>
      </c>
      <c r="K14" s="159">
        <f t="shared" si="5"/>
        <v>2001</v>
      </c>
      <c r="L14" s="160">
        <v>1</v>
      </c>
    </row>
    <row r="15" spans="1:28" s="161" customFormat="1" ht="14.4">
      <c r="A15" s="128"/>
      <c r="B15" s="154">
        <f t="shared" si="0"/>
        <v>37218</v>
      </c>
      <c r="C15" s="154">
        <f t="shared" si="1"/>
        <v>37224</v>
      </c>
      <c r="D15" s="155" t="str">
        <f t="shared" si="2"/>
        <v>Thu</v>
      </c>
      <c r="E15" s="162">
        <f t="shared" si="3"/>
        <v>3</v>
      </c>
      <c r="F15" s="163">
        <v>24</v>
      </c>
      <c r="G15" s="162">
        <f t="shared" si="6"/>
        <v>5</v>
      </c>
      <c r="H15" s="162"/>
      <c r="I15" s="162"/>
      <c r="J15" s="159" t="str">
        <f t="shared" si="4"/>
        <v>Nov</v>
      </c>
      <c r="K15" s="159">
        <f t="shared" si="5"/>
        <v>2001</v>
      </c>
      <c r="L15" s="160">
        <v>1</v>
      </c>
      <c r="N15" s="161" t="s">
        <v>347</v>
      </c>
      <c r="O15" s="161" t="s">
        <v>348</v>
      </c>
    </row>
    <row r="16" spans="1:28" s="161" customFormat="1" ht="14.4">
      <c r="A16" s="128"/>
      <c r="B16" s="154">
        <f t="shared" si="0"/>
        <v>37232</v>
      </c>
      <c r="C16" s="154">
        <f t="shared" si="1"/>
        <v>37238</v>
      </c>
      <c r="D16" s="155" t="str">
        <f t="shared" si="2"/>
        <v>Thu</v>
      </c>
      <c r="E16" s="162">
        <f t="shared" si="3"/>
        <v>1</v>
      </c>
      <c r="F16" s="163">
        <v>25</v>
      </c>
      <c r="G16" s="162">
        <f t="shared" si="6"/>
        <v>6</v>
      </c>
      <c r="H16" s="162"/>
      <c r="I16" s="162"/>
      <c r="J16" s="159" t="str">
        <f t="shared" si="4"/>
        <v>Dec</v>
      </c>
      <c r="K16" s="159">
        <f t="shared" si="5"/>
        <v>2001</v>
      </c>
      <c r="L16" s="160">
        <v>1</v>
      </c>
    </row>
    <row r="17" spans="1:30" ht="14.4">
      <c r="A17" s="128"/>
      <c r="B17" s="154">
        <f t="shared" si="0"/>
        <v>37246</v>
      </c>
      <c r="C17" s="154">
        <f t="shared" si="1"/>
        <v>37252</v>
      </c>
      <c r="D17" s="155" t="str">
        <f t="shared" si="2"/>
        <v>Thu</v>
      </c>
      <c r="E17" s="162">
        <f t="shared" si="3"/>
        <v>2</v>
      </c>
      <c r="F17" s="164">
        <v>26</v>
      </c>
      <c r="G17" s="162">
        <f t="shared" si="6"/>
        <v>7</v>
      </c>
      <c r="H17" s="162"/>
      <c r="I17" s="162"/>
      <c r="J17" s="159" t="str">
        <f t="shared" si="4"/>
        <v>Dec</v>
      </c>
      <c r="K17" s="159">
        <f t="shared" si="5"/>
        <v>2001</v>
      </c>
      <c r="L17" s="160">
        <v>1</v>
      </c>
    </row>
    <row r="18" spans="1:30" s="161" customFormat="1" ht="14.4">
      <c r="A18" s="128"/>
      <c r="B18" s="154">
        <f t="shared" si="0"/>
        <v>37260</v>
      </c>
      <c r="C18" s="154">
        <f t="shared" si="1"/>
        <v>37266</v>
      </c>
      <c r="D18" s="155" t="str">
        <f t="shared" si="2"/>
        <v>Thu</v>
      </c>
      <c r="E18" s="162">
        <f t="shared" si="3"/>
        <v>1</v>
      </c>
      <c r="F18" s="162">
        <f t="shared" ref="F18:F81" si="7">IF(YEAR(C18)&gt;YEAR(C17),1,F17+1)</f>
        <v>1</v>
      </c>
      <c r="G18" s="162">
        <f t="shared" si="6"/>
        <v>8</v>
      </c>
      <c r="H18" s="162"/>
      <c r="I18" s="162"/>
      <c r="J18" s="159" t="str">
        <f t="shared" si="4"/>
        <v>Jan</v>
      </c>
      <c r="K18" s="159">
        <f t="shared" si="5"/>
        <v>2002</v>
      </c>
      <c r="L18" s="160">
        <v>1</v>
      </c>
    </row>
    <row r="19" spans="1:30" s="161" customFormat="1" ht="14.4">
      <c r="A19" s="128"/>
      <c r="B19" s="154">
        <f t="shared" si="0"/>
        <v>37274</v>
      </c>
      <c r="C19" s="154">
        <f t="shared" si="1"/>
        <v>37280</v>
      </c>
      <c r="D19" s="155" t="str">
        <f t="shared" si="2"/>
        <v>Thu</v>
      </c>
      <c r="E19" s="162">
        <f t="shared" si="3"/>
        <v>2</v>
      </c>
      <c r="F19" s="162">
        <f t="shared" si="7"/>
        <v>2</v>
      </c>
      <c r="G19" s="162">
        <f t="shared" si="6"/>
        <v>9</v>
      </c>
      <c r="H19" s="162"/>
      <c r="I19" s="162"/>
      <c r="J19" s="159" t="str">
        <f t="shared" si="4"/>
        <v>Jan</v>
      </c>
      <c r="K19" s="159">
        <f t="shared" si="5"/>
        <v>2002</v>
      </c>
      <c r="L19" s="160">
        <v>1</v>
      </c>
    </row>
    <row r="20" spans="1:30" s="161" customFormat="1" ht="14.4">
      <c r="A20" s="128"/>
      <c r="B20" s="154">
        <f t="shared" si="0"/>
        <v>37288</v>
      </c>
      <c r="C20" s="154">
        <f t="shared" si="1"/>
        <v>37294</v>
      </c>
      <c r="D20" s="155" t="str">
        <f t="shared" si="2"/>
        <v>Thu</v>
      </c>
      <c r="E20" s="162">
        <f t="shared" si="3"/>
        <v>1</v>
      </c>
      <c r="F20" s="162">
        <f t="shared" si="7"/>
        <v>3</v>
      </c>
      <c r="G20" s="162">
        <f t="shared" si="6"/>
        <v>10</v>
      </c>
      <c r="H20" s="162"/>
      <c r="I20" s="162"/>
      <c r="J20" s="159" t="str">
        <f t="shared" si="4"/>
        <v>Feb</v>
      </c>
      <c r="K20" s="159">
        <f t="shared" si="5"/>
        <v>2002</v>
      </c>
      <c r="L20" s="160">
        <v>1</v>
      </c>
      <c r="N20" s="165" t="s">
        <v>347</v>
      </c>
      <c r="O20" s="165" t="s">
        <v>349</v>
      </c>
      <c r="AD20" s="161" t="s">
        <v>350</v>
      </c>
    </row>
    <row r="21" spans="1:30" s="161" customFormat="1" ht="14.4">
      <c r="A21" s="128"/>
      <c r="B21" s="154">
        <f t="shared" si="0"/>
        <v>37302</v>
      </c>
      <c r="C21" s="154">
        <f t="shared" si="1"/>
        <v>37308</v>
      </c>
      <c r="D21" s="155" t="str">
        <f t="shared" si="2"/>
        <v>Thu</v>
      </c>
      <c r="E21" s="162">
        <f t="shared" si="3"/>
        <v>2</v>
      </c>
      <c r="F21" s="162">
        <f t="shared" si="7"/>
        <v>4</v>
      </c>
      <c r="G21" s="162">
        <f t="shared" si="6"/>
        <v>11</v>
      </c>
      <c r="H21" s="162"/>
      <c r="I21" s="162"/>
      <c r="J21" s="159" t="str">
        <f t="shared" si="4"/>
        <v>Feb</v>
      </c>
      <c r="K21" s="159">
        <f t="shared" si="5"/>
        <v>2002</v>
      </c>
      <c r="L21" s="160">
        <v>1</v>
      </c>
    </row>
    <row r="22" spans="1:30" s="161" customFormat="1" ht="14.4">
      <c r="A22" s="128"/>
      <c r="B22" s="154">
        <f t="shared" si="0"/>
        <v>37316</v>
      </c>
      <c r="C22" s="154">
        <f t="shared" si="1"/>
        <v>37322</v>
      </c>
      <c r="D22" s="155" t="str">
        <f t="shared" si="2"/>
        <v>Thu</v>
      </c>
      <c r="E22" s="162">
        <f t="shared" si="3"/>
        <v>1</v>
      </c>
      <c r="F22" s="162">
        <f t="shared" si="7"/>
        <v>5</v>
      </c>
      <c r="G22" s="162">
        <f t="shared" si="6"/>
        <v>12</v>
      </c>
      <c r="H22" s="162"/>
      <c r="I22" s="162"/>
      <c r="J22" s="159" t="str">
        <f t="shared" si="4"/>
        <v>Mar</v>
      </c>
      <c r="K22" s="159">
        <f t="shared" si="5"/>
        <v>2002</v>
      </c>
      <c r="L22" s="160">
        <v>1</v>
      </c>
    </row>
    <row r="23" spans="1:30" s="161" customFormat="1" ht="14.4">
      <c r="A23" s="128"/>
      <c r="B23" s="154">
        <f t="shared" si="0"/>
        <v>37330</v>
      </c>
      <c r="C23" s="154">
        <f t="shared" si="1"/>
        <v>37336</v>
      </c>
      <c r="D23" s="155" t="str">
        <f t="shared" si="2"/>
        <v>Thu</v>
      </c>
      <c r="E23" s="162">
        <f t="shared" si="3"/>
        <v>2</v>
      </c>
      <c r="F23" s="162">
        <f t="shared" si="7"/>
        <v>6</v>
      </c>
      <c r="G23" s="162">
        <f t="shared" si="6"/>
        <v>13</v>
      </c>
      <c r="H23" s="162"/>
      <c r="I23" s="162"/>
      <c r="J23" s="159" t="str">
        <f t="shared" si="4"/>
        <v>Mar</v>
      </c>
      <c r="K23" s="159">
        <f t="shared" si="5"/>
        <v>2002</v>
      </c>
      <c r="L23" s="160">
        <v>1</v>
      </c>
    </row>
    <row r="24" spans="1:30" s="161" customFormat="1" ht="14.4">
      <c r="A24" s="128"/>
      <c r="B24" s="154">
        <f t="shared" si="0"/>
        <v>37344</v>
      </c>
      <c r="C24" s="154">
        <f t="shared" si="1"/>
        <v>37350</v>
      </c>
      <c r="D24" s="155" t="str">
        <f t="shared" si="2"/>
        <v>Thu</v>
      </c>
      <c r="E24" s="162">
        <f t="shared" si="3"/>
        <v>1</v>
      </c>
      <c r="F24" s="162">
        <f t="shared" si="7"/>
        <v>7</v>
      </c>
      <c r="G24" s="162">
        <f t="shared" si="6"/>
        <v>14</v>
      </c>
      <c r="H24" s="162"/>
      <c r="I24" s="162"/>
      <c r="J24" s="159" t="str">
        <f t="shared" si="4"/>
        <v>Apr</v>
      </c>
      <c r="K24" s="159">
        <f t="shared" si="5"/>
        <v>2002</v>
      </c>
      <c r="L24" s="160">
        <v>1</v>
      </c>
    </row>
    <row r="25" spans="1:30" s="161" customFormat="1" ht="14.4">
      <c r="A25" s="128"/>
      <c r="B25" s="154">
        <f t="shared" si="0"/>
        <v>37358</v>
      </c>
      <c r="C25" s="154">
        <f t="shared" si="1"/>
        <v>37364</v>
      </c>
      <c r="D25" s="155" t="str">
        <f t="shared" si="2"/>
        <v>Thu</v>
      </c>
      <c r="E25" s="162">
        <f t="shared" si="3"/>
        <v>2</v>
      </c>
      <c r="F25" s="162">
        <f t="shared" si="7"/>
        <v>8</v>
      </c>
      <c r="G25" s="162">
        <f t="shared" si="6"/>
        <v>15</v>
      </c>
      <c r="H25" s="162"/>
      <c r="I25" s="162"/>
      <c r="J25" s="159" t="str">
        <f t="shared" si="4"/>
        <v>Apr</v>
      </c>
      <c r="K25" s="159">
        <f t="shared" si="5"/>
        <v>2002</v>
      </c>
      <c r="L25" s="160">
        <v>1</v>
      </c>
      <c r="M25" s="166"/>
      <c r="N25" s="166"/>
      <c r="O25" s="167"/>
      <c r="P25" s="167"/>
      <c r="Q25" s="167"/>
      <c r="R25" s="166"/>
      <c r="S25" s="166"/>
      <c r="T25" s="166"/>
      <c r="U25" s="166"/>
      <c r="V25" s="167"/>
      <c r="W25" s="167"/>
      <c r="X25" s="167"/>
      <c r="Y25" s="166"/>
      <c r="Z25" s="166"/>
      <c r="AA25" s="166"/>
      <c r="AB25" s="166"/>
    </row>
    <row r="26" spans="1:30" s="161" customFormat="1" ht="14.4">
      <c r="A26" s="128"/>
      <c r="B26" s="154">
        <f t="shared" si="0"/>
        <v>37372</v>
      </c>
      <c r="C26" s="154">
        <f t="shared" si="1"/>
        <v>37378</v>
      </c>
      <c r="D26" s="155" t="str">
        <f t="shared" si="2"/>
        <v>Thu</v>
      </c>
      <c r="E26" s="162">
        <f t="shared" si="3"/>
        <v>1</v>
      </c>
      <c r="F26" s="162">
        <f t="shared" si="7"/>
        <v>9</v>
      </c>
      <c r="G26" s="162">
        <f t="shared" si="6"/>
        <v>16</v>
      </c>
      <c r="H26" s="162"/>
      <c r="I26" s="162"/>
      <c r="J26" s="159" t="str">
        <f t="shared" si="4"/>
        <v>May</v>
      </c>
      <c r="K26" s="159">
        <f t="shared" si="5"/>
        <v>2002</v>
      </c>
      <c r="L26" s="160">
        <v>1</v>
      </c>
      <c r="M26" s="166"/>
      <c r="N26" s="166"/>
      <c r="O26" s="167"/>
      <c r="P26" s="167"/>
      <c r="Q26" s="167"/>
      <c r="R26" s="166"/>
      <c r="S26" s="166"/>
      <c r="T26" s="166"/>
      <c r="U26" s="166"/>
      <c r="V26" s="167"/>
      <c r="W26" s="167"/>
      <c r="X26" s="167"/>
      <c r="Y26" s="166"/>
      <c r="Z26" s="166"/>
      <c r="AA26" s="166"/>
      <c r="AB26" s="166"/>
    </row>
    <row r="27" spans="1:30" s="161" customFormat="1" ht="14.4">
      <c r="A27" s="128"/>
      <c r="B27" s="154">
        <f t="shared" si="0"/>
        <v>37386</v>
      </c>
      <c r="C27" s="154">
        <f t="shared" si="1"/>
        <v>37392</v>
      </c>
      <c r="D27" s="155" t="str">
        <f t="shared" si="2"/>
        <v>Thu</v>
      </c>
      <c r="E27" s="162">
        <f t="shared" si="3"/>
        <v>2</v>
      </c>
      <c r="F27" s="162">
        <f t="shared" si="7"/>
        <v>10</v>
      </c>
      <c r="G27" s="162">
        <f t="shared" si="6"/>
        <v>17</v>
      </c>
      <c r="H27" s="162"/>
      <c r="I27" s="162"/>
      <c r="J27" s="159" t="str">
        <f t="shared" si="4"/>
        <v>May</v>
      </c>
      <c r="K27" s="159">
        <f t="shared" si="5"/>
        <v>2002</v>
      </c>
      <c r="L27" s="160">
        <v>1</v>
      </c>
      <c r="M27" s="166"/>
      <c r="N27" s="166"/>
      <c r="O27" s="167"/>
      <c r="P27" s="167"/>
      <c r="Q27" s="167"/>
      <c r="R27" s="166"/>
      <c r="S27" s="166"/>
      <c r="T27" s="166"/>
      <c r="U27" s="166"/>
      <c r="V27" s="167"/>
      <c r="W27" s="167"/>
      <c r="X27" s="167"/>
      <c r="Y27" s="166"/>
      <c r="Z27" s="166"/>
      <c r="AA27" s="166"/>
      <c r="AB27" s="166"/>
    </row>
    <row r="28" spans="1:30" s="161" customFormat="1" ht="14.4">
      <c r="A28" s="128"/>
      <c r="B28" s="154">
        <f t="shared" si="0"/>
        <v>37400</v>
      </c>
      <c r="C28" s="154">
        <f t="shared" si="1"/>
        <v>37406</v>
      </c>
      <c r="D28" s="155" t="str">
        <f t="shared" si="2"/>
        <v>Thu</v>
      </c>
      <c r="E28" s="162">
        <f t="shared" si="3"/>
        <v>3</v>
      </c>
      <c r="F28" s="162">
        <f t="shared" si="7"/>
        <v>11</v>
      </c>
      <c r="G28" s="162">
        <f t="shared" si="6"/>
        <v>18</v>
      </c>
      <c r="H28" s="162"/>
      <c r="I28" s="162"/>
      <c r="J28" s="159" t="str">
        <f t="shared" si="4"/>
        <v>May</v>
      </c>
      <c r="K28" s="159">
        <f t="shared" si="5"/>
        <v>2002</v>
      </c>
      <c r="L28" s="160">
        <v>1</v>
      </c>
      <c r="M28" s="166"/>
      <c r="N28" s="166"/>
      <c r="O28" s="167"/>
      <c r="P28" s="167"/>
      <c r="Q28" s="167"/>
      <c r="R28" s="166"/>
      <c r="S28" s="166"/>
      <c r="T28" s="166"/>
      <c r="U28" s="166"/>
      <c r="V28" s="167"/>
      <c r="W28" s="167"/>
      <c r="X28" s="167"/>
      <c r="Y28" s="166"/>
      <c r="Z28" s="166"/>
      <c r="AA28" s="166"/>
      <c r="AB28" s="166"/>
    </row>
    <row r="29" spans="1:30" s="161" customFormat="1" ht="14.4">
      <c r="A29" s="128"/>
      <c r="B29" s="154">
        <f t="shared" si="0"/>
        <v>37414</v>
      </c>
      <c r="C29" s="154">
        <f t="shared" si="1"/>
        <v>37420</v>
      </c>
      <c r="D29" s="155" t="str">
        <f t="shared" si="2"/>
        <v>Thu</v>
      </c>
      <c r="E29" s="162">
        <f t="shared" si="3"/>
        <v>1</v>
      </c>
      <c r="F29" s="162">
        <f t="shared" si="7"/>
        <v>12</v>
      </c>
      <c r="G29" s="162">
        <f t="shared" si="6"/>
        <v>19</v>
      </c>
      <c r="H29" s="162"/>
      <c r="I29" s="162"/>
      <c r="J29" s="159" t="str">
        <f t="shared" si="4"/>
        <v>Jun</v>
      </c>
      <c r="K29" s="159">
        <f t="shared" si="5"/>
        <v>2002</v>
      </c>
      <c r="L29" s="160">
        <v>1</v>
      </c>
      <c r="M29" s="166"/>
      <c r="N29" s="166"/>
      <c r="O29" s="167"/>
      <c r="P29" s="167"/>
      <c r="Q29" s="167"/>
      <c r="R29" s="166"/>
      <c r="S29" s="166"/>
      <c r="T29" s="166"/>
      <c r="U29" s="166"/>
      <c r="V29" s="167"/>
      <c r="W29" s="167"/>
      <c r="X29" s="167"/>
      <c r="Y29" s="166"/>
      <c r="Z29" s="166"/>
      <c r="AA29" s="166"/>
      <c r="AB29" s="166"/>
    </row>
    <row r="30" spans="1:30" s="161" customFormat="1" ht="14.4">
      <c r="A30" s="128"/>
      <c r="B30" s="154">
        <f t="shared" si="0"/>
        <v>37428</v>
      </c>
      <c r="C30" s="154">
        <f t="shared" si="1"/>
        <v>37434</v>
      </c>
      <c r="D30" s="155" t="str">
        <f t="shared" si="2"/>
        <v>Thu</v>
      </c>
      <c r="E30" s="162">
        <f t="shared" si="3"/>
        <v>2</v>
      </c>
      <c r="F30" s="162">
        <f t="shared" si="7"/>
        <v>13</v>
      </c>
      <c r="G30" s="162">
        <f t="shared" si="6"/>
        <v>20</v>
      </c>
      <c r="H30" s="162"/>
      <c r="I30" s="162"/>
      <c r="J30" s="159" t="str">
        <f t="shared" si="4"/>
        <v>Jun</v>
      </c>
      <c r="K30" s="159">
        <f t="shared" si="5"/>
        <v>2002</v>
      </c>
      <c r="L30" s="160">
        <v>1</v>
      </c>
      <c r="M30" s="166"/>
      <c r="N30" s="166"/>
      <c r="O30" s="167"/>
      <c r="P30" s="167"/>
      <c r="Q30" s="167"/>
      <c r="R30" s="166"/>
      <c r="S30" s="166"/>
      <c r="T30" s="166"/>
      <c r="U30" s="166"/>
      <c r="V30" s="167"/>
      <c r="W30" s="167"/>
      <c r="X30" s="167"/>
      <c r="Y30" s="166"/>
      <c r="Z30" s="166"/>
      <c r="AA30" s="166"/>
      <c r="AB30" s="166"/>
    </row>
    <row r="31" spans="1:30" s="161" customFormat="1" ht="14.4">
      <c r="A31" s="128"/>
      <c r="B31" s="154">
        <f t="shared" si="0"/>
        <v>37442</v>
      </c>
      <c r="C31" s="154">
        <f t="shared" si="1"/>
        <v>37448</v>
      </c>
      <c r="D31" s="155" t="str">
        <f t="shared" si="2"/>
        <v>Thu</v>
      </c>
      <c r="E31" s="162">
        <f t="shared" si="3"/>
        <v>1</v>
      </c>
      <c r="F31" s="162">
        <f t="shared" si="7"/>
        <v>14</v>
      </c>
      <c r="G31" s="162">
        <f t="shared" si="6"/>
        <v>21</v>
      </c>
      <c r="H31" s="162"/>
      <c r="I31" s="162"/>
      <c r="J31" s="159" t="str">
        <f t="shared" si="4"/>
        <v>Jul</v>
      </c>
      <c r="K31" s="159">
        <f t="shared" si="5"/>
        <v>2002</v>
      </c>
      <c r="L31" s="160">
        <v>1</v>
      </c>
      <c r="M31" s="166"/>
      <c r="N31" s="166"/>
      <c r="O31" s="167"/>
      <c r="P31" s="167"/>
      <c r="Q31" s="167"/>
      <c r="R31" s="166"/>
      <c r="S31" s="166"/>
      <c r="T31" s="166"/>
      <c r="U31" s="166"/>
      <c r="V31" s="167"/>
      <c r="W31" s="167"/>
      <c r="X31" s="167"/>
      <c r="Y31" s="166"/>
      <c r="Z31" s="166"/>
      <c r="AA31" s="166"/>
      <c r="AB31" s="166"/>
    </row>
    <row r="32" spans="1:30" s="161" customFormat="1" ht="14.4">
      <c r="A32" s="128"/>
      <c r="B32" s="154">
        <f t="shared" si="0"/>
        <v>37456</v>
      </c>
      <c r="C32" s="154">
        <f t="shared" si="1"/>
        <v>37462</v>
      </c>
      <c r="D32" s="155" t="str">
        <f t="shared" si="2"/>
        <v>Thu</v>
      </c>
      <c r="E32" s="162">
        <f t="shared" si="3"/>
        <v>2</v>
      </c>
      <c r="F32" s="162">
        <f t="shared" si="7"/>
        <v>15</v>
      </c>
      <c r="G32" s="162">
        <f t="shared" si="6"/>
        <v>22</v>
      </c>
      <c r="H32" s="162"/>
      <c r="I32" s="162"/>
      <c r="J32" s="159" t="str">
        <f t="shared" si="4"/>
        <v>Jul</v>
      </c>
      <c r="K32" s="159">
        <f t="shared" si="5"/>
        <v>2002</v>
      </c>
      <c r="L32" s="160">
        <v>1</v>
      </c>
      <c r="M32" s="166"/>
      <c r="N32" s="166"/>
      <c r="O32" s="167"/>
      <c r="P32" s="167"/>
      <c r="Q32" s="167"/>
      <c r="R32" s="166"/>
      <c r="S32" s="166"/>
      <c r="T32" s="166"/>
      <c r="U32" s="166"/>
      <c r="V32" s="167"/>
      <c r="W32" s="167"/>
      <c r="X32" s="167"/>
      <c r="Y32" s="166"/>
      <c r="Z32" s="166"/>
      <c r="AA32" s="166"/>
      <c r="AB32" s="166"/>
    </row>
    <row r="33" spans="1:28" s="161" customFormat="1" ht="14.4">
      <c r="A33" s="128"/>
      <c r="B33" s="154">
        <f t="shared" si="0"/>
        <v>37470</v>
      </c>
      <c r="C33" s="154">
        <f t="shared" si="1"/>
        <v>37476</v>
      </c>
      <c r="D33" s="155" t="str">
        <f t="shared" si="2"/>
        <v>Thu</v>
      </c>
      <c r="E33" s="162">
        <f t="shared" si="3"/>
        <v>1</v>
      </c>
      <c r="F33" s="162">
        <f t="shared" si="7"/>
        <v>16</v>
      </c>
      <c r="G33" s="162">
        <f t="shared" si="6"/>
        <v>23</v>
      </c>
      <c r="H33" s="162"/>
      <c r="I33" s="162"/>
      <c r="J33" s="159" t="str">
        <f t="shared" si="4"/>
        <v>Aug</v>
      </c>
      <c r="K33" s="159">
        <f t="shared" si="5"/>
        <v>2002</v>
      </c>
      <c r="L33" s="160">
        <v>1</v>
      </c>
      <c r="M33" s="166"/>
      <c r="N33" s="166"/>
      <c r="O33" s="167"/>
      <c r="P33" s="167"/>
      <c r="Q33" s="167"/>
      <c r="R33" s="166"/>
      <c r="S33" s="166"/>
      <c r="T33" s="166"/>
      <c r="U33" s="166"/>
      <c r="V33" s="167"/>
      <c r="W33" s="167"/>
      <c r="X33" s="167"/>
      <c r="Y33" s="166"/>
      <c r="Z33" s="166"/>
      <c r="AA33" s="166"/>
      <c r="AB33" s="166"/>
    </row>
    <row r="34" spans="1:28" s="161" customFormat="1" ht="14.4">
      <c r="A34" s="128"/>
      <c r="B34" s="154">
        <f t="shared" si="0"/>
        <v>37484</v>
      </c>
      <c r="C34" s="154">
        <f t="shared" si="1"/>
        <v>37490</v>
      </c>
      <c r="D34" s="155" t="str">
        <f t="shared" si="2"/>
        <v>Thu</v>
      </c>
      <c r="E34" s="162">
        <f t="shared" si="3"/>
        <v>2</v>
      </c>
      <c r="F34" s="162">
        <f t="shared" si="7"/>
        <v>17</v>
      </c>
      <c r="G34" s="162">
        <f t="shared" si="6"/>
        <v>24</v>
      </c>
      <c r="H34" s="162"/>
      <c r="I34" s="162"/>
      <c r="J34" s="159" t="str">
        <f t="shared" si="4"/>
        <v>Aug</v>
      </c>
      <c r="K34" s="159">
        <f t="shared" si="5"/>
        <v>2002</v>
      </c>
      <c r="L34" s="160">
        <v>1</v>
      </c>
      <c r="M34" s="166"/>
      <c r="N34" s="166"/>
      <c r="O34" s="167"/>
      <c r="P34" s="167"/>
      <c r="Q34" s="167"/>
      <c r="R34" s="166"/>
      <c r="S34" s="166"/>
      <c r="T34" s="166"/>
      <c r="U34" s="166"/>
      <c r="V34" s="167"/>
      <c r="W34" s="167"/>
      <c r="X34" s="167"/>
      <c r="Y34" s="166"/>
      <c r="Z34" s="166"/>
      <c r="AA34" s="166"/>
      <c r="AB34" s="166"/>
    </row>
    <row r="35" spans="1:28" s="161" customFormat="1" ht="14.4">
      <c r="A35" s="128"/>
      <c r="B35" s="154">
        <f t="shared" si="0"/>
        <v>37498</v>
      </c>
      <c r="C35" s="154">
        <f t="shared" si="1"/>
        <v>37504</v>
      </c>
      <c r="D35" s="155" t="str">
        <f t="shared" si="2"/>
        <v>Thu</v>
      </c>
      <c r="E35" s="162">
        <f t="shared" si="3"/>
        <v>1</v>
      </c>
      <c r="F35" s="162">
        <f t="shared" si="7"/>
        <v>18</v>
      </c>
      <c r="G35" s="162">
        <f t="shared" si="6"/>
        <v>25</v>
      </c>
      <c r="H35" s="162"/>
      <c r="I35" s="162"/>
      <c r="J35" s="159" t="str">
        <f t="shared" si="4"/>
        <v>Sep</v>
      </c>
      <c r="K35" s="159">
        <f t="shared" si="5"/>
        <v>2002</v>
      </c>
      <c r="L35" s="160">
        <v>1</v>
      </c>
      <c r="M35" s="166"/>
      <c r="N35" s="166"/>
      <c r="O35" s="167"/>
      <c r="P35" s="167"/>
      <c r="Q35" s="167"/>
      <c r="R35" s="166"/>
      <c r="S35" s="166"/>
      <c r="T35" s="166"/>
      <c r="U35" s="166"/>
      <c r="V35" s="167"/>
      <c r="W35" s="167"/>
      <c r="X35" s="167"/>
      <c r="Y35" s="166"/>
      <c r="Z35" s="166"/>
      <c r="AA35" s="166"/>
      <c r="AB35" s="166"/>
    </row>
    <row r="36" spans="1:28" s="161" customFormat="1" ht="14.4">
      <c r="A36" s="128"/>
      <c r="B36" s="154">
        <f t="shared" si="0"/>
        <v>37512</v>
      </c>
      <c r="C36" s="154">
        <f t="shared" si="1"/>
        <v>37518</v>
      </c>
      <c r="D36" s="155" t="str">
        <f t="shared" si="2"/>
        <v>Thu</v>
      </c>
      <c r="E36" s="162">
        <f t="shared" si="3"/>
        <v>2</v>
      </c>
      <c r="F36" s="162">
        <f t="shared" si="7"/>
        <v>19</v>
      </c>
      <c r="G36" s="162">
        <f t="shared" si="6"/>
        <v>26</v>
      </c>
      <c r="H36" s="162"/>
      <c r="I36" s="162"/>
      <c r="J36" s="159" t="str">
        <f t="shared" si="4"/>
        <v>Sep</v>
      </c>
      <c r="K36" s="159">
        <f t="shared" si="5"/>
        <v>2002</v>
      </c>
      <c r="L36" s="160">
        <v>1</v>
      </c>
      <c r="M36" s="166"/>
      <c r="N36" s="166"/>
      <c r="O36" s="167"/>
      <c r="P36" s="167"/>
      <c r="Q36" s="167"/>
      <c r="R36" s="166"/>
      <c r="S36" s="166"/>
      <c r="T36" s="166"/>
      <c r="U36" s="166"/>
      <c r="V36" s="167"/>
      <c r="W36" s="167"/>
      <c r="X36" s="167"/>
      <c r="Y36" s="166"/>
      <c r="Z36" s="166"/>
      <c r="AA36" s="166"/>
      <c r="AB36" s="166"/>
    </row>
    <row r="37" spans="1:28" s="161" customFormat="1" ht="14.4">
      <c r="A37" s="128"/>
      <c r="B37" s="154">
        <f t="shared" si="0"/>
        <v>37526</v>
      </c>
      <c r="C37" s="154">
        <f t="shared" si="1"/>
        <v>37532</v>
      </c>
      <c r="D37" s="155" t="str">
        <f t="shared" si="2"/>
        <v>Thu</v>
      </c>
      <c r="E37" s="162">
        <f t="shared" si="3"/>
        <v>1</v>
      </c>
      <c r="F37" s="162">
        <f t="shared" si="7"/>
        <v>20</v>
      </c>
      <c r="G37" s="162">
        <f t="shared" si="6"/>
        <v>1</v>
      </c>
      <c r="H37" s="162"/>
      <c r="I37" s="162"/>
      <c r="J37" s="159" t="str">
        <f t="shared" si="4"/>
        <v>Oct</v>
      </c>
      <c r="K37" s="159">
        <f t="shared" si="5"/>
        <v>2002</v>
      </c>
      <c r="L37" s="160">
        <v>1</v>
      </c>
      <c r="M37" s="166"/>
      <c r="N37" s="166"/>
      <c r="O37" s="167"/>
      <c r="P37" s="167"/>
      <c r="Q37" s="167"/>
      <c r="R37" s="166"/>
      <c r="S37" s="166"/>
      <c r="T37" s="166"/>
      <c r="U37" s="166"/>
      <c r="V37" s="167"/>
      <c r="W37" s="167"/>
      <c r="X37" s="167"/>
      <c r="Y37" s="166"/>
      <c r="Z37" s="166"/>
      <c r="AA37" s="166"/>
      <c r="AB37" s="166"/>
    </row>
    <row r="38" spans="1:28" s="161" customFormat="1" ht="14.4">
      <c r="A38" s="128"/>
      <c r="B38" s="154">
        <f t="shared" si="0"/>
        <v>37540</v>
      </c>
      <c r="C38" s="154">
        <f t="shared" si="1"/>
        <v>37546</v>
      </c>
      <c r="D38" s="155" t="str">
        <f t="shared" si="2"/>
        <v>Thu</v>
      </c>
      <c r="E38" s="162">
        <f t="shared" si="3"/>
        <v>2</v>
      </c>
      <c r="F38" s="162">
        <f t="shared" si="7"/>
        <v>21</v>
      </c>
      <c r="G38" s="162">
        <f t="shared" si="6"/>
        <v>2</v>
      </c>
      <c r="H38" s="162"/>
      <c r="I38" s="162"/>
      <c r="J38" s="159" t="str">
        <f t="shared" si="4"/>
        <v>Oct</v>
      </c>
      <c r="K38" s="159">
        <f t="shared" si="5"/>
        <v>2002</v>
      </c>
      <c r="L38" s="160">
        <v>1</v>
      </c>
      <c r="M38" s="166"/>
      <c r="N38" s="166"/>
      <c r="O38" s="167"/>
      <c r="P38" s="167"/>
      <c r="Q38" s="167"/>
      <c r="R38" s="166"/>
      <c r="S38" s="166"/>
      <c r="T38" s="166"/>
      <c r="U38" s="166"/>
      <c r="V38" s="167"/>
      <c r="W38" s="167"/>
      <c r="X38" s="167"/>
      <c r="Y38" s="166"/>
      <c r="Z38" s="166"/>
      <c r="AA38" s="166"/>
      <c r="AB38" s="166"/>
    </row>
    <row r="39" spans="1:28" s="161" customFormat="1" ht="14.4">
      <c r="A39" s="128"/>
      <c r="B39" s="154">
        <f t="shared" si="0"/>
        <v>37554</v>
      </c>
      <c r="C39" s="154">
        <f t="shared" si="1"/>
        <v>37560</v>
      </c>
      <c r="D39" s="155" t="str">
        <f t="shared" si="2"/>
        <v>Thu</v>
      </c>
      <c r="E39" s="162">
        <f t="shared" si="3"/>
        <v>3</v>
      </c>
      <c r="F39" s="162">
        <f t="shared" si="7"/>
        <v>22</v>
      </c>
      <c r="G39" s="162">
        <f t="shared" si="6"/>
        <v>3</v>
      </c>
      <c r="H39" s="162"/>
      <c r="I39" s="162"/>
      <c r="J39" s="159" t="str">
        <f t="shared" si="4"/>
        <v>Oct</v>
      </c>
      <c r="K39" s="159">
        <f t="shared" si="5"/>
        <v>2002</v>
      </c>
      <c r="L39" s="160">
        <v>1</v>
      </c>
      <c r="M39" s="166"/>
      <c r="N39" s="166"/>
      <c r="O39" s="167"/>
      <c r="P39" s="167"/>
      <c r="Q39" s="167"/>
      <c r="R39" s="166"/>
      <c r="S39" s="166"/>
      <c r="T39" s="166"/>
      <c r="U39" s="166"/>
      <c r="V39" s="167"/>
      <c r="W39" s="167"/>
      <c r="X39" s="167"/>
      <c r="Y39" s="166"/>
      <c r="Z39" s="166"/>
      <c r="AA39" s="166"/>
      <c r="AB39" s="166"/>
    </row>
    <row r="40" spans="1:28" s="161" customFormat="1" ht="14.4">
      <c r="A40" s="128"/>
      <c r="B40" s="154">
        <f t="shared" si="0"/>
        <v>37568</v>
      </c>
      <c r="C40" s="154">
        <f t="shared" si="1"/>
        <v>37574</v>
      </c>
      <c r="D40" s="155" t="str">
        <f t="shared" si="2"/>
        <v>Thu</v>
      </c>
      <c r="E40" s="162">
        <f t="shared" si="3"/>
        <v>1</v>
      </c>
      <c r="F40" s="162">
        <f t="shared" si="7"/>
        <v>23</v>
      </c>
      <c r="G40" s="162">
        <f t="shared" si="6"/>
        <v>4</v>
      </c>
      <c r="H40" s="162"/>
      <c r="I40" s="162"/>
      <c r="J40" s="159" t="str">
        <f t="shared" si="4"/>
        <v>Nov</v>
      </c>
      <c r="K40" s="159">
        <f t="shared" si="5"/>
        <v>2002</v>
      </c>
      <c r="L40" s="160">
        <v>1</v>
      </c>
      <c r="M40" s="166"/>
      <c r="N40" s="166"/>
      <c r="O40" s="167"/>
      <c r="P40" s="167"/>
      <c r="Q40" s="167"/>
      <c r="R40" s="166"/>
      <c r="S40" s="166"/>
      <c r="T40" s="166"/>
      <c r="U40" s="166"/>
      <c r="V40" s="167"/>
      <c r="W40" s="167"/>
      <c r="X40" s="167"/>
      <c r="Y40" s="166"/>
      <c r="Z40" s="166"/>
      <c r="AA40" s="166"/>
      <c r="AB40" s="166"/>
    </row>
    <row r="41" spans="1:28" s="161" customFormat="1" ht="14.4">
      <c r="A41" s="128"/>
      <c r="B41" s="154">
        <f>+B42-14</f>
        <v>37582</v>
      </c>
      <c r="C41" s="154">
        <f>B41+6</f>
        <v>37588</v>
      </c>
      <c r="D41" s="155" t="str">
        <f t="shared" si="2"/>
        <v>Thu</v>
      </c>
      <c r="E41" s="162">
        <f t="shared" si="3"/>
        <v>2</v>
      </c>
      <c r="F41" s="162">
        <f t="shared" si="7"/>
        <v>24</v>
      </c>
      <c r="G41" s="162">
        <f t="shared" si="6"/>
        <v>5</v>
      </c>
      <c r="H41" s="162"/>
      <c r="I41" s="162"/>
      <c r="J41" s="159" t="str">
        <f t="shared" si="4"/>
        <v>Nov</v>
      </c>
      <c r="K41" s="159">
        <f t="shared" si="5"/>
        <v>2002</v>
      </c>
      <c r="L41" s="160">
        <v>1</v>
      </c>
      <c r="M41" s="166"/>
      <c r="N41" s="166"/>
      <c r="O41" s="167"/>
      <c r="P41" s="167"/>
      <c r="Q41" s="167"/>
      <c r="R41" s="166"/>
      <c r="S41" s="166"/>
      <c r="T41" s="166"/>
      <c r="U41" s="166"/>
      <c r="V41" s="167"/>
      <c r="W41" s="167"/>
      <c r="X41" s="167"/>
      <c r="Y41" s="166"/>
      <c r="Z41" s="166"/>
      <c r="AA41" s="166"/>
      <c r="AB41" s="166"/>
    </row>
    <row r="42" spans="1:28" s="161" customFormat="1" ht="14.4">
      <c r="A42" s="128"/>
      <c r="B42" s="168">
        <v>37596</v>
      </c>
      <c r="C42" s="154">
        <f>B42+6</f>
        <v>37602</v>
      </c>
      <c r="D42" s="155" t="str">
        <f t="shared" si="2"/>
        <v>Thu</v>
      </c>
      <c r="E42" s="162">
        <f t="shared" si="3"/>
        <v>1</v>
      </c>
      <c r="F42" s="162">
        <f t="shared" si="7"/>
        <v>25</v>
      </c>
      <c r="G42" s="162">
        <f t="shared" si="6"/>
        <v>6</v>
      </c>
      <c r="H42" s="162"/>
      <c r="I42" s="162"/>
      <c r="J42" s="159" t="str">
        <f t="shared" si="4"/>
        <v>Dec</v>
      </c>
      <c r="K42" s="159">
        <f t="shared" si="5"/>
        <v>2002</v>
      </c>
      <c r="L42" s="160">
        <v>1</v>
      </c>
      <c r="M42" s="166"/>
      <c r="N42" s="166"/>
      <c r="O42" s="167"/>
      <c r="P42" s="167"/>
      <c r="Q42" s="167"/>
      <c r="R42" s="166"/>
      <c r="S42" s="166"/>
      <c r="T42" s="166"/>
      <c r="U42" s="166"/>
      <c r="V42" s="167"/>
      <c r="W42" s="167"/>
      <c r="X42" s="167"/>
      <c r="Y42" s="166"/>
      <c r="Z42" s="166"/>
      <c r="AA42" s="166"/>
      <c r="AB42" s="166"/>
    </row>
    <row r="43" spans="1:28" s="161" customFormat="1" ht="14.4">
      <c r="A43" s="128"/>
      <c r="B43" s="154">
        <f>B42+14</f>
        <v>37610</v>
      </c>
      <c r="C43" s="154">
        <f>B43+6</f>
        <v>37616</v>
      </c>
      <c r="D43" s="155" t="str">
        <f t="shared" si="2"/>
        <v>Thu</v>
      </c>
      <c r="E43" s="162">
        <f t="shared" si="3"/>
        <v>2</v>
      </c>
      <c r="F43" s="162">
        <f t="shared" si="7"/>
        <v>26</v>
      </c>
      <c r="G43" s="162">
        <f t="shared" si="6"/>
        <v>7</v>
      </c>
      <c r="H43" s="162"/>
      <c r="I43" s="162"/>
      <c r="J43" s="159" t="str">
        <f t="shared" si="4"/>
        <v>Dec</v>
      </c>
      <c r="K43" s="159">
        <f t="shared" si="5"/>
        <v>2002</v>
      </c>
      <c r="L43" s="160">
        <v>1</v>
      </c>
      <c r="M43" s="166"/>
      <c r="N43" s="166"/>
      <c r="O43" s="167"/>
      <c r="P43" s="167"/>
      <c r="Q43" s="167"/>
      <c r="R43" s="166"/>
      <c r="S43" s="166"/>
      <c r="T43" s="166"/>
      <c r="U43" s="166"/>
      <c r="V43" s="167"/>
      <c r="W43" s="167"/>
      <c r="X43" s="167"/>
      <c r="Y43" s="166"/>
      <c r="Z43" s="166"/>
      <c r="AA43" s="166"/>
      <c r="AB43" s="166"/>
    </row>
    <row r="44" spans="1:28" s="161" customFormat="1" ht="14.4">
      <c r="A44" s="128"/>
      <c r="B44" s="154">
        <f t="shared" ref="B44:B107" si="8">B43+14</f>
        <v>37624</v>
      </c>
      <c r="C44" s="154">
        <f t="shared" ref="C44:C107" si="9">B44+6</f>
        <v>37630</v>
      </c>
      <c r="D44" s="155" t="str">
        <f t="shared" si="2"/>
        <v>Thu</v>
      </c>
      <c r="E44" s="162">
        <f t="shared" si="3"/>
        <v>1</v>
      </c>
      <c r="F44" s="162">
        <f t="shared" si="7"/>
        <v>1</v>
      </c>
      <c r="G44" s="162">
        <f t="shared" si="6"/>
        <v>8</v>
      </c>
      <c r="H44" s="162"/>
      <c r="I44" s="162"/>
      <c r="J44" s="159" t="str">
        <f t="shared" si="4"/>
        <v>Jan</v>
      </c>
      <c r="K44" s="159">
        <f t="shared" si="5"/>
        <v>2003</v>
      </c>
      <c r="L44" s="160">
        <v>1</v>
      </c>
      <c r="M44" s="166"/>
      <c r="N44" s="166"/>
      <c r="O44" s="167"/>
      <c r="P44" s="167"/>
      <c r="Q44" s="167"/>
      <c r="R44" s="166"/>
      <c r="S44" s="166"/>
      <c r="T44" s="166"/>
      <c r="U44" s="166"/>
      <c r="V44" s="167"/>
      <c r="W44" s="167"/>
      <c r="X44" s="167"/>
      <c r="Y44" s="166"/>
      <c r="Z44" s="166"/>
      <c r="AA44" s="166"/>
      <c r="AB44" s="166"/>
    </row>
    <row r="45" spans="1:28" s="161" customFormat="1" ht="14.4">
      <c r="A45" s="128"/>
      <c r="B45" s="154">
        <f t="shared" si="8"/>
        <v>37638</v>
      </c>
      <c r="C45" s="154">
        <f t="shared" si="9"/>
        <v>37644</v>
      </c>
      <c r="D45" s="155" t="str">
        <f t="shared" si="2"/>
        <v>Thu</v>
      </c>
      <c r="E45" s="162">
        <f t="shared" si="3"/>
        <v>2</v>
      </c>
      <c r="F45" s="162">
        <f t="shared" si="7"/>
        <v>2</v>
      </c>
      <c r="G45" s="162">
        <f t="shared" si="6"/>
        <v>9</v>
      </c>
      <c r="H45" s="162"/>
      <c r="I45" s="162"/>
      <c r="J45" s="159" t="str">
        <f t="shared" si="4"/>
        <v>Jan</v>
      </c>
      <c r="K45" s="159">
        <f t="shared" si="5"/>
        <v>2003</v>
      </c>
      <c r="L45" s="160">
        <v>1</v>
      </c>
      <c r="M45" s="166"/>
      <c r="N45" s="166"/>
      <c r="O45" s="167"/>
      <c r="P45" s="167"/>
      <c r="Q45" s="167"/>
      <c r="R45" s="166"/>
      <c r="S45" s="166"/>
      <c r="T45" s="166"/>
      <c r="U45" s="166"/>
      <c r="V45" s="167"/>
      <c r="W45" s="167"/>
      <c r="X45" s="167"/>
      <c r="Y45" s="166"/>
      <c r="Z45" s="166"/>
      <c r="AA45" s="166"/>
      <c r="AB45" s="166"/>
    </row>
    <row r="46" spans="1:28" s="161" customFormat="1" ht="14.4">
      <c r="A46" s="128"/>
      <c r="B46" s="154">
        <f t="shared" si="8"/>
        <v>37652</v>
      </c>
      <c r="C46" s="154">
        <f t="shared" si="9"/>
        <v>37658</v>
      </c>
      <c r="D46" s="155" t="str">
        <f t="shared" si="2"/>
        <v>Thu</v>
      </c>
      <c r="E46" s="162">
        <f t="shared" si="3"/>
        <v>1</v>
      </c>
      <c r="F46" s="162">
        <f t="shared" si="7"/>
        <v>3</v>
      </c>
      <c r="G46" s="162">
        <f t="shared" si="6"/>
        <v>10</v>
      </c>
      <c r="H46" s="162"/>
      <c r="I46" s="162"/>
      <c r="J46" s="159" t="str">
        <f t="shared" si="4"/>
        <v>Feb</v>
      </c>
      <c r="K46" s="159">
        <f t="shared" si="5"/>
        <v>2003</v>
      </c>
      <c r="L46" s="160">
        <v>1</v>
      </c>
      <c r="M46" s="166"/>
      <c r="N46" s="166"/>
      <c r="O46" s="167"/>
      <c r="P46" s="167"/>
      <c r="Q46" s="167"/>
      <c r="R46" s="166"/>
      <c r="S46" s="166"/>
      <c r="T46" s="166"/>
      <c r="U46" s="166"/>
      <c r="V46" s="167"/>
      <c r="W46" s="167"/>
      <c r="X46" s="167"/>
      <c r="Y46" s="166"/>
      <c r="Z46" s="166"/>
      <c r="AA46" s="166"/>
      <c r="AB46" s="166"/>
    </row>
    <row r="47" spans="1:28" s="161" customFormat="1" ht="14.4">
      <c r="A47" s="128"/>
      <c r="B47" s="154">
        <f t="shared" si="8"/>
        <v>37666</v>
      </c>
      <c r="C47" s="154">
        <f t="shared" si="9"/>
        <v>37672</v>
      </c>
      <c r="D47" s="155" t="str">
        <f t="shared" si="2"/>
        <v>Thu</v>
      </c>
      <c r="E47" s="162">
        <f t="shared" si="3"/>
        <v>2</v>
      </c>
      <c r="F47" s="162">
        <f t="shared" si="7"/>
        <v>4</v>
      </c>
      <c r="G47" s="162">
        <f t="shared" si="6"/>
        <v>11</v>
      </c>
      <c r="H47" s="162"/>
      <c r="I47" s="162"/>
      <c r="J47" s="159" t="str">
        <f t="shared" si="4"/>
        <v>Feb</v>
      </c>
      <c r="K47" s="159">
        <f t="shared" si="5"/>
        <v>2003</v>
      </c>
      <c r="L47" s="160">
        <v>1</v>
      </c>
      <c r="M47" s="166"/>
      <c r="N47" s="166"/>
      <c r="O47" s="167"/>
      <c r="P47" s="167"/>
      <c r="Q47" s="167"/>
      <c r="R47" s="166"/>
      <c r="S47" s="166"/>
      <c r="T47" s="166"/>
      <c r="U47" s="166"/>
      <c r="V47" s="167"/>
      <c r="W47" s="167"/>
      <c r="X47" s="167"/>
      <c r="Y47" s="166"/>
      <c r="Z47" s="166"/>
      <c r="AA47" s="166"/>
      <c r="AB47" s="166"/>
    </row>
    <row r="48" spans="1:28" s="161" customFormat="1" ht="14.4">
      <c r="A48" s="128"/>
      <c r="B48" s="154">
        <f t="shared" si="8"/>
        <v>37680</v>
      </c>
      <c r="C48" s="154">
        <f t="shared" si="9"/>
        <v>37686</v>
      </c>
      <c r="D48" s="155" t="str">
        <f t="shared" si="2"/>
        <v>Thu</v>
      </c>
      <c r="E48" s="162">
        <f t="shared" si="3"/>
        <v>1</v>
      </c>
      <c r="F48" s="162">
        <f t="shared" si="7"/>
        <v>5</v>
      </c>
      <c r="G48" s="162">
        <f t="shared" si="6"/>
        <v>12</v>
      </c>
      <c r="H48" s="162"/>
      <c r="I48" s="162"/>
      <c r="J48" s="159" t="str">
        <f t="shared" si="4"/>
        <v>Mar</v>
      </c>
      <c r="K48" s="159">
        <f t="shared" si="5"/>
        <v>2003</v>
      </c>
      <c r="L48" s="160">
        <v>1</v>
      </c>
      <c r="M48" s="166"/>
      <c r="N48" s="166"/>
      <c r="O48" s="167"/>
      <c r="P48" s="167"/>
      <c r="Q48" s="167"/>
      <c r="R48" s="166"/>
      <c r="S48" s="166"/>
      <c r="T48" s="166"/>
      <c r="U48" s="166"/>
      <c r="V48" s="167"/>
      <c r="W48" s="167"/>
      <c r="X48" s="167"/>
      <c r="Y48" s="166"/>
      <c r="Z48" s="166"/>
      <c r="AA48" s="166"/>
      <c r="AB48" s="166"/>
    </row>
    <row r="49" spans="1:28" s="161" customFormat="1" ht="14.4">
      <c r="A49" s="128"/>
      <c r="B49" s="154">
        <f t="shared" si="8"/>
        <v>37694</v>
      </c>
      <c r="C49" s="154">
        <f t="shared" si="9"/>
        <v>37700</v>
      </c>
      <c r="D49" s="155" t="str">
        <f t="shared" si="2"/>
        <v>Thu</v>
      </c>
      <c r="E49" s="162">
        <f t="shared" si="3"/>
        <v>2</v>
      </c>
      <c r="F49" s="162">
        <f t="shared" si="7"/>
        <v>6</v>
      </c>
      <c r="G49" s="162">
        <f t="shared" si="6"/>
        <v>13</v>
      </c>
      <c r="H49" s="162"/>
      <c r="I49" s="162"/>
      <c r="J49" s="159" t="str">
        <f t="shared" si="4"/>
        <v>Mar</v>
      </c>
      <c r="K49" s="159">
        <f t="shared" si="5"/>
        <v>2003</v>
      </c>
      <c r="L49" s="160">
        <v>1</v>
      </c>
      <c r="M49" s="166"/>
      <c r="N49" s="166"/>
      <c r="O49" s="167"/>
      <c r="P49" s="167"/>
      <c r="Q49" s="167"/>
      <c r="R49" s="166"/>
      <c r="S49" s="166"/>
      <c r="T49" s="166"/>
      <c r="U49" s="166"/>
      <c r="V49" s="167"/>
      <c r="W49" s="167"/>
      <c r="X49" s="167"/>
      <c r="Y49" s="166"/>
      <c r="Z49" s="166"/>
      <c r="AA49" s="166"/>
      <c r="AB49" s="166"/>
    </row>
    <row r="50" spans="1:28" s="161" customFormat="1" ht="14.4">
      <c r="A50" s="128"/>
      <c r="B50" s="154">
        <f t="shared" si="8"/>
        <v>37708</v>
      </c>
      <c r="C50" s="154">
        <f t="shared" si="9"/>
        <v>37714</v>
      </c>
      <c r="D50" s="155" t="str">
        <f t="shared" si="2"/>
        <v>Thu</v>
      </c>
      <c r="E50" s="162">
        <f t="shared" si="3"/>
        <v>1</v>
      </c>
      <c r="F50" s="162">
        <f t="shared" si="7"/>
        <v>7</v>
      </c>
      <c r="G50" s="162">
        <f t="shared" si="6"/>
        <v>14</v>
      </c>
      <c r="H50" s="162"/>
      <c r="I50" s="162"/>
      <c r="J50" s="159" t="str">
        <f t="shared" si="4"/>
        <v>Apr</v>
      </c>
      <c r="K50" s="159">
        <f t="shared" si="5"/>
        <v>2003</v>
      </c>
      <c r="L50" s="160">
        <v>1</v>
      </c>
      <c r="M50" s="166"/>
      <c r="N50" s="166"/>
      <c r="O50" s="167"/>
      <c r="P50" s="167"/>
      <c r="Q50" s="167"/>
      <c r="R50" s="166"/>
      <c r="S50" s="166"/>
      <c r="T50" s="166"/>
      <c r="U50" s="166"/>
      <c r="V50" s="167"/>
      <c r="W50" s="167"/>
      <c r="X50" s="167"/>
      <c r="Y50" s="166"/>
      <c r="Z50" s="166"/>
      <c r="AA50" s="166"/>
      <c r="AB50" s="166"/>
    </row>
    <row r="51" spans="1:28" s="161" customFormat="1" ht="14.4">
      <c r="A51" s="128"/>
      <c r="B51" s="154">
        <f t="shared" si="8"/>
        <v>37722</v>
      </c>
      <c r="C51" s="154">
        <f t="shared" si="9"/>
        <v>37728</v>
      </c>
      <c r="D51" s="155" t="str">
        <f t="shared" si="2"/>
        <v>Thu</v>
      </c>
      <c r="E51" s="162">
        <f t="shared" si="3"/>
        <v>2</v>
      </c>
      <c r="F51" s="162">
        <f t="shared" si="7"/>
        <v>8</v>
      </c>
      <c r="G51" s="162">
        <f t="shared" si="6"/>
        <v>15</v>
      </c>
      <c r="H51" s="162"/>
      <c r="I51" s="162"/>
      <c r="J51" s="159" t="str">
        <f t="shared" si="4"/>
        <v>Apr</v>
      </c>
      <c r="K51" s="159">
        <f t="shared" si="5"/>
        <v>2003</v>
      </c>
      <c r="L51" s="160">
        <v>1</v>
      </c>
      <c r="M51" s="166"/>
      <c r="N51" s="166"/>
      <c r="O51" s="167"/>
      <c r="P51" s="167"/>
      <c r="Q51" s="167"/>
      <c r="R51" s="166"/>
      <c r="S51" s="166"/>
      <c r="T51" s="166"/>
      <c r="U51" s="166"/>
      <c r="V51" s="167"/>
      <c r="W51" s="167"/>
      <c r="X51" s="167"/>
      <c r="Y51" s="166"/>
      <c r="Z51" s="166"/>
      <c r="AA51" s="166"/>
      <c r="AB51" s="166"/>
    </row>
    <row r="52" spans="1:28" s="161" customFormat="1" ht="14.4">
      <c r="A52" s="128"/>
      <c r="B52" s="154">
        <f t="shared" si="8"/>
        <v>37736</v>
      </c>
      <c r="C52" s="154">
        <f t="shared" si="9"/>
        <v>37742</v>
      </c>
      <c r="D52" s="155" t="str">
        <f t="shared" si="2"/>
        <v>Thu</v>
      </c>
      <c r="E52" s="162">
        <f t="shared" si="3"/>
        <v>1</v>
      </c>
      <c r="F52" s="162">
        <f t="shared" si="7"/>
        <v>9</v>
      </c>
      <c r="G52" s="162">
        <f t="shared" si="6"/>
        <v>16</v>
      </c>
      <c r="H52" s="162"/>
      <c r="I52" s="162"/>
      <c r="J52" s="159" t="str">
        <f t="shared" si="4"/>
        <v>May</v>
      </c>
      <c r="K52" s="159">
        <f t="shared" si="5"/>
        <v>2003</v>
      </c>
      <c r="L52" s="160">
        <v>1</v>
      </c>
      <c r="M52" s="166"/>
      <c r="N52" s="166"/>
      <c r="O52" s="167"/>
      <c r="P52" s="167"/>
      <c r="Q52" s="167"/>
      <c r="R52" s="166"/>
      <c r="S52" s="166"/>
      <c r="T52" s="166"/>
      <c r="U52" s="166"/>
      <c r="V52" s="167"/>
      <c r="W52" s="167"/>
      <c r="X52" s="167"/>
      <c r="Y52" s="166"/>
      <c r="Z52" s="166"/>
      <c r="AA52" s="166"/>
      <c r="AB52" s="166"/>
    </row>
    <row r="53" spans="1:28" s="161" customFormat="1" ht="14.4">
      <c r="A53" s="128"/>
      <c r="B53" s="154">
        <f t="shared" si="8"/>
        <v>37750</v>
      </c>
      <c r="C53" s="154">
        <f t="shared" si="9"/>
        <v>37756</v>
      </c>
      <c r="D53" s="155" t="str">
        <f t="shared" si="2"/>
        <v>Thu</v>
      </c>
      <c r="E53" s="162">
        <f t="shared" si="3"/>
        <v>2</v>
      </c>
      <c r="F53" s="162">
        <f t="shared" si="7"/>
        <v>10</v>
      </c>
      <c r="G53" s="162">
        <f t="shared" si="6"/>
        <v>17</v>
      </c>
      <c r="H53" s="162"/>
      <c r="I53" s="162"/>
      <c r="J53" s="159" t="str">
        <f t="shared" si="4"/>
        <v>May</v>
      </c>
      <c r="K53" s="159">
        <f t="shared" si="5"/>
        <v>2003</v>
      </c>
      <c r="L53" s="160">
        <v>1</v>
      </c>
      <c r="M53" s="166"/>
      <c r="N53" s="166"/>
      <c r="O53" s="167"/>
      <c r="P53" s="167"/>
      <c r="Q53" s="167"/>
      <c r="R53" s="166"/>
      <c r="S53" s="166"/>
      <c r="T53" s="166"/>
      <c r="U53" s="166"/>
      <c r="V53" s="167"/>
      <c r="W53" s="167"/>
      <c r="X53" s="167"/>
      <c r="Y53" s="166"/>
      <c r="Z53" s="166"/>
      <c r="AA53" s="166"/>
      <c r="AB53" s="166"/>
    </row>
    <row r="54" spans="1:28" s="161" customFormat="1" ht="14.4">
      <c r="A54" s="128"/>
      <c r="B54" s="154">
        <f t="shared" si="8"/>
        <v>37764</v>
      </c>
      <c r="C54" s="154">
        <f t="shared" si="9"/>
        <v>37770</v>
      </c>
      <c r="D54" s="155" t="str">
        <f t="shared" si="2"/>
        <v>Thu</v>
      </c>
      <c r="E54" s="162">
        <f t="shared" si="3"/>
        <v>3</v>
      </c>
      <c r="F54" s="162">
        <f t="shared" si="7"/>
        <v>11</v>
      </c>
      <c r="G54" s="162">
        <f t="shared" si="6"/>
        <v>18</v>
      </c>
      <c r="H54" s="162"/>
      <c r="I54" s="162"/>
      <c r="J54" s="159" t="str">
        <f t="shared" si="4"/>
        <v>May</v>
      </c>
      <c r="K54" s="159">
        <f t="shared" si="5"/>
        <v>2003</v>
      </c>
      <c r="L54" s="160">
        <v>1</v>
      </c>
      <c r="M54" s="166"/>
      <c r="N54" s="166"/>
      <c r="O54" s="167"/>
      <c r="P54" s="167"/>
      <c r="Q54" s="167"/>
      <c r="R54" s="166"/>
      <c r="S54" s="166"/>
      <c r="T54" s="166"/>
      <c r="U54" s="166"/>
      <c r="V54" s="167"/>
      <c r="W54" s="167"/>
      <c r="X54" s="167"/>
      <c r="Y54" s="166"/>
      <c r="Z54" s="166"/>
      <c r="AA54" s="166"/>
      <c r="AB54" s="166"/>
    </row>
    <row r="55" spans="1:28" s="161" customFormat="1" ht="14.4">
      <c r="A55" s="128"/>
      <c r="B55" s="154">
        <f t="shared" si="8"/>
        <v>37778</v>
      </c>
      <c r="C55" s="154">
        <f t="shared" si="9"/>
        <v>37784</v>
      </c>
      <c r="D55" s="155" t="str">
        <f t="shared" si="2"/>
        <v>Thu</v>
      </c>
      <c r="E55" s="162">
        <f t="shared" si="3"/>
        <v>1</v>
      </c>
      <c r="F55" s="162">
        <f t="shared" si="7"/>
        <v>12</v>
      </c>
      <c r="G55" s="162">
        <f t="shared" si="6"/>
        <v>19</v>
      </c>
      <c r="H55" s="162"/>
      <c r="I55" s="162"/>
      <c r="J55" s="159" t="str">
        <f t="shared" si="4"/>
        <v>Jun</v>
      </c>
      <c r="K55" s="159">
        <f t="shared" si="5"/>
        <v>2003</v>
      </c>
      <c r="L55" s="160">
        <v>1</v>
      </c>
      <c r="M55" s="166"/>
      <c r="N55" s="166"/>
      <c r="O55" s="167"/>
      <c r="P55" s="167"/>
      <c r="Q55" s="167"/>
      <c r="R55" s="166"/>
      <c r="S55" s="166"/>
      <c r="T55" s="166"/>
      <c r="U55" s="166"/>
      <c r="V55" s="167"/>
      <c r="W55" s="167"/>
      <c r="X55" s="167"/>
      <c r="Y55" s="166"/>
      <c r="Z55" s="166"/>
      <c r="AA55" s="166"/>
      <c r="AB55" s="166"/>
    </row>
    <row r="56" spans="1:28" s="161" customFormat="1" ht="14.4">
      <c r="A56" s="128"/>
      <c r="B56" s="154">
        <f t="shared" si="8"/>
        <v>37792</v>
      </c>
      <c r="C56" s="154">
        <f t="shared" si="9"/>
        <v>37798</v>
      </c>
      <c r="D56" s="155" t="str">
        <f t="shared" si="2"/>
        <v>Thu</v>
      </c>
      <c r="E56" s="162">
        <f t="shared" si="3"/>
        <v>2</v>
      </c>
      <c r="F56" s="162">
        <f t="shared" si="7"/>
        <v>13</v>
      </c>
      <c r="G56" s="162">
        <f t="shared" si="6"/>
        <v>20</v>
      </c>
      <c r="H56" s="162"/>
      <c r="I56" s="162"/>
      <c r="J56" s="159" t="str">
        <f t="shared" si="4"/>
        <v>Jun</v>
      </c>
      <c r="K56" s="159">
        <f t="shared" si="5"/>
        <v>2003</v>
      </c>
      <c r="L56" s="160">
        <v>1</v>
      </c>
      <c r="M56" s="166"/>
      <c r="N56" s="166"/>
      <c r="O56" s="167"/>
      <c r="P56" s="167"/>
      <c r="Q56" s="167"/>
      <c r="R56" s="166"/>
      <c r="S56" s="166"/>
      <c r="T56" s="166"/>
      <c r="U56" s="166"/>
      <c r="V56" s="167"/>
      <c r="W56" s="167"/>
      <c r="X56" s="167"/>
      <c r="Y56" s="166"/>
      <c r="Z56" s="166"/>
      <c r="AA56" s="166"/>
      <c r="AB56" s="166"/>
    </row>
    <row r="57" spans="1:28" s="161" customFormat="1" ht="14.4">
      <c r="A57" s="128"/>
      <c r="B57" s="154">
        <f t="shared" si="8"/>
        <v>37806</v>
      </c>
      <c r="C57" s="154">
        <f t="shared" si="9"/>
        <v>37812</v>
      </c>
      <c r="D57" s="155" t="str">
        <f t="shared" si="2"/>
        <v>Thu</v>
      </c>
      <c r="E57" s="162">
        <f t="shared" si="3"/>
        <v>1</v>
      </c>
      <c r="F57" s="162">
        <f t="shared" si="7"/>
        <v>14</v>
      </c>
      <c r="G57" s="162">
        <f t="shared" si="6"/>
        <v>21</v>
      </c>
      <c r="H57" s="162"/>
      <c r="I57" s="162"/>
      <c r="J57" s="159" t="str">
        <f t="shared" si="4"/>
        <v>Jul</v>
      </c>
      <c r="K57" s="159">
        <f t="shared" si="5"/>
        <v>2003</v>
      </c>
      <c r="L57" s="160">
        <v>1</v>
      </c>
      <c r="M57" s="166"/>
      <c r="N57" s="166"/>
      <c r="O57" s="167"/>
      <c r="P57" s="167"/>
      <c r="Q57" s="167"/>
      <c r="R57" s="166"/>
      <c r="S57" s="166"/>
      <c r="T57" s="166"/>
      <c r="U57" s="166"/>
      <c r="V57" s="167"/>
      <c r="W57" s="167"/>
      <c r="X57" s="167"/>
      <c r="Y57" s="166"/>
      <c r="Z57" s="166"/>
      <c r="AA57" s="166"/>
      <c r="AB57" s="166"/>
    </row>
    <row r="58" spans="1:28" s="161" customFormat="1" ht="14.4">
      <c r="A58" s="128"/>
      <c r="B58" s="154">
        <f t="shared" si="8"/>
        <v>37820</v>
      </c>
      <c r="C58" s="154">
        <f t="shared" si="9"/>
        <v>37826</v>
      </c>
      <c r="D58" s="155" t="str">
        <f t="shared" si="2"/>
        <v>Thu</v>
      </c>
      <c r="E58" s="162">
        <f t="shared" si="3"/>
        <v>2</v>
      </c>
      <c r="F58" s="162">
        <f t="shared" si="7"/>
        <v>15</v>
      </c>
      <c r="G58" s="162">
        <f t="shared" si="6"/>
        <v>22</v>
      </c>
      <c r="H58" s="162"/>
      <c r="I58" s="162"/>
      <c r="J58" s="159" t="str">
        <f t="shared" si="4"/>
        <v>Jul</v>
      </c>
      <c r="K58" s="159">
        <f t="shared" si="5"/>
        <v>2003</v>
      </c>
      <c r="L58" s="160">
        <v>1</v>
      </c>
      <c r="M58" s="166"/>
      <c r="N58" s="166"/>
      <c r="O58" s="167"/>
      <c r="P58" s="167"/>
      <c r="Q58" s="167"/>
      <c r="R58" s="166"/>
      <c r="S58" s="166"/>
      <c r="T58" s="166"/>
      <c r="U58" s="166"/>
      <c r="V58" s="167"/>
      <c r="W58" s="167"/>
      <c r="X58" s="167"/>
      <c r="Y58" s="166"/>
      <c r="Z58" s="166"/>
      <c r="AA58" s="166"/>
      <c r="AB58" s="166"/>
    </row>
    <row r="59" spans="1:28" s="161" customFormat="1" ht="14.4">
      <c r="A59" s="128"/>
      <c r="B59" s="154">
        <f t="shared" si="8"/>
        <v>37834</v>
      </c>
      <c r="C59" s="154">
        <f t="shared" si="9"/>
        <v>37840</v>
      </c>
      <c r="D59" s="155" t="str">
        <f t="shared" si="2"/>
        <v>Thu</v>
      </c>
      <c r="E59" s="162">
        <f t="shared" si="3"/>
        <v>1</v>
      </c>
      <c r="F59" s="162">
        <f t="shared" si="7"/>
        <v>16</v>
      </c>
      <c r="G59" s="162">
        <f t="shared" si="6"/>
        <v>23</v>
      </c>
      <c r="H59" s="162"/>
      <c r="I59" s="162"/>
      <c r="J59" s="159" t="str">
        <f t="shared" si="4"/>
        <v>Aug</v>
      </c>
      <c r="K59" s="159">
        <f t="shared" si="5"/>
        <v>2003</v>
      </c>
      <c r="L59" s="160">
        <v>1</v>
      </c>
      <c r="M59" s="166"/>
      <c r="N59" s="166"/>
      <c r="O59" s="167"/>
      <c r="P59" s="167"/>
      <c r="Q59" s="167"/>
      <c r="R59" s="166"/>
      <c r="S59" s="166"/>
      <c r="T59" s="166"/>
      <c r="U59" s="166"/>
      <c r="V59" s="167"/>
      <c r="W59" s="167"/>
      <c r="X59" s="167"/>
      <c r="Y59" s="166"/>
      <c r="Z59" s="166"/>
      <c r="AA59" s="166"/>
      <c r="AB59" s="166"/>
    </row>
    <row r="60" spans="1:28" s="161" customFormat="1" ht="14.4">
      <c r="A60" s="128"/>
      <c r="B60" s="154">
        <f t="shared" si="8"/>
        <v>37848</v>
      </c>
      <c r="C60" s="154">
        <f t="shared" si="9"/>
        <v>37854</v>
      </c>
      <c r="D60" s="155" t="str">
        <f t="shared" si="2"/>
        <v>Thu</v>
      </c>
      <c r="E60" s="162">
        <f t="shared" si="3"/>
        <v>2</v>
      </c>
      <c r="F60" s="162">
        <f t="shared" si="7"/>
        <v>17</v>
      </c>
      <c r="G60" s="162">
        <f t="shared" si="6"/>
        <v>24</v>
      </c>
      <c r="H60" s="162"/>
      <c r="I60" s="162"/>
      <c r="J60" s="159" t="str">
        <f t="shared" si="4"/>
        <v>Aug</v>
      </c>
      <c r="K60" s="159">
        <f t="shared" si="5"/>
        <v>2003</v>
      </c>
      <c r="L60" s="160">
        <v>1</v>
      </c>
      <c r="M60" s="166"/>
      <c r="N60" s="166"/>
      <c r="O60" s="167"/>
      <c r="P60" s="167"/>
      <c r="Q60" s="167"/>
      <c r="R60" s="166"/>
      <c r="S60" s="166"/>
      <c r="T60" s="166"/>
      <c r="U60" s="166"/>
      <c r="V60" s="167"/>
      <c r="W60" s="167"/>
      <c r="X60" s="167"/>
      <c r="Y60" s="166"/>
      <c r="Z60" s="166"/>
      <c r="AA60" s="166"/>
      <c r="AB60" s="166"/>
    </row>
    <row r="61" spans="1:28" s="161" customFormat="1" ht="14.4">
      <c r="A61" s="128"/>
      <c r="B61" s="154">
        <f t="shared" si="8"/>
        <v>37862</v>
      </c>
      <c r="C61" s="154">
        <f t="shared" si="9"/>
        <v>37868</v>
      </c>
      <c r="D61" s="155" t="str">
        <f t="shared" si="2"/>
        <v>Thu</v>
      </c>
      <c r="E61" s="162">
        <f t="shared" si="3"/>
        <v>1</v>
      </c>
      <c r="F61" s="162">
        <f t="shared" si="7"/>
        <v>18</v>
      </c>
      <c r="G61" s="162">
        <f t="shared" si="6"/>
        <v>25</v>
      </c>
      <c r="H61" s="162"/>
      <c r="I61" s="162"/>
      <c r="J61" s="159" t="str">
        <f t="shared" si="4"/>
        <v>Sep</v>
      </c>
      <c r="K61" s="159">
        <f t="shared" si="5"/>
        <v>2003</v>
      </c>
      <c r="L61" s="160">
        <v>1</v>
      </c>
      <c r="M61" s="166"/>
      <c r="N61" s="166"/>
      <c r="O61" s="167"/>
      <c r="P61" s="167"/>
      <c r="Q61" s="167"/>
      <c r="R61" s="166"/>
      <c r="S61" s="166"/>
      <c r="T61" s="166"/>
      <c r="U61" s="166"/>
      <c r="V61" s="167"/>
      <c r="W61" s="167"/>
      <c r="X61" s="167"/>
      <c r="Y61" s="166"/>
      <c r="Z61" s="166"/>
      <c r="AA61" s="166"/>
      <c r="AB61" s="166"/>
    </row>
    <row r="62" spans="1:28" s="161" customFormat="1" ht="14.4">
      <c r="A62" s="128"/>
      <c r="B62" s="154">
        <f t="shared" si="8"/>
        <v>37876</v>
      </c>
      <c r="C62" s="154">
        <f t="shared" si="9"/>
        <v>37882</v>
      </c>
      <c r="D62" s="155" t="str">
        <f t="shared" si="2"/>
        <v>Thu</v>
      </c>
      <c r="E62" s="162">
        <f t="shared" si="3"/>
        <v>2</v>
      </c>
      <c r="F62" s="162">
        <f t="shared" si="7"/>
        <v>19</v>
      </c>
      <c r="G62" s="162">
        <f t="shared" si="6"/>
        <v>26</v>
      </c>
      <c r="H62" s="162"/>
      <c r="I62" s="162"/>
      <c r="J62" s="159" t="str">
        <f t="shared" si="4"/>
        <v>Sep</v>
      </c>
      <c r="K62" s="159">
        <f t="shared" si="5"/>
        <v>2003</v>
      </c>
      <c r="L62" s="160">
        <v>1</v>
      </c>
      <c r="M62" s="166"/>
      <c r="N62" s="166"/>
      <c r="O62" s="167"/>
      <c r="P62" s="167"/>
      <c r="Q62" s="167"/>
      <c r="R62" s="166"/>
      <c r="S62" s="166"/>
      <c r="T62" s="166"/>
      <c r="U62" s="166"/>
      <c r="V62" s="167"/>
      <c r="W62" s="167"/>
      <c r="X62" s="167"/>
      <c r="Y62" s="166"/>
      <c r="Z62" s="166"/>
      <c r="AA62" s="166"/>
      <c r="AB62" s="166"/>
    </row>
    <row r="63" spans="1:28" s="161" customFormat="1" ht="14.4">
      <c r="A63" s="128"/>
      <c r="B63" s="154">
        <f t="shared" si="8"/>
        <v>37890</v>
      </c>
      <c r="C63" s="154">
        <f t="shared" si="9"/>
        <v>37896</v>
      </c>
      <c r="D63" s="155" t="str">
        <f t="shared" si="2"/>
        <v>Thu</v>
      </c>
      <c r="E63" s="162">
        <f t="shared" si="3"/>
        <v>1</v>
      </c>
      <c r="F63" s="162">
        <f t="shared" si="7"/>
        <v>20</v>
      </c>
      <c r="G63" s="162">
        <f t="shared" si="6"/>
        <v>1</v>
      </c>
      <c r="H63" s="162"/>
      <c r="I63" s="162"/>
      <c r="J63" s="159" t="str">
        <f t="shared" si="4"/>
        <v>Oct</v>
      </c>
      <c r="K63" s="159">
        <f t="shared" si="5"/>
        <v>2003</v>
      </c>
      <c r="L63" s="160">
        <v>1</v>
      </c>
      <c r="M63" s="166"/>
      <c r="N63" s="166"/>
      <c r="O63" s="167"/>
      <c r="P63" s="167"/>
      <c r="Q63" s="167"/>
      <c r="R63" s="166"/>
      <c r="S63" s="166"/>
      <c r="T63" s="166"/>
      <c r="U63" s="166"/>
      <c r="V63" s="167"/>
      <c r="W63" s="167"/>
      <c r="X63" s="167"/>
      <c r="Y63" s="166"/>
      <c r="Z63" s="166"/>
      <c r="AA63" s="166"/>
      <c r="AB63" s="166"/>
    </row>
    <row r="64" spans="1:28" s="161" customFormat="1" ht="14.4">
      <c r="A64" s="128"/>
      <c r="B64" s="154">
        <f t="shared" si="8"/>
        <v>37904</v>
      </c>
      <c r="C64" s="154">
        <f t="shared" si="9"/>
        <v>37910</v>
      </c>
      <c r="D64" s="155" t="str">
        <f t="shared" si="2"/>
        <v>Thu</v>
      </c>
      <c r="E64" s="162">
        <f t="shared" si="3"/>
        <v>2</v>
      </c>
      <c r="F64" s="162">
        <f t="shared" si="7"/>
        <v>21</v>
      </c>
      <c r="G64" s="162">
        <f t="shared" si="6"/>
        <v>2</v>
      </c>
      <c r="H64" s="162"/>
      <c r="I64" s="162"/>
      <c r="J64" s="159" t="str">
        <f t="shared" si="4"/>
        <v>Oct</v>
      </c>
      <c r="K64" s="159">
        <f t="shared" si="5"/>
        <v>2003</v>
      </c>
      <c r="L64" s="160">
        <v>1</v>
      </c>
      <c r="M64" s="166"/>
      <c r="N64" s="166"/>
      <c r="O64" s="167"/>
      <c r="P64" s="167"/>
      <c r="Q64" s="167"/>
      <c r="R64" s="166"/>
      <c r="S64" s="166"/>
      <c r="T64" s="166"/>
      <c r="U64" s="166"/>
      <c r="V64" s="167"/>
      <c r="W64" s="167"/>
      <c r="X64" s="167"/>
      <c r="Y64" s="166"/>
      <c r="Z64" s="166"/>
      <c r="AA64" s="166"/>
      <c r="AB64" s="166"/>
    </row>
    <row r="65" spans="1:28" s="161" customFormat="1" ht="14.4">
      <c r="A65" s="128"/>
      <c r="B65" s="154">
        <f t="shared" si="8"/>
        <v>37918</v>
      </c>
      <c r="C65" s="154">
        <f t="shared" si="9"/>
        <v>37924</v>
      </c>
      <c r="D65" s="155" t="str">
        <f t="shared" si="2"/>
        <v>Thu</v>
      </c>
      <c r="E65" s="162">
        <f t="shared" si="3"/>
        <v>3</v>
      </c>
      <c r="F65" s="162">
        <f t="shared" si="7"/>
        <v>22</v>
      </c>
      <c r="G65" s="162">
        <f t="shared" si="6"/>
        <v>3</v>
      </c>
      <c r="H65" s="162"/>
      <c r="I65" s="162"/>
      <c r="J65" s="159" t="str">
        <f t="shared" si="4"/>
        <v>Oct</v>
      </c>
      <c r="K65" s="159">
        <f t="shared" si="5"/>
        <v>2003</v>
      </c>
      <c r="L65" s="160">
        <v>1</v>
      </c>
      <c r="M65" s="166"/>
      <c r="N65" s="166"/>
      <c r="O65" s="167"/>
      <c r="P65" s="167"/>
      <c r="Q65" s="167"/>
      <c r="R65" s="166"/>
      <c r="S65" s="166"/>
      <c r="T65" s="166"/>
      <c r="U65" s="166"/>
      <c r="V65" s="167"/>
      <c r="W65" s="167"/>
      <c r="X65" s="167"/>
      <c r="Y65" s="166"/>
      <c r="Z65" s="166"/>
      <c r="AA65" s="166"/>
      <c r="AB65" s="166"/>
    </row>
    <row r="66" spans="1:28" s="161" customFormat="1" ht="14.4">
      <c r="A66" s="128"/>
      <c r="B66" s="154">
        <f t="shared" si="8"/>
        <v>37932</v>
      </c>
      <c r="C66" s="154">
        <f t="shared" si="9"/>
        <v>37938</v>
      </c>
      <c r="D66" s="155" t="str">
        <f t="shared" si="2"/>
        <v>Thu</v>
      </c>
      <c r="E66" s="162">
        <f t="shared" si="3"/>
        <v>1</v>
      </c>
      <c r="F66" s="162">
        <f t="shared" si="7"/>
        <v>23</v>
      </c>
      <c r="G66" s="162">
        <f t="shared" si="6"/>
        <v>4</v>
      </c>
      <c r="H66" s="162"/>
      <c r="I66" s="162"/>
      <c r="J66" s="159" t="str">
        <f t="shared" si="4"/>
        <v>Nov</v>
      </c>
      <c r="K66" s="159">
        <f t="shared" si="5"/>
        <v>2003</v>
      </c>
      <c r="L66" s="160">
        <v>1</v>
      </c>
      <c r="M66" s="166"/>
      <c r="N66" s="166"/>
      <c r="O66" s="167"/>
      <c r="P66" s="167"/>
      <c r="Q66" s="167"/>
      <c r="R66" s="166"/>
      <c r="S66" s="166"/>
      <c r="T66" s="166"/>
      <c r="U66" s="166"/>
      <c r="V66" s="167"/>
      <c r="W66" s="167"/>
      <c r="X66" s="167"/>
      <c r="Y66" s="166"/>
      <c r="Z66" s="166"/>
      <c r="AA66" s="166"/>
      <c r="AB66" s="166"/>
    </row>
    <row r="67" spans="1:28" s="161" customFormat="1" ht="14.4">
      <c r="A67" s="128"/>
      <c r="B67" s="154">
        <f t="shared" si="8"/>
        <v>37946</v>
      </c>
      <c r="C67" s="154">
        <f t="shared" si="9"/>
        <v>37952</v>
      </c>
      <c r="D67" s="155" t="str">
        <f t="shared" si="2"/>
        <v>Thu</v>
      </c>
      <c r="E67" s="162">
        <f t="shared" si="3"/>
        <v>2</v>
      </c>
      <c r="F67" s="162">
        <f t="shared" si="7"/>
        <v>24</v>
      </c>
      <c r="G67" s="162">
        <f t="shared" si="6"/>
        <v>5</v>
      </c>
      <c r="H67" s="162"/>
      <c r="I67" s="162"/>
      <c r="J67" s="159" t="str">
        <f t="shared" si="4"/>
        <v>Nov</v>
      </c>
      <c r="K67" s="159">
        <f t="shared" si="5"/>
        <v>2003</v>
      </c>
      <c r="L67" s="160">
        <v>1</v>
      </c>
      <c r="M67" s="166"/>
      <c r="N67" s="166"/>
      <c r="O67" s="167"/>
      <c r="P67" s="167"/>
      <c r="Q67" s="167"/>
      <c r="R67" s="166"/>
      <c r="S67" s="166"/>
      <c r="T67" s="166"/>
      <c r="U67" s="166"/>
      <c r="V67" s="167"/>
      <c r="W67" s="167"/>
      <c r="X67" s="167"/>
      <c r="Y67" s="166"/>
      <c r="Z67" s="166"/>
      <c r="AA67" s="166"/>
      <c r="AB67" s="166"/>
    </row>
    <row r="68" spans="1:28" s="161" customFormat="1" ht="14.4">
      <c r="A68" s="128"/>
      <c r="B68" s="154">
        <f t="shared" si="8"/>
        <v>37960</v>
      </c>
      <c r="C68" s="154">
        <f t="shared" si="9"/>
        <v>37966</v>
      </c>
      <c r="D68" s="155" t="str">
        <f t="shared" si="2"/>
        <v>Thu</v>
      </c>
      <c r="E68" s="162">
        <f t="shared" si="3"/>
        <v>1</v>
      </c>
      <c r="F68" s="162">
        <f t="shared" si="7"/>
        <v>25</v>
      </c>
      <c r="G68" s="162">
        <f t="shared" si="6"/>
        <v>6</v>
      </c>
      <c r="H68" s="162"/>
      <c r="I68" s="162"/>
      <c r="J68" s="159" t="str">
        <f t="shared" si="4"/>
        <v>Dec</v>
      </c>
      <c r="K68" s="159">
        <f t="shared" si="5"/>
        <v>2003</v>
      </c>
      <c r="L68" s="160">
        <v>1</v>
      </c>
      <c r="M68" s="166"/>
      <c r="N68" s="166"/>
      <c r="O68" s="167"/>
      <c r="P68" s="167"/>
      <c r="Q68" s="167"/>
      <c r="R68" s="166"/>
      <c r="S68" s="166"/>
      <c r="T68" s="166"/>
      <c r="U68" s="166"/>
      <c r="V68" s="167"/>
      <c r="W68" s="167"/>
      <c r="X68" s="167"/>
      <c r="Y68" s="166"/>
      <c r="Z68" s="166"/>
      <c r="AA68" s="166"/>
      <c r="AB68" s="166"/>
    </row>
    <row r="69" spans="1:28" s="161" customFormat="1" ht="14.4">
      <c r="A69" s="128"/>
      <c r="B69" s="154">
        <f t="shared" si="8"/>
        <v>37974</v>
      </c>
      <c r="C69" s="154">
        <f t="shared" si="9"/>
        <v>37980</v>
      </c>
      <c r="D69" s="155" t="str">
        <f t="shared" si="2"/>
        <v>Thu</v>
      </c>
      <c r="E69" s="162">
        <f t="shared" si="3"/>
        <v>2</v>
      </c>
      <c r="F69" s="162">
        <f t="shared" si="7"/>
        <v>26</v>
      </c>
      <c r="G69" s="162">
        <f t="shared" si="6"/>
        <v>7</v>
      </c>
      <c r="H69" s="162"/>
      <c r="I69" s="162"/>
      <c r="J69" s="159" t="str">
        <f t="shared" si="4"/>
        <v>Dec</v>
      </c>
      <c r="K69" s="159">
        <f t="shared" si="5"/>
        <v>2003</v>
      </c>
      <c r="L69" s="160">
        <v>1</v>
      </c>
      <c r="M69" s="166"/>
      <c r="N69" s="166"/>
      <c r="O69" s="167"/>
      <c r="P69" s="167"/>
      <c r="Q69" s="167"/>
      <c r="R69" s="166"/>
      <c r="S69" s="166"/>
      <c r="T69" s="166"/>
      <c r="U69" s="166"/>
      <c r="V69" s="167"/>
      <c r="W69" s="167"/>
      <c r="X69" s="167"/>
      <c r="Y69" s="166"/>
      <c r="Z69" s="166"/>
      <c r="AA69" s="166"/>
      <c r="AB69" s="166"/>
    </row>
    <row r="70" spans="1:28" s="161" customFormat="1" ht="14.4">
      <c r="A70" s="128"/>
      <c r="B70" s="154">
        <f t="shared" si="8"/>
        <v>37988</v>
      </c>
      <c r="C70" s="154">
        <f t="shared" si="9"/>
        <v>37994</v>
      </c>
      <c r="D70" s="155" t="str">
        <f t="shared" si="2"/>
        <v>Thu</v>
      </c>
      <c r="E70" s="162">
        <f t="shared" si="3"/>
        <v>1</v>
      </c>
      <c r="F70" s="162">
        <f t="shared" si="7"/>
        <v>1</v>
      </c>
      <c r="G70" s="162">
        <f t="shared" si="6"/>
        <v>8</v>
      </c>
      <c r="H70" s="162"/>
      <c r="I70" s="162"/>
      <c r="J70" s="159" t="str">
        <f t="shared" si="4"/>
        <v>Jan</v>
      </c>
      <c r="K70" s="159">
        <f t="shared" si="5"/>
        <v>2004</v>
      </c>
      <c r="L70" s="160">
        <v>1</v>
      </c>
      <c r="M70" s="166"/>
      <c r="N70" s="166"/>
      <c r="O70" s="167"/>
      <c r="P70" s="167"/>
      <c r="Q70" s="167"/>
      <c r="R70" s="166"/>
      <c r="S70" s="166"/>
      <c r="T70" s="166"/>
      <c r="U70" s="166"/>
      <c r="V70" s="167"/>
      <c r="W70" s="167"/>
      <c r="X70" s="167"/>
      <c r="Y70" s="166"/>
      <c r="Z70" s="166"/>
      <c r="AA70" s="166"/>
      <c r="AB70" s="166"/>
    </row>
    <row r="71" spans="1:28" s="161" customFormat="1" ht="14.4">
      <c r="A71" s="128"/>
      <c r="B71" s="154">
        <f t="shared" si="8"/>
        <v>38002</v>
      </c>
      <c r="C71" s="154">
        <f t="shared" si="9"/>
        <v>38008</v>
      </c>
      <c r="D71" s="155" t="str">
        <f t="shared" ref="D71:D134" si="10">TEXT(C71,"ddd")</f>
        <v>Thu</v>
      </c>
      <c r="E71" s="162">
        <f t="shared" si="3"/>
        <v>2</v>
      </c>
      <c r="F71" s="162">
        <f t="shared" si="7"/>
        <v>2</v>
      </c>
      <c r="G71" s="162">
        <f t="shared" si="6"/>
        <v>9</v>
      </c>
      <c r="H71" s="162"/>
      <c r="I71" s="162"/>
      <c r="J71" s="159" t="str">
        <f t="shared" si="4"/>
        <v>Jan</v>
      </c>
      <c r="K71" s="159">
        <f t="shared" si="5"/>
        <v>2004</v>
      </c>
      <c r="L71" s="160">
        <v>1</v>
      </c>
      <c r="M71" s="166"/>
      <c r="N71" s="166"/>
      <c r="O71" s="167"/>
      <c r="P71" s="167"/>
      <c r="Q71" s="167"/>
      <c r="R71" s="166"/>
      <c r="S71" s="166"/>
      <c r="T71" s="166"/>
      <c r="U71" s="166"/>
      <c r="V71" s="167"/>
      <c r="W71" s="167"/>
      <c r="X71" s="167"/>
      <c r="Y71" s="166"/>
      <c r="Z71" s="166"/>
      <c r="AA71" s="166"/>
      <c r="AB71" s="166"/>
    </row>
    <row r="72" spans="1:28" s="161" customFormat="1" ht="14.4">
      <c r="A72" s="128"/>
      <c r="B72" s="154">
        <f t="shared" si="8"/>
        <v>38016</v>
      </c>
      <c r="C72" s="154">
        <f t="shared" si="9"/>
        <v>38022</v>
      </c>
      <c r="D72" s="155" t="str">
        <f t="shared" si="10"/>
        <v>Thu</v>
      </c>
      <c r="E72" s="162">
        <f t="shared" ref="E72:E135" si="11">IF(MONTH(C72)=MONTH(C71),E71+1,1)</f>
        <v>1</v>
      </c>
      <c r="F72" s="162">
        <f t="shared" si="7"/>
        <v>3</v>
      </c>
      <c r="G72" s="162">
        <f t="shared" si="6"/>
        <v>10</v>
      </c>
      <c r="H72" s="162"/>
      <c r="I72" s="162"/>
      <c r="J72" s="159" t="str">
        <f t="shared" ref="J72:J135" si="12">TEXT(C72,"mmm")</f>
        <v>Feb</v>
      </c>
      <c r="K72" s="159">
        <f t="shared" ref="K72:K135" si="13">YEAR(C72)</f>
        <v>2004</v>
      </c>
      <c r="L72" s="160">
        <v>1</v>
      </c>
      <c r="M72" s="166"/>
      <c r="N72" s="166"/>
      <c r="O72" s="167"/>
      <c r="P72" s="167"/>
      <c r="Q72" s="167"/>
      <c r="R72" s="166"/>
      <c r="S72" s="166"/>
      <c r="T72" s="166"/>
      <c r="U72" s="166"/>
      <c r="V72" s="167"/>
      <c r="W72" s="167"/>
      <c r="X72" s="167"/>
      <c r="Y72" s="166"/>
      <c r="Z72" s="166"/>
      <c r="AA72" s="166"/>
      <c r="AB72" s="166"/>
    </row>
    <row r="73" spans="1:28" s="161" customFormat="1" ht="14.4">
      <c r="A73" s="128"/>
      <c r="B73" s="154">
        <f t="shared" si="8"/>
        <v>38030</v>
      </c>
      <c r="C73" s="154">
        <f t="shared" si="9"/>
        <v>38036</v>
      </c>
      <c r="D73" s="155" t="str">
        <f t="shared" si="10"/>
        <v>Thu</v>
      </c>
      <c r="E73" s="162">
        <f t="shared" si="11"/>
        <v>2</v>
      </c>
      <c r="F73" s="162">
        <f t="shared" si="7"/>
        <v>4</v>
      </c>
      <c r="G73" s="162">
        <f t="shared" si="6"/>
        <v>11</v>
      </c>
      <c r="H73" s="162"/>
      <c r="I73" s="162"/>
      <c r="J73" s="159" t="str">
        <f t="shared" si="12"/>
        <v>Feb</v>
      </c>
      <c r="K73" s="159">
        <f t="shared" si="13"/>
        <v>2004</v>
      </c>
      <c r="L73" s="160">
        <v>1</v>
      </c>
      <c r="M73" s="166"/>
      <c r="N73" s="166"/>
      <c r="O73" s="167"/>
      <c r="P73" s="167"/>
      <c r="Q73" s="167"/>
      <c r="R73" s="166"/>
      <c r="S73" s="166"/>
      <c r="T73" s="166"/>
      <c r="U73" s="166"/>
      <c r="V73" s="167"/>
      <c r="W73" s="167"/>
      <c r="X73" s="167"/>
      <c r="Y73" s="166"/>
      <c r="Z73" s="166"/>
      <c r="AA73" s="166"/>
      <c r="AB73" s="166"/>
    </row>
    <row r="74" spans="1:28" s="161" customFormat="1" ht="14.4">
      <c r="A74" s="128"/>
      <c r="B74" s="154">
        <f t="shared" si="8"/>
        <v>38044</v>
      </c>
      <c r="C74" s="154">
        <f t="shared" si="9"/>
        <v>38050</v>
      </c>
      <c r="D74" s="155" t="str">
        <f t="shared" si="10"/>
        <v>Thu</v>
      </c>
      <c r="E74" s="162">
        <f t="shared" si="11"/>
        <v>1</v>
      </c>
      <c r="F74" s="162">
        <f t="shared" si="7"/>
        <v>5</v>
      </c>
      <c r="G74" s="162">
        <f t="shared" si="6"/>
        <v>12</v>
      </c>
      <c r="H74" s="162"/>
      <c r="I74" s="162"/>
      <c r="J74" s="159" t="str">
        <f t="shared" si="12"/>
        <v>Mar</v>
      </c>
      <c r="K74" s="159">
        <f t="shared" si="13"/>
        <v>2004</v>
      </c>
      <c r="L74" s="160">
        <v>1</v>
      </c>
      <c r="M74" s="166"/>
      <c r="N74" s="166"/>
      <c r="O74" s="167"/>
      <c r="P74" s="167"/>
      <c r="Q74" s="167"/>
      <c r="R74" s="166"/>
      <c r="S74" s="166"/>
      <c r="T74" s="166"/>
      <c r="U74" s="166"/>
      <c r="V74" s="167"/>
      <c r="W74" s="167"/>
      <c r="X74" s="167"/>
      <c r="Y74" s="166"/>
      <c r="Z74" s="166"/>
      <c r="AA74" s="166"/>
      <c r="AB74" s="166"/>
    </row>
    <row r="75" spans="1:28" s="161" customFormat="1" ht="14.4">
      <c r="A75" s="128"/>
      <c r="B75" s="154">
        <f t="shared" si="8"/>
        <v>38058</v>
      </c>
      <c r="C75" s="154">
        <f t="shared" si="9"/>
        <v>38064</v>
      </c>
      <c r="D75" s="155" t="str">
        <f t="shared" si="10"/>
        <v>Thu</v>
      </c>
      <c r="E75" s="162">
        <f t="shared" si="11"/>
        <v>2</v>
      </c>
      <c r="F75" s="162">
        <f t="shared" si="7"/>
        <v>6</v>
      </c>
      <c r="G75" s="162">
        <f t="shared" ref="G75:G138" si="14">IF(AND(F75&lt;26,MONTH(C75)=10),E75,(G74+1))</f>
        <v>13</v>
      </c>
      <c r="H75" s="162"/>
      <c r="I75" s="162"/>
      <c r="J75" s="159" t="str">
        <f t="shared" si="12"/>
        <v>Mar</v>
      </c>
      <c r="K75" s="159">
        <f t="shared" si="13"/>
        <v>2004</v>
      </c>
      <c r="L75" s="160">
        <v>1</v>
      </c>
      <c r="M75" s="166"/>
      <c r="N75" s="166"/>
      <c r="O75" s="167"/>
      <c r="P75" s="167"/>
      <c r="Q75" s="167"/>
      <c r="R75" s="166"/>
      <c r="S75" s="166"/>
      <c r="T75" s="166"/>
      <c r="U75" s="166"/>
      <c r="V75" s="167"/>
      <c r="W75" s="167"/>
      <c r="X75" s="167"/>
      <c r="Y75" s="166"/>
      <c r="Z75" s="166"/>
      <c r="AA75" s="166"/>
      <c r="AB75" s="166"/>
    </row>
    <row r="76" spans="1:28" s="161" customFormat="1" ht="14.4">
      <c r="A76" s="128"/>
      <c r="B76" s="154">
        <f t="shared" si="8"/>
        <v>38072</v>
      </c>
      <c r="C76" s="154">
        <f t="shared" si="9"/>
        <v>38078</v>
      </c>
      <c r="D76" s="155" t="str">
        <f t="shared" si="10"/>
        <v>Thu</v>
      </c>
      <c r="E76" s="162">
        <f t="shared" si="11"/>
        <v>1</v>
      </c>
      <c r="F76" s="162">
        <f t="shared" si="7"/>
        <v>7</v>
      </c>
      <c r="G76" s="162">
        <f t="shared" si="14"/>
        <v>14</v>
      </c>
      <c r="H76" s="162"/>
      <c r="I76" s="162"/>
      <c r="J76" s="159" t="str">
        <f t="shared" si="12"/>
        <v>Apr</v>
      </c>
      <c r="K76" s="159">
        <f t="shared" si="13"/>
        <v>2004</v>
      </c>
      <c r="L76" s="160">
        <v>1</v>
      </c>
      <c r="M76" s="166"/>
      <c r="N76" s="166"/>
      <c r="O76" s="167"/>
      <c r="P76" s="167"/>
      <c r="Q76" s="167"/>
      <c r="R76" s="166"/>
      <c r="S76" s="166"/>
      <c r="T76" s="166"/>
      <c r="U76" s="166"/>
      <c r="V76" s="167"/>
      <c r="W76" s="167"/>
      <c r="X76" s="167"/>
      <c r="Y76" s="166"/>
      <c r="Z76" s="166"/>
      <c r="AA76" s="166"/>
      <c r="AB76" s="166"/>
    </row>
    <row r="77" spans="1:28" s="161" customFormat="1" ht="14.4">
      <c r="A77" s="128"/>
      <c r="B77" s="154">
        <f t="shared" si="8"/>
        <v>38086</v>
      </c>
      <c r="C77" s="154">
        <f t="shared" si="9"/>
        <v>38092</v>
      </c>
      <c r="D77" s="155" t="str">
        <f t="shared" si="10"/>
        <v>Thu</v>
      </c>
      <c r="E77" s="162">
        <f t="shared" si="11"/>
        <v>2</v>
      </c>
      <c r="F77" s="162">
        <f t="shared" si="7"/>
        <v>8</v>
      </c>
      <c r="G77" s="162">
        <f t="shared" si="14"/>
        <v>15</v>
      </c>
      <c r="H77" s="162"/>
      <c r="I77" s="162"/>
      <c r="J77" s="159" t="str">
        <f t="shared" si="12"/>
        <v>Apr</v>
      </c>
      <c r="K77" s="159">
        <f t="shared" si="13"/>
        <v>2004</v>
      </c>
      <c r="L77" s="160">
        <v>1</v>
      </c>
      <c r="M77" s="166"/>
      <c r="N77" s="166"/>
      <c r="O77" s="167"/>
      <c r="P77" s="167"/>
      <c r="Q77" s="167"/>
      <c r="R77" s="166"/>
      <c r="S77" s="166"/>
      <c r="T77" s="166"/>
      <c r="U77" s="166"/>
      <c r="V77" s="167"/>
      <c r="W77" s="167"/>
      <c r="X77" s="167"/>
      <c r="Y77" s="166"/>
      <c r="Z77" s="166"/>
      <c r="AA77" s="166"/>
      <c r="AB77" s="166"/>
    </row>
    <row r="78" spans="1:28" s="161" customFormat="1" ht="14.4">
      <c r="A78" s="128"/>
      <c r="B78" s="154">
        <f t="shared" si="8"/>
        <v>38100</v>
      </c>
      <c r="C78" s="154">
        <f t="shared" si="9"/>
        <v>38106</v>
      </c>
      <c r="D78" s="155" t="str">
        <f t="shared" si="10"/>
        <v>Thu</v>
      </c>
      <c r="E78" s="162">
        <f t="shared" si="11"/>
        <v>3</v>
      </c>
      <c r="F78" s="162">
        <f t="shared" si="7"/>
        <v>9</v>
      </c>
      <c r="G78" s="162">
        <f t="shared" si="14"/>
        <v>16</v>
      </c>
      <c r="H78" s="162"/>
      <c r="I78" s="162"/>
      <c r="J78" s="159" t="str">
        <f t="shared" si="12"/>
        <v>Apr</v>
      </c>
      <c r="K78" s="159">
        <f t="shared" si="13"/>
        <v>2004</v>
      </c>
      <c r="L78" s="160">
        <v>1</v>
      </c>
      <c r="M78" s="166"/>
      <c r="N78" s="166"/>
      <c r="O78" s="167"/>
      <c r="P78" s="167"/>
      <c r="Q78" s="167"/>
      <c r="R78" s="166"/>
      <c r="S78" s="166"/>
      <c r="T78" s="166"/>
      <c r="U78" s="166"/>
      <c r="V78" s="167"/>
      <c r="W78" s="167"/>
      <c r="X78" s="167"/>
      <c r="Y78" s="166"/>
      <c r="Z78" s="166"/>
      <c r="AA78" s="166"/>
      <c r="AB78" s="166"/>
    </row>
    <row r="79" spans="1:28" s="161" customFormat="1" ht="14.4">
      <c r="A79" s="128"/>
      <c r="B79" s="154">
        <f t="shared" si="8"/>
        <v>38114</v>
      </c>
      <c r="C79" s="154">
        <f t="shared" si="9"/>
        <v>38120</v>
      </c>
      <c r="D79" s="155" t="str">
        <f t="shared" si="10"/>
        <v>Thu</v>
      </c>
      <c r="E79" s="162">
        <f t="shared" si="11"/>
        <v>1</v>
      </c>
      <c r="F79" s="162">
        <f t="shared" si="7"/>
        <v>10</v>
      </c>
      <c r="G79" s="162">
        <f t="shared" si="14"/>
        <v>17</v>
      </c>
      <c r="H79" s="162"/>
      <c r="I79" s="162"/>
      <c r="J79" s="159" t="str">
        <f t="shared" si="12"/>
        <v>May</v>
      </c>
      <c r="K79" s="159">
        <f t="shared" si="13"/>
        <v>2004</v>
      </c>
      <c r="L79" s="160">
        <v>1</v>
      </c>
      <c r="M79" s="166"/>
      <c r="N79" s="166"/>
      <c r="O79" s="166"/>
      <c r="P79" s="166"/>
      <c r="Q79" s="166"/>
      <c r="R79" s="166"/>
      <c r="S79" s="166"/>
      <c r="T79" s="166"/>
      <c r="U79" s="166"/>
    </row>
    <row r="80" spans="1:28" s="161" customFormat="1" ht="14.4">
      <c r="A80" s="128"/>
      <c r="B80" s="154">
        <f t="shared" si="8"/>
        <v>38128</v>
      </c>
      <c r="C80" s="154">
        <f t="shared" si="9"/>
        <v>38134</v>
      </c>
      <c r="D80" s="155" t="str">
        <f t="shared" si="10"/>
        <v>Thu</v>
      </c>
      <c r="E80" s="162">
        <f t="shared" si="11"/>
        <v>2</v>
      </c>
      <c r="F80" s="162">
        <f t="shared" si="7"/>
        <v>11</v>
      </c>
      <c r="G80" s="162">
        <f t="shared" si="14"/>
        <v>18</v>
      </c>
      <c r="H80" s="162"/>
      <c r="I80" s="162"/>
      <c r="J80" s="159" t="str">
        <f t="shared" si="12"/>
        <v>May</v>
      </c>
      <c r="K80" s="159">
        <f t="shared" si="13"/>
        <v>2004</v>
      </c>
      <c r="L80" s="160">
        <v>1</v>
      </c>
    </row>
    <row r="81" spans="1:31" s="161" customFormat="1" ht="14.4">
      <c r="A81" s="128"/>
      <c r="B81" s="154">
        <f t="shared" si="8"/>
        <v>38142</v>
      </c>
      <c r="C81" s="154">
        <f t="shared" si="9"/>
        <v>38148</v>
      </c>
      <c r="D81" s="155" t="str">
        <f t="shared" si="10"/>
        <v>Thu</v>
      </c>
      <c r="E81" s="162">
        <f t="shared" si="11"/>
        <v>1</v>
      </c>
      <c r="F81" s="162">
        <f t="shared" si="7"/>
        <v>12</v>
      </c>
      <c r="G81" s="162">
        <f t="shared" si="14"/>
        <v>19</v>
      </c>
      <c r="H81" s="162"/>
      <c r="I81" s="162"/>
      <c r="J81" s="159" t="str">
        <f t="shared" si="12"/>
        <v>Jun</v>
      </c>
      <c r="K81" s="159">
        <f t="shared" si="13"/>
        <v>2004</v>
      </c>
      <c r="L81" s="160">
        <v>1</v>
      </c>
      <c r="AE81" s="169"/>
    </row>
    <row r="82" spans="1:31" s="161" customFormat="1" ht="14.4">
      <c r="A82" s="128"/>
      <c r="B82" s="154">
        <f t="shared" si="8"/>
        <v>38156</v>
      </c>
      <c r="C82" s="154">
        <f t="shared" si="9"/>
        <v>38162</v>
      </c>
      <c r="D82" s="155" t="str">
        <f t="shared" si="10"/>
        <v>Thu</v>
      </c>
      <c r="E82" s="162">
        <f t="shared" si="11"/>
        <v>2</v>
      </c>
      <c r="F82" s="162">
        <f t="shared" ref="F82:F145" si="15">IF(YEAR(C82)&gt;YEAR(C81),1,F81+1)</f>
        <v>13</v>
      </c>
      <c r="G82" s="162">
        <f t="shared" si="14"/>
        <v>20</v>
      </c>
      <c r="H82" s="162"/>
      <c r="I82" s="162"/>
      <c r="J82" s="159" t="str">
        <f t="shared" si="12"/>
        <v>Jun</v>
      </c>
      <c r="K82" s="159">
        <f t="shared" si="13"/>
        <v>2004</v>
      </c>
      <c r="L82" s="160">
        <v>1</v>
      </c>
      <c r="AC82" s="169"/>
      <c r="AD82" s="169" t="s">
        <v>313</v>
      </c>
    </row>
    <row r="83" spans="1:31" s="161" customFormat="1" ht="14.4">
      <c r="A83" s="128"/>
      <c r="B83" s="154">
        <f t="shared" si="8"/>
        <v>38170</v>
      </c>
      <c r="C83" s="154">
        <f t="shared" si="9"/>
        <v>38176</v>
      </c>
      <c r="D83" s="155" t="str">
        <f t="shared" si="10"/>
        <v>Thu</v>
      </c>
      <c r="E83" s="162">
        <f t="shared" si="11"/>
        <v>1</v>
      </c>
      <c r="F83" s="162">
        <f t="shared" si="15"/>
        <v>14</v>
      </c>
      <c r="G83" s="162">
        <f t="shared" si="14"/>
        <v>21</v>
      </c>
      <c r="H83" s="162"/>
      <c r="I83" s="162"/>
      <c r="J83" s="159" t="str">
        <f t="shared" si="12"/>
        <v>Jul</v>
      </c>
      <c r="K83" s="159">
        <f t="shared" si="13"/>
        <v>2004</v>
      </c>
      <c r="L83" s="160">
        <v>1</v>
      </c>
    </row>
    <row r="84" spans="1:31" s="161" customFormat="1" ht="14.4">
      <c r="A84" s="128"/>
      <c r="B84" s="154">
        <f t="shared" si="8"/>
        <v>38184</v>
      </c>
      <c r="C84" s="154">
        <f t="shared" si="9"/>
        <v>38190</v>
      </c>
      <c r="D84" s="155" t="str">
        <f t="shared" si="10"/>
        <v>Thu</v>
      </c>
      <c r="E84" s="162">
        <f t="shared" si="11"/>
        <v>2</v>
      </c>
      <c r="F84" s="162">
        <f t="shared" si="15"/>
        <v>15</v>
      </c>
      <c r="G84" s="162">
        <f t="shared" si="14"/>
        <v>22</v>
      </c>
      <c r="H84" s="162"/>
      <c r="I84" s="162"/>
      <c r="J84" s="159" t="str">
        <f t="shared" si="12"/>
        <v>Jul</v>
      </c>
      <c r="K84" s="159">
        <f t="shared" si="13"/>
        <v>2004</v>
      </c>
      <c r="L84" s="160">
        <v>1</v>
      </c>
    </row>
    <row r="85" spans="1:31" s="161" customFormat="1" ht="14.4">
      <c r="A85" s="128"/>
      <c r="B85" s="154">
        <f t="shared" si="8"/>
        <v>38198</v>
      </c>
      <c r="C85" s="154">
        <f t="shared" si="9"/>
        <v>38204</v>
      </c>
      <c r="D85" s="155" t="str">
        <f t="shared" si="10"/>
        <v>Thu</v>
      </c>
      <c r="E85" s="162">
        <f t="shared" si="11"/>
        <v>1</v>
      </c>
      <c r="F85" s="162">
        <f t="shared" si="15"/>
        <v>16</v>
      </c>
      <c r="G85" s="162">
        <f t="shared" si="14"/>
        <v>23</v>
      </c>
      <c r="H85" s="162"/>
      <c r="I85" s="162"/>
      <c r="J85" s="159" t="str">
        <f t="shared" si="12"/>
        <v>Aug</v>
      </c>
      <c r="K85" s="159">
        <f t="shared" si="13"/>
        <v>2004</v>
      </c>
      <c r="L85" s="160">
        <v>1</v>
      </c>
    </row>
    <row r="86" spans="1:31" s="161" customFormat="1" ht="14.4">
      <c r="A86" s="128"/>
      <c r="B86" s="154">
        <f t="shared" si="8"/>
        <v>38212</v>
      </c>
      <c r="C86" s="154">
        <f t="shared" si="9"/>
        <v>38218</v>
      </c>
      <c r="D86" s="155" t="str">
        <f t="shared" si="10"/>
        <v>Thu</v>
      </c>
      <c r="E86" s="162">
        <f t="shared" si="11"/>
        <v>2</v>
      </c>
      <c r="F86" s="162">
        <f t="shared" si="15"/>
        <v>17</v>
      </c>
      <c r="G86" s="162">
        <f t="shared" si="14"/>
        <v>24</v>
      </c>
      <c r="H86" s="162"/>
      <c r="I86" s="162"/>
      <c r="J86" s="159" t="str">
        <f t="shared" si="12"/>
        <v>Aug</v>
      </c>
      <c r="K86" s="159">
        <f t="shared" si="13"/>
        <v>2004</v>
      </c>
      <c r="L86" s="160">
        <v>1</v>
      </c>
    </row>
    <row r="87" spans="1:31" s="161" customFormat="1" ht="14.4">
      <c r="A87" s="128"/>
      <c r="B87" s="154">
        <f t="shared" si="8"/>
        <v>38226</v>
      </c>
      <c r="C87" s="154">
        <f t="shared" si="9"/>
        <v>38232</v>
      </c>
      <c r="D87" s="155" t="str">
        <f t="shared" si="10"/>
        <v>Thu</v>
      </c>
      <c r="E87" s="162">
        <f t="shared" si="11"/>
        <v>1</v>
      </c>
      <c r="F87" s="162">
        <f t="shared" si="15"/>
        <v>18</v>
      </c>
      <c r="G87" s="162">
        <f t="shared" si="14"/>
        <v>25</v>
      </c>
      <c r="H87" s="162"/>
      <c r="I87" s="162"/>
      <c r="J87" s="159" t="str">
        <f t="shared" si="12"/>
        <v>Sep</v>
      </c>
      <c r="K87" s="159">
        <f t="shared" si="13"/>
        <v>2004</v>
      </c>
      <c r="L87" s="160">
        <v>1</v>
      </c>
    </row>
    <row r="88" spans="1:31" s="161" customFormat="1" ht="14.4">
      <c r="A88" s="128"/>
      <c r="B88" s="154">
        <f t="shared" si="8"/>
        <v>38240</v>
      </c>
      <c r="C88" s="154">
        <f t="shared" si="9"/>
        <v>38246</v>
      </c>
      <c r="D88" s="155" t="str">
        <f t="shared" si="10"/>
        <v>Thu</v>
      </c>
      <c r="E88" s="162">
        <f t="shared" si="11"/>
        <v>2</v>
      </c>
      <c r="F88" s="162">
        <f t="shared" si="15"/>
        <v>19</v>
      </c>
      <c r="G88" s="162">
        <f t="shared" si="14"/>
        <v>26</v>
      </c>
      <c r="H88" s="162"/>
      <c r="I88" s="162"/>
      <c r="J88" s="159" t="str">
        <f t="shared" si="12"/>
        <v>Sep</v>
      </c>
      <c r="K88" s="159">
        <f t="shared" si="13"/>
        <v>2004</v>
      </c>
      <c r="L88" s="160">
        <v>1</v>
      </c>
    </row>
    <row r="89" spans="1:31" s="161" customFormat="1" ht="14.4">
      <c r="A89" s="128"/>
      <c r="B89" s="154">
        <f t="shared" si="8"/>
        <v>38254</v>
      </c>
      <c r="C89" s="154">
        <f t="shared" si="9"/>
        <v>38260</v>
      </c>
      <c r="D89" s="155" t="str">
        <f t="shared" si="10"/>
        <v>Thu</v>
      </c>
      <c r="E89" s="162">
        <f t="shared" si="11"/>
        <v>3</v>
      </c>
      <c r="F89" s="162">
        <f t="shared" si="15"/>
        <v>20</v>
      </c>
      <c r="G89" s="162">
        <f t="shared" si="14"/>
        <v>27</v>
      </c>
      <c r="H89" s="162"/>
      <c r="I89" s="162"/>
      <c r="J89" s="159" t="str">
        <f t="shared" si="12"/>
        <v>Sep</v>
      </c>
      <c r="K89" s="159">
        <f t="shared" si="13"/>
        <v>2004</v>
      </c>
      <c r="L89" s="160">
        <v>1</v>
      </c>
    </row>
    <row r="90" spans="1:31" s="161" customFormat="1" ht="14.4">
      <c r="A90" s="128"/>
      <c r="B90" s="154">
        <f t="shared" si="8"/>
        <v>38268</v>
      </c>
      <c r="C90" s="154">
        <f t="shared" si="9"/>
        <v>38274</v>
      </c>
      <c r="D90" s="155" t="str">
        <f t="shared" si="10"/>
        <v>Thu</v>
      </c>
      <c r="E90" s="162">
        <f t="shared" si="11"/>
        <v>1</v>
      </c>
      <c r="F90" s="162">
        <f t="shared" si="15"/>
        <v>21</v>
      </c>
      <c r="G90" s="162">
        <f t="shared" si="14"/>
        <v>1</v>
      </c>
      <c r="H90" s="162"/>
      <c r="I90" s="162"/>
      <c r="J90" s="159" t="str">
        <f t="shared" si="12"/>
        <v>Oct</v>
      </c>
      <c r="K90" s="159">
        <f t="shared" si="13"/>
        <v>2004</v>
      </c>
      <c r="L90" s="160">
        <v>1</v>
      </c>
    </row>
    <row r="91" spans="1:31" s="161" customFormat="1" ht="14.4">
      <c r="A91" s="128"/>
      <c r="B91" s="154">
        <f t="shared" si="8"/>
        <v>38282</v>
      </c>
      <c r="C91" s="154">
        <f t="shared" si="9"/>
        <v>38288</v>
      </c>
      <c r="D91" s="155" t="str">
        <f t="shared" si="10"/>
        <v>Thu</v>
      </c>
      <c r="E91" s="162">
        <f t="shared" si="11"/>
        <v>2</v>
      </c>
      <c r="F91" s="162">
        <f t="shared" si="15"/>
        <v>22</v>
      </c>
      <c r="G91" s="162">
        <f t="shared" si="14"/>
        <v>2</v>
      </c>
      <c r="H91" s="162"/>
      <c r="I91" s="162"/>
      <c r="J91" s="159" t="str">
        <f t="shared" si="12"/>
        <v>Oct</v>
      </c>
      <c r="K91" s="159">
        <f t="shared" si="13"/>
        <v>2004</v>
      </c>
      <c r="L91" s="160">
        <v>1</v>
      </c>
    </row>
    <row r="92" spans="1:31" s="161" customFormat="1" ht="14.4">
      <c r="A92" s="128"/>
      <c r="B92" s="154">
        <f t="shared" si="8"/>
        <v>38296</v>
      </c>
      <c r="C92" s="154">
        <f t="shared" si="9"/>
        <v>38302</v>
      </c>
      <c r="D92" s="155" t="str">
        <f t="shared" si="10"/>
        <v>Thu</v>
      </c>
      <c r="E92" s="162">
        <f t="shared" si="11"/>
        <v>1</v>
      </c>
      <c r="F92" s="162">
        <f t="shared" si="15"/>
        <v>23</v>
      </c>
      <c r="G92" s="162">
        <f t="shared" si="14"/>
        <v>3</v>
      </c>
      <c r="H92" s="162"/>
      <c r="I92" s="162"/>
      <c r="J92" s="159" t="str">
        <f t="shared" si="12"/>
        <v>Nov</v>
      </c>
      <c r="K92" s="159">
        <f t="shared" si="13"/>
        <v>2004</v>
      </c>
      <c r="L92" s="160">
        <v>1</v>
      </c>
    </row>
    <row r="93" spans="1:31" s="161" customFormat="1" ht="14.4">
      <c r="A93" s="128"/>
      <c r="B93" s="154">
        <f t="shared" si="8"/>
        <v>38310</v>
      </c>
      <c r="C93" s="154">
        <f t="shared" si="9"/>
        <v>38316</v>
      </c>
      <c r="D93" s="155" t="str">
        <f t="shared" si="10"/>
        <v>Thu</v>
      </c>
      <c r="E93" s="162">
        <f t="shared" si="11"/>
        <v>2</v>
      </c>
      <c r="F93" s="162">
        <f t="shared" si="15"/>
        <v>24</v>
      </c>
      <c r="G93" s="162">
        <f t="shared" si="14"/>
        <v>4</v>
      </c>
      <c r="H93" s="162"/>
      <c r="I93" s="162"/>
      <c r="J93" s="159" t="str">
        <f t="shared" si="12"/>
        <v>Nov</v>
      </c>
      <c r="K93" s="159">
        <f t="shared" si="13"/>
        <v>2004</v>
      </c>
      <c r="L93" s="160">
        <v>1</v>
      </c>
    </row>
    <row r="94" spans="1:31" s="161" customFormat="1" ht="14.4">
      <c r="A94" s="128"/>
      <c r="B94" s="154">
        <f t="shared" si="8"/>
        <v>38324</v>
      </c>
      <c r="C94" s="154">
        <f t="shared" si="9"/>
        <v>38330</v>
      </c>
      <c r="D94" s="155" t="str">
        <f t="shared" si="10"/>
        <v>Thu</v>
      </c>
      <c r="E94" s="162">
        <f t="shared" si="11"/>
        <v>1</v>
      </c>
      <c r="F94" s="162">
        <f t="shared" si="15"/>
        <v>25</v>
      </c>
      <c r="G94" s="162">
        <f t="shared" si="14"/>
        <v>5</v>
      </c>
      <c r="H94" s="162"/>
      <c r="I94" s="162"/>
      <c r="J94" s="159" t="str">
        <f t="shared" si="12"/>
        <v>Dec</v>
      </c>
      <c r="K94" s="159">
        <f t="shared" si="13"/>
        <v>2004</v>
      </c>
      <c r="L94" s="160">
        <v>1</v>
      </c>
    </row>
    <row r="95" spans="1:31" s="161" customFormat="1" ht="14.4">
      <c r="A95" s="128"/>
      <c r="B95" s="154">
        <f t="shared" si="8"/>
        <v>38338</v>
      </c>
      <c r="C95" s="154">
        <f t="shared" si="9"/>
        <v>38344</v>
      </c>
      <c r="D95" s="155" t="str">
        <f t="shared" si="10"/>
        <v>Thu</v>
      </c>
      <c r="E95" s="162">
        <f t="shared" si="11"/>
        <v>2</v>
      </c>
      <c r="F95" s="162">
        <f t="shared" si="15"/>
        <v>26</v>
      </c>
      <c r="G95" s="162">
        <f t="shared" si="14"/>
        <v>6</v>
      </c>
      <c r="H95" s="162"/>
      <c r="I95" s="162"/>
      <c r="J95" s="159" t="str">
        <f t="shared" si="12"/>
        <v>Dec</v>
      </c>
      <c r="K95" s="159">
        <f t="shared" si="13"/>
        <v>2004</v>
      </c>
      <c r="L95" s="160">
        <v>1</v>
      </c>
    </row>
    <row r="96" spans="1:31" s="161" customFormat="1" ht="14.4">
      <c r="A96" s="128"/>
      <c r="B96" s="154">
        <f t="shared" si="8"/>
        <v>38352</v>
      </c>
      <c r="C96" s="154">
        <f t="shared" si="9"/>
        <v>38358</v>
      </c>
      <c r="D96" s="155" t="str">
        <f t="shared" si="10"/>
        <v>Thu</v>
      </c>
      <c r="E96" s="162">
        <f t="shared" si="11"/>
        <v>1</v>
      </c>
      <c r="F96" s="162">
        <f t="shared" si="15"/>
        <v>1</v>
      </c>
      <c r="G96" s="162">
        <f t="shared" si="14"/>
        <v>7</v>
      </c>
      <c r="H96" s="162"/>
      <c r="I96" s="162"/>
      <c r="J96" s="159" t="str">
        <f t="shared" si="12"/>
        <v>Jan</v>
      </c>
      <c r="K96" s="159">
        <f t="shared" si="13"/>
        <v>2005</v>
      </c>
      <c r="L96" s="160">
        <v>1</v>
      </c>
      <c r="AC96" s="161" t="s">
        <v>63</v>
      </c>
    </row>
    <row r="97" spans="1:12" s="161" customFormat="1" ht="14.4">
      <c r="A97" s="128"/>
      <c r="B97" s="154">
        <f t="shared" si="8"/>
        <v>38366</v>
      </c>
      <c r="C97" s="154">
        <f t="shared" si="9"/>
        <v>38372</v>
      </c>
      <c r="D97" s="155" t="str">
        <f t="shared" si="10"/>
        <v>Thu</v>
      </c>
      <c r="E97" s="162">
        <f t="shared" si="11"/>
        <v>2</v>
      </c>
      <c r="F97" s="162">
        <f t="shared" si="15"/>
        <v>2</v>
      </c>
      <c r="G97" s="162">
        <f t="shared" si="14"/>
        <v>8</v>
      </c>
      <c r="H97" s="162"/>
      <c r="I97" s="162"/>
      <c r="J97" s="159" t="str">
        <f t="shared" si="12"/>
        <v>Jan</v>
      </c>
      <c r="K97" s="159">
        <f t="shared" si="13"/>
        <v>2005</v>
      </c>
      <c r="L97" s="160">
        <v>1</v>
      </c>
    </row>
    <row r="98" spans="1:12" s="161" customFormat="1" ht="14.4">
      <c r="A98" s="128"/>
      <c r="B98" s="154">
        <f t="shared" si="8"/>
        <v>38380</v>
      </c>
      <c r="C98" s="154">
        <f t="shared" si="9"/>
        <v>38386</v>
      </c>
      <c r="D98" s="155" t="str">
        <f t="shared" si="10"/>
        <v>Thu</v>
      </c>
      <c r="E98" s="162">
        <f t="shared" si="11"/>
        <v>1</v>
      </c>
      <c r="F98" s="162">
        <f t="shared" si="15"/>
        <v>3</v>
      </c>
      <c r="G98" s="162">
        <f t="shared" si="14"/>
        <v>9</v>
      </c>
      <c r="H98" s="162"/>
      <c r="I98" s="162"/>
      <c r="J98" s="159" t="str">
        <f t="shared" si="12"/>
        <v>Feb</v>
      </c>
      <c r="K98" s="159">
        <f t="shared" si="13"/>
        <v>2005</v>
      </c>
      <c r="L98" s="160">
        <v>1</v>
      </c>
    </row>
    <row r="99" spans="1:12" s="161" customFormat="1" ht="14.4">
      <c r="A99" s="128"/>
      <c r="B99" s="154">
        <f t="shared" si="8"/>
        <v>38394</v>
      </c>
      <c r="C99" s="154">
        <f t="shared" si="9"/>
        <v>38400</v>
      </c>
      <c r="D99" s="155" t="str">
        <f t="shared" si="10"/>
        <v>Thu</v>
      </c>
      <c r="E99" s="162">
        <f t="shared" si="11"/>
        <v>2</v>
      </c>
      <c r="F99" s="162">
        <f t="shared" si="15"/>
        <v>4</v>
      </c>
      <c r="G99" s="162">
        <f t="shared" si="14"/>
        <v>10</v>
      </c>
      <c r="H99" s="162"/>
      <c r="I99" s="162"/>
      <c r="J99" s="159" t="str">
        <f t="shared" si="12"/>
        <v>Feb</v>
      </c>
      <c r="K99" s="159">
        <f t="shared" si="13"/>
        <v>2005</v>
      </c>
      <c r="L99" s="160">
        <v>1</v>
      </c>
    </row>
    <row r="100" spans="1:12" s="161" customFormat="1" ht="14.4">
      <c r="A100" s="128"/>
      <c r="B100" s="154">
        <f t="shared" si="8"/>
        <v>38408</v>
      </c>
      <c r="C100" s="154">
        <f t="shared" si="9"/>
        <v>38414</v>
      </c>
      <c r="D100" s="155" t="str">
        <f t="shared" si="10"/>
        <v>Thu</v>
      </c>
      <c r="E100" s="162">
        <f t="shared" si="11"/>
        <v>1</v>
      </c>
      <c r="F100" s="162">
        <f t="shared" si="15"/>
        <v>5</v>
      </c>
      <c r="G100" s="162">
        <f t="shared" si="14"/>
        <v>11</v>
      </c>
      <c r="H100" s="162"/>
      <c r="I100" s="162"/>
      <c r="J100" s="159" t="str">
        <f t="shared" si="12"/>
        <v>Mar</v>
      </c>
      <c r="K100" s="159">
        <f t="shared" si="13"/>
        <v>2005</v>
      </c>
      <c r="L100" s="160">
        <v>1</v>
      </c>
    </row>
    <row r="101" spans="1:12" s="161" customFormat="1" ht="14.4">
      <c r="A101" s="128"/>
      <c r="B101" s="154">
        <f t="shared" si="8"/>
        <v>38422</v>
      </c>
      <c r="C101" s="154">
        <f t="shared" si="9"/>
        <v>38428</v>
      </c>
      <c r="D101" s="155" t="str">
        <f t="shared" si="10"/>
        <v>Thu</v>
      </c>
      <c r="E101" s="162">
        <f t="shared" si="11"/>
        <v>2</v>
      </c>
      <c r="F101" s="162">
        <f t="shared" si="15"/>
        <v>6</v>
      </c>
      <c r="G101" s="162">
        <f t="shared" si="14"/>
        <v>12</v>
      </c>
      <c r="H101" s="162"/>
      <c r="I101" s="162"/>
      <c r="J101" s="159" t="str">
        <f t="shared" si="12"/>
        <v>Mar</v>
      </c>
      <c r="K101" s="159">
        <f t="shared" si="13"/>
        <v>2005</v>
      </c>
      <c r="L101" s="160">
        <v>1</v>
      </c>
    </row>
    <row r="102" spans="1:12" s="161" customFormat="1" ht="14.4">
      <c r="A102" s="128"/>
      <c r="B102" s="154">
        <f t="shared" si="8"/>
        <v>38436</v>
      </c>
      <c r="C102" s="154">
        <f t="shared" si="9"/>
        <v>38442</v>
      </c>
      <c r="D102" s="155" t="str">
        <f t="shared" si="10"/>
        <v>Thu</v>
      </c>
      <c r="E102" s="162">
        <f t="shared" si="11"/>
        <v>3</v>
      </c>
      <c r="F102" s="162">
        <f t="shared" si="15"/>
        <v>7</v>
      </c>
      <c r="G102" s="162">
        <f t="shared" si="14"/>
        <v>13</v>
      </c>
      <c r="H102" s="162"/>
      <c r="I102" s="162"/>
      <c r="J102" s="159" t="str">
        <f t="shared" si="12"/>
        <v>Mar</v>
      </c>
      <c r="K102" s="159">
        <f t="shared" si="13"/>
        <v>2005</v>
      </c>
      <c r="L102" s="160">
        <v>1</v>
      </c>
    </row>
    <row r="103" spans="1:12" s="161" customFormat="1" ht="14.4">
      <c r="A103" s="128"/>
      <c r="B103" s="154">
        <f t="shared" si="8"/>
        <v>38450</v>
      </c>
      <c r="C103" s="154">
        <f t="shared" si="9"/>
        <v>38456</v>
      </c>
      <c r="D103" s="155" t="str">
        <f t="shared" si="10"/>
        <v>Thu</v>
      </c>
      <c r="E103" s="162">
        <f t="shared" si="11"/>
        <v>1</v>
      </c>
      <c r="F103" s="162">
        <f t="shared" si="15"/>
        <v>8</v>
      </c>
      <c r="G103" s="162">
        <f t="shared" si="14"/>
        <v>14</v>
      </c>
      <c r="H103" s="162"/>
      <c r="I103" s="162"/>
      <c r="J103" s="159" t="str">
        <f t="shared" si="12"/>
        <v>Apr</v>
      </c>
      <c r="K103" s="159">
        <f t="shared" si="13"/>
        <v>2005</v>
      </c>
      <c r="L103" s="160">
        <v>1</v>
      </c>
    </row>
    <row r="104" spans="1:12" s="161" customFormat="1" ht="14.4">
      <c r="A104" s="128"/>
      <c r="B104" s="154">
        <f t="shared" si="8"/>
        <v>38464</v>
      </c>
      <c r="C104" s="154">
        <f t="shared" si="9"/>
        <v>38470</v>
      </c>
      <c r="D104" s="155" t="str">
        <f t="shared" si="10"/>
        <v>Thu</v>
      </c>
      <c r="E104" s="162">
        <f t="shared" si="11"/>
        <v>2</v>
      </c>
      <c r="F104" s="162">
        <f t="shared" si="15"/>
        <v>9</v>
      </c>
      <c r="G104" s="162">
        <f t="shared" si="14"/>
        <v>15</v>
      </c>
      <c r="H104" s="162"/>
      <c r="I104" s="162"/>
      <c r="J104" s="159" t="str">
        <f t="shared" si="12"/>
        <v>Apr</v>
      </c>
      <c r="K104" s="159">
        <f t="shared" si="13"/>
        <v>2005</v>
      </c>
      <c r="L104" s="160">
        <v>1</v>
      </c>
    </row>
    <row r="105" spans="1:12" s="161" customFormat="1" ht="14.4">
      <c r="A105" s="128"/>
      <c r="B105" s="154">
        <f t="shared" si="8"/>
        <v>38478</v>
      </c>
      <c r="C105" s="154">
        <f t="shared" si="9"/>
        <v>38484</v>
      </c>
      <c r="D105" s="155" t="str">
        <f t="shared" si="10"/>
        <v>Thu</v>
      </c>
      <c r="E105" s="162">
        <f t="shared" si="11"/>
        <v>1</v>
      </c>
      <c r="F105" s="162">
        <f t="shared" si="15"/>
        <v>10</v>
      </c>
      <c r="G105" s="162">
        <f t="shared" si="14"/>
        <v>16</v>
      </c>
      <c r="H105" s="162"/>
      <c r="I105" s="162"/>
      <c r="J105" s="159" t="str">
        <f t="shared" si="12"/>
        <v>May</v>
      </c>
      <c r="K105" s="159">
        <f t="shared" si="13"/>
        <v>2005</v>
      </c>
      <c r="L105" s="160">
        <v>1</v>
      </c>
    </row>
    <row r="106" spans="1:12" s="161" customFormat="1" ht="14.4">
      <c r="A106" s="128"/>
      <c r="B106" s="154">
        <f t="shared" si="8"/>
        <v>38492</v>
      </c>
      <c r="C106" s="154">
        <f t="shared" si="9"/>
        <v>38498</v>
      </c>
      <c r="D106" s="155" t="str">
        <f t="shared" si="10"/>
        <v>Thu</v>
      </c>
      <c r="E106" s="162">
        <f t="shared" si="11"/>
        <v>2</v>
      </c>
      <c r="F106" s="162">
        <f t="shared" si="15"/>
        <v>11</v>
      </c>
      <c r="G106" s="162">
        <f t="shared" si="14"/>
        <v>17</v>
      </c>
      <c r="H106" s="162"/>
      <c r="I106" s="162"/>
      <c r="J106" s="159" t="str">
        <f t="shared" si="12"/>
        <v>May</v>
      </c>
      <c r="K106" s="159">
        <f t="shared" si="13"/>
        <v>2005</v>
      </c>
      <c r="L106" s="160">
        <v>1</v>
      </c>
    </row>
    <row r="107" spans="1:12" s="161" customFormat="1" ht="14.4">
      <c r="A107" s="128"/>
      <c r="B107" s="154">
        <f t="shared" si="8"/>
        <v>38506</v>
      </c>
      <c r="C107" s="154">
        <f t="shared" si="9"/>
        <v>38512</v>
      </c>
      <c r="D107" s="155" t="str">
        <f t="shared" si="10"/>
        <v>Thu</v>
      </c>
      <c r="E107" s="162">
        <f t="shared" si="11"/>
        <v>1</v>
      </c>
      <c r="F107" s="162">
        <f t="shared" si="15"/>
        <v>12</v>
      </c>
      <c r="G107" s="162">
        <f t="shared" si="14"/>
        <v>18</v>
      </c>
      <c r="H107" s="162"/>
      <c r="I107" s="162"/>
      <c r="J107" s="159" t="str">
        <f t="shared" si="12"/>
        <v>Jun</v>
      </c>
      <c r="K107" s="159">
        <f t="shared" si="13"/>
        <v>2005</v>
      </c>
      <c r="L107" s="160">
        <v>1</v>
      </c>
    </row>
    <row r="108" spans="1:12" s="161" customFormat="1" ht="14.4">
      <c r="A108" s="128"/>
      <c r="B108" s="154">
        <f t="shared" ref="B108:B171" si="16">B107+14</f>
        <v>38520</v>
      </c>
      <c r="C108" s="154">
        <f t="shared" ref="C108:C171" si="17">B108+6</f>
        <v>38526</v>
      </c>
      <c r="D108" s="155" t="str">
        <f t="shared" si="10"/>
        <v>Thu</v>
      </c>
      <c r="E108" s="162">
        <f t="shared" si="11"/>
        <v>2</v>
      </c>
      <c r="F108" s="162">
        <f t="shared" si="15"/>
        <v>13</v>
      </c>
      <c r="G108" s="162">
        <f t="shared" si="14"/>
        <v>19</v>
      </c>
      <c r="H108" s="162"/>
      <c r="I108" s="162"/>
      <c r="J108" s="159" t="str">
        <f t="shared" si="12"/>
        <v>Jun</v>
      </c>
      <c r="K108" s="159">
        <f t="shared" si="13"/>
        <v>2005</v>
      </c>
      <c r="L108" s="160">
        <v>1</v>
      </c>
    </row>
    <row r="109" spans="1:12" s="161" customFormat="1" ht="14.4">
      <c r="A109" s="128"/>
      <c r="B109" s="154">
        <f t="shared" si="16"/>
        <v>38534</v>
      </c>
      <c r="C109" s="154">
        <f t="shared" si="17"/>
        <v>38540</v>
      </c>
      <c r="D109" s="155" t="str">
        <f t="shared" si="10"/>
        <v>Thu</v>
      </c>
      <c r="E109" s="162">
        <f t="shared" si="11"/>
        <v>1</v>
      </c>
      <c r="F109" s="162">
        <f t="shared" si="15"/>
        <v>14</v>
      </c>
      <c r="G109" s="162">
        <f t="shared" si="14"/>
        <v>20</v>
      </c>
      <c r="H109" s="162"/>
      <c r="I109" s="162"/>
      <c r="J109" s="159" t="str">
        <f t="shared" si="12"/>
        <v>Jul</v>
      </c>
      <c r="K109" s="159">
        <f t="shared" si="13"/>
        <v>2005</v>
      </c>
      <c r="L109" s="160">
        <v>1</v>
      </c>
    </row>
    <row r="110" spans="1:12" s="161" customFormat="1" ht="14.4">
      <c r="A110" s="128"/>
      <c r="B110" s="154">
        <f t="shared" si="16"/>
        <v>38548</v>
      </c>
      <c r="C110" s="154">
        <f t="shared" si="17"/>
        <v>38554</v>
      </c>
      <c r="D110" s="155" t="str">
        <f t="shared" si="10"/>
        <v>Thu</v>
      </c>
      <c r="E110" s="162">
        <f t="shared" si="11"/>
        <v>2</v>
      </c>
      <c r="F110" s="162">
        <f t="shared" si="15"/>
        <v>15</v>
      </c>
      <c r="G110" s="162">
        <f t="shared" si="14"/>
        <v>21</v>
      </c>
      <c r="H110" s="162"/>
      <c r="I110" s="162"/>
      <c r="J110" s="159" t="str">
        <f t="shared" si="12"/>
        <v>Jul</v>
      </c>
      <c r="K110" s="159">
        <f t="shared" si="13"/>
        <v>2005</v>
      </c>
      <c r="L110" s="160">
        <v>1</v>
      </c>
    </row>
    <row r="111" spans="1:12" s="161" customFormat="1" ht="14.4">
      <c r="A111" s="128"/>
      <c r="B111" s="154">
        <f t="shared" si="16"/>
        <v>38562</v>
      </c>
      <c r="C111" s="154">
        <f t="shared" si="17"/>
        <v>38568</v>
      </c>
      <c r="D111" s="155" t="str">
        <f t="shared" si="10"/>
        <v>Thu</v>
      </c>
      <c r="E111" s="162">
        <f t="shared" si="11"/>
        <v>1</v>
      </c>
      <c r="F111" s="162">
        <f t="shared" si="15"/>
        <v>16</v>
      </c>
      <c r="G111" s="162">
        <f t="shared" si="14"/>
        <v>22</v>
      </c>
      <c r="H111" s="162"/>
      <c r="I111" s="162"/>
      <c r="J111" s="159" t="str">
        <f t="shared" si="12"/>
        <v>Aug</v>
      </c>
      <c r="K111" s="159">
        <f t="shared" si="13"/>
        <v>2005</v>
      </c>
      <c r="L111" s="160">
        <v>1</v>
      </c>
    </row>
    <row r="112" spans="1:12" s="161" customFormat="1" ht="14.4">
      <c r="A112" s="128"/>
      <c r="B112" s="154">
        <f t="shared" si="16"/>
        <v>38576</v>
      </c>
      <c r="C112" s="154">
        <f t="shared" si="17"/>
        <v>38582</v>
      </c>
      <c r="D112" s="155" t="str">
        <f t="shared" si="10"/>
        <v>Thu</v>
      </c>
      <c r="E112" s="162">
        <f t="shared" si="11"/>
        <v>2</v>
      </c>
      <c r="F112" s="162">
        <f t="shared" si="15"/>
        <v>17</v>
      </c>
      <c r="G112" s="162">
        <f t="shared" si="14"/>
        <v>23</v>
      </c>
      <c r="H112" s="162"/>
      <c r="I112" s="162"/>
      <c r="J112" s="159" t="str">
        <f t="shared" si="12"/>
        <v>Aug</v>
      </c>
      <c r="K112" s="159">
        <f t="shared" si="13"/>
        <v>2005</v>
      </c>
      <c r="L112" s="160">
        <v>1</v>
      </c>
    </row>
    <row r="113" spans="1:25" s="161" customFormat="1" ht="14.4">
      <c r="A113" s="128"/>
      <c r="B113" s="154">
        <f t="shared" si="16"/>
        <v>38590</v>
      </c>
      <c r="C113" s="154">
        <f t="shared" si="17"/>
        <v>38596</v>
      </c>
      <c r="D113" s="155" t="str">
        <f t="shared" si="10"/>
        <v>Thu</v>
      </c>
      <c r="E113" s="162">
        <f t="shared" si="11"/>
        <v>1</v>
      </c>
      <c r="F113" s="162">
        <f t="shared" si="15"/>
        <v>18</v>
      </c>
      <c r="G113" s="162">
        <f t="shared" si="14"/>
        <v>24</v>
      </c>
      <c r="H113" s="162"/>
      <c r="I113" s="162"/>
      <c r="J113" s="159" t="str">
        <f t="shared" si="12"/>
        <v>Sep</v>
      </c>
      <c r="K113" s="159">
        <f t="shared" si="13"/>
        <v>2005</v>
      </c>
      <c r="L113" s="160">
        <v>1</v>
      </c>
    </row>
    <row r="114" spans="1:25" s="161" customFormat="1" ht="14.4">
      <c r="A114" s="128"/>
      <c r="B114" s="154">
        <f t="shared" si="16"/>
        <v>38604</v>
      </c>
      <c r="C114" s="154">
        <f t="shared" si="17"/>
        <v>38610</v>
      </c>
      <c r="D114" s="155" t="str">
        <f t="shared" si="10"/>
        <v>Thu</v>
      </c>
      <c r="E114" s="162">
        <f t="shared" si="11"/>
        <v>2</v>
      </c>
      <c r="F114" s="162">
        <f t="shared" si="15"/>
        <v>19</v>
      </c>
      <c r="G114" s="162">
        <f t="shared" si="14"/>
        <v>25</v>
      </c>
      <c r="H114" s="162"/>
      <c r="I114" s="162"/>
      <c r="J114" s="159" t="str">
        <f t="shared" si="12"/>
        <v>Sep</v>
      </c>
      <c r="K114" s="159">
        <f t="shared" si="13"/>
        <v>2005</v>
      </c>
      <c r="L114" s="160">
        <v>1</v>
      </c>
    </row>
    <row r="115" spans="1:25" s="161" customFormat="1" ht="14.4">
      <c r="A115" s="128"/>
      <c r="B115" s="154">
        <f t="shared" si="16"/>
        <v>38618</v>
      </c>
      <c r="C115" s="154">
        <f t="shared" si="17"/>
        <v>38624</v>
      </c>
      <c r="D115" s="155" t="str">
        <f t="shared" si="10"/>
        <v>Thu</v>
      </c>
      <c r="E115" s="162">
        <f t="shared" si="11"/>
        <v>3</v>
      </c>
      <c r="F115" s="162">
        <f t="shared" si="15"/>
        <v>20</v>
      </c>
      <c r="G115" s="162">
        <f t="shared" si="14"/>
        <v>26</v>
      </c>
      <c r="H115" s="162"/>
      <c r="I115" s="162"/>
      <c r="J115" s="159" t="str">
        <f t="shared" si="12"/>
        <v>Sep</v>
      </c>
      <c r="K115" s="159">
        <f t="shared" si="13"/>
        <v>2005</v>
      </c>
      <c r="L115" s="160">
        <v>1</v>
      </c>
    </row>
    <row r="116" spans="1:25" s="161" customFormat="1" ht="14.4">
      <c r="A116" s="128"/>
      <c r="B116" s="154">
        <f t="shared" si="16"/>
        <v>38632</v>
      </c>
      <c r="C116" s="154">
        <f t="shared" si="17"/>
        <v>38638</v>
      </c>
      <c r="D116" s="155" t="str">
        <f t="shared" si="10"/>
        <v>Thu</v>
      </c>
      <c r="E116" s="162">
        <f t="shared" si="11"/>
        <v>1</v>
      </c>
      <c r="F116" s="162">
        <f t="shared" si="15"/>
        <v>21</v>
      </c>
      <c r="G116" s="162">
        <f t="shared" si="14"/>
        <v>1</v>
      </c>
      <c r="H116" s="162"/>
      <c r="I116" s="162"/>
      <c r="J116" s="159" t="str">
        <f t="shared" si="12"/>
        <v>Oct</v>
      </c>
      <c r="K116" s="159">
        <f t="shared" si="13"/>
        <v>2005</v>
      </c>
      <c r="L116" s="160">
        <v>1</v>
      </c>
    </row>
    <row r="117" spans="1:25" s="161" customFormat="1" ht="14.4">
      <c r="A117" s="128"/>
      <c r="B117" s="154">
        <f t="shared" si="16"/>
        <v>38646</v>
      </c>
      <c r="C117" s="154">
        <f t="shared" si="17"/>
        <v>38652</v>
      </c>
      <c r="D117" s="155" t="str">
        <f t="shared" si="10"/>
        <v>Thu</v>
      </c>
      <c r="E117" s="162">
        <f t="shared" si="11"/>
        <v>2</v>
      </c>
      <c r="F117" s="162">
        <f t="shared" si="15"/>
        <v>22</v>
      </c>
      <c r="G117" s="162">
        <f t="shared" si="14"/>
        <v>2</v>
      </c>
      <c r="H117" s="162"/>
      <c r="I117" s="162"/>
      <c r="J117" s="159" t="str">
        <f t="shared" si="12"/>
        <v>Oct</v>
      </c>
      <c r="K117" s="159">
        <f t="shared" si="13"/>
        <v>2005</v>
      </c>
      <c r="L117" s="160">
        <v>1</v>
      </c>
    </row>
    <row r="118" spans="1:25" s="161" customFormat="1" ht="14.4">
      <c r="A118" s="128"/>
      <c r="B118" s="154">
        <f t="shared" si="16"/>
        <v>38660</v>
      </c>
      <c r="C118" s="154">
        <f t="shared" si="17"/>
        <v>38666</v>
      </c>
      <c r="D118" s="155" t="str">
        <f t="shared" si="10"/>
        <v>Thu</v>
      </c>
      <c r="E118" s="162">
        <f t="shared" si="11"/>
        <v>1</v>
      </c>
      <c r="F118" s="162">
        <f t="shared" si="15"/>
        <v>23</v>
      </c>
      <c r="G118" s="162">
        <f t="shared" si="14"/>
        <v>3</v>
      </c>
      <c r="H118" s="162"/>
      <c r="I118" s="162"/>
      <c r="J118" s="159" t="str">
        <f t="shared" si="12"/>
        <v>Nov</v>
      </c>
      <c r="K118" s="159">
        <f t="shared" si="13"/>
        <v>2005</v>
      </c>
      <c r="L118" s="160">
        <v>1</v>
      </c>
    </row>
    <row r="119" spans="1:25" s="161" customFormat="1" ht="14.4">
      <c r="A119" s="128"/>
      <c r="B119" s="154">
        <f t="shared" si="16"/>
        <v>38674</v>
      </c>
      <c r="C119" s="154">
        <f t="shared" si="17"/>
        <v>38680</v>
      </c>
      <c r="D119" s="155" t="str">
        <f t="shared" si="10"/>
        <v>Thu</v>
      </c>
      <c r="E119" s="162">
        <f t="shared" si="11"/>
        <v>2</v>
      </c>
      <c r="F119" s="162">
        <f t="shared" si="15"/>
        <v>24</v>
      </c>
      <c r="G119" s="162">
        <f t="shared" si="14"/>
        <v>4</v>
      </c>
      <c r="H119" s="162"/>
      <c r="I119" s="162"/>
      <c r="J119" s="159" t="str">
        <f t="shared" si="12"/>
        <v>Nov</v>
      </c>
      <c r="K119" s="159">
        <f t="shared" si="13"/>
        <v>2005</v>
      </c>
      <c r="L119" s="160">
        <v>1</v>
      </c>
    </row>
    <row r="120" spans="1:25" s="161" customFormat="1" ht="14.4">
      <c r="A120" s="128"/>
      <c r="B120" s="154">
        <f t="shared" si="16"/>
        <v>38688</v>
      </c>
      <c r="C120" s="154">
        <f t="shared" si="17"/>
        <v>38694</v>
      </c>
      <c r="D120" s="155" t="str">
        <f t="shared" si="10"/>
        <v>Thu</v>
      </c>
      <c r="E120" s="162">
        <f t="shared" si="11"/>
        <v>1</v>
      </c>
      <c r="F120" s="162">
        <f t="shared" si="15"/>
        <v>25</v>
      </c>
      <c r="G120" s="162">
        <f t="shared" si="14"/>
        <v>5</v>
      </c>
      <c r="H120" s="162"/>
      <c r="I120" s="162"/>
      <c r="J120" s="159" t="str">
        <f t="shared" si="12"/>
        <v>Dec</v>
      </c>
      <c r="K120" s="159">
        <f t="shared" si="13"/>
        <v>2005</v>
      </c>
      <c r="L120" s="160">
        <v>1</v>
      </c>
      <c r="M120" s="161" t="s">
        <v>347</v>
      </c>
      <c r="N120" s="161" t="s">
        <v>349</v>
      </c>
    </row>
    <row r="121" spans="1:25" s="161" customFormat="1" ht="14.4">
      <c r="A121" s="128"/>
      <c r="B121" s="154">
        <f t="shared" si="16"/>
        <v>38702</v>
      </c>
      <c r="C121" s="154">
        <f t="shared" si="17"/>
        <v>38708</v>
      </c>
      <c r="D121" s="155" t="str">
        <f t="shared" si="10"/>
        <v>Thu</v>
      </c>
      <c r="E121" s="162">
        <f t="shared" si="11"/>
        <v>2</v>
      </c>
      <c r="F121" s="162">
        <f t="shared" si="15"/>
        <v>26</v>
      </c>
      <c r="G121" s="162">
        <f t="shared" si="14"/>
        <v>6</v>
      </c>
      <c r="H121" s="162"/>
      <c r="I121" s="162"/>
      <c r="J121" s="159" t="str">
        <f t="shared" si="12"/>
        <v>Dec</v>
      </c>
      <c r="K121" s="159">
        <f t="shared" si="13"/>
        <v>2005</v>
      </c>
      <c r="L121" s="160">
        <v>1</v>
      </c>
      <c r="M121" s="161" t="s">
        <v>347</v>
      </c>
      <c r="N121" s="161" t="s">
        <v>348</v>
      </c>
    </row>
    <row r="122" spans="1:25" s="161" customFormat="1" ht="14.4">
      <c r="A122" s="128"/>
      <c r="B122" s="154">
        <f t="shared" si="16"/>
        <v>38716</v>
      </c>
      <c r="C122" s="154">
        <f t="shared" si="17"/>
        <v>38722</v>
      </c>
      <c r="D122" s="155" t="str">
        <f t="shared" si="10"/>
        <v>Thu</v>
      </c>
      <c r="E122" s="162">
        <f t="shared" si="11"/>
        <v>1</v>
      </c>
      <c r="F122" s="162">
        <f t="shared" si="15"/>
        <v>1</v>
      </c>
      <c r="G122" s="162">
        <f t="shared" si="14"/>
        <v>7</v>
      </c>
      <c r="H122" s="162"/>
      <c r="I122" s="162"/>
      <c r="J122" s="159" t="str">
        <f t="shared" si="12"/>
        <v>Jan</v>
      </c>
      <c r="K122" s="159">
        <f t="shared" si="13"/>
        <v>2006</v>
      </c>
      <c r="L122" s="160">
        <v>1</v>
      </c>
    </row>
    <row r="123" spans="1:25" s="161" customFormat="1" ht="14.4">
      <c r="A123" s="128"/>
      <c r="B123" s="154">
        <f t="shared" si="16"/>
        <v>38730</v>
      </c>
      <c r="C123" s="154">
        <f t="shared" si="17"/>
        <v>38736</v>
      </c>
      <c r="D123" s="155" t="str">
        <f t="shared" si="10"/>
        <v>Thu</v>
      </c>
      <c r="E123" s="162">
        <f t="shared" si="11"/>
        <v>2</v>
      </c>
      <c r="F123" s="162">
        <f t="shared" si="15"/>
        <v>2</v>
      </c>
      <c r="G123" s="162">
        <f t="shared" si="14"/>
        <v>8</v>
      </c>
      <c r="H123" s="162"/>
      <c r="I123" s="162"/>
      <c r="J123" s="159" t="str">
        <f t="shared" si="12"/>
        <v>Jan</v>
      </c>
      <c r="K123" s="159">
        <f t="shared" si="13"/>
        <v>2006</v>
      </c>
      <c r="L123" s="160">
        <v>1</v>
      </c>
    </row>
    <row r="124" spans="1:25" s="161" customFormat="1" ht="14.4">
      <c r="A124" s="128"/>
      <c r="B124" s="154">
        <f t="shared" si="16"/>
        <v>38744</v>
      </c>
      <c r="C124" s="154">
        <f t="shared" si="17"/>
        <v>38750</v>
      </c>
      <c r="D124" s="155" t="str">
        <f t="shared" si="10"/>
        <v>Thu</v>
      </c>
      <c r="E124" s="162">
        <f t="shared" si="11"/>
        <v>1</v>
      </c>
      <c r="F124" s="162">
        <f t="shared" si="15"/>
        <v>3</v>
      </c>
      <c r="G124" s="162">
        <f t="shared" si="14"/>
        <v>9</v>
      </c>
      <c r="H124" s="162"/>
      <c r="I124" s="162"/>
      <c r="J124" s="159" t="str">
        <f t="shared" si="12"/>
        <v>Feb</v>
      </c>
      <c r="K124" s="159">
        <f t="shared" si="13"/>
        <v>2006</v>
      </c>
      <c r="L124" s="160">
        <v>1</v>
      </c>
    </row>
    <row r="125" spans="1:25" s="161" customFormat="1" ht="14.4">
      <c r="A125" s="128"/>
      <c r="B125" s="154">
        <f t="shared" si="16"/>
        <v>38758</v>
      </c>
      <c r="C125" s="154">
        <f t="shared" si="17"/>
        <v>38764</v>
      </c>
      <c r="D125" s="155" t="str">
        <f t="shared" si="10"/>
        <v>Thu</v>
      </c>
      <c r="E125" s="162">
        <f t="shared" si="11"/>
        <v>2</v>
      </c>
      <c r="F125" s="162">
        <f t="shared" si="15"/>
        <v>4</v>
      </c>
      <c r="G125" s="162">
        <f t="shared" si="14"/>
        <v>10</v>
      </c>
      <c r="H125" s="162"/>
      <c r="I125" s="162"/>
      <c r="J125" s="159" t="str">
        <f t="shared" si="12"/>
        <v>Feb</v>
      </c>
      <c r="K125" s="159">
        <f t="shared" si="13"/>
        <v>2006</v>
      </c>
      <c r="L125" s="160">
        <v>1</v>
      </c>
    </row>
    <row r="126" spans="1:25" s="161" customFormat="1" ht="15" thickBot="1">
      <c r="A126" s="128"/>
      <c r="B126" s="154">
        <f t="shared" si="16"/>
        <v>38772</v>
      </c>
      <c r="C126" s="154">
        <f t="shared" si="17"/>
        <v>38778</v>
      </c>
      <c r="D126" s="155" t="str">
        <f t="shared" si="10"/>
        <v>Thu</v>
      </c>
      <c r="E126" s="162">
        <f t="shared" si="11"/>
        <v>1</v>
      </c>
      <c r="F126" s="162">
        <f t="shared" si="15"/>
        <v>5</v>
      </c>
      <c r="G126" s="162">
        <f t="shared" si="14"/>
        <v>11</v>
      </c>
      <c r="H126" s="162"/>
      <c r="I126" s="162"/>
      <c r="J126" s="159" t="str">
        <f t="shared" si="12"/>
        <v>Mar</v>
      </c>
      <c r="K126" s="159">
        <f t="shared" si="13"/>
        <v>2006</v>
      </c>
      <c r="L126" s="160">
        <v>1</v>
      </c>
      <c r="M126" s="145"/>
      <c r="N126" s="145"/>
      <c r="O126" s="145"/>
      <c r="P126" s="145"/>
      <c r="Q126" s="145"/>
      <c r="R126" s="145"/>
      <c r="S126" s="145"/>
      <c r="T126" s="145"/>
      <c r="U126" s="145"/>
    </row>
    <row r="127" spans="1:25" ht="15" thickBot="1">
      <c r="A127" s="128"/>
      <c r="B127" s="154">
        <f t="shared" si="16"/>
        <v>38786</v>
      </c>
      <c r="C127" s="154">
        <f t="shared" si="17"/>
        <v>38792</v>
      </c>
      <c r="D127" s="155" t="str">
        <f t="shared" si="10"/>
        <v>Thu</v>
      </c>
      <c r="E127" s="162">
        <f t="shared" si="11"/>
        <v>2</v>
      </c>
      <c r="F127" s="162">
        <f t="shared" si="15"/>
        <v>6</v>
      </c>
      <c r="G127" s="162">
        <f t="shared" si="14"/>
        <v>12</v>
      </c>
      <c r="H127" s="162"/>
      <c r="I127" s="162"/>
      <c r="J127" s="159" t="str">
        <f t="shared" si="12"/>
        <v>Mar</v>
      </c>
      <c r="K127" s="159">
        <f t="shared" si="13"/>
        <v>2006</v>
      </c>
      <c r="L127" s="160">
        <v>1</v>
      </c>
      <c r="M127" s="170"/>
      <c r="N127" s="171"/>
      <c r="P127" s="172"/>
      <c r="Q127" s="170" t="s">
        <v>351</v>
      </c>
      <c r="R127" s="173"/>
      <c r="S127" s="173"/>
      <c r="T127" s="173"/>
      <c r="U127" s="174"/>
    </row>
    <row r="128" spans="1:25" ht="14.4">
      <c r="A128" s="128"/>
      <c r="B128" s="154">
        <f t="shared" si="16"/>
        <v>38800</v>
      </c>
      <c r="C128" s="154">
        <f t="shared" si="17"/>
        <v>38806</v>
      </c>
      <c r="D128" s="155" t="str">
        <f t="shared" si="10"/>
        <v>Thu</v>
      </c>
      <c r="E128" s="162">
        <f t="shared" si="11"/>
        <v>3</v>
      </c>
      <c r="F128" s="162">
        <f t="shared" si="15"/>
        <v>7</v>
      </c>
      <c r="G128" s="162">
        <f t="shared" si="14"/>
        <v>13</v>
      </c>
      <c r="H128" s="162"/>
      <c r="I128" s="162"/>
      <c r="J128" s="159" t="str">
        <f t="shared" si="12"/>
        <v>Mar</v>
      </c>
      <c r="K128" s="159">
        <f t="shared" si="13"/>
        <v>2006</v>
      </c>
      <c r="L128" s="160">
        <v>1</v>
      </c>
      <c r="N128" s="148"/>
      <c r="O128" s="148"/>
      <c r="P128" s="148"/>
      <c r="Q128" s="148"/>
      <c r="Y128" s="148"/>
    </row>
    <row r="129" spans="1:12" ht="14.4">
      <c r="A129" s="128"/>
      <c r="B129" s="154">
        <f t="shared" si="16"/>
        <v>38814</v>
      </c>
      <c r="C129" s="154">
        <f t="shared" si="17"/>
        <v>38820</v>
      </c>
      <c r="D129" s="155" t="str">
        <f t="shared" si="10"/>
        <v>Thu</v>
      </c>
      <c r="E129" s="162">
        <f t="shared" si="11"/>
        <v>1</v>
      </c>
      <c r="F129" s="162">
        <f t="shared" si="15"/>
        <v>8</v>
      </c>
      <c r="G129" s="162">
        <f t="shared" si="14"/>
        <v>14</v>
      </c>
      <c r="H129" s="162"/>
      <c r="I129" s="162"/>
      <c r="J129" s="159" t="str">
        <f t="shared" si="12"/>
        <v>Apr</v>
      </c>
      <c r="K129" s="159">
        <f t="shared" si="13"/>
        <v>2006</v>
      </c>
      <c r="L129" s="160">
        <v>1</v>
      </c>
    </row>
    <row r="130" spans="1:12" ht="14.4">
      <c r="A130" s="128"/>
      <c r="B130" s="154">
        <f t="shared" si="16"/>
        <v>38828</v>
      </c>
      <c r="C130" s="154">
        <f t="shared" si="17"/>
        <v>38834</v>
      </c>
      <c r="D130" s="155" t="str">
        <f t="shared" si="10"/>
        <v>Thu</v>
      </c>
      <c r="E130" s="162">
        <f t="shared" si="11"/>
        <v>2</v>
      </c>
      <c r="F130" s="162">
        <f t="shared" si="15"/>
        <v>9</v>
      </c>
      <c r="G130" s="162">
        <f t="shared" si="14"/>
        <v>15</v>
      </c>
      <c r="H130" s="162"/>
      <c r="I130" s="162"/>
      <c r="J130" s="159" t="str">
        <f t="shared" si="12"/>
        <v>Apr</v>
      </c>
      <c r="K130" s="159">
        <f t="shared" si="13"/>
        <v>2006</v>
      </c>
      <c r="L130" s="160">
        <v>1</v>
      </c>
    </row>
    <row r="131" spans="1:12" ht="14.4">
      <c r="A131" s="128"/>
      <c r="B131" s="154">
        <f t="shared" si="16"/>
        <v>38842</v>
      </c>
      <c r="C131" s="154">
        <f t="shared" si="17"/>
        <v>38848</v>
      </c>
      <c r="D131" s="155" t="str">
        <f t="shared" si="10"/>
        <v>Thu</v>
      </c>
      <c r="E131" s="162">
        <f t="shared" si="11"/>
        <v>1</v>
      </c>
      <c r="F131" s="162">
        <f t="shared" si="15"/>
        <v>10</v>
      </c>
      <c r="G131" s="162">
        <f t="shared" si="14"/>
        <v>16</v>
      </c>
      <c r="H131" s="162"/>
      <c r="I131" s="162"/>
      <c r="J131" s="159" t="str">
        <f t="shared" si="12"/>
        <v>May</v>
      </c>
      <c r="K131" s="159">
        <f t="shared" si="13"/>
        <v>2006</v>
      </c>
      <c r="L131" s="160">
        <v>1</v>
      </c>
    </row>
    <row r="132" spans="1:12" ht="14.4">
      <c r="A132" s="128"/>
      <c r="B132" s="154">
        <f t="shared" si="16"/>
        <v>38856</v>
      </c>
      <c r="C132" s="154">
        <f t="shared" si="17"/>
        <v>38862</v>
      </c>
      <c r="D132" s="155" t="str">
        <f t="shared" si="10"/>
        <v>Thu</v>
      </c>
      <c r="E132" s="162">
        <f t="shared" si="11"/>
        <v>2</v>
      </c>
      <c r="F132" s="162">
        <f t="shared" si="15"/>
        <v>11</v>
      </c>
      <c r="G132" s="162">
        <f t="shared" si="14"/>
        <v>17</v>
      </c>
      <c r="H132" s="162"/>
      <c r="I132" s="162"/>
      <c r="J132" s="159" t="str">
        <f t="shared" si="12"/>
        <v>May</v>
      </c>
      <c r="K132" s="159">
        <f t="shared" si="13"/>
        <v>2006</v>
      </c>
      <c r="L132" s="160">
        <v>1</v>
      </c>
    </row>
    <row r="133" spans="1:12" ht="14.4">
      <c r="A133" s="128"/>
      <c r="B133" s="154">
        <f t="shared" si="16"/>
        <v>38870</v>
      </c>
      <c r="C133" s="154">
        <f t="shared" si="17"/>
        <v>38876</v>
      </c>
      <c r="D133" s="155" t="str">
        <f t="shared" si="10"/>
        <v>Thu</v>
      </c>
      <c r="E133" s="162">
        <f t="shared" si="11"/>
        <v>1</v>
      </c>
      <c r="F133" s="162">
        <f t="shared" si="15"/>
        <v>12</v>
      </c>
      <c r="G133" s="162">
        <f t="shared" si="14"/>
        <v>18</v>
      </c>
      <c r="H133" s="162"/>
      <c r="I133" s="162"/>
      <c r="J133" s="159" t="str">
        <f t="shared" si="12"/>
        <v>Jun</v>
      </c>
      <c r="K133" s="159">
        <f t="shared" si="13"/>
        <v>2006</v>
      </c>
      <c r="L133" s="160">
        <v>1</v>
      </c>
    </row>
    <row r="134" spans="1:12" ht="14.4">
      <c r="A134" s="128"/>
      <c r="B134" s="154">
        <f t="shared" si="16"/>
        <v>38884</v>
      </c>
      <c r="C134" s="154">
        <f t="shared" si="17"/>
        <v>38890</v>
      </c>
      <c r="D134" s="155" t="str">
        <f t="shared" si="10"/>
        <v>Thu</v>
      </c>
      <c r="E134" s="162">
        <f t="shared" si="11"/>
        <v>2</v>
      </c>
      <c r="F134" s="162">
        <f t="shared" si="15"/>
        <v>13</v>
      </c>
      <c r="G134" s="162">
        <f t="shared" si="14"/>
        <v>19</v>
      </c>
      <c r="H134" s="162"/>
      <c r="I134" s="162"/>
      <c r="J134" s="159" t="str">
        <f t="shared" si="12"/>
        <v>Jun</v>
      </c>
      <c r="K134" s="159">
        <f t="shared" si="13"/>
        <v>2006</v>
      </c>
      <c r="L134" s="160">
        <v>1</v>
      </c>
    </row>
    <row r="135" spans="1:12" ht="14.4">
      <c r="A135" s="128"/>
      <c r="B135" s="154">
        <f t="shared" si="16"/>
        <v>38898</v>
      </c>
      <c r="C135" s="154">
        <f t="shared" si="17"/>
        <v>38904</v>
      </c>
      <c r="D135" s="155" t="str">
        <f t="shared" ref="D135:D199" si="18">TEXT(C135,"ddd")</f>
        <v>Thu</v>
      </c>
      <c r="E135" s="162">
        <f t="shared" si="11"/>
        <v>1</v>
      </c>
      <c r="F135" s="162">
        <f t="shared" si="15"/>
        <v>14</v>
      </c>
      <c r="G135" s="162">
        <f t="shared" si="14"/>
        <v>20</v>
      </c>
      <c r="H135" s="162"/>
      <c r="I135" s="162"/>
      <c r="J135" s="159" t="str">
        <f t="shared" si="12"/>
        <v>Jul</v>
      </c>
      <c r="K135" s="159">
        <f t="shared" si="13"/>
        <v>2006</v>
      </c>
      <c r="L135" s="160">
        <v>1</v>
      </c>
    </row>
    <row r="136" spans="1:12" ht="14.4">
      <c r="A136" s="128"/>
      <c r="B136" s="154">
        <f t="shared" si="16"/>
        <v>38912</v>
      </c>
      <c r="C136" s="154">
        <f t="shared" si="17"/>
        <v>38918</v>
      </c>
      <c r="D136" s="155" t="str">
        <f t="shared" si="18"/>
        <v>Thu</v>
      </c>
      <c r="E136" s="162">
        <f t="shared" ref="E136:E199" si="19">IF(MONTH(C136)=MONTH(C135),E135+1,1)</f>
        <v>2</v>
      </c>
      <c r="F136" s="162">
        <f t="shared" si="15"/>
        <v>15</v>
      </c>
      <c r="G136" s="162">
        <f t="shared" si="14"/>
        <v>21</v>
      </c>
      <c r="H136" s="162"/>
      <c r="I136" s="162"/>
      <c r="J136" s="159" t="str">
        <f t="shared" ref="J136:J199" si="20">TEXT(C136,"mmm")</f>
        <v>Jul</v>
      </c>
      <c r="K136" s="159">
        <f t="shared" ref="K136:K199" si="21">YEAR(C136)</f>
        <v>2006</v>
      </c>
      <c r="L136" s="160">
        <v>1</v>
      </c>
    </row>
    <row r="137" spans="1:12" ht="14.4">
      <c r="A137" s="128"/>
      <c r="B137" s="154">
        <f t="shared" si="16"/>
        <v>38926</v>
      </c>
      <c r="C137" s="154">
        <f t="shared" si="17"/>
        <v>38932</v>
      </c>
      <c r="D137" s="155" t="str">
        <f t="shared" si="18"/>
        <v>Thu</v>
      </c>
      <c r="E137" s="162">
        <f t="shared" si="19"/>
        <v>1</v>
      </c>
      <c r="F137" s="162">
        <f t="shared" si="15"/>
        <v>16</v>
      </c>
      <c r="G137" s="162">
        <f t="shared" si="14"/>
        <v>22</v>
      </c>
      <c r="H137" s="162"/>
      <c r="I137" s="162"/>
      <c r="J137" s="159" t="str">
        <f t="shared" si="20"/>
        <v>Aug</v>
      </c>
      <c r="K137" s="159">
        <f t="shared" si="21"/>
        <v>2006</v>
      </c>
      <c r="L137" s="160">
        <v>1</v>
      </c>
    </row>
    <row r="138" spans="1:12" ht="14.4">
      <c r="A138" s="128"/>
      <c r="B138" s="154">
        <f t="shared" si="16"/>
        <v>38940</v>
      </c>
      <c r="C138" s="154">
        <f t="shared" si="17"/>
        <v>38946</v>
      </c>
      <c r="D138" s="155" t="str">
        <f t="shared" si="18"/>
        <v>Thu</v>
      </c>
      <c r="E138" s="162">
        <f t="shared" si="19"/>
        <v>2</v>
      </c>
      <c r="F138" s="162">
        <f t="shared" si="15"/>
        <v>17</v>
      </c>
      <c r="G138" s="162">
        <f t="shared" si="14"/>
        <v>23</v>
      </c>
      <c r="H138" s="162"/>
      <c r="I138" s="162"/>
      <c r="J138" s="159" t="str">
        <f t="shared" si="20"/>
        <v>Aug</v>
      </c>
      <c r="K138" s="159">
        <f t="shared" si="21"/>
        <v>2006</v>
      </c>
      <c r="L138" s="160">
        <v>1</v>
      </c>
    </row>
    <row r="139" spans="1:12" ht="14.4">
      <c r="A139" s="128"/>
      <c r="B139" s="154">
        <f t="shared" si="16"/>
        <v>38954</v>
      </c>
      <c r="C139" s="154">
        <f t="shared" si="17"/>
        <v>38960</v>
      </c>
      <c r="D139" s="155" t="str">
        <f t="shared" si="18"/>
        <v>Thu</v>
      </c>
      <c r="E139" s="162">
        <f t="shared" si="19"/>
        <v>3</v>
      </c>
      <c r="F139" s="162">
        <f t="shared" si="15"/>
        <v>18</v>
      </c>
      <c r="G139" s="162">
        <f t="shared" ref="G139:G202" si="22">IF(AND(F139&lt;26,MONTH(C139)=10),E139,(G138+1))</f>
        <v>24</v>
      </c>
      <c r="H139" s="162"/>
      <c r="I139" s="162"/>
      <c r="J139" s="159" t="str">
        <f t="shared" si="20"/>
        <v>Aug</v>
      </c>
      <c r="K139" s="159">
        <f t="shared" si="21"/>
        <v>2006</v>
      </c>
      <c r="L139" s="160">
        <v>1</v>
      </c>
    </row>
    <row r="140" spans="1:12" ht="14.4">
      <c r="A140" s="128"/>
      <c r="B140" s="154">
        <f t="shared" si="16"/>
        <v>38968</v>
      </c>
      <c r="C140" s="154">
        <f t="shared" si="17"/>
        <v>38974</v>
      </c>
      <c r="D140" s="155" t="str">
        <f t="shared" si="18"/>
        <v>Thu</v>
      </c>
      <c r="E140" s="162">
        <f t="shared" si="19"/>
        <v>1</v>
      </c>
      <c r="F140" s="162">
        <f t="shared" si="15"/>
        <v>19</v>
      </c>
      <c r="G140" s="162">
        <f t="shared" si="22"/>
        <v>25</v>
      </c>
      <c r="H140" s="162"/>
      <c r="I140" s="162"/>
      <c r="J140" s="159" t="str">
        <f t="shared" si="20"/>
        <v>Sep</v>
      </c>
      <c r="K140" s="159">
        <f t="shared" si="21"/>
        <v>2006</v>
      </c>
      <c r="L140" s="160">
        <v>1</v>
      </c>
    </row>
    <row r="141" spans="1:12" ht="14.4">
      <c r="A141" s="128"/>
      <c r="B141" s="154">
        <f t="shared" si="16"/>
        <v>38982</v>
      </c>
      <c r="C141" s="154">
        <f t="shared" si="17"/>
        <v>38988</v>
      </c>
      <c r="D141" s="155" t="str">
        <f t="shared" si="18"/>
        <v>Thu</v>
      </c>
      <c r="E141" s="162">
        <f t="shared" si="19"/>
        <v>2</v>
      </c>
      <c r="F141" s="162">
        <f t="shared" si="15"/>
        <v>20</v>
      </c>
      <c r="G141" s="162">
        <f t="shared" si="22"/>
        <v>26</v>
      </c>
      <c r="H141" s="162"/>
      <c r="I141" s="162"/>
      <c r="J141" s="159" t="str">
        <f t="shared" si="20"/>
        <v>Sep</v>
      </c>
      <c r="K141" s="159">
        <f t="shared" si="21"/>
        <v>2006</v>
      </c>
      <c r="L141" s="160">
        <v>1</v>
      </c>
    </row>
    <row r="142" spans="1:12" ht="14.4">
      <c r="A142" s="128"/>
      <c r="B142" s="154">
        <f t="shared" si="16"/>
        <v>38996</v>
      </c>
      <c r="C142" s="154">
        <f t="shared" si="17"/>
        <v>39002</v>
      </c>
      <c r="D142" s="155" t="str">
        <f t="shared" si="18"/>
        <v>Thu</v>
      </c>
      <c r="E142" s="162">
        <f t="shared" si="19"/>
        <v>1</v>
      </c>
      <c r="F142" s="162">
        <f t="shared" si="15"/>
        <v>21</v>
      </c>
      <c r="G142" s="162">
        <f t="shared" si="22"/>
        <v>1</v>
      </c>
      <c r="H142" s="162">
        <f>IF(2080-(G141*80)&gt;0,2080-(G141*80),2080)</f>
        <v>2080</v>
      </c>
      <c r="I142" s="175">
        <f>H142/2080</f>
        <v>1</v>
      </c>
      <c r="J142" s="159" t="str">
        <f t="shared" si="20"/>
        <v>Oct</v>
      </c>
      <c r="K142" s="159">
        <f t="shared" si="21"/>
        <v>2006</v>
      </c>
      <c r="L142" s="160">
        <v>1</v>
      </c>
    </row>
    <row r="143" spans="1:12" ht="14.4">
      <c r="A143" s="128"/>
      <c r="B143" s="154">
        <f t="shared" si="16"/>
        <v>39010</v>
      </c>
      <c r="C143" s="154">
        <f t="shared" si="17"/>
        <v>39016</v>
      </c>
      <c r="D143" s="155" t="str">
        <f t="shared" si="18"/>
        <v>Thu</v>
      </c>
      <c r="E143" s="162">
        <f t="shared" si="19"/>
        <v>2</v>
      </c>
      <c r="F143" s="162">
        <f t="shared" si="15"/>
        <v>22</v>
      </c>
      <c r="G143" s="162">
        <f t="shared" si="22"/>
        <v>2</v>
      </c>
      <c r="H143" s="162">
        <f t="shared" ref="H143:H167" si="23">IF(2080-(G142*80)&gt;0,2080-(G142*80),2080)</f>
        <v>2000</v>
      </c>
      <c r="I143" s="175">
        <f t="shared" ref="I143:I206" si="24">H143/2080</f>
        <v>0.96153846153846156</v>
      </c>
      <c r="J143" s="159" t="str">
        <f t="shared" si="20"/>
        <v>Oct</v>
      </c>
      <c r="K143" s="159">
        <f t="shared" si="21"/>
        <v>2006</v>
      </c>
      <c r="L143" s="160">
        <v>1</v>
      </c>
    </row>
    <row r="144" spans="1:12" ht="14.4">
      <c r="A144" s="128"/>
      <c r="B144" s="154">
        <f t="shared" si="16"/>
        <v>39024</v>
      </c>
      <c r="C144" s="154">
        <f t="shared" si="17"/>
        <v>39030</v>
      </c>
      <c r="D144" s="155" t="str">
        <f t="shared" si="18"/>
        <v>Thu</v>
      </c>
      <c r="E144" s="162">
        <f t="shared" si="19"/>
        <v>1</v>
      </c>
      <c r="F144" s="162">
        <f t="shared" si="15"/>
        <v>23</v>
      </c>
      <c r="G144" s="162">
        <f t="shared" si="22"/>
        <v>3</v>
      </c>
      <c r="H144" s="162">
        <f t="shared" si="23"/>
        <v>1920</v>
      </c>
      <c r="I144" s="175">
        <f t="shared" si="24"/>
        <v>0.92307692307692313</v>
      </c>
      <c r="J144" s="159" t="str">
        <f t="shared" si="20"/>
        <v>Nov</v>
      </c>
      <c r="K144" s="159">
        <f t="shared" si="21"/>
        <v>2006</v>
      </c>
      <c r="L144" s="160">
        <v>1</v>
      </c>
    </row>
    <row r="145" spans="1:12" ht="14.4">
      <c r="A145" s="128"/>
      <c r="B145" s="154">
        <f t="shared" si="16"/>
        <v>39038</v>
      </c>
      <c r="C145" s="154">
        <f t="shared" si="17"/>
        <v>39044</v>
      </c>
      <c r="D145" s="155" t="str">
        <f t="shared" si="18"/>
        <v>Thu</v>
      </c>
      <c r="E145" s="162">
        <f t="shared" si="19"/>
        <v>2</v>
      </c>
      <c r="F145" s="162">
        <f t="shared" si="15"/>
        <v>24</v>
      </c>
      <c r="G145" s="162">
        <f t="shared" si="22"/>
        <v>4</v>
      </c>
      <c r="H145" s="162">
        <f t="shared" si="23"/>
        <v>1840</v>
      </c>
      <c r="I145" s="175">
        <f t="shared" si="24"/>
        <v>0.88461538461538458</v>
      </c>
      <c r="J145" s="159" t="str">
        <f t="shared" si="20"/>
        <v>Nov</v>
      </c>
      <c r="K145" s="159">
        <f t="shared" si="21"/>
        <v>2006</v>
      </c>
      <c r="L145" s="160">
        <v>1</v>
      </c>
    </row>
    <row r="146" spans="1:12" ht="14.4">
      <c r="A146" s="128"/>
      <c r="B146" s="154">
        <f t="shared" si="16"/>
        <v>39052</v>
      </c>
      <c r="C146" s="154">
        <f t="shared" si="17"/>
        <v>39058</v>
      </c>
      <c r="D146" s="155" t="str">
        <f t="shared" si="18"/>
        <v>Thu</v>
      </c>
      <c r="E146" s="162">
        <f t="shared" si="19"/>
        <v>1</v>
      </c>
      <c r="F146" s="162">
        <f t="shared" ref="F146:F209" si="25">IF(YEAR(C146)&gt;YEAR(C145),1,F145+1)</f>
        <v>25</v>
      </c>
      <c r="G146" s="162">
        <f t="shared" si="22"/>
        <v>5</v>
      </c>
      <c r="H146" s="162">
        <f t="shared" si="23"/>
        <v>1760</v>
      </c>
      <c r="I146" s="175">
        <f t="shared" si="24"/>
        <v>0.84615384615384615</v>
      </c>
      <c r="J146" s="159" t="str">
        <f t="shared" si="20"/>
        <v>Dec</v>
      </c>
      <c r="K146" s="159">
        <f t="shared" si="21"/>
        <v>2006</v>
      </c>
      <c r="L146" s="160">
        <v>1</v>
      </c>
    </row>
    <row r="147" spans="1:12" ht="14.4">
      <c r="A147" s="128"/>
      <c r="B147" s="154">
        <f t="shared" si="16"/>
        <v>39066</v>
      </c>
      <c r="C147" s="154">
        <f t="shared" si="17"/>
        <v>39072</v>
      </c>
      <c r="D147" s="155" t="str">
        <f t="shared" si="18"/>
        <v>Thu</v>
      </c>
      <c r="E147" s="162">
        <f t="shared" si="19"/>
        <v>2</v>
      </c>
      <c r="F147" s="162">
        <f t="shared" si="25"/>
        <v>26</v>
      </c>
      <c r="G147" s="162">
        <f t="shared" si="22"/>
        <v>6</v>
      </c>
      <c r="H147" s="162">
        <f t="shared" si="23"/>
        <v>1680</v>
      </c>
      <c r="I147" s="175">
        <f t="shared" si="24"/>
        <v>0.80769230769230771</v>
      </c>
      <c r="J147" s="159" t="str">
        <f t="shared" si="20"/>
        <v>Dec</v>
      </c>
      <c r="K147" s="159">
        <f t="shared" si="21"/>
        <v>2006</v>
      </c>
      <c r="L147" s="160">
        <v>1</v>
      </c>
    </row>
    <row r="148" spans="1:12" ht="14.4">
      <c r="A148" s="128"/>
      <c r="B148" s="154">
        <f t="shared" si="16"/>
        <v>39080</v>
      </c>
      <c r="C148" s="154">
        <f t="shared" si="17"/>
        <v>39086</v>
      </c>
      <c r="D148" s="155" t="str">
        <f t="shared" si="18"/>
        <v>Thu</v>
      </c>
      <c r="E148" s="162">
        <f t="shared" si="19"/>
        <v>1</v>
      </c>
      <c r="F148" s="162">
        <f t="shared" si="25"/>
        <v>1</v>
      </c>
      <c r="G148" s="162">
        <f t="shared" si="22"/>
        <v>7</v>
      </c>
      <c r="H148" s="162">
        <f t="shared" si="23"/>
        <v>1600</v>
      </c>
      <c r="I148" s="175">
        <f t="shared" si="24"/>
        <v>0.76923076923076927</v>
      </c>
      <c r="J148" s="159" t="str">
        <f t="shared" si="20"/>
        <v>Jan</v>
      </c>
      <c r="K148" s="159">
        <f t="shared" si="21"/>
        <v>2007</v>
      </c>
      <c r="L148" s="160">
        <v>1</v>
      </c>
    </row>
    <row r="149" spans="1:12" ht="14.4">
      <c r="A149" s="128"/>
      <c r="B149" s="154">
        <f t="shared" si="16"/>
        <v>39094</v>
      </c>
      <c r="C149" s="154">
        <f t="shared" si="17"/>
        <v>39100</v>
      </c>
      <c r="D149" s="155" t="str">
        <f t="shared" si="18"/>
        <v>Thu</v>
      </c>
      <c r="E149" s="162">
        <f t="shared" si="19"/>
        <v>2</v>
      </c>
      <c r="F149" s="162">
        <f t="shared" si="25"/>
        <v>2</v>
      </c>
      <c r="G149" s="162">
        <f t="shared" si="22"/>
        <v>8</v>
      </c>
      <c r="H149" s="162">
        <f t="shared" si="23"/>
        <v>1520</v>
      </c>
      <c r="I149" s="175">
        <f t="shared" si="24"/>
        <v>0.73076923076923073</v>
      </c>
      <c r="J149" s="159" t="str">
        <f t="shared" si="20"/>
        <v>Jan</v>
      </c>
      <c r="K149" s="159">
        <f t="shared" si="21"/>
        <v>2007</v>
      </c>
      <c r="L149" s="160">
        <v>1</v>
      </c>
    </row>
    <row r="150" spans="1:12" ht="14.4">
      <c r="A150" s="128"/>
      <c r="B150" s="154">
        <f t="shared" si="16"/>
        <v>39108</v>
      </c>
      <c r="C150" s="154">
        <f t="shared" si="17"/>
        <v>39114</v>
      </c>
      <c r="D150" s="155" t="str">
        <f t="shared" si="18"/>
        <v>Thu</v>
      </c>
      <c r="E150" s="162">
        <f t="shared" si="19"/>
        <v>1</v>
      </c>
      <c r="F150" s="162">
        <f t="shared" si="25"/>
        <v>3</v>
      </c>
      <c r="G150" s="162">
        <f t="shared" si="22"/>
        <v>9</v>
      </c>
      <c r="H150" s="162">
        <f t="shared" si="23"/>
        <v>1440</v>
      </c>
      <c r="I150" s="175">
        <f t="shared" si="24"/>
        <v>0.69230769230769229</v>
      </c>
      <c r="J150" s="159" t="str">
        <f t="shared" si="20"/>
        <v>Feb</v>
      </c>
      <c r="K150" s="159">
        <f t="shared" si="21"/>
        <v>2007</v>
      </c>
      <c r="L150" s="160">
        <v>1</v>
      </c>
    </row>
    <row r="151" spans="1:12" ht="14.4">
      <c r="A151" s="128"/>
      <c r="B151" s="154">
        <f t="shared" si="16"/>
        <v>39122</v>
      </c>
      <c r="C151" s="154">
        <f t="shared" si="17"/>
        <v>39128</v>
      </c>
      <c r="D151" s="155" t="str">
        <f t="shared" si="18"/>
        <v>Thu</v>
      </c>
      <c r="E151" s="162">
        <f t="shared" si="19"/>
        <v>2</v>
      </c>
      <c r="F151" s="162">
        <f t="shared" si="25"/>
        <v>4</v>
      </c>
      <c r="G151" s="162">
        <f t="shared" si="22"/>
        <v>10</v>
      </c>
      <c r="H151" s="162">
        <f t="shared" si="23"/>
        <v>1360</v>
      </c>
      <c r="I151" s="175">
        <f t="shared" si="24"/>
        <v>0.65384615384615385</v>
      </c>
      <c r="J151" s="159" t="str">
        <f t="shared" si="20"/>
        <v>Feb</v>
      </c>
      <c r="K151" s="159">
        <f t="shared" si="21"/>
        <v>2007</v>
      </c>
      <c r="L151" s="160">
        <v>1</v>
      </c>
    </row>
    <row r="152" spans="1:12" ht="14.4">
      <c r="A152" s="128"/>
      <c r="B152" s="154">
        <f t="shared" si="16"/>
        <v>39136</v>
      </c>
      <c r="C152" s="154">
        <f t="shared" si="17"/>
        <v>39142</v>
      </c>
      <c r="D152" s="155" t="str">
        <f t="shared" si="18"/>
        <v>Thu</v>
      </c>
      <c r="E152" s="162">
        <f t="shared" si="19"/>
        <v>1</v>
      </c>
      <c r="F152" s="162">
        <f t="shared" si="25"/>
        <v>5</v>
      </c>
      <c r="G152" s="162">
        <f t="shared" si="22"/>
        <v>11</v>
      </c>
      <c r="H152" s="162">
        <f t="shared" si="23"/>
        <v>1280</v>
      </c>
      <c r="I152" s="175">
        <f t="shared" si="24"/>
        <v>0.61538461538461542</v>
      </c>
      <c r="J152" s="159" t="str">
        <f t="shared" si="20"/>
        <v>Mar</v>
      </c>
      <c r="K152" s="159">
        <f t="shared" si="21"/>
        <v>2007</v>
      </c>
      <c r="L152" s="160">
        <v>1</v>
      </c>
    </row>
    <row r="153" spans="1:12" ht="14.4">
      <c r="A153" s="128"/>
      <c r="B153" s="154">
        <f t="shared" si="16"/>
        <v>39150</v>
      </c>
      <c r="C153" s="154">
        <f t="shared" si="17"/>
        <v>39156</v>
      </c>
      <c r="D153" s="155" t="str">
        <f t="shared" si="18"/>
        <v>Thu</v>
      </c>
      <c r="E153" s="162">
        <f t="shared" si="19"/>
        <v>2</v>
      </c>
      <c r="F153" s="162">
        <f t="shared" si="25"/>
        <v>6</v>
      </c>
      <c r="G153" s="162">
        <f t="shared" si="22"/>
        <v>12</v>
      </c>
      <c r="H153" s="162">
        <f t="shared" si="23"/>
        <v>1200</v>
      </c>
      <c r="I153" s="175">
        <f t="shared" si="24"/>
        <v>0.57692307692307687</v>
      </c>
      <c r="J153" s="159" t="str">
        <f t="shared" si="20"/>
        <v>Mar</v>
      </c>
      <c r="K153" s="159">
        <f t="shared" si="21"/>
        <v>2007</v>
      </c>
      <c r="L153" s="160">
        <v>1</v>
      </c>
    </row>
    <row r="154" spans="1:12" ht="14.4">
      <c r="A154" s="128"/>
      <c r="B154" s="154">
        <f t="shared" si="16"/>
        <v>39164</v>
      </c>
      <c r="C154" s="154">
        <f t="shared" si="17"/>
        <v>39170</v>
      </c>
      <c r="D154" s="155" t="str">
        <f t="shared" si="18"/>
        <v>Thu</v>
      </c>
      <c r="E154" s="162">
        <f t="shared" si="19"/>
        <v>3</v>
      </c>
      <c r="F154" s="162">
        <f t="shared" si="25"/>
        <v>7</v>
      </c>
      <c r="G154" s="162">
        <f t="shared" si="22"/>
        <v>13</v>
      </c>
      <c r="H154" s="162">
        <f t="shared" si="23"/>
        <v>1120</v>
      </c>
      <c r="I154" s="175">
        <f t="shared" si="24"/>
        <v>0.53846153846153844</v>
      </c>
      <c r="J154" s="159" t="str">
        <f t="shared" si="20"/>
        <v>Mar</v>
      </c>
      <c r="K154" s="159">
        <f t="shared" si="21"/>
        <v>2007</v>
      </c>
      <c r="L154" s="160">
        <v>1</v>
      </c>
    </row>
    <row r="155" spans="1:12" ht="14.4">
      <c r="A155" s="128"/>
      <c r="B155" s="154">
        <f t="shared" si="16"/>
        <v>39178</v>
      </c>
      <c r="C155" s="154">
        <f t="shared" si="17"/>
        <v>39184</v>
      </c>
      <c r="D155" s="155" t="str">
        <f t="shared" si="18"/>
        <v>Thu</v>
      </c>
      <c r="E155" s="162">
        <f t="shared" si="19"/>
        <v>1</v>
      </c>
      <c r="F155" s="162">
        <f t="shared" si="25"/>
        <v>8</v>
      </c>
      <c r="G155" s="162">
        <f t="shared" si="22"/>
        <v>14</v>
      </c>
      <c r="H155" s="162">
        <f t="shared" si="23"/>
        <v>1040</v>
      </c>
      <c r="I155" s="175">
        <f t="shared" si="24"/>
        <v>0.5</v>
      </c>
      <c r="J155" s="159" t="str">
        <f t="shared" si="20"/>
        <v>Apr</v>
      </c>
      <c r="K155" s="159">
        <f t="shared" si="21"/>
        <v>2007</v>
      </c>
      <c r="L155" s="160">
        <v>1</v>
      </c>
    </row>
    <row r="156" spans="1:12" ht="14.4">
      <c r="A156" s="128"/>
      <c r="B156" s="154">
        <f t="shared" si="16"/>
        <v>39192</v>
      </c>
      <c r="C156" s="154">
        <f t="shared" si="17"/>
        <v>39198</v>
      </c>
      <c r="D156" s="155" t="str">
        <f t="shared" si="18"/>
        <v>Thu</v>
      </c>
      <c r="E156" s="162">
        <f t="shared" si="19"/>
        <v>2</v>
      </c>
      <c r="F156" s="162">
        <f t="shared" si="25"/>
        <v>9</v>
      </c>
      <c r="G156" s="162">
        <f t="shared" si="22"/>
        <v>15</v>
      </c>
      <c r="H156" s="162">
        <f t="shared" si="23"/>
        <v>960</v>
      </c>
      <c r="I156" s="175">
        <f t="shared" si="24"/>
        <v>0.46153846153846156</v>
      </c>
      <c r="J156" s="159" t="str">
        <f t="shared" si="20"/>
        <v>Apr</v>
      </c>
      <c r="K156" s="159">
        <f t="shared" si="21"/>
        <v>2007</v>
      </c>
      <c r="L156" s="160">
        <v>1</v>
      </c>
    </row>
    <row r="157" spans="1:12" ht="14.4">
      <c r="A157" s="128"/>
      <c r="B157" s="154">
        <f t="shared" si="16"/>
        <v>39206</v>
      </c>
      <c r="C157" s="154">
        <f t="shared" si="17"/>
        <v>39212</v>
      </c>
      <c r="D157" s="155" t="str">
        <f t="shared" si="18"/>
        <v>Thu</v>
      </c>
      <c r="E157" s="162">
        <f t="shared" si="19"/>
        <v>1</v>
      </c>
      <c r="F157" s="162">
        <f t="shared" si="25"/>
        <v>10</v>
      </c>
      <c r="G157" s="162">
        <f t="shared" si="22"/>
        <v>16</v>
      </c>
      <c r="H157" s="162">
        <f t="shared" si="23"/>
        <v>880</v>
      </c>
      <c r="I157" s="175">
        <f t="shared" si="24"/>
        <v>0.42307692307692307</v>
      </c>
      <c r="J157" s="159" t="str">
        <f t="shared" si="20"/>
        <v>May</v>
      </c>
      <c r="K157" s="159">
        <f t="shared" si="21"/>
        <v>2007</v>
      </c>
      <c r="L157" s="160">
        <v>1</v>
      </c>
    </row>
    <row r="158" spans="1:12" ht="14.4">
      <c r="A158" s="128"/>
      <c r="B158" s="154">
        <f t="shared" si="16"/>
        <v>39220</v>
      </c>
      <c r="C158" s="154">
        <f t="shared" si="17"/>
        <v>39226</v>
      </c>
      <c r="D158" s="155" t="str">
        <f t="shared" si="18"/>
        <v>Thu</v>
      </c>
      <c r="E158" s="162">
        <f t="shared" si="19"/>
        <v>2</v>
      </c>
      <c r="F158" s="162">
        <f t="shared" si="25"/>
        <v>11</v>
      </c>
      <c r="G158" s="162">
        <f t="shared" si="22"/>
        <v>17</v>
      </c>
      <c r="H158" s="162">
        <f t="shared" si="23"/>
        <v>800</v>
      </c>
      <c r="I158" s="175">
        <f t="shared" si="24"/>
        <v>0.38461538461538464</v>
      </c>
      <c r="J158" s="159" t="str">
        <f t="shared" si="20"/>
        <v>May</v>
      </c>
      <c r="K158" s="159">
        <f t="shared" si="21"/>
        <v>2007</v>
      </c>
      <c r="L158" s="160">
        <v>1</v>
      </c>
    </row>
    <row r="159" spans="1:12" ht="14.4">
      <c r="A159" s="128"/>
      <c r="B159" s="154">
        <f t="shared" si="16"/>
        <v>39234</v>
      </c>
      <c r="C159" s="154">
        <f t="shared" si="17"/>
        <v>39240</v>
      </c>
      <c r="D159" s="155" t="str">
        <f t="shared" si="18"/>
        <v>Thu</v>
      </c>
      <c r="E159" s="162">
        <f t="shared" si="19"/>
        <v>1</v>
      </c>
      <c r="F159" s="162">
        <f t="shared" si="25"/>
        <v>12</v>
      </c>
      <c r="G159" s="162">
        <f t="shared" si="22"/>
        <v>18</v>
      </c>
      <c r="H159" s="162">
        <f t="shared" si="23"/>
        <v>720</v>
      </c>
      <c r="I159" s="175">
        <f t="shared" si="24"/>
        <v>0.34615384615384615</v>
      </c>
      <c r="J159" s="159" t="str">
        <f t="shared" si="20"/>
        <v>Jun</v>
      </c>
      <c r="K159" s="159">
        <f t="shared" si="21"/>
        <v>2007</v>
      </c>
      <c r="L159" s="160">
        <v>1</v>
      </c>
    </row>
    <row r="160" spans="1:12" ht="14.4">
      <c r="A160" s="128"/>
      <c r="B160" s="154">
        <f t="shared" si="16"/>
        <v>39248</v>
      </c>
      <c r="C160" s="154">
        <f t="shared" si="17"/>
        <v>39254</v>
      </c>
      <c r="D160" s="155" t="str">
        <f t="shared" si="18"/>
        <v>Thu</v>
      </c>
      <c r="E160" s="162">
        <f t="shared" si="19"/>
        <v>2</v>
      </c>
      <c r="F160" s="162">
        <f t="shared" si="25"/>
        <v>13</v>
      </c>
      <c r="G160" s="162">
        <f t="shared" si="22"/>
        <v>19</v>
      </c>
      <c r="H160" s="162">
        <f t="shared" si="23"/>
        <v>640</v>
      </c>
      <c r="I160" s="175">
        <f t="shared" si="24"/>
        <v>0.30769230769230771</v>
      </c>
      <c r="J160" s="159" t="str">
        <f t="shared" si="20"/>
        <v>Jun</v>
      </c>
      <c r="K160" s="159">
        <f t="shared" si="21"/>
        <v>2007</v>
      </c>
      <c r="L160" s="160">
        <v>1</v>
      </c>
    </row>
    <row r="161" spans="1:12" ht="14.4">
      <c r="A161" s="128"/>
      <c r="B161" s="154">
        <f t="shared" si="16"/>
        <v>39262</v>
      </c>
      <c r="C161" s="154">
        <f t="shared" si="17"/>
        <v>39268</v>
      </c>
      <c r="D161" s="155" t="str">
        <f t="shared" si="18"/>
        <v>Thu</v>
      </c>
      <c r="E161" s="162">
        <f t="shared" si="19"/>
        <v>1</v>
      </c>
      <c r="F161" s="162">
        <f t="shared" si="25"/>
        <v>14</v>
      </c>
      <c r="G161" s="162">
        <f t="shared" si="22"/>
        <v>20</v>
      </c>
      <c r="H161" s="162">
        <f t="shared" si="23"/>
        <v>560</v>
      </c>
      <c r="I161" s="175">
        <f t="shared" si="24"/>
        <v>0.26923076923076922</v>
      </c>
      <c r="J161" s="159" t="str">
        <f t="shared" si="20"/>
        <v>Jul</v>
      </c>
      <c r="K161" s="159">
        <f t="shared" si="21"/>
        <v>2007</v>
      </c>
      <c r="L161" s="160">
        <v>1</v>
      </c>
    </row>
    <row r="162" spans="1:12" ht="14.4">
      <c r="A162" s="128"/>
      <c r="B162" s="154">
        <f t="shared" si="16"/>
        <v>39276</v>
      </c>
      <c r="C162" s="154">
        <f t="shared" si="17"/>
        <v>39282</v>
      </c>
      <c r="D162" s="155" t="str">
        <f t="shared" si="18"/>
        <v>Thu</v>
      </c>
      <c r="E162" s="162">
        <f t="shared" si="19"/>
        <v>2</v>
      </c>
      <c r="F162" s="162">
        <f t="shared" si="25"/>
        <v>15</v>
      </c>
      <c r="G162" s="162">
        <f t="shared" si="22"/>
        <v>21</v>
      </c>
      <c r="H162" s="162">
        <f t="shared" si="23"/>
        <v>480</v>
      </c>
      <c r="I162" s="175">
        <f t="shared" si="24"/>
        <v>0.23076923076923078</v>
      </c>
      <c r="J162" s="159" t="str">
        <f t="shared" si="20"/>
        <v>Jul</v>
      </c>
      <c r="K162" s="159">
        <f t="shared" si="21"/>
        <v>2007</v>
      </c>
      <c r="L162" s="160">
        <v>1</v>
      </c>
    </row>
    <row r="163" spans="1:12" ht="14.4">
      <c r="A163" s="128"/>
      <c r="B163" s="154">
        <f t="shared" si="16"/>
        <v>39290</v>
      </c>
      <c r="C163" s="154">
        <f t="shared" si="17"/>
        <v>39296</v>
      </c>
      <c r="D163" s="155" t="str">
        <f t="shared" si="18"/>
        <v>Thu</v>
      </c>
      <c r="E163" s="162">
        <f t="shared" si="19"/>
        <v>1</v>
      </c>
      <c r="F163" s="162">
        <f t="shared" si="25"/>
        <v>16</v>
      </c>
      <c r="G163" s="162">
        <f t="shared" si="22"/>
        <v>22</v>
      </c>
      <c r="H163" s="162">
        <f t="shared" si="23"/>
        <v>400</v>
      </c>
      <c r="I163" s="175">
        <f t="shared" si="24"/>
        <v>0.19230769230769232</v>
      </c>
      <c r="J163" s="159" t="str">
        <f t="shared" si="20"/>
        <v>Aug</v>
      </c>
      <c r="K163" s="159">
        <f t="shared" si="21"/>
        <v>2007</v>
      </c>
      <c r="L163" s="160">
        <v>1</v>
      </c>
    </row>
    <row r="164" spans="1:12" ht="14.4">
      <c r="A164" s="128"/>
      <c r="B164" s="154">
        <f t="shared" si="16"/>
        <v>39304</v>
      </c>
      <c r="C164" s="154">
        <f t="shared" si="17"/>
        <v>39310</v>
      </c>
      <c r="D164" s="155" t="str">
        <f t="shared" si="18"/>
        <v>Thu</v>
      </c>
      <c r="E164" s="162">
        <f t="shared" si="19"/>
        <v>2</v>
      </c>
      <c r="F164" s="162">
        <f t="shared" si="25"/>
        <v>17</v>
      </c>
      <c r="G164" s="162">
        <f t="shared" si="22"/>
        <v>23</v>
      </c>
      <c r="H164" s="162">
        <f t="shared" si="23"/>
        <v>320</v>
      </c>
      <c r="I164" s="175">
        <f t="shared" si="24"/>
        <v>0.15384615384615385</v>
      </c>
      <c r="J164" s="159" t="str">
        <f t="shared" si="20"/>
        <v>Aug</v>
      </c>
      <c r="K164" s="159">
        <f t="shared" si="21"/>
        <v>2007</v>
      </c>
      <c r="L164" s="160">
        <v>1</v>
      </c>
    </row>
    <row r="165" spans="1:12" ht="14.4">
      <c r="A165" s="128"/>
      <c r="B165" s="154">
        <f t="shared" si="16"/>
        <v>39318</v>
      </c>
      <c r="C165" s="154">
        <f t="shared" si="17"/>
        <v>39324</v>
      </c>
      <c r="D165" s="155" t="str">
        <f t="shared" si="18"/>
        <v>Thu</v>
      </c>
      <c r="E165" s="162">
        <f t="shared" si="19"/>
        <v>3</v>
      </c>
      <c r="F165" s="162">
        <f t="shared" si="25"/>
        <v>18</v>
      </c>
      <c r="G165" s="162">
        <f t="shared" si="22"/>
        <v>24</v>
      </c>
      <c r="H165" s="162">
        <f t="shared" si="23"/>
        <v>240</v>
      </c>
      <c r="I165" s="175">
        <f t="shared" si="24"/>
        <v>0.11538461538461539</v>
      </c>
      <c r="J165" s="159" t="str">
        <f t="shared" si="20"/>
        <v>Aug</v>
      </c>
      <c r="K165" s="159">
        <f t="shared" si="21"/>
        <v>2007</v>
      </c>
      <c r="L165" s="160">
        <v>1</v>
      </c>
    </row>
    <row r="166" spans="1:12" ht="14.4">
      <c r="A166" s="128"/>
      <c r="B166" s="154">
        <f t="shared" si="16"/>
        <v>39332</v>
      </c>
      <c r="C166" s="154">
        <f t="shared" si="17"/>
        <v>39338</v>
      </c>
      <c r="D166" s="155" t="str">
        <f t="shared" si="18"/>
        <v>Thu</v>
      </c>
      <c r="E166" s="162">
        <f t="shared" si="19"/>
        <v>1</v>
      </c>
      <c r="F166" s="162">
        <f t="shared" si="25"/>
        <v>19</v>
      </c>
      <c r="G166" s="162">
        <f t="shared" si="22"/>
        <v>25</v>
      </c>
      <c r="H166" s="162">
        <f t="shared" si="23"/>
        <v>160</v>
      </c>
      <c r="I166" s="175">
        <f t="shared" si="24"/>
        <v>7.6923076923076927E-2</v>
      </c>
      <c r="J166" s="159" t="str">
        <f t="shared" si="20"/>
        <v>Sep</v>
      </c>
      <c r="K166" s="159">
        <f t="shared" si="21"/>
        <v>2007</v>
      </c>
      <c r="L166" s="160">
        <v>1</v>
      </c>
    </row>
    <row r="167" spans="1:12" ht="14.4">
      <c r="A167" s="128"/>
      <c r="B167" s="154">
        <f t="shared" si="16"/>
        <v>39346</v>
      </c>
      <c r="C167" s="154">
        <f t="shared" si="17"/>
        <v>39352</v>
      </c>
      <c r="D167" s="155" t="str">
        <f t="shared" si="18"/>
        <v>Thu</v>
      </c>
      <c r="E167" s="162">
        <f t="shared" si="19"/>
        <v>2</v>
      </c>
      <c r="F167" s="162">
        <f t="shared" si="25"/>
        <v>20</v>
      </c>
      <c r="G167" s="162">
        <f t="shared" si="22"/>
        <v>26</v>
      </c>
      <c r="H167" s="162">
        <f t="shared" si="23"/>
        <v>80</v>
      </c>
      <c r="I167" s="175">
        <f t="shared" si="24"/>
        <v>3.8461538461538464E-2</v>
      </c>
      <c r="J167" s="159" t="str">
        <f t="shared" si="20"/>
        <v>Sep</v>
      </c>
      <c r="K167" s="159">
        <f t="shared" si="21"/>
        <v>2007</v>
      </c>
      <c r="L167" s="160">
        <v>1</v>
      </c>
    </row>
    <row r="168" spans="1:12" ht="14.4">
      <c r="A168" s="128"/>
      <c r="B168" s="154">
        <f t="shared" si="16"/>
        <v>39360</v>
      </c>
      <c r="C168" s="154">
        <f t="shared" si="17"/>
        <v>39366</v>
      </c>
      <c r="D168" s="155" t="str">
        <f t="shared" si="18"/>
        <v>Thu</v>
      </c>
      <c r="E168" s="162">
        <f t="shared" si="19"/>
        <v>1</v>
      </c>
      <c r="F168" s="162">
        <f t="shared" si="25"/>
        <v>21</v>
      </c>
      <c r="G168" s="162">
        <f t="shared" si="22"/>
        <v>1</v>
      </c>
      <c r="H168" s="162">
        <f>IF(2080-(G167*80)&gt;0,2080-(G167*80),2080)</f>
        <v>2080</v>
      </c>
      <c r="I168" s="175">
        <f t="shared" si="24"/>
        <v>1</v>
      </c>
      <c r="J168" s="159" t="str">
        <f t="shared" si="20"/>
        <v>Oct</v>
      </c>
      <c r="K168" s="159">
        <f t="shared" si="21"/>
        <v>2007</v>
      </c>
      <c r="L168" s="160">
        <v>1</v>
      </c>
    </row>
    <row r="169" spans="1:12" ht="14.4">
      <c r="A169" s="128"/>
      <c r="B169" s="154">
        <f t="shared" si="16"/>
        <v>39374</v>
      </c>
      <c r="C169" s="154">
        <f t="shared" si="17"/>
        <v>39380</v>
      </c>
      <c r="D169" s="155" t="str">
        <f t="shared" si="18"/>
        <v>Thu</v>
      </c>
      <c r="E169" s="162">
        <f t="shared" si="19"/>
        <v>2</v>
      </c>
      <c r="F169" s="162">
        <f t="shared" si="25"/>
        <v>22</v>
      </c>
      <c r="G169" s="162">
        <f t="shared" si="22"/>
        <v>2</v>
      </c>
      <c r="H169" s="162">
        <f t="shared" ref="H169:H232" si="26">IF(2080-(G168*80)&gt;0,2080-(G168*80),2080)</f>
        <v>2000</v>
      </c>
      <c r="I169" s="175">
        <f t="shared" si="24"/>
        <v>0.96153846153846156</v>
      </c>
      <c r="J169" s="159" t="str">
        <f t="shared" si="20"/>
        <v>Oct</v>
      </c>
      <c r="K169" s="159">
        <f t="shared" si="21"/>
        <v>2007</v>
      </c>
      <c r="L169" s="160">
        <v>1</v>
      </c>
    </row>
    <row r="170" spans="1:12" ht="14.4">
      <c r="A170" s="128"/>
      <c r="B170" s="154">
        <f t="shared" si="16"/>
        <v>39388</v>
      </c>
      <c r="C170" s="154">
        <f t="shared" si="17"/>
        <v>39394</v>
      </c>
      <c r="D170" s="155" t="str">
        <f t="shared" si="18"/>
        <v>Thu</v>
      </c>
      <c r="E170" s="162">
        <f t="shared" si="19"/>
        <v>1</v>
      </c>
      <c r="F170" s="162">
        <f t="shared" si="25"/>
        <v>23</v>
      </c>
      <c r="G170" s="162">
        <f t="shared" si="22"/>
        <v>3</v>
      </c>
      <c r="H170" s="162">
        <f t="shared" si="26"/>
        <v>1920</v>
      </c>
      <c r="I170" s="175">
        <f t="shared" si="24"/>
        <v>0.92307692307692313</v>
      </c>
      <c r="J170" s="159" t="str">
        <f t="shared" si="20"/>
        <v>Nov</v>
      </c>
      <c r="K170" s="159">
        <f t="shared" si="21"/>
        <v>2007</v>
      </c>
      <c r="L170" s="160">
        <v>1</v>
      </c>
    </row>
    <row r="171" spans="1:12" ht="14.4">
      <c r="A171" s="128"/>
      <c r="B171" s="154">
        <f t="shared" si="16"/>
        <v>39402</v>
      </c>
      <c r="C171" s="154">
        <f t="shared" si="17"/>
        <v>39408</v>
      </c>
      <c r="D171" s="155" t="str">
        <f t="shared" si="18"/>
        <v>Thu</v>
      </c>
      <c r="E171" s="162">
        <f t="shared" si="19"/>
        <v>2</v>
      </c>
      <c r="F171" s="162">
        <f t="shared" si="25"/>
        <v>24</v>
      </c>
      <c r="G171" s="162">
        <f t="shared" si="22"/>
        <v>4</v>
      </c>
      <c r="H171" s="162">
        <f t="shared" si="26"/>
        <v>1840</v>
      </c>
      <c r="I171" s="175">
        <f t="shared" si="24"/>
        <v>0.88461538461538458</v>
      </c>
      <c r="J171" s="159" t="str">
        <f t="shared" si="20"/>
        <v>Nov</v>
      </c>
      <c r="K171" s="159">
        <f t="shared" si="21"/>
        <v>2007</v>
      </c>
      <c r="L171" s="160">
        <v>1</v>
      </c>
    </row>
    <row r="172" spans="1:12" ht="14.4">
      <c r="A172" s="128"/>
      <c r="B172" s="154">
        <f t="shared" ref="B172:B235" si="27">B171+14</f>
        <v>39416</v>
      </c>
      <c r="C172" s="154">
        <f t="shared" ref="C172:C235" si="28">B172+6</f>
        <v>39422</v>
      </c>
      <c r="D172" s="155" t="str">
        <f t="shared" si="18"/>
        <v>Thu</v>
      </c>
      <c r="E172" s="162">
        <f t="shared" si="19"/>
        <v>1</v>
      </c>
      <c r="F172" s="162">
        <f t="shared" si="25"/>
        <v>25</v>
      </c>
      <c r="G172" s="162">
        <f t="shared" si="22"/>
        <v>5</v>
      </c>
      <c r="H172" s="162">
        <f t="shared" si="26"/>
        <v>1760</v>
      </c>
      <c r="I172" s="175">
        <f t="shared" si="24"/>
        <v>0.84615384615384615</v>
      </c>
      <c r="J172" s="159" t="str">
        <f t="shared" si="20"/>
        <v>Dec</v>
      </c>
      <c r="K172" s="159">
        <f t="shared" si="21"/>
        <v>2007</v>
      </c>
      <c r="L172" s="160">
        <v>1</v>
      </c>
    </row>
    <row r="173" spans="1:12" ht="14.4">
      <c r="A173" s="128"/>
      <c r="B173" s="154">
        <f t="shared" si="27"/>
        <v>39430</v>
      </c>
      <c r="C173" s="154">
        <f t="shared" si="28"/>
        <v>39436</v>
      </c>
      <c r="D173" s="155" t="str">
        <f t="shared" si="18"/>
        <v>Thu</v>
      </c>
      <c r="E173" s="162">
        <f t="shared" si="19"/>
        <v>2</v>
      </c>
      <c r="F173" s="162">
        <f t="shared" si="25"/>
        <v>26</v>
      </c>
      <c r="G173" s="162">
        <f t="shared" si="22"/>
        <v>6</v>
      </c>
      <c r="H173" s="162">
        <f t="shared" si="26"/>
        <v>1680</v>
      </c>
      <c r="I173" s="175">
        <f t="shared" si="24"/>
        <v>0.80769230769230771</v>
      </c>
      <c r="J173" s="159" t="str">
        <f t="shared" si="20"/>
        <v>Dec</v>
      </c>
      <c r="K173" s="159">
        <f t="shared" si="21"/>
        <v>2007</v>
      </c>
      <c r="L173" s="160">
        <v>1</v>
      </c>
    </row>
    <row r="174" spans="1:12" ht="14.4">
      <c r="A174" s="128"/>
      <c r="B174" s="154">
        <f t="shared" si="27"/>
        <v>39444</v>
      </c>
      <c r="C174" s="154">
        <f t="shared" si="28"/>
        <v>39450</v>
      </c>
      <c r="D174" s="155" t="str">
        <f t="shared" si="18"/>
        <v>Thu</v>
      </c>
      <c r="E174" s="162">
        <f t="shared" si="19"/>
        <v>1</v>
      </c>
      <c r="F174" s="162">
        <f t="shared" si="25"/>
        <v>1</v>
      </c>
      <c r="G174" s="162">
        <f t="shared" si="22"/>
        <v>7</v>
      </c>
      <c r="H174" s="162">
        <f t="shared" si="26"/>
        <v>1600</v>
      </c>
      <c r="I174" s="175">
        <f t="shared" si="24"/>
        <v>0.76923076923076927</v>
      </c>
      <c r="J174" s="159" t="str">
        <f t="shared" si="20"/>
        <v>Jan</v>
      </c>
      <c r="K174" s="159">
        <f t="shared" si="21"/>
        <v>2008</v>
      </c>
      <c r="L174" s="160">
        <v>1</v>
      </c>
    </row>
    <row r="175" spans="1:12" ht="14.4">
      <c r="A175" s="128"/>
      <c r="B175" s="154">
        <f t="shared" si="27"/>
        <v>39458</v>
      </c>
      <c r="C175" s="154">
        <f t="shared" si="28"/>
        <v>39464</v>
      </c>
      <c r="D175" s="155" t="str">
        <f t="shared" si="18"/>
        <v>Thu</v>
      </c>
      <c r="E175" s="162">
        <f t="shared" si="19"/>
        <v>2</v>
      </c>
      <c r="F175" s="162">
        <f t="shared" si="25"/>
        <v>2</v>
      </c>
      <c r="G175" s="162">
        <f t="shared" si="22"/>
        <v>8</v>
      </c>
      <c r="H175" s="162">
        <f t="shared" si="26"/>
        <v>1520</v>
      </c>
      <c r="I175" s="175">
        <f t="shared" si="24"/>
        <v>0.73076923076923073</v>
      </c>
      <c r="J175" s="159" t="str">
        <f t="shared" si="20"/>
        <v>Jan</v>
      </c>
      <c r="K175" s="159">
        <f t="shared" si="21"/>
        <v>2008</v>
      </c>
      <c r="L175" s="160">
        <v>1</v>
      </c>
    </row>
    <row r="176" spans="1:12" ht="14.4">
      <c r="A176" s="128"/>
      <c r="B176" s="154">
        <f t="shared" si="27"/>
        <v>39472</v>
      </c>
      <c r="C176" s="154">
        <f t="shared" si="28"/>
        <v>39478</v>
      </c>
      <c r="D176" s="155" t="str">
        <f t="shared" si="18"/>
        <v>Thu</v>
      </c>
      <c r="E176" s="162">
        <f t="shared" si="19"/>
        <v>3</v>
      </c>
      <c r="F176" s="162">
        <f t="shared" si="25"/>
        <v>3</v>
      </c>
      <c r="G176" s="162">
        <f t="shared" si="22"/>
        <v>9</v>
      </c>
      <c r="H176" s="162">
        <f t="shared" si="26"/>
        <v>1440</v>
      </c>
      <c r="I176" s="175">
        <f t="shared" si="24"/>
        <v>0.69230769230769229</v>
      </c>
      <c r="J176" s="159" t="str">
        <f t="shared" si="20"/>
        <v>Jan</v>
      </c>
      <c r="K176" s="159">
        <f t="shared" si="21"/>
        <v>2008</v>
      </c>
      <c r="L176" s="160">
        <v>1</v>
      </c>
    </row>
    <row r="177" spans="1:12" ht="14.4">
      <c r="A177" s="128"/>
      <c r="B177" s="154">
        <f t="shared" si="27"/>
        <v>39486</v>
      </c>
      <c r="C177" s="154">
        <f t="shared" si="28"/>
        <v>39492</v>
      </c>
      <c r="D177" s="155" t="str">
        <f t="shared" si="18"/>
        <v>Thu</v>
      </c>
      <c r="E177" s="162">
        <f t="shared" si="19"/>
        <v>1</v>
      </c>
      <c r="F177" s="162">
        <f t="shared" si="25"/>
        <v>4</v>
      </c>
      <c r="G177" s="162">
        <f t="shared" si="22"/>
        <v>10</v>
      </c>
      <c r="H177" s="162">
        <f t="shared" si="26"/>
        <v>1360</v>
      </c>
      <c r="I177" s="175">
        <f t="shared" si="24"/>
        <v>0.65384615384615385</v>
      </c>
      <c r="J177" s="159" t="str">
        <f t="shared" si="20"/>
        <v>Feb</v>
      </c>
      <c r="K177" s="159">
        <f t="shared" si="21"/>
        <v>2008</v>
      </c>
      <c r="L177" s="160">
        <v>1</v>
      </c>
    </row>
    <row r="178" spans="1:12" ht="14.4">
      <c r="A178" s="128"/>
      <c r="B178" s="154">
        <f t="shared" si="27"/>
        <v>39500</v>
      </c>
      <c r="C178" s="154">
        <f t="shared" si="28"/>
        <v>39506</v>
      </c>
      <c r="D178" s="155" t="str">
        <f t="shared" si="18"/>
        <v>Thu</v>
      </c>
      <c r="E178" s="162">
        <f t="shared" si="19"/>
        <v>2</v>
      </c>
      <c r="F178" s="162">
        <f t="shared" si="25"/>
        <v>5</v>
      </c>
      <c r="G178" s="162">
        <f t="shared" si="22"/>
        <v>11</v>
      </c>
      <c r="H178" s="162">
        <f t="shared" si="26"/>
        <v>1280</v>
      </c>
      <c r="I178" s="175">
        <f t="shared" si="24"/>
        <v>0.61538461538461542</v>
      </c>
      <c r="J178" s="159" t="str">
        <f t="shared" si="20"/>
        <v>Feb</v>
      </c>
      <c r="K178" s="159">
        <f t="shared" si="21"/>
        <v>2008</v>
      </c>
      <c r="L178" s="160">
        <v>1</v>
      </c>
    </row>
    <row r="179" spans="1:12" ht="14.4">
      <c r="A179" s="128"/>
      <c r="B179" s="154">
        <f t="shared" si="27"/>
        <v>39514</v>
      </c>
      <c r="C179" s="154">
        <f t="shared" si="28"/>
        <v>39520</v>
      </c>
      <c r="D179" s="155" t="str">
        <f t="shared" si="18"/>
        <v>Thu</v>
      </c>
      <c r="E179" s="162">
        <f t="shared" si="19"/>
        <v>1</v>
      </c>
      <c r="F179" s="162">
        <f t="shared" si="25"/>
        <v>6</v>
      </c>
      <c r="G179" s="162">
        <f t="shared" si="22"/>
        <v>12</v>
      </c>
      <c r="H179" s="162">
        <f t="shared" si="26"/>
        <v>1200</v>
      </c>
      <c r="I179" s="175">
        <f t="shared" si="24"/>
        <v>0.57692307692307687</v>
      </c>
      <c r="J179" s="159" t="str">
        <f t="shared" si="20"/>
        <v>Mar</v>
      </c>
      <c r="K179" s="159">
        <f t="shared" si="21"/>
        <v>2008</v>
      </c>
      <c r="L179" s="160">
        <v>1</v>
      </c>
    </row>
    <row r="180" spans="1:12" ht="14.4">
      <c r="A180" s="128"/>
      <c r="B180" s="154">
        <f t="shared" si="27"/>
        <v>39528</v>
      </c>
      <c r="C180" s="154">
        <f t="shared" si="28"/>
        <v>39534</v>
      </c>
      <c r="D180" s="155" t="str">
        <f t="shared" si="18"/>
        <v>Thu</v>
      </c>
      <c r="E180" s="162">
        <f t="shared" si="19"/>
        <v>2</v>
      </c>
      <c r="F180" s="162">
        <f t="shared" si="25"/>
        <v>7</v>
      </c>
      <c r="G180" s="162">
        <f t="shared" si="22"/>
        <v>13</v>
      </c>
      <c r="H180" s="162">
        <f t="shared" si="26"/>
        <v>1120</v>
      </c>
      <c r="I180" s="175">
        <f t="shared" si="24"/>
        <v>0.53846153846153844</v>
      </c>
      <c r="J180" s="159" t="str">
        <f t="shared" si="20"/>
        <v>Mar</v>
      </c>
      <c r="K180" s="159">
        <f t="shared" si="21"/>
        <v>2008</v>
      </c>
      <c r="L180" s="160">
        <v>1</v>
      </c>
    </row>
    <row r="181" spans="1:12" ht="14.4">
      <c r="A181" s="128"/>
      <c r="B181" s="154">
        <f t="shared" si="27"/>
        <v>39542</v>
      </c>
      <c r="C181" s="154">
        <f t="shared" si="28"/>
        <v>39548</v>
      </c>
      <c r="D181" s="155" t="str">
        <f t="shared" si="18"/>
        <v>Thu</v>
      </c>
      <c r="E181" s="162">
        <f t="shared" si="19"/>
        <v>1</v>
      </c>
      <c r="F181" s="162">
        <f t="shared" si="25"/>
        <v>8</v>
      </c>
      <c r="G181" s="162">
        <f t="shared" si="22"/>
        <v>14</v>
      </c>
      <c r="H181" s="162">
        <f t="shared" si="26"/>
        <v>1040</v>
      </c>
      <c r="I181" s="175">
        <f t="shared" si="24"/>
        <v>0.5</v>
      </c>
      <c r="J181" s="159" t="str">
        <f t="shared" si="20"/>
        <v>Apr</v>
      </c>
      <c r="K181" s="159">
        <f t="shared" si="21"/>
        <v>2008</v>
      </c>
      <c r="L181" s="160">
        <v>1</v>
      </c>
    </row>
    <row r="182" spans="1:12" ht="14.4">
      <c r="A182" s="128"/>
      <c r="B182" s="154">
        <f t="shared" si="27"/>
        <v>39556</v>
      </c>
      <c r="C182" s="154">
        <f t="shared" si="28"/>
        <v>39562</v>
      </c>
      <c r="D182" s="155" t="str">
        <f t="shared" si="18"/>
        <v>Thu</v>
      </c>
      <c r="E182" s="162">
        <f t="shared" si="19"/>
        <v>2</v>
      </c>
      <c r="F182" s="162">
        <f t="shared" si="25"/>
        <v>9</v>
      </c>
      <c r="G182" s="162">
        <f t="shared" si="22"/>
        <v>15</v>
      </c>
      <c r="H182" s="162">
        <f t="shared" si="26"/>
        <v>960</v>
      </c>
      <c r="I182" s="175">
        <f t="shared" si="24"/>
        <v>0.46153846153846156</v>
      </c>
      <c r="J182" s="159" t="str">
        <f t="shared" si="20"/>
        <v>Apr</v>
      </c>
      <c r="K182" s="159">
        <f t="shared" si="21"/>
        <v>2008</v>
      </c>
      <c r="L182" s="160">
        <v>1</v>
      </c>
    </row>
    <row r="183" spans="1:12" ht="14.4">
      <c r="A183" s="128"/>
      <c r="B183" s="154">
        <f t="shared" si="27"/>
        <v>39570</v>
      </c>
      <c r="C183" s="154">
        <f t="shared" si="28"/>
        <v>39576</v>
      </c>
      <c r="D183" s="155" t="str">
        <f t="shared" si="18"/>
        <v>Thu</v>
      </c>
      <c r="E183" s="162">
        <f t="shared" si="19"/>
        <v>1</v>
      </c>
      <c r="F183" s="162">
        <f t="shared" si="25"/>
        <v>10</v>
      </c>
      <c r="G183" s="162">
        <f t="shared" si="22"/>
        <v>16</v>
      </c>
      <c r="H183" s="162">
        <f t="shared" si="26"/>
        <v>880</v>
      </c>
      <c r="I183" s="175">
        <f t="shared" si="24"/>
        <v>0.42307692307692307</v>
      </c>
      <c r="J183" s="159" t="str">
        <f t="shared" si="20"/>
        <v>May</v>
      </c>
      <c r="K183" s="159">
        <f t="shared" si="21"/>
        <v>2008</v>
      </c>
      <c r="L183" s="160">
        <v>1</v>
      </c>
    </row>
    <row r="184" spans="1:12" ht="14.4">
      <c r="A184" s="128"/>
      <c r="B184" s="154">
        <f t="shared" si="27"/>
        <v>39584</v>
      </c>
      <c r="C184" s="154">
        <f t="shared" si="28"/>
        <v>39590</v>
      </c>
      <c r="D184" s="155" t="str">
        <f t="shared" si="18"/>
        <v>Thu</v>
      </c>
      <c r="E184" s="162">
        <f t="shared" si="19"/>
        <v>2</v>
      </c>
      <c r="F184" s="162">
        <f t="shared" si="25"/>
        <v>11</v>
      </c>
      <c r="G184" s="162">
        <f t="shared" si="22"/>
        <v>17</v>
      </c>
      <c r="H184" s="162">
        <f t="shared" si="26"/>
        <v>800</v>
      </c>
      <c r="I184" s="175">
        <f t="shared" si="24"/>
        <v>0.38461538461538464</v>
      </c>
      <c r="J184" s="159" t="str">
        <f t="shared" si="20"/>
        <v>May</v>
      </c>
      <c r="K184" s="159">
        <f t="shared" si="21"/>
        <v>2008</v>
      </c>
      <c r="L184" s="160">
        <v>1</v>
      </c>
    </row>
    <row r="185" spans="1:12" ht="14.4">
      <c r="A185" s="128"/>
      <c r="B185" s="154">
        <f t="shared" si="27"/>
        <v>39598</v>
      </c>
      <c r="C185" s="154">
        <f t="shared" si="28"/>
        <v>39604</v>
      </c>
      <c r="D185" s="155" t="str">
        <f t="shared" si="18"/>
        <v>Thu</v>
      </c>
      <c r="E185" s="162">
        <f t="shared" si="19"/>
        <v>1</v>
      </c>
      <c r="F185" s="162">
        <f t="shared" si="25"/>
        <v>12</v>
      </c>
      <c r="G185" s="162">
        <f t="shared" si="22"/>
        <v>18</v>
      </c>
      <c r="H185" s="162">
        <f t="shared" si="26"/>
        <v>720</v>
      </c>
      <c r="I185" s="175">
        <f t="shared" si="24"/>
        <v>0.34615384615384615</v>
      </c>
      <c r="J185" s="159" t="str">
        <f t="shared" si="20"/>
        <v>Jun</v>
      </c>
      <c r="K185" s="159">
        <f t="shared" si="21"/>
        <v>2008</v>
      </c>
      <c r="L185" s="160">
        <v>1</v>
      </c>
    </row>
    <row r="186" spans="1:12" ht="14.4">
      <c r="A186" s="128"/>
      <c r="B186" s="154">
        <f t="shared" si="27"/>
        <v>39612</v>
      </c>
      <c r="C186" s="154">
        <f t="shared" si="28"/>
        <v>39618</v>
      </c>
      <c r="D186" s="155" t="str">
        <f t="shared" si="18"/>
        <v>Thu</v>
      </c>
      <c r="E186" s="162">
        <f t="shared" si="19"/>
        <v>2</v>
      </c>
      <c r="F186" s="162">
        <f t="shared" si="25"/>
        <v>13</v>
      </c>
      <c r="G186" s="162">
        <f t="shared" si="22"/>
        <v>19</v>
      </c>
      <c r="H186" s="162">
        <f t="shared" si="26"/>
        <v>640</v>
      </c>
      <c r="I186" s="175">
        <f t="shared" si="24"/>
        <v>0.30769230769230771</v>
      </c>
      <c r="J186" s="159" t="str">
        <f t="shared" si="20"/>
        <v>Jun</v>
      </c>
      <c r="K186" s="159">
        <f t="shared" si="21"/>
        <v>2008</v>
      </c>
      <c r="L186" s="160">
        <v>1</v>
      </c>
    </row>
    <row r="187" spans="1:12" ht="14.4">
      <c r="A187" s="128"/>
      <c r="B187" s="154">
        <f t="shared" si="27"/>
        <v>39626</v>
      </c>
      <c r="C187" s="154">
        <f t="shared" si="28"/>
        <v>39632</v>
      </c>
      <c r="D187" s="155" t="str">
        <f t="shared" si="18"/>
        <v>Thu</v>
      </c>
      <c r="E187" s="162">
        <f t="shared" si="19"/>
        <v>1</v>
      </c>
      <c r="F187" s="162">
        <f t="shared" si="25"/>
        <v>14</v>
      </c>
      <c r="G187" s="162">
        <f t="shared" si="22"/>
        <v>20</v>
      </c>
      <c r="H187" s="162">
        <f t="shared" si="26"/>
        <v>560</v>
      </c>
      <c r="I187" s="175">
        <f t="shared" si="24"/>
        <v>0.26923076923076922</v>
      </c>
      <c r="J187" s="159" t="str">
        <f t="shared" si="20"/>
        <v>Jul</v>
      </c>
      <c r="K187" s="159">
        <f t="shared" si="21"/>
        <v>2008</v>
      </c>
      <c r="L187" s="160">
        <v>1</v>
      </c>
    </row>
    <row r="188" spans="1:12" ht="14.4">
      <c r="A188" s="128"/>
      <c r="B188" s="154">
        <f t="shared" si="27"/>
        <v>39640</v>
      </c>
      <c r="C188" s="154">
        <f t="shared" si="28"/>
        <v>39646</v>
      </c>
      <c r="D188" s="155" t="str">
        <f t="shared" si="18"/>
        <v>Thu</v>
      </c>
      <c r="E188" s="162">
        <f t="shared" si="19"/>
        <v>2</v>
      </c>
      <c r="F188" s="162">
        <f t="shared" si="25"/>
        <v>15</v>
      </c>
      <c r="G188" s="162">
        <f t="shared" si="22"/>
        <v>21</v>
      </c>
      <c r="H188" s="162">
        <f t="shared" si="26"/>
        <v>480</v>
      </c>
      <c r="I188" s="175">
        <f t="shared" si="24"/>
        <v>0.23076923076923078</v>
      </c>
      <c r="J188" s="159" t="str">
        <f t="shared" si="20"/>
        <v>Jul</v>
      </c>
      <c r="K188" s="159">
        <f t="shared" si="21"/>
        <v>2008</v>
      </c>
      <c r="L188" s="160">
        <v>1</v>
      </c>
    </row>
    <row r="189" spans="1:12" ht="14.4">
      <c r="A189" s="128"/>
      <c r="B189" s="154">
        <f t="shared" si="27"/>
        <v>39654</v>
      </c>
      <c r="C189" s="154">
        <f t="shared" si="28"/>
        <v>39660</v>
      </c>
      <c r="D189" s="155" t="str">
        <f t="shared" si="18"/>
        <v>Thu</v>
      </c>
      <c r="E189" s="162">
        <f t="shared" si="19"/>
        <v>3</v>
      </c>
      <c r="F189" s="162">
        <f t="shared" si="25"/>
        <v>16</v>
      </c>
      <c r="G189" s="162">
        <f t="shared" si="22"/>
        <v>22</v>
      </c>
      <c r="H189" s="162">
        <f t="shared" si="26"/>
        <v>400</v>
      </c>
      <c r="I189" s="175">
        <f t="shared" si="24"/>
        <v>0.19230769230769232</v>
      </c>
      <c r="J189" s="159" t="str">
        <f t="shared" si="20"/>
        <v>Jul</v>
      </c>
      <c r="K189" s="159">
        <f t="shared" si="21"/>
        <v>2008</v>
      </c>
      <c r="L189" s="160">
        <v>1</v>
      </c>
    </row>
    <row r="190" spans="1:12" ht="14.4">
      <c r="A190" s="128"/>
      <c r="B190" s="154">
        <f t="shared" si="27"/>
        <v>39668</v>
      </c>
      <c r="C190" s="154">
        <f t="shared" si="28"/>
        <v>39674</v>
      </c>
      <c r="D190" s="155" t="str">
        <f t="shared" si="18"/>
        <v>Thu</v>
      </c>
      <c r="E190" s="162">
        <f t="shared" si="19"/>
        <v>1</v>
      </c>
      <c r="F190" s="162">
        <f t="shared" si="25"/>
        <v>17</v>
      </c>
      <c r="G190" s="162">
        <f t="shared" si="22"/>
        <v>23</v>
      </c>
      <c r="H190" s="162">
        <f t="shared" si="26"/>
        <v>320</v>
      </c>
      <c r="I190" s="175">
        <f t="shared" si="24"/>
        <v>0.15384615384615385</v>
      </c>
      <c r="J190" s="159" t="str">
        <f t="shared" si="20"/>
        <v>Aug</v>
      </c>
      <c r="K190" s="159">
        <f t="shared" si="21"/>
        <v>2008</v>
      </c>
      <c r="L190" s="160">
        <v>1</v>
      </c>
    </row>
    <row r="191" spans="1:12" ht="14.4">
      <c r="A191" s="128"/>
      <c r="B191" s="154">
        <f t="shared" si="27"/>
        <v>39682</v>
      </c>
      <c r="C191" s="154">
        <f t="shared" si="28"/>
        <v>39688</v>
      </c>
      <c r="D191" s="155" t="str">
        <f t="shared" si="18"/>
        <v>Thu</v>
      </c>
      <c r="E191" s="162">
        <f t="shared" si="19"/>
        <v>2</v>
      </c>
      <c r="F191" s="162">
        <f t="shared" si="25"/>
        <v>18</v>
      </c>
      <c r="G191" s="162">
        <f t="shared" si="22"/>
        <v>24</v>
      </c>
      <c r="H191" s="162">
        <f t="shared" si="26"/>
        <v>240</v>
      </c>
      <c r="I191" s="175">
        <f t="shared" si="24"/>
        <v>0.11538461538461539</v>
      </c>
      <c r="J191" s="159" t="str">
        <f t="shared" si="20"/>
        <v>Aug</v>
      </c>
      <c r="K191" s="159">
        <f t="shared" si="21"/>
        <v>2008</v>
      </c>
      <c r="L191" s="160">
        <v>1</v>
      </c>
    </row>
    <row r="192" spans="1:12" ht="14.4">
      <c r="A192" s="128"/>
      <c r="B192" s="154">
        <f t="shared" si="27"/>
        <v>39696</v>
      </c>
      <c r="C192" s="154">
        <f t="shared" si="28"/>
        <v>39702</v>
      </c>
      <c r="D192" s="155" t="str">
        <f t="shared" si="18"/>
        <v>Thu</v>
      </c>
      <c r="E192" s="162">
        <f t="shared" si="19"/>
        <v>1</v>
      </c>
      <c r="F192" s="162">
        <f t="shared" si="25"/>
        <v>19</v>
      </c>
      <c r="G192" s="162">
        <f t="shared" si="22"/>
        <v>25</v>
      </c>
      <c r="H192" s="162">
        <f t="shared" si="26"/>
        <v>160</v>
      </c>
      <c r="I192" s="175">
        <f t="shared" si="24"/>
        <v>7.6923076923076927E-2</v>
      </c>
      <c r="J192" s="159" t="str">
        <f t="shared" si="20"/>
        <v>Sep</v>
      </c>
      <c r="K192" s="159">
        <f t="shared" si="21"/>
        <v>2008</v>
      </c>
      <c r="L192" s="160">
        <v>1</v>
      </c>
    </row>
    <row r="193" spans="1:12" ht="14.4">
      <c r="A193" s="128"/>
      <c r="B193" s="154">
        <f t="shared" si="27"/>
        <v>39710</v>
      </c>
      <c r="C193" s="154">
        <f t="shared" si="28"/>
        <v>39716</v>
      </c>
      <c r="D193" s="155" t="str">
        <f t="shared" si="18"/>
        <v>Thu</v>
      </c>
      <c r="E193" s="162">
        <f t="shared" si="19"/>
        <v>2</v>
      </c>
      <c r="F193" s="162">
        <f t="shared" si="25"/>
        <v>20</v>
      </c>
      <c r="G193" s="162">
        <f t="shared" si="22"/>
        <v>26</v>
      </c>
      <c r="H193" s="162">
        <f t="shared" si="26"/>
        <v>80</v>
      </c>
      <c r="I193" s="175">
        <f t="shared" si="24"/>
        <v>3.8461538461538464E-2</v>
      </c>
      <c r="J193" s="159" t="str">
        <f t="shared" si="20"/>
        <v>Sep</v>
      </c>
      <c r="K193" s="159">
        <f t="shared" si="21"/>
        <v>2008</v>
      </c>
      <c r="L193" s="160">
        <v>1</v>
      </c>
    </row>
    <row r="194" spans="1:12" ht="14.4">
      <c r="A194" s="128"/>
      <c r="B194" s="154">
        <f t="shared" si="27"/>
        <v>39724</v>
      </c>
      <c r="C194" s="154">
        <f t="shared" si="28"/>
        <v>39730</v>
      </c>
      <c r="D194" s="155" t="str">
        <f t="shared" si="18"/>
        <v>Thu</v>
      </c>
      <c r="E194" s="162">
        <f t="shared" si="19"/>
        <v>1</v>
      </c>
      <c r="F194" s="162">
        <f t="shared" si="25"/>
        <v>21</v>
      </c>
      <c r="G194" s="162">
        <f t="shared" si="22"/>
        <v>1</v>
      </c>
      <c r="H194" s="162">
        <f t="shared" si="26"/>
        <v>2080</v>
      </c>
      <c r="I194" s="175">
        <f t="shared" si="24"/>
        <v>1</v>
      </c>
      <c r="J194" s="159" t="str">
        <f t="shared" si="20"/>
        <v>Oct</v>
      </c>
      <c r="K194" s="159">
        <f t="shared" si="21"/>
        <v>2008</v>
      </c>
      <c r="L194" s="160">
        <v>1</v>
      </c>
    </row>
    <row r="195" spans="1:12" ht="14.4">
      <c r="A195" s="128"/>
      <c r="B195" s="154">
        <f t="shared" si="27"/>
        <v>39738</v>
      </c>
      <c r="C195" s="154">
        <f t="shared" si="28"/>
        <v>39744</v>
      </c>
      <c r="D195" s="155" t="str">
        <f t="shared" si="18"/>
        <v>Thu</v>
      </c>
      <c r="E195" s="162">
        <f t="shared" si="19"/>
        <v>2</v>
      </c>
      <c r="F195" s="162">
        <f t="shared" si="25"/>
        <v>22</v>
      </c>
      <c r="G195" s="162">
        <f t="shared" si="22"/>
        <v>2</v>
      </c>
      <c r="H195" s="162">
        <f t="shared" si="26"/>
        <v>2000</v>
      </c>
      <c r="I195" s="175">
        <f t="shared" si="24"/>
        <v>0.96153846153846156</v>
      </c>
      <c r="J195" s="159" t="str">
        <f t="shared" si="20"/>
        <v>Oct</v>
      </c>
      <c r="K195" s="159">
        <f t="shared" si="21"/>
        <v>2008</v>
      </c>
      <c r="L195" s="160">
        <v>1</v>
      </c>
    </row>
    <row r="196" spans="1:12" ht="14.4">
      <c r="A196" s="128"/>
      <c r="B196" s="154">
        <f t="shared" si="27"/>
        <v>39752</v>
      </c>
      <c r="C196" s="154">
        <f t="shared" si="28"/>
        <v>39758</v>
      </c>
      <c r="D196" s="155" t="str">
        <f t="shared" si="18"/>
        <v>Thu</v>
      </c>
      <c r="E196" s="162">
        <f t="shared" si="19"/>
        <v>1</v>
      </c>
      <c r="F196" s="162">
        <f t="shared" si="25"/>
        <v>23</v>
      </c>
      <c r="G196" s="162">
        <f t="shared" si="22"/>
        <v>3</v>
      </c>
      <c r="H196" s="162">
        <f t="shared" si="26"/>
        <v>1920</v>
      </c>
      <c r="I196" s="175">
        <f t="shared" si="24"/>
        <v>0.92307692307692313</v>
      </c>
      <c r="J196" s="159" t="str">
        <f t="shared" si="20"/>
        <v>Nov</v>
      </c>
      <c r="K196" s="159">
        <f t="shared" si="21"/>
        <v>2008</v>
      </c>
      <c r="L196" s="160">
        <v>1</v>
      </c>
    </row>
    <row r="197" spans="1:12" ht="14.4">
      <c r="A197" s="128"/>
      <c r="B197" s="154">
        <f t="shared" si="27"/>
        <v>39766</v>
      </c>
      <c r="C197" s="154">
        <f t="shared" si="28"/>
        <v>39772</v>
      </c>
      <c r="D197" s="155" t="str">
        <f t="shared" si="18"/>
        <v>Thu</v>
      </c>
      <c r="E197" s="162">
        <f t="shared" si="19"/>
        <v>2</v>
      </c>
      <c r="F197" s="162">
        <f t="shared" si="25"/>
        <v>24</v>
      </c>
      <c r="G197" s="162">
        <f t="shared" si="22"/>
        <v>4</v>
      </c>
      <c r="H197" s="162">
        <f t="shared" si="26"/>
        <v>1840</v>
      </c>
      <c r="I197" s="175">
        <f t="shared" si="24"/>
        <v>0.88461538461538458</v>
      </c>
      <c r="J197" s="159" t="str">
        <f t="shared" si="20"/>
        <v>Nov</v>
      </c>
      <c r="K197" s="159">
        <f t="shared" si="21"/>
        <v>2008</v>
      </c>
      <c r="L197" s="160">
        <v>1</v>
      </c>
    </row>
    <row r="198" spans="1:12" ht="14.4">
      <c r="A198" s="128"/>
      <c r="B198" s="154">
        <f t="shared" si="27"/>
        <v>39780</v>
      </c>
      <c r="C198" s="154">
        <f t="shared" si="28"/>
        <v>39786</v>
      </c>
      <c r="D198" s="155" t="str">
        <f t="shared" si="18"/>
        <v>Thu</v>
      </c>
      <c r="E198" s="162">
        <f t="shared" si="19"/>
        <v>1</v>
      </c>
      <c r="F198" s="162">
        <f t="shared" si="25"/>
        <v>25</v>
      </c>
      <c r="G198" s="162">
        <f t="shared" si="22"/>
        <v>5</v>
      </c>
      <c r="H198" s="162">
        <f t="shared" si="26"/>
        <v>1760</v>
      </c>
      <c r="I198" s="175">
        <f t="shared" si="24"/>
        <v>0.84615384615384615</v>
      </c>
      <c r="J198" s="159" t="str">
        <f t="shared" si="20"/>
        <v>Dec</v>
      </c>
      <c r="K198" s="159">
        <f t="shared" si="21"/>
        <v>2008</v>
      </c>
      <c r="L198" s="160">
        <v>1</v>
      </c>
    </row>
    <row r="199" spans="1:12" ht="14.4">
      <c r="A199" s="128"/>
      <c r="B199" s="154">
        <f t="shared" si="27"/>
        <v>39794</v>
      </c>
      <c r="C199" s="154">
        <f t="shared" si="28"/>
        <v>39800</v>
      </c>
      <c r="D199" s="155" t="str">
        <f t="shared" si="18"/>
        <v>Thu</v>
      </c>
      <c r="E199" s="162">
        <f t="shared" si="19"/>
        <v>2</v>
      </c>
      <c r="F199" s="162">
        <f t="shared" si="25"/>
        <v>26</v>
      </c>
      <c r="G199" s="162">
        <f t="shared" si="22"/>
        <v>6</v>
      </c>
      <c r="H199" s="162">
        <f t="shared" si="26"/>
        <v>1680</v>
      </c>
      <c r="I199" s="175">
        <f t="shared" si="24"/>
        <v>0.80769230769230771</v>
      </c>
      <c r="J199" s="159" t="str">
        <f t="shared" si="20"/>
        <v>Dec</v>
      </c>
      <c r="K199" s="159">
        <f t="shared" si="21"/>
        <v>2008</v>
      </c>
      <c r="L199" s="160">
        <v>1</v>
      </c>
    </row>
    <row r="200" spans="1:12" ht="14.4">
      <c r="A200" s="128"/>
      <c r="B200" s="154">
        <f t="shared" si="27"/>
        <v>39808</v>
      </c>
      <c r="C200" s="154">
        <f t="shared" si="28"/>
        <v>39814</v>
      </c>
      <c r="D200" s="155" t="str">
        <f t="shared" ref="D200:D263" si="29">TEXT(C200,"ddd")</f>
        <v>Thu</v>
      </c>
      <c r="E200" s="162">
        <f t="shared" ref="E200:E263" si="30">IF(MONTH(C200)=MONTH(C199),E199+1,1)</f>
        <v>1</v>
      </c>
      <c r="F200" s="162">
        <f t="shared" si="25"/>
        <v>1</v>
      </c>
      <c r="G200" s="162">
        <f t="shared" si="22"/>
        <v>7</v>
      </c>
      <c r="H200" s="162">
        <f t="shared" si="26"/>
        <v>1600</v>
      </c>
      <c r="I200" s="175">
        <f t="shared" si="24"/>
        <v>0.76923076923076927</v>
      </c>
      <c r="J200" s="159" t="str">
        <f t="shared" ref="J200:J263" si="31">TEXT(C200,"mmm")</f>
        <v>Jan</v>
      </c>
      <c r="K200" s="159">
        <f t="shared" ref="K200:K263" si="32">YEAR(C200)</f>
        <v>2009</v>
      </c>
      <c r="L200" s="160">
        <v>1</v>
      </c>
    </row>
    <row r="201" spans="1:12" ht="14.4">
      <c r="A201" s="128"/>
      <c r="B201" s="154">
        <f t="shared" si="27"/>
        <v>39822</v>
      </c>
      <c r="C201" s="154">
        <f t="shared" si="28"/>
        <v>39828</v>
      </c>
      <c r="D201" s="155" t="str">
        <f t="shared" si="29"/>
        <v>Thu</v>
      </c>
      <c r="E201" s="162">
        <f t="shared" si="30"/>
        <v>2</v>
      </c>
      <c r="F201" s="162">
        <f t="shared" si="25"/>
        <v>2</v>
      </c>
      <c r="G201" s="162">
        <f t="shared" si="22"/>
        <v>8</v>
      </c>
      <c r="H201" s="162">
        <f t="shared" si="26"/>
        <v>1520</v>
      </c>
      <c r="I201" s="175">
        <f t="shared" si="24"/>
        <v>0.73076923076923073</v>
      </c>
      <c r="J201" s="159" t="str">
        <f t="shared" si="31"/>
        <v>Jan</v>
      </c>
      <c r="K201" s="159">
        <f t="shared" si="32"/>
        <v>2009</v>
      </c>
      <c r="L201" s="160">
        <v>1</v>
      </c>
    </row>
    <row r="202" spans="1:12" ht="14.4">
      <c r="A202" s="128"/>
      <c r="B202" s="154">
        <f t="shared" si="27"/>
        <v>39836</v>
      </c>
      <c r="C202" s="154">
        <f t="shared" si="28"/>
        <v>39842</v>
      </c>
      <c r="D202" s="155" t="str">
        <f t="shared" si="29"/>
        <v>Thu</v>
      </c>
      <c r="E202" s="162">
        <f t="shared" si="30"/>
        <v>3</v>
      </c>
      <c r="F202" s="162">
        <f t="shared" si="25"/>
        <v>3</v>
      </c>
      <c r="G202" s="162">
        <f t="shared" si="22"/>
        <v>9</v>
      </c>
      <c r="H202" s="162">
        <f t="shared" si="26"/>
        <v>1440</v>
      </c>
      <c r="I202" s="175">
        <f t="shared" si="24"/>
        <v>0.69230769230769229</v>
      </c>
      <c r="J202" s="159" t="str">
        <f t="shared" si="31"/>
        <v>Jan</v>
      </c>
      <c r="K202" s="159">
        <f t="shared" si="32"/>
        <v>2009</v>
      </c>
      <c r="L202" s="160">
        <v>1</v>
      </c>
    </row>
    <row r="203" spans="1:12" ht="14.4">
      <c r="A203" s="128"/>
      <c r="B203" s="154">
        <f t="shared" si="27"/>
        <v>39850</v>
      </c>
      <c r="C203" s="154">
        <f t="shared" si="28"/>
        <v>39856</v>
      </c>
      <c r="D203" s="155" t="str">
        <f t="shared" si="29"/>
        <v>Thu</v>
      </c>
      <c r="E203" s="162">
        <f t="shared" si="30"/>
        <v>1</v>
      </c>
      <c r="F203" s="162">
        <f t="shared" si="25"/>
        <v>4</v>
      </c>
      <c r="G203" s="162">
        <f t="shared" ref="G203:G266" si="33">IF(AND(F203&lt;26,MONTH(C203)=10),E203,(G202+1))</f>
        <v>10</v>
      </c>
      <c r="H203" s="162">
        <f t="shared" si="26"/>
        <v>1360</v>
      </c>
      <c r="I203" s="175">
        <f t="shared" si="24"/>
        <v>0.65384615384615385</v>
      </c>
      <c r="J203" s="159" t="str">
        <f t="shared" si="31"/>
        <v>Feb</v>
      </c>
      <c r="K203" s="159">
        <f t="shared" si="32"/>
        <v>2009</v>
      </c>
      <c r="L203" s="160">
        <v>1</v>
      </c>
    </row>
    <row r="204" spans="1:12" ht="14.4">
      <c r="A204" s="128"/>
      <c r="B204" s="154">
        <f t="shared" si="27"/>
        <v>39864</v>
      </c>
      <c r="C204" s="154">
        <f t="shared" si="28"/>
        <v>39870</v>
      </c>
      <c r="D204" s="155" t="str">
        <f t="shared" si="29"/>
        <v>Thu</v>
      </c>
      <c r="E204" s="162">
        <f t="shared" si="30"/>
        <v>2</v>
      </c>
      <c r="F204" s="162">
        <f t="shared" si="25"/>
        <v>5</v>
      </c>
      <c r="G204" s="162">
        <f t="shared" si="33"/>
        <v>11</v>
      </c>
      <c r="H204" s="162">
        <f t="shared" si="26"/>
        <v>1280</v>
      </c>
      <c r="I204" s="175">
        <f t="shared" si="24"/>
        <v>0.61538461538461542</v>
      </c>
      <c r="J204" s="159" t="str">
        <f t="shared" si="31"/>
        <v>Feb</v>
      </c>
      <c r="K204" s="159">
        <f t="shared" si="32"/>
        <v>2009</v>
      </c>
      <c r="L204" s="160">
        <v>1</v>
      </c>
    </row>
    <row r="205" spans="1:12" ht="14.4">
      <c r="A205" s="128"/>
      <c r="B205" s="154">
        <f t="shared" si="27"/>
        <v>39878</v>
      </c>
      <c r="C205" s="154">
        <f t="shared" si="28"/>
        <v>39884</v>
      </c>
      <c r="D205" s="155" t="str">
        <f t="shared" si="29"/>
        <v>Thu</v>
      </c>
      <c r="E205" s="162">
        <f t="shared" si="30"/>
        <v>1</v>
      </c>
      <c r="F205" s="162">
        <f t="shared" si="25"/>
        <v>6</v>
      </c>
      <c r="G205" s="162">
        <f t="shared" si="33"/>
        <v>12</v>
      </c>
      <c r="H205" s="162">
        <f t="shared" si="26"/>
        <v>1200</v>
      </c>
      <c r="I205" s="175">
        <f t="shared" si="24"/>
        <v>0.57692307692307687</v>
      </c>
      <c r="J205" s="159" t="str">
        <f t="shared" si="31"/>
        <v>Mar</v>
      </c>
      <c r="K205" s="159">
        <f t="shared" si="32"/>
        <v>2009</v>
      </c>
      <c r="L205" s="160">
        <v>1</v>
      </c>
    </row>
    <row r="206" spans="1:12" ht="14.4">
      <c r="A206" s="128"/>
      <c r="B206" s="154">
        <f t="shared" si="27"/>
        <v>39892</v>
      </c>
      <c r="C206" s="154">
        <f t="shared" si="28"/>
        <v>39898</v>
      </c>
      <c r="D206" s="155" t="str">
        <f t="shared" si="29"/>
        <v>Thu</v>
      </c>
      <c r="E206" s="162">
        <f t="shared" si="30"/>
        <v>2</v>
      </c>
      <c r="F206" s="162">
        <f t="shared" si="25"/>
        <v>7</v>
      </c>
      <c r="G206" s="162">
        <f t="shared" si="33"/>
        <v>13</v>
      </c>
      <c r="H206" s="162">
        <f t="shared" si="26"/>
        <v>1120</v>
      </c>
      <c r="I206" s="175">
        <f t="shared" si="24"/>
        <v>0.53846153846153844</v>
      </c>
      <c r="J206" s="159" t="str">
        <f t="shared" si="31"/>
        <v>Mar</v>
      </c>
      <c r="K206" s="159">
        <f t="shared" si="32"/>
        <v>2009</v>
      </c>
      <c r="L206" s="160">
        <v>1</v>
      </c>
    </row>
    <row r="207" spans="1:12" ht="14.4">
      <c r="A207" s="128"/>
      <c r="B207" s="154">
        <f t="shared" si="27"/>
        <v>39906</v>
      </c>
      <c r="C207" s="154">
        <f t="shared" si="28"/>
        <v>39912</v>
      </c>
      <c r="D207" s="155" t="str">
        <f t="shared" si="29"/>
        <v>Thu</v>
      </c>
      <c r="E207" s="162">
        <f t="shared" si="30"/>
        <v>1</v>
      </c>
      <c r="F207" s="162">
        <f t="shared" si="25"/>
        <v>8</v>
      </c>
      <c r="G207" s="162">
        <f t="shared" si="33"/>
        <v>14</v>
      </c>
      <c r="H207" s="162">
        <f t="shared" si="26"/>
        <v>1040</v>
      </c>
      <c r="I207" s="175">
        <f t="shared" ref="I207:I270" si="34">H207/2080</f>
        <v>0.5</v>
      </c>
      <c r="J207" s="159" t="str">
        <f t="shared" si="31"/>
        <v>Apr</v>
      </c>
      <c r="K207" s="159">
        <f t="shared" si="32"/>
        <v>2009</v>
      </c>
      <c r="L207" s="160">
        <v>1</v>
      </c>
    </row>
    <row r="208" spans="1:12" ht="14.4">
      <c r="A208" s="128"/>
      <c r="B208" s="154">
        <f t="shared" si="27"/>
        <v>39920</v>
      </c>
      <c r="C208" s="154">
        <f t="shared" si="28"/>
        <v>39926</v>
      </c>
      <c r="D208" s="155" t="str">
        <f t="shared" si="29"/>
        <v>Thu</v>
      </c>
      <c r="E208" s="162">
        <f t="shared" si="30"/>
        <v>2</v>
      </c>
      <c r="F208" s="162">
        <f t="shared" si="25"/>
        <v>9</v>
      </c>
      <c r="G208" s="162">
        <f t="shared" si="33"/>
        <v>15</v>
      </c>
      <c r="H208" s="162">
        <f t="shared" si="26"/>
        <v>960</v>
      </c>
      <c r="I208" s="175">
        <f t="shared" si="34"/>
        <v>0.46153846153846156</v>
      </c>
      <c r="J208" s="159" t="str">
        <f t="shared" si="31"/>
        <v>Apr</v>
      </c>
      <c r="K208" s="159">
        <f t="shared" si="32"/>
        <v>2009</v>
      </c>
      <c r="L208" s="160">
        <v>1</v>
      </c>
    </row>
    <row r="209" spans="1:12" ht="14.4">
      <c r="A209" s="128"/>
      <c r="B209" s="154">
        <f t="shared" si="27"/>
        <v>39934</v>
      </c>
      <c r="C209" s="154">
        <f t="shared" si="28"/>
        <v>39940</v>
      </c>
      <c r="D209" s="155" t="str">
        <f t="shared" si="29"/>
        <v>Thu</v>
      </c>
      <c r="E209" s="162">
        <f t="shared" si="30"/>
        <v>1</v>
      </c>
      <c r="F209" s="162">
        <f t="shared" si="25"/>
        <v>10</v>
      </c>
      <c r="G209" s="162">
        <f t="shared" si="33"/>
        <v>16</v>
      </c>
      <c r="H209" s="162">
        <f t="shared" si="26"/>
        <v>880</v>
      </c>
      <c r="I209" s="175">
        <f t="shared" si="34"/>
        <v>0.42307692307692307</v>
      </c>
      <c r="J209" s="159" t="str">
        <f t="shared" si="31"/>
        <v>May</v>
      </c>
      <c r="K209" s="159">
        <f t="shared" si="32"/>
        <v>2009</v>
      </c>
      <c r="L209" s="160">
        <v>1</v>
      </c>
    </row>
    <row r="210" spans="1:12" ht="14.4">
      <c r="A210" s="128"/>
      <c r="B210" s="154">
        <f t="shared" si="27"/>
        <v>39948</v>
      </c>
      <c r="C210" s="154">
        <f t="shared" si="28"/>
        <v>39954</v>
      </c>
      <c r="D210" s="155" t="str">
        <f t="shared" si="29"/>
        <v>Thu</v>
      </c>
      <c r="E210" s="162">
        <f t="shared" si="30"/>
        <v>2</v>
      </c>
      <c r="F210" s="162">
        <f t="shared" ref="F210:F273" si="35">IF(YEAR(C210)&gt;YEAR(C209),1,F209+1)</f>
        <v>11</v>
      </c>
      <c r="G210" s="162">
        <f t="shared" si="33"/>
        <v>17</v>
      </c>
      <c r="H210" s="162">
        <f t="shared" si="26"/>
        <v>800</v>
      </c>
      <c r="I210" s="175">
        <f t="shared" si="34"/>
        <v>0.38461538461538464</v>
      </c>
      <c r="J210" s="159" t="str">
        <f t="shared" si="31"/>
        <v>May</v>
      </c>
      <c r="K210" s="159">
        <f t="shared" si="32"/>
        <v>2009</v>
      </c>
      <c r="L210" s="160">
        <v>1</v>
      </c>
    </row>
    <row r="211" spans="1:12" ht="14.4">
      <c r="A211" s="128"/>
      <c r="B211" s="154">
        <f t="shared" si="27"/>
        <v>39962</v>
      </c>
      <c r="C211" s="154">
        <f t="shared" si="28"/>
        <v>39968</v>
      </c>
      <c r="D211" s="155" t="str">
        <f t="shared" si="29"/>
        <v>Thu</v>
      </c>
      <c r="E211" s="162">
        <f t="shared" si="30"/>
        <v>1</v>
      </c>
      <c r="F211" s="162">
        <f t="shared" si="35"/>
        <v>12</v>
      </c>
      <c r="G211" s="162">
        <f t="shared" si="33"/>
        <v>18</v>
      </c>
      <c r="H211" s="162">
        <f t="shared" si="26"/>
        <v>720</v>
      </c>
      <c r="I211" s="175">
        <f t="shared" si="34"/>
        <v>0.34615384615384615</v>
      </c>
      <c r="J211" s="159" t="str">
        <f t="shared" si="31"/>
        <v>Jun</v>
      </c>
      <c r="K211" s="159">
        <f t="shared" si="32"/>
        <v>2009</v>
      </c>
      <c r="L211" s="160">
        <v>1</v>
      </c>
    </row>
    <row r="212" spans="1:12" ht="14.4">
      <c r="A212" s="128"/>
      <c r="B212" s="154">
        <f t="shared" si="27"/>
        <v>39976</v>
      </c>
      <c r="C212" s="154">
        <f t="shared" si="28"/>
        <v>39982</v>
      </c>
      <c r="D212" s="155" t="str">
        <f t="shared" si="29"/>
        <v>Thu</v>
      </c>
      <c r="E212" s="162">
        <f t="shared" si="30"/>
        <v>2</v>
      </c>
      <c r="F212" s="162">
        <f t="shared" si="35"/>
        <v>13</v>
      </c>
      <c r="G212" s="162">
        <f t="shared" si="33"/>
        <v>19</v>
      </c>
      <c r="H212" s="162">
        <f t="shared" si="26"/>
        <v>640</v>
      </c>
      <c r="I212" s="175">
        <f t="shared" si="34"/>
        <v>0.30769230769230771</v>
      </c>
      <c r="J212" s="159" t="str">
        <f t="shared" si="31"/>
        <v>Jun</v>
      </c>
      <c r="K212" s="159">
        <f t="shared" si="32"/>
        <v>2009</v>
      </c>
      <c r="L212" s="160">
        <v>1</v>
      </c>
    </row>
    <row r="213" spans="1:12" ht="14.4">
      <c r="A213" s="128"/>
      <c r="B213" s="154">
        <f t="shared" si="27"/>
        <v>39990</v>
      </c>
      <c r="C213" s="154">
        <f t="shared" si="28"/>
        <v>39996</v>
      </c>
      <c r="D213" s="155" t="str">
        <f t="shared" si="29"/>
        <v>Thu</v>
      </c>
      <c r="E213" s="162">
        <f t="shared" si="30"/>
        <v>1</v>
      </c>
      <c r="F213" s="162">
        <f t="shared" si="35"/>
        <v>14</v>
      </c>
      <c r="G213" s="162">
        <f t="shared" si="33"/>
        <v>20</v>
      </c>
      <c r="H213" s="162">
        <f t="shared" si="26"/>
        <v>560</v>
      </c>
      <c r="I213" s="175">
        <f t="shared" si="34"/>
        <v>0.26923076923076922</v>
      </c>
      <c r="J213" s="159" t="str">
        <f t="shared" si="31"/>
        <v>Jul</v>
      </c>
      <c r="K213" s="159">
        <f t="shared" si="32"/>
        <v>2009</v>
      </c>
      <c r="L213" s="160">
        <v>1</v>
      </c>
    </row>
    <row r="214" spans="1:12" ht="14.4">
      <c r="A214" s="128"/>
      <c r="B214" s="154">
        <f t="shared" si="27"/>
        <v>40004</v>
      </c>
      <c r="C214" s="154">
        <f t="shared" si="28"/>
        <v>40010</v>
      </c>
      <c r="D214" s="155" t="str">
        <f t="shared" si="29"/>
        <v>Thu</v>
      </c>
      <c r="E214" s="162">
        <f t="shared" si="30"/>
        <v>2</v>
      </c>
      <c r="F214" s="162">
        <f t="shared" si="35"/>
        <v>15</v>
      </c>
      <c r="G214" s="162">
        <f t="shared" si="33"/>
        <v>21</v>
      </c>
      <c r="H214" s="162">
        <f t="shared" si="26"/>
        <v>480</v>
      </c>
      <c r="I214" s="175">
        <f t="shared" si="34"/>
        <v>0.23076923076923078</v>
      </c>
      <c r="J214" s="159" t="str">
        <f t="shared" si="31"/>
        <v>Jul</v>
      </c>
      <c r="K214" s="159">
        <f t="shared" si="32"/>
        <v>2009</v>
      </c>
      <c r="L214" s="160">
        <v>1</v>
      </c>
    </row>
    <row r="215" spans="1:12" ht="14.4">
      <c r="A215" s="128"/>
      <c r="B215" s="154">
        <f t="shared" si="27"/>
        <v>40018</v>
      </c>
      <c r="C215" s="154">
        <f t="shared" si="28"/>
        <v>40024</v>
      </c>
      <c r="D215" s="155" t="str">
        <f t="shared" si="29"/>
        <v>Thu</v>
      </c>
      <c r="E215" s="162">
        <f t="shared" si="30"/>
        <v>3</v>
      </c>
      <c r="F215" s="162">
        <f t="shared" si="35"/>
        <v>16</v>
      </c>
      <c r="G215" s="162">
        <f t="shared" si="33"/>
        <v>22</v>
      </c>
      <c r="H215" s="162">
        <f t="shared" si="26"/>
        <v>400</v>
      </c>
      <c r="I215" s="175">
        <f t="shared" si="34"/>
        <v>0.19230769230769232</v>
      </c>
      <c r="J215" s="159" t="str">
        <f t="shared" si="31"/>
        <v>Jul</v>
      </c>
      <c r="K215" s="159">
        <f t="shared" si="32"/>
        <v>2009</v>
      </c>
      <c r="L215" s="160">
        <v>1</v>
      </c>
    </row>
    <row r="216" spans="1:12" ht="14.4">
      <c r="A216" s="128"/>
      <c r="B216" s="154">
        <f t="shared" si="27"/>
        <v>40032</v>
      </c>
      <c r="C216" s="154">
        <f t="shared" si="28"/>
        <v>40038</v>
      </c>
      <c r="D216" s="155" t="str">
        <f t="shared" si="29"/>
        <v>Thu</v>
      </c>
      <c r="E216" s="162">
        <f t="shared" si="30"/>
        <v>1</v>
      </c>
      <c r="F216" s="162">
        <f t="shared" si="35"/>
        <v>17</v>
      </c>
      <c r="G216" s="162">
        <f t="shared" si="33"/>
        <v>23</v>
      </c>
      <c r="H216" s="162">
        <f t="shared" si="26"/>
        <v>320</v>
      </c>
      <c r="I216" s="175">
        <f t="shared" si="34"/>
        <v>0.15384615384615385</v>
      </c>
      <c r="J216" s="159" t="str">
        <f t="shared" si="31"/>
        <v>Aug</v>
      </c>
      <c r="K216" s="159">
        <f t="shared" si="32"/>
        <v>2009</v>
      </c>
      <c r="L216" s="160">
        <v>1</v>
      </c>
    </row>
    <row r="217" spans="1:12" ht="14.4">
      <c r="A217" s="128"/>
      <c r="B217" s="154">
        <f t="shared" si="27"/>
        <v>40046</v>
      </c>
      <c r="C217" s="154">
        <f t="shared" si="28"/>
        <v>40052</v>
      </c>
      <c r="D217" s="155" t="str">
        <f t="shared" si="29"/>
        <v>Thu</v>
      </c>
      <c r="E217" s="162">
        <f t="shared" si="30"/>
        <v>2</v>
      </c>
      <c r="F217" s="162">
        <f t="shared" si="35"/>
        <v>18</v>
      </c>
      <c r="G217" s="162">
        <f t="shared" si="33"/>
        <v>24</v>
      </c>
      <c r="H217" s="162">
        <f t="shared" si="26"/>
        <v>240</v>
      </c>
      <c r="I217" s="175">
        <f t="shared" si="34"/>
        <v>0.11538461538461539</v>
      </c>
      <c r="J217" s="159" t="str">
        <f t="shared" si="31"/>
        <v>Aug</v>
      </c>
      <c r="K217" s="159">
        <f t="shared" si="32"/>
        <v>2009</v>
      </c>
      <c r="L217" s="160">
        <v>1</v>
      </c>
    </row>
    <row r="218" spans="1:12" ht="14.4">
      <c r="A218" s="128"/>
      <c r="B218" s="154">
        <f t="shared" si="27"/>
        <v>40060</v>
      </c>
      <c r="C218" s="154">
        <f t="shared" si="28"/>
        <v>40066</v>
      </c>
      <c r="D218" s="155" t="str">
        <f t="shared" si="29"/>
        <v>Thu</v>
      </c>
      <c r="E218" s="162">
        <f t="shared" si="30"/>
        <v>1</v>
      </c>
      <c r="F218" s="162">
        <f t="shared" si="35"/>
        <v>19</v>
      </c>
      <c r="G218" s="162">
        <f t="shared" si="33"/>
        <v>25</v>
      </c>
      <c r="H218" s="162">
        <f t="shared" si="26"/>
        <v>160</v>
      </c>
      <c r="I218" s="175">
        <f t="shared" si="34"/>
        <v>7.6923076923076927E-2</v>
      </c>
      <c r="J218" s="159" t="str">
        <f t="shared" si="31"/>
        <v>Sep</v>
      </c>
      <c r="K218" s="159">
        <f t="shared" si="32"/>
        <v>2009</v>
      </c>
      <c r="L218" s="160">
        <v>1</v>
      </c>
    </row>
    <row r="219" spans="1:12" ht="14.4">
      <c r="A219" s="128"/>
      <c r="B219" s="154">
        <f t="shared" si="27"/>
        <v>40074</v>
      </c>
      <c r="C219" s="154">
        <f t="shared" si="28"/>
        <v>40080</v>
      </c>
      <c r="D219" s="155" t="str">
        <f t="shared" si="29"/>
        <v>Thu</v>
      </c>
      <c r="E219" s="162">
        <f t="shared" si="30"/>
        <v>2</v>
      </c>
      <c r="F219" s="162">
        <f t="shared" si="35"/>
        <v>20</v>
      </c>
      <c r="G219" s="162">
        <f t="shared" si="33"/>
        <v>26</v>
      </c>
      <c r="H219" s="162">
        <f t="shared" si="26"/>
        <v>80</v>
      </c>
      <c r="I219" s="175">
        <f t="shared" si="34"/>
        <v>3.8461538461538464E-2</v>
      </c>
      <c r="J219" s="159" t="str">
        <f t="shared" si="31"/>
        <v>Sep</v>
      </c>
      <c r="K219" s="159">
        <f t="shared" si="32"/>
        <v>2009</v>
      </c>
      <c r="L219" s="160">
        <v>1</v>
      </c>
    </row>
    <row r="220" spans="1:12" ht="14.4">
      <c r="A220" s="128"/>
      <c r="B220" s="154">
        <f t="shared" si="27"/>
        <v>40088</v>
      </c>
      <c r="C220" s="154">
        <f t="shared" si="28"/>
        <v>40094</v>
      </c>
      <c r="D220" s="155" t="str">
        <f t="shared" si="29"/>
        <v>Thu</v>
      </c>
      <c r="E220" s="162">
        <f t="shared" si="30"/>
        <v>1</v>
      </c>
      <c r="F220" s="162">
        <f t="shared" si="35"/>
        <v>21</v>
      </c>
      <c r="G220" s="162">
        <f t="shared" si="33"/>
        <v>1</v>
      </c>
      <c r="H220" s="162">
        <f t="shared" si="26"/>
        <v>2080</v>
      </c>
      <c r="I220" s="175">
        <f t="shared" si="34"/>
        <v>1</v>
      </c>
      <c r="J220" s="159" t="str">
        <f t="shared" si="31"/>
        <v>Oct</v>
      </c>
      <c r="K220" s="159">
        <f t="shared" si="32"/>
        <v>2009</v>
      </c>
      <c r="L220" s="160">
        <v>1</v>
      </c>
    </row>
    <row r="221" spans="1:12" ht="14.4">
      <c r="A221" s="128"/>
      <c r="B221" s="154">
        <f t="shared" si="27"/>
        <v>40102</v>
      </c>
      <c r="C221" s="154">
        <f t="shared" si="28"/>
        <v>40108</v>
      </c>
      <c r="D221" s="155" t="str">
        <f t="shared" si="29"/>
        <v>Thu</v>
      </c>
      <c r="E221" s="162">
        <f t="shared" si="30"/>
        <v>2</v>
      </c>
      <c r="F221" s="162">
        <f t="shared" si="35"/>
        <v>22</v>
      </c>
      <c r="G221" s="162">
        <f t="shared" si="33"/>
        <v>2</v>
      </c>
      <c r="H221" s="162">
        <f t="shared" si="26"/>
        <v>2000</v>
      </c>
      <c r="I221" s="175">
        <f t="shared" si="34"/>
        <v>0.96153846153846156</v>
      </c>
      <c r="J221" s="159" t="str">
        <f t="shared" si="31"/>
        <v>Oct</v>
      </c>
      <c r="K221" s="159">
        <f t="shared" si="32"/>
        <v>2009</v>
      </c>
      <c r="L221" s="160">
        <v>1</v>
      </c>
    </row>
    <row r="222" spans="1:12" ht="14.4">
      <c r="A222" s="128"/>
      <c r="B222" s="154">
        <f t="shared" si="27"/>
        <v>40116</v>
      </c>
      <c r="C222" s="154">
        <f t="shared" si="28"/>
        <v>40122</v>
      </c>
      <c r="D222" s="155" t="str">
        <f t="shared" si="29"/>
        <v>Thu</v>
      </c>
      <c r="E222" s="162">
        <f t="shared" si="30"/>
        <v>1</v>
      </c>
      <c r="F222" s="162">
        <f t="shared" si="35"/>
        <v>23</v>
      </c>
      <c r="G222" s="162">
        <f t="shared" si="33"/>
        <v>3</v>
      </c>
      <c r="H222" s="162">
        <f t="shared" si="26"/>
        <v>1920</v>
      </c>
      <c r="I222" s="175">
        <f t="shared" si="34"/>
        <v>0.92307692307692313</v>
      </c>
      <c r="J222" s="159" t="str">
        <f t="shared" si="31"/>
        <v>Nov</v>
      </c>
      <c r="K222" s="159">
        <f t="shared" si="32"/>
        <v>2009</v>
      </c>
      <c r="L222" s="160">
        <v>1</v>
      </c>
    </row>
    <row r="223" spans="1:12" ht="14.4">
      <c r="A223" s="128"/>
      <c r="B223" s="154">
        <f t="shared" si="27"/>
        <v>40130</v>
      </c>
      <c r="C223" s="154">
        <f t="shared" si="28"/>
        <v>40136</v>
      </c>
      <c r="D223" s="155" t="str">
        <f t="shared" si="29"/>
        <v>Thu</v>
      </c>
      <c r="E223" s="162">
        <f t="shared" si="30"/>
        <v>2</v>
      </c>
      <c r="F223" s="162">
        <f t="shared" si="35"/>
        <v>24</v>
      </c>
      <c r="G223" s="162">
        <f t="shared" si="33"/>
        <v>4</v>
      </c>
      <c r="H223" s="162">
        <f t="shared" si="26"/>
        <v>1840</v>
      </c>
      <c r="I223" s="175">
        <f t="shared" si="34"/>
        <v>0.88461538461538458</v>
      </c>
      <c r="J223" s="159" t="str">
        <f t="shared" si="31"/>
        <v>Nov</v>
      </c>
      <c r="K223" s="159">
        <f t="shared" si="32"/>
        <v>2009</v>
      </c>
      <c r="L223" s="160">
        <v>1</v>
      </c>
    </row>
    <row r="224" spans="1:12" ht="14.4">
      <c r="A224" s="128"/>
      <c r="B224" s="154">
        <f t="shared" si="27"/>
        <v>40144</v>
      </c>
      <c r="C224" s="154">
        <f t="shared" si="28"/>
        <v>40150</v>
      </c>
      <c r="D224" s="155" t="str">
        <f t="shared" si="29"/>
        <v>Thu</v>
      </c>
      <c r="E224" s="162">
        <f t="shared" si="30"/>
        <v>1</v>
      </c>
      <c r="F224" s="162">
        <f t="shared" si="35"/>
        <v>25</v>
      </c>
      <c r="G224" s="162">
        <f t="shared" si="33"/>
        <v>5</v>
      </c>
      <c r="H224" s="162">
        <f t="shared" si="26"/>
        <v>1760</v>
      </c>
      <c r="I224" s="175">
        <f t="shared" si="34"/>
        <v>0.84615384615384615</v>
      </c>
      <c r="J224" s="159" t="str">
        <f t="shared" si="31"/>
        <v>Dec</v>
      </c>
      <c r="K224" s="159">
        <f t="shared" si="32"/>
        <v>2009</v>
      </c>
      <c r="L224" s="160">
        <v>1</v>
      </c>
    </row>
    <row r="225" spans="1:12" ht="14.4">
      <c r="A225" s="128"/>
      <c r="B225" s="154">
        <f t="shared" si="27"/>
        <v>40158</v>
      </c>
      <c r="C225" s="154">
        <f t="shared" si="28"/>
        <v>40164</v>
      </c>
      <c r="D225" s="155" t="str">
        <f t="shared" si="29"/>
        <v>Thu</v>
      </c>
      <c r="E225" s="162">
        <f t="shared" si="30"/>
        <v>2</v>
      </c>
      <c r="F225" s="162">
        <f t="shared" si="35"/>
        <v>26</v>
      </c>
      <c r="G225" s="162">
        <f t="shared" si="33"/>
        <v>6</v>
      </c>
      <c r="H225" s="162">
        <f t="shared" si="26"/>
        <v>1680</v>
      </c>
      <c r="I225" s="175">
        <f t="shared" si="34"/>
        <v>0.80769230769230771</v>
      </c>
      <c r="J225" s="159" t="str">
        <f t="shared" si="31"/>
        <v>Dec</v>
      </c>
      <c r="K225" s="159">
        <f t="shared" si="32"/>
        <v>2009</v>
      </c>
      <c r="L225" s="160">
        <v>1</v>
      </c>
    </row>
    <row r="226" spans="1:12" ht="14.4">
      <c r="A226" s="128"/>
      <c r="B226" s="154">
        <f t="shared" si="27"/>
        <v>40172</v>
      </c>
      <c r="C226" s="154">
        <f t="shared" si="28"/>
        <v>40178</v>
      </c>
      <c r="D226" s="155" t="str">
        <f t="shared" si="29"/>
        <v>Thu</v>
      </c>
      <c r="E226" s="162">
        <f t="shared" si="30"/>
        <v>3</v>
      </c>
      <c r="F226" s="162">
        <f t="shared" si="35"/>
        <v>27</v>
      </c>
      <c r="G226" s="162">
        <f t="shared" si="33"/>
        <v>7</v>
      </c>
      <c r="H226" s="162">
        <f t="shared" si="26"/>
        <v>1600</v>
      </c>
      <c r="I226" s="175">
        <f t="shared" si="34"/>
        <v>0.76923076923076927</v>
      </c>
      <c r="J226" s="159" t="str">
        <f t="shared" si="31"/>
        <v>Dec</v>
      </c>
      <c r="K226" s="159">
        <f t="shared" si="32"/>
        <v>2009</v>
      </c>
      <c r="L226" s="160">
        <v>1</v>
      </c>
    </row>
    <row r="227" spans="1:12" ht="14.4">
      <c r="A227" s="128"/>
      <c r="B227" s="154">
        <f t="shared" si="27"/>
        <v>40186</v>
      </c>
      <c r="C227" s="154">
        <f t="shared" si="28"/>
        <v>40192</v>
      </c>
      <c r="D227" s="155" t="str">
        <f t="shared" si="29"/>
        <v>Thu</v>
      </c>
      <c r="E227" s="162">
        <f t="shared" si="30"/>
        <v>1</v>
      </c>
      <c r="F227" s="162">
        <f t="shared" si="35"/>
        <v>1</v>
      </c>
      <c r="G227" s="162">
        <f t="shared" si="33"/>
        <v>8</v>
      </c>
      <c r="H227" s="162">
        <f t="shared" si="26"/>
        <v>1520</v>
      </c>
      <c r="I227" s="175">
        <f t="shared" si="34"/>
        <v>0.73076923076923073</v>
      </c>
      <c r="J227" s="159" t="str">
        <f t="shared" si="31"/>
        <v>Jan</v>
      </c>
      <c r="K227" s="159">
        <f t="shared" si="32"/>
        <v>2010</v>
      </c>
      <c r="L227" s="160">
        <v>1</v>
      </c>
    </row>
    <row r="228" spans="1:12" ht="14.4">
      <c r="A228" s="128"/>
      <c r="B228" s="154">
        <f t="shared" si="27"/>
        <v>40200</v>
      </c>
      <c r="C228" s="154">
        <f t="shared" si="28"/>
        <v>40206</v>
      </c>
      <c r="D228" s="155" t="str">
        <f t="shared" si="29"/>
        <v>Thu</v>
      </c>
      <c r="E228" s="162">
        <f t="shared" si="30"/>
        <v>2</v>
      </c>
      <c r="F228" s="162">
        <f t="shared" si="35"/>
        <v>2</v>
      </c>
      <c r="G228" s="162">
        <f t="shared" si="33"/>
        <v>9</v>
      </c>
      <c r="H228" s="162">
        <f t="shared" si="26"/>
        <v>1440</v>
      </c>
      <c r="I228" s="175">
        <f t="shared" si="34"/>
        <v>0.69230769230769229</v>
      </c>
      <c r="J228" s="159" t="str">
        <f t="shared" si="31"/>
        <v>Jan</v>
      </c>
      <c r="K228" s="159">
        <f t="shared" si="32"/>
        <v>2010</v>
      </c>
      <c r="L228" s="160">
        <v>1</v>
      </c>
    </row>
    <row r="229" spans="1:12" ht="14.4">
      <c r="A229" s="128"/>
      <c r="B229" s="154">
        <f t="shared" si="27"/>
        <v>40214</v>
      </c>
      <c r="C229" s="154">
        <f t="shared" si="28"/>
        <v>40220</v>
      </c>
      <c r="D229" s="155" t="str">
        <f t="shared" si="29"/>
        <v>Thu</v>
      </c>
      <c r="E229" s="162">
        <f t="shared" si="30"/>
        <v>1</v>
      </c>
      <c r="F229" s="162">
        <f t="shared" si="35"/>
        <v>3</v>
      </c>
      <c r="G229" s="162">
        <f t="shared" si="33"/>
        <v>10</v>
      </c>
      <c r="H229" s="162">
        <f t="shared" si="26"/>
        <v>1360</v>
      </c>
      <c r="I229" s="175">
        <f t="shared" si="34"/>
        <v>0.65384615384615385</v>
      </c>
      <c r="J229" s="159" t="str">
        <f t="shared" si="31"/>
        <v>Feb</v>
      </c>
      <c r="K229" s="159">
        <f t="shared" si="32"/>
        <v>2010</v>
      </c>
      <c r="L229" s="160">
        <v>1</v>
      </c>
    </row>
    <row r="230" spans="1:12" ht="14.4">
      <c r="A230" s="128"/>
      <c r="B230" s="154">
        <f t="shared" si="27"/>
        <v>40228</v>
      </c>
      <c r="C230" s="154">
        <f t="shared" si="28"/>
        <v>40234</v>
      </c>
      <c r="D230" s="155" t="str">
        <f t="shared" si="29"/>
        <v>Thu</v>
      </c>
      <c r="E230" s="162">
        <f t="shared" si="30"/>
        <v>2</v>
      </c>
      <c r="F230" s="162">
        <f t="shared" si="35"/>
        <v>4</v>
      </c>
      <c r="G230" s="162">
        <f t="shared" si="33"/>
        <v>11</v>
      </c>
      <c r="H230" s="162">
        <f t="shared" si="26"/>
        <v>1280</v>
      </c>
      <c r="I230" s="175">
        <f t="shared" si="34"/>
        <v>0.61538461538461542</v>
      </c>
      <c r="J230" s="159" t="str">
        <f t="shared" si="31"/>
        <v>Feb</v>
      </c>
      <c r="K230" s="159">
        <f t="shared" si="32"/>
        <v>2010</v>
      </c>
      <c r="L230" s="160">
        <v>1</v>
      </c>
    </row>
    <row r="231" spans="1:12" ht="14.4">
      <c r="A231" s="128"/>
      <c r="B231" s="154">
        <f t="shared" si="27"/>
        <v>40242</v>
      </c>
      <c r="C231" s="154">
        <f t="shared" si="28"/>
        <v>40248</v>
      </c>
      <c r="D231" s="155" t="str">
        <f t="shared" si="29"/>
        <v>Thu</v>
      </c>
      <c r="E231" s="162">
        <f t="shared" si="30"/>
        <v>1</v>
      </c>
      <c r="F231" s="162">
        <f t="shared" si="35"/>
        <v>5</v>
      </c>
      <c r="G231" s="162">
        <f t="shared" si="33"/>
        <v>12</v>
      </c>
      <c r="H231" s="162">
        <f t="shared" si="26"/>
        <v>1200</v>
      </c>
      <c r="I231" s="175">
        <f t="shared" si="34"/>
        <v>0.57692307692307687</v>
      </c>
      <c r="J231" s="159" t="str">
        <f t="shared" si="31"/>
        <v>Mar</v>
      </c>
      <c r="K231" s="159">
        <f t="shared" si="32"/>
        <v>2010</v>
      </c>
      <c r="L231" s="160">
        <v>1</v>
      </c>
    </row>
    <row r="232" spans="1:12" ht="14.4">
      <c r="A232" s="128"/>
      <c r="B232" s="154">
        <f t="shared" si="27"/>
        <v>40256</v>
      </c>
      <c r="C232" s="154">
        <f t="shared" si="28"/>
        <v>40262</v>
      </c>
      <c r="D232" s="155" t="str">
        <f t="shared" si="29"/>
        <v>Thu</v>
      </c>
      <c r="E232" s="162">
        <f t="shared" si="30"/>
        <v>2</v>
      </c>
      <c r="F232" s="162">
        <f t="shared" si="35"/>
        <v>6</v>
      </c>
      <c r="G232" s="162">
        <f t="shared" si="33"/>
        <v>13</v>
      </c>
      <c r="H232" s="162">
        <f t="shared" si="26"/>
        <v>1120</v>
      </c>
      <c r="I232" s="175">
        <f t="shared" si="34"/>
        <v>0.53846153846153844</v>
      </c>
      <c r="J232" s="159" t="str">
        <f t="shared" si="31"/>
        <v>Mar</v>
      </c>
      <c r="K232" s="159">
        <f t="shared" si="32"/>
        <v>2010</v>
      </c>
      <c r="L232" s="160">
        <v>1</v>
      </c>
    </row>
    <row r="233" spans="1:12" ht="14.4">
      <c r="A233" s="128"/>
      <c r="B233" s="154">
        <f t="shared" si="27"/>
        <v>40270</v>
      </c>
      <c r="C233" s="154">
        <f t="shared" si="28"/>
        <v>40276</v>
      </c>
      <c r="D233" s="155" t="str">
        <f t="shared" si="29"/>
        <v>Thu</v>
      </c>
      <c r="E233" s="162">
        <f t="shared" si="30"/>
        <v>1</v>
      </c>
      <c r="F233" s="162">
        <f t="shared" si="35"/>
        <v>7</v>
      </c>
      <c r="G233" s="162">
        <f t="shared" si="33"/>
        <v>14</v>
      </c>
      <c r="H233" s="162">
        <f t="shared" ref="H233:H296" si="36">IF(2080-(G232*80)&gt;0,2080-(G232*80),2080)</f>
        <v>1040</v>
      </c>
      <c r="I233" s="175">
        <f t="shared" si="34"/>
        <v>0.5</v>
      </c>
      <c r="J233" s="159" t="str">
        <f t="shared" si="31"/>
        <v>Apr</v>
      </c>
      <c r="K233" s="159">
        <f t="shared" si="32"/>
        <v>2010</v>
      </c>
      <c r="L233" s="160">
        <v>1</v>
      </c>
    </row>
    <row r="234" spans="1:12" ht="14.4">
      <c r="A234" s="128"/>
      <c r="B234" s="154">
        <f t="shared" si="27"/>
        <v>40284</v>
      </c>
      <c r="C234" s="154">
        <f t="shared" si="28"/>
        <v>40290</v>
      </c>
      <c r="D234" s="155" t="str">
        <f t="shared" si="29"/>
        <v>Thu</v>
      </c>
      <c r="E234" s="162">
        <f t="shared" si="30"/>
        <v>2</v>
      </c>
      <c r="F234" s="162">
        <f t="shared" si="35"/>
        <v>8</v>
      </c>
      <c r="G234" s="162">
        <f t="shared" si="33"/>
        <v>15</v>
      </c>
      <c r="H234" s="162">
        <f t="shared" si="36"/>
        <v>960</v>
      </c>
      <c r="I234" s="175">
        <f t="shared" si="34"/>
        <v>0.46153846153846156</v>
      </c>
      <c r="J234" s="159" t="str">
        <f t="shared" si="31"/>
        <v>Apr</v>
      </c>
      <c r="K234" s="159">
        <f t="shared" si="32"/>
        <v>2010</v>
      </c>
      <c r="L234" s="160">
        <v>1</v>
      </c>
    </row>
    <row r="235" spans="1:12" ht="14.4">
      <c r="A235" s="128"/>
      <c r="B235" s="154">
        <f t="shared" si="27"/>
        <v>40298</v>
      </c>
      <c r="C235" s="154">
        <f t="shared" si="28"/>
        <v>40304</v>
      </c>
      <c r="D235" s="155" t="str">
        <f t="shared" si="29"/>
        <v>Thu</v>
      </c>
      <c r="E235" s="162">
        <f t="shared" si="30"/>
        <v>1</v>
      </c>
      <c r="F235" s="162">
        <f t="shared" si="35"/>
        <v>9</v>
      </c>
      <c r="G235" s="162">
        <f t="shared" si="33"/>
        <v>16</v>
      </c>
      <c r="H235" s="162">
        <f t="shared" si="36"/>
        <v>880</v>
      </c>
      <c r="I235" s="175">
        <f t="shared" si="34"/>
        <v>0.42307692307692307</v>
      </c>
      <c r="J235" s="159" t="str">
        <f t="shared" si="31"/>
        <v>May</v>
      </c>
      <c r="K235" s="159">
        <f t="shared" si="32"/>
        <v>2010</v>
      </c>
      <c r="L235" s="160">
        <v>1</v>
      </c>
    </row>
    <row r="236" spans="1:12" ht="14.4">
      <c r="A236" s="128"/>
      <c r="B236" s="154">
        <f t="shared" ref="B236:B299" si="37">B235+14</f>
        <v>40312</v>
      </c>
      <c r="C236" s="154">
        <f t="shared" ref="C236:C299" si="38">B236+6</f>
        <v>40318</v>
      </c>
      <c r="D236" s="155" t="str">
        <f t="shared" si="29"/>
        <v>Thu</v>
      </c>
      <c r="E236" s="162">
        <f t="shared" si="30"/>
        <v>2</v>
      </c>
      <c r="F236" s="162">
        <f t="shared" si="35"/>
        <v>10</v>
      </c>
      <c r="G236" s="162">
        <f t="shared" si="33"/>
        <v>17</v>
      </c>
      <c r="H236" s="162">
        <f t="shared" si="36"/>
        <v>800</v>
      </c>
      <c r="I236" s="175">
        <f t="shared" si="34"/>
        <v>0.38461538461538464</v>
      </c>
      <c r="J236" s="159" t="str">
        <f t="shared" si="31"/>
        <v>May</v>
      </c>
      <c r="K236" s="159">
        <f t="shared" si="32"/>
        <v>2010</v>
      </c>
      <c r="L236" s="160">
        <v>1</v>
      </c>
    </row>
    <row r="237" spans="1:12" ht="14.4">
      <c r="A237" s="128"/>
      <c r="B237" s="154">
        <f t="shared" si="37"/>
        <v>40326</v>
      </c>
      <c r="C237" s="154">
        <f t="shared" si="38"/>
        <v>40332</v>
      </c>
      <c r="D237" s="155" t="str">
        <f t="shared" si="29"/>
        <v>Thu</v>
      </c>
      <c r="E237" s="162">
        <f t="shared" si="30"/>
        <v>1</v>
      </c>
      <c r="F237" s="162">
        <f t="shared" si="35"/>
        <v>11</v>
      </c>
      <c r="G237" s="162">
        <f t="shared" si="33"/>
        <v>18</v>
      </c>
      <c r="H237" s="162">
        <f t="shared" si="36"/>
        <v>720</v>
      </c>
      <c r="I237" s="175">
        <f t="shared" si="34"/>
        <v>0.34615384615384615</v>
      </c>
      <c r="J237" s="159" t="str">
        <f t="shared" si="31"/>
        <v>Jun</v>
      </c>
      <c r="K237" s="159">
        <f t="shared" si="32"/>
        <v>2010</v>
      </c>
      <c r="L237" s="160">
        <v>1</v>
      </c>
    </row>
    <row r="238" spans="1:12" ht="14.4">
      <c r="A238" s="128"/>
      <c r="B238" s="154">
        <f t="shared" si="37"/>
        <v>40340</v>
      </c>
      <c r="C238" s="154">
        <f t="shared" si="38"/>
        <v>40346</v>
      </c>
      <c r="D238" s="155" t="str">
        <f t="shared" si="29"/>
        <v>Thu</v>
      </c>
      <c r="E238" s="162">
        <f t="shared" si="30"/>
        <v>2</v>
      </c>
      <c r="F238" s="162">
        <f t="shared" si="35"/>
        <v>12</v>
      </c>
      <c r="G238" s="162">
        <f t="shared" si="33"/>
        <v>19</v>
      </c>
      <c r="H238" s="162">
        <f t="shared" si="36"/>
        <v>640</v>
      </c>
      <c r="I238" s="175">
        <f t="shared" si="34"/>
        <v>0.30769230769230771</v>
      </c>
      <c r="J238" s="159" t="str">
        <f t="shared" si="31"/>
        <v>Jun</v>
      </c>
      <c r="K238" s="159">
        <f t="shared" si="32"/>
        <v>2010</v>
      </c>
      <c r="L238" s="160">
        <v>1</v>
      </c>
    </row>
    <row r="239" spans="1:12" ht="14.4">
      <c r="A239" s="128"/>
      <c r="B239" s="154">
        <f t="shared" si="37"/>
        <v>40354</v>
      </c>
      <c r="C239" s="154">
        <f t="shared" si="38"/>
        <v>40360</v>
      </c>
      <c r="D239" s="155" t="str">
        <f t="shared" si="29"/>
        <v>Thu</v>
      </c>
      <c r="E239" s="162">
        <f t="shared" si="30"/>
        <v>1</v>
      </c>
      <c r="F239" s="162">
        <f t="shared" si="35"/>
        <v>13</v>
      </c>
      <c r="G239" s="162">
        <f t="shared" si="33"/>
        <v>20</v>
      </c>
      <c r="H239" s="162">
        <f t="shared" si="36"/>
        <v>560</v>
      </c>
      <c r="I239" s="175">
        <f t="shared" si="34"/>
        <v>0.26923076923076922</v>
      </c>
      <c r="J239" s="159" t="str">
        <f t="shared" si="31"/>
        <v>Jul</v>
      </c>
      <c r="K239" s="159">
        <f t="shared" si="32"/>
        <v>2010</v>
      </c>
      <c r="L239" s="160">
        <v>1</v>
      </c>
    </row>
    <row r="240" spans="1:12" ht="14.4">
      <c r="A240" s="128"/>
      <c r="B240" s="154">
        <f t="shared" si="37"/>
        <v>40368</v>
      </c>
      <c r="C240" s="154">
        <f t="shared" si="38"/>
        <v>40374</v>
      </c>
      <c r="D240" s="155" t="str">
        <f t="shared" si="29"/>
        <v>Thu</v>
      </c>
      <c r="E240" s="162">
        <f t="shared" si="30"/>
        <v>2</v>
      </c>
      <c r="F240" s="162">
        <f t="shared" si="35"/>
        <v>14</v>
      </c>
      <c r="G240" s="162">
        <f t="shared" si="33"/>
        <v>21</v>
      </c>
      <c r="H240" s="162">
        <f t="shared" si="36"/>
        <v>480</v>
      </c>
      <c r="I240" s="175">
        <f t="shared" si="34"/>
        <v>0.23076923076923078</v>
      </c>
      <c r="J240" s="159" t="str">
        <f t="shared" si="31"/>
        <v>Jul</v>
      </c>
      <c r="K240" s="159">
        <f t="shared" si="32"/>
        <v>2010</v>
      </c>
      <c r="L240" s="160">
        <v>1</v>
      </c>
    </row>
    <row r="241" spans="1:12" ht="14.4">
      <c r="A241" s="128"/>
      <c r="B241" s="154">
        <f t="shared" si="37"/>
        <v>40382</v>
      </c>
      <c r="C241" s="154">
        <f t="shared" si="38"/>
        <v>40388</v>
      </c>
      <c r="D241" s="155" t="str">
        <f t="shared" si="29"/>
        <v>Thu</v>
      </c>
      <c r="E241" s="162">
        <f t="shared" si="30"/>
        <v>3</v>
      </c>
      <c r="F241" s="162">
        <f t="shared" si="35"/>
        <v>15</v>
      </c>
      <c r="G241" s="162">
        <f t="shared" si="33"/>
        <v>22</v>
      </c>
      <c r="H241" s="162">
        <f t="shared" si="36"/>
        <v>400</v>
      </c>
      <c r="I241" s="175">
        <f t="shared" si="34"/>
        <v>0.19230769230769232</v>
      </c>
      <c r="J241" s="159" t="str">
        <f t="shared" si="31"/>
        <v>Jul</v>
      </c>
      <c r="K241" s="159">
        <f t="shared" si="32"/>
        <v>2010</v>
      </c>
      <c r="L241" s="160">
        <v>1</v>
      </c>
    </row>
    <row r="242" spans="1:12" ht="14.4">
      <c r="A242" s="128"/>
      <c r="B242" s="154">
        <f t="shared" si="37"/>
        <v>40396</v>
      </c>
      <c r="C242" s="154">
        <f t="shared" si="38"/>
        <v>40402</v>
      </c>
      <c r="D242" s="155" t="str">
        <f t="shared" si="29"/>
        <v>Thu</v>
      </c>
      <c r="E242" s="162">
        <f t="shared" si="30"/>
        <v>1</v>
      </c>
      <c r="F242" s="162">
        <f t="shared" si="35"/>
        <v>16</v>
      </c>
      <c r="G242" s="162">
        <f t="shared" si="33"/>
        <v>23</v>
      </c>
      <c r="H242" s="162">
        <f t="shared" si="36"/>
        <v>320</v>
      </c>
      <c r="I242" s="175">
        <f t="shared" si="34"/>
        <v>0.15384615384615385</v>
      </c>
      <c r="J242" s="159" t="str">
        <f t="shared" si="31"/>
        <v>Aug</v>
      </c>
      <c r="K242" s="159">
        <f t="shared" si="32"/>
        <v>2010</v>
      </c>
      <c r="L242" s="160">
        <v>1</v>
      </c>
    </row>
    <row r="243" spans="1:12" ht="14.4">
      <c r="A243" s="128"/>
      <c r="B243" s="154">
        <f t="shared" si="37"/>
        <v>40410</v>
      </c>
      <c r="C243" s="154">
        <f t="shared" si="38"/>
        <v>40416</v>
      </c>
      <c r="D243" s="155" t="str">
        <f t="shared" si="29"/>
        <v>Thu</v>
      </c>
      <c r="E243" s="162">
        <f t="shared" si="30"/>
        <v>2</v>
      </c>
      <c r="F243" s="162">
        <f t="shared" si="35"/>
        <v>17</v>
      </c>
      <c r="G243" s="162">
        <f t="shared" si="33"/>
        <v>24</v>
      </c>
      <c r="H243" s="162">
        <f t="shared" si="36"/>
        <v>240</v>
      </c>
      <c r="I243" s="175">
        <f t="shared" si="34"/>
        <v>0.11538461538461539</v>
      </c>
      <c r="J243" s="159" t="str">
        <f t="shared" si="31"/>
        <v>Aug</v>
      </c>
      <c r="K243" s="159">
        <f t="shared" si="32"/>
        <v>2010</v>
      </c>
      <c r="L243" s="160">
        <v>1</v>
      </c>
    </row>
    <row r="244" spans="1:12" ht="14.4">
      <c r="A244" s="128"/>
      <c r="B244" s="154">
        <f t="shared" si="37"/>
        <v>40424</v>
      </c>
      <c r="C244" s="154">
        <f t="shared" si="38"/>
        <v>40430</v>
      </c>
      <c r="D244" s="155" t="str">
        <f t="shared" si="29"/>
        <v>Thu</v>
      </c>
      <c r="E244" s="162">
        <f t="shared" si="30"/>
        <v>1</v>
      </c>
      <c r="F244" s="162">
        <f t="shared" si="35"/>
        <v>18</v>
      </c>
      <c r="G244" s="162">
        <f t="shared" si="33"/>
        <v>25</v>
      </c>
      <c r="H244" s="162">
        <f t="shared" si="36"/>
        <v>160</v>
      </c>
      <c r="I244" s="175">
        <f t="shared" si="34"/>
        <v>7.6923076923076927E-2</v>
      </c>
      <c r="J244" s="159" t="str">
        <f t="shared" si="31"/>
        <v>Sep</v>
      </c>
      <c r="K244" s="159">
        <f t="shared" si="32"/>
        <v>2010</v>
      </c>
      <c r="L244" s="160">
        <v>1</v>
      </c>
    </row>
    <row r="245" spans="1:12" ht="14.4">
      <c r="A245" s="128"/>
      <c r="B245" s="154">
        <f t="shared" si="37"/>
        <v>40438</v>
      </c>
      <c r="C245" s="154">
        <f t="shared" si="38"/>
        <v>40444</v>
      </c>
      <c r="D245" s="155" t="str">
        <f t="shared" si="29"/>
        <v>Thu</v>
      </c>
      <c r="E245" s="162">
        <f t="shared" si="30"/>
        <v>2</v>
      </c>
      <c r="F245" s="162">
        <f t="shared" si="35"/>
        <v>19</v>
      </c>
      <c r="G245" s="162">
        <f t="shared" si="33"/>
        <v>26</v>
      </c>
      <c r="H245" s="162">
        <f t="shared" si="36"/>
        <v>80</v>
      </c>
      <c r="I245" s="175">
        <f t="shared" si="34"/>
        <v>3.8461538461538464E-2</v>
      </c>
      <c r="J245" s="159" t="str">
        <f t="shared" si="31"/>
        <v>Sep</v>
      </c>
      <c r="K245" s="159">
        <f t="shared" si="32"/>
        <v>2010</v>
      </c>
      <c r="L245" s="160">
        <v>1</v>
      </c>
    </row>
    <row r="246" spans="1:12" ht="14.4">
      <c r="A246" s="128"/>
      <c r="B246" s="154">
        <f t="shared" si="37"/>
        <v>40452</v>
      </c>
      <c r="C246" s="154">
        <f t="shared" si="38"/>
        <v>40458</v>
      </c>
      <c r="D246" s="155" t="str">
        <f t="shared" si="29"/>
        <v>Thu</v>
      </c>
      <c r="E246" s="162">
        <f t="shared" si="30"/>
        <v>1</v>
      </c>
      <c r="F246" s="162">
        <f t="shared" si="35"/>
        <v>20</v>
      </c>
      <c r="G246" s="162">
        <f t="shared" si="33"/>
        <v>1</v>
      </c>
      <c r="H246" s="162">
        <f t="shared" si="36"/>
        <v>2080</v>
      </c>
      <c r="I246" s="175">
        <f t="shared" si="34"/>
        <v>1</v>
      </c>
      <c r="J246" s="159" t="str">
        <f t="shared" si="31"/>
        <v>Oct</v>
      </c>
      <c r="K246" s="159">
        <f t="shared" si="32"/>
        <v>2010</v>
      </c>
      <c r="L246" s="160">
        <v>1</v>
      </c>
    </row>
    <row r="247" spans="1:12" ht="14.4">
      <c r="A247" s="128"/>
      <c r="B247" s="154">
        <f t="shared" si="37"/>
        <v>40466</v>
      </c>
      <c r="C247" s="154">
        <f t="shared" si="38"/>
        <v>40472</v>
      </c>
      <c r="D247" s="155" t="str">
        <f t="shared" si="29"/>
        <v>Thu</v>
      </c>
      <c r="E247" s="162">
        <f t="shared" si="30"/>
        <v>2</v>
      </c>
      <c r="F247" s="162">
        <f t="shared" si="35"/>
        <v>21</v>
      </c>
      <c r="G247" s="162">
        <f t="shared" si="33"/>
        <v>2</v>
      </c>
      <c r="H247" s="162">
        <f t="shared" si="36"/>
        <v>2000</v>
      </c>
      <c r="I247" s="175">
        <f t="shared" si="34"/>
        <v>0.96153846153846156</v>
      </c>
      <c r="J247" s="159" t="str">
        <f t="shared" si="31"/>
        <v>Oct</v>
      </c>
      <c r="K247" s="159">
        <f t="shared" si="32"/>
        <v>2010</v>
      </c>
      <c r="L247" s="160">
        <v>1</v>
      </c>
    </row>
    <row r="248" spans="1:12" ht="14.4">
      <c r="A248" s="128"/>
      <c r="B248" s="154">
        <f t="shared" si="37"/>
        <v>40480</v>
      </c>
      <c r="C248" s="154">
        <f t="shared" si="38"/>
        <v>40486</v>
      </c>
      <c r="D248" s="155" t="str">
        <f t="shared" si="29"/>
        <v>Thu</v>
      </c>
      <c r="E248" s="162">
        <f t="shared" si="30"/>
        <v>1</v>
      </c>
      <c r="F248" s="162">
        <f t="shared" si="35"/>
        <v>22</v>
      </c>
      <c r="G248" s="162">
        <f t="shared" si="33"/>
        <v>3</v>
      </c>
      <c r="H248" s="162">
        <f t="shared" si="36"/>
        <v>1920</v>
      </c>
      <c r="I248" s="175">
        <f t="shared" si="34"/>
        <v>0.92307692307692313</v>
      </c>
      <c r="J248" s="159" t="str">
        <f t="shared" si="31"/>
        <v>Nov</v>
      </c>
      <c r="K248" s="159">
        <f t="shared" si="32"/>
        <v>2010</v>
      </c>
      <c r="L248" s="160">
        <v>1</v>
      </c>
    </row>
    <row r="249" spans="1:12" ht="14.4">
      <c r="A249" s="128"/>
      <c r="B249" s="154">
        <f t="shared" si="37"/>
        <v>40494</v>
      </c>
      <c r="C249" s="154">
        <f t="shared" si="38"/>
        <v>40500</v>
      </c>
      <c r="D249" s="155" t="str">
        <f t="shared" si="29"/>
        <v>Thu</v>
      </c>
      <c r="E249" s="162">
        <f t="shared" si="30"/>
        <v>2</v>
      </c>
      <c r="F249" s="162">
        <f t="shared" si="35"/>
        <v>23</v>
      </c>
      <c r="G249" s="162">
        <f t="shared" si="33"/>
        <v>4</v>
      </c>
      <c r="H249" s="162">
        <f t="shared" si="36"/>
        <v>1840</v>
      </c>
      <c r="I249" s="175">
        <f t="shared" si="34"/>
        <v>0.88461538461538458</v>
      </c>
      <c r="J249" s="159" t="str">
        <f t="shared" si="31"/>
        <v>Nov</v>
      </c>
      <c r="K249" s="159">
        <f t="shared" si="32"/>
        <v>2010</v>
      </c>
      <c r="L249" s="160">
        <v>1</v>
      </c>
    </row>
    <row r="250" spans="1:12" ht="14.4">
      <c r="A250" s="128"/>
      <c r="B250" s="154">
        <f t="shared" si="37"/>
        <v>40508</v>
      </c>
      <c r="C250" s="154">
        <f t="shared" si="38"/>
        <v>40514</v>
      </c>
      <c r="D250" s="155" t="str">
        <f t="shared" si="29"/>
        <v>Thu</v>
      </c>
      <c r="E250" s="162">
        <f t="shared" si="30"/>
        <v>1</v>
      </c>
      <c r="F250" s="162">
        <f t="shared" si="35"/>
        <v>24</v>
      </c>
      <c r="G250" s="162">
        <f t="shared" si="33"/>
        <v>5</v>
      </c>
      <c r="H250" s="162">
        <f t="shared" si="36"/>
        <v>1760</v>
      </c>
      <c r="I250" s="175">
        <f t="shared" si="34"/>
        <v>0.84615384615384615</v>
      </c>
      <c r="J250" s="159" t="str">
        <f t="shared" si="31"/>
        <v>Dec</v>
      </c>
      <c r="K250" s="159">
        <f t="shared" si="32"/>
        <v>2010</v>
      </c>
      <c r="L250" s="160">
        <v>1</v>
      </c>
    </row>
    <row r="251" spans="1:12" ht="14.4">
      <c r="A251" s="128"/>
      <c r="B251" s="154">
        <f t="shared" si="37"/>
        <v>40522</v>
      </c>
      <c r="C251" s="154">
        <f t="shared" si="38"/>
        <v>40528</v>
      </c>
      <c r="D251" s="155" t="str">
        <f t="shared" si="29"/>
        <v>Thu</v>
      </c>
      <c r="E251" s="162">
        <f t="shared" si="30"/>
        <v>2</v>
      </c>
      <c r="F251" s="162">
        <f t="shared" si="35"/>
        <v>25</v>
      </c>
      <c r="G251" s="162">
        <f t="shared" si="33"/>
        <v>6</v>
      </c>
      <c r="H251" s="162">
        <f t="shared" si="36"/>
        <v>1680</v>
      </c>
      <c r="I251" s="175">
        <f t="shared" si="34"/>
        <v>0.80769230769230771</v>
      </c>
      <c r="J251" s="159" t="str">
        <f t="shared" si="31"/>
        <v>Dec</v>
      </c>
      <c r="K251" s="159">
        <f t="shared" si="32"/>
        <v>2010</v>
      </c>
      <c r="L251" s="160">
        <v>1</v>
      </c>
    </row>
    <row r="252" spans="1:12" ht="14.4">
      <c r="A252" s="128"/>
      <c r="B252" s="154">
        <f t="shared" si="37"/>
        <v>40536</v>
      </c>
      <c r="C252" s="154">
        <f t="shared" si="38"/>
        <v>40542</v>
      </c>
      <c r="D252" s="155" t="str">
        <f t="shared" si="29"/>
        <v>Thu</v>
      </c>
      <c r="E252" s="162">
        <f t="shared" si="30"/>
        <v>3</v>
      </c>
      <c r="F252" s="162">
        <f t="shared" si="35"/>
        <v>26</v>
      </c>
      <c r="G252" s="162">
        <f t="shared" si="33"/>
        <v>7</v>
      </c>
      <c r="H252" s="162">
        <f t="shared" si="36"/>
        <v>1600</v>
      </c>
      <c r="I252" s="175">
        <f t="shared" si="34"/>
        <v>0.76923076923076927</v>
      </c>
      <c r="J252" s="159" t="str">
        <f t="shared" si="31"/>
        <v>Dec</v>
      </c>
      <c r="K252" s="159">
        <f t="shared" si="32"/>
        <v>2010</v>
      </c>
      <c r="L252" s="160">
        <v>1</v>
      </c>
    </row>
    <row r="253" spans="1:12" ht="14.4">
      <c r="A253" s="128"/>
      <c r="B253" s="154">
        <f t="shared" si="37"/>
        <v>40550</v>
      </c>
      <c r="C253" s="154">
        <f t="shared" si="38"/>
        <v>40556</v>
      </c>
      <c r="D253" s="155" t="str">
        <f t="shared" si="29"/>
        <v>Thu</v>
      </c>
      <c r="E253" s="162">
        <f t="shared" si="30"/>
        <v>1</v>
      </c>
      <c r="F253" s="162">
        <f t="shared" si="35"/>
        <v>1</v>
      </c>
      <c r="G253" s="162">
        <f t="shared" si="33"/>
        <v>8</v>
      </c>
      <c r="H253" s="162">
        <f t="shared" si="36"/>
        <v>1520</v>
      </c>
      <c r="I253" s="175">
        <f t="shared" si="34"/>
        <v>0.73076923076923073</v>
      </c>
      <c r="J253" s="159" t="str">
        <f t="shared" si="31"/>
        <v>Jan</v>
      </c>
      <c r="K253" s="159">
        <f t="shared" si="32"/>
        <v>2011</v>
      </c>
      <c r="L253" s="160">
        <v>1</v>
      </c>
    </row>
    <row r="254" spans="1:12" ht="14.4">
      <c r="A254" s="128"/>
      <c r="B254" s="154">
        <f t="shared" si="37"/>
        <v>40564</v>
      </c>
      <c r="C254" s="154">
        <f t="shared" si="38"/>
        <v>40570</v>
      </c>
      <c r="D254" s="155" t="str">
        <f t="shared" si="29"/>
        <v>Thu</v>
      </c>
      <c r="E254" s="162">
        <f t="shared" si="30"/>
        <v>2</v>
      </c>
      <c r="F254" s="162">
        <f t="shared" si="35"/>
        <v>2</v>
      </c>
      <c r="G254" s="162">
        <f t="shared" si="33"/>
        <v>9</v>
      </c>
      <c r="H254" s="162">
        <f t="shared" si="36"/>
        <v>1440</v>
      </c>
      <c r="I254" s="175">
        <f t="shared" si="34"/>
        <v>0.69230769230769229</v>
      </c>
      <c r="J254" s="159" t="str">
        <f t="shared" si="31"/>
        <v>Jan</v>
      </c>
      <c r="K254" s="159">
        <f t="shared" si="32"/>
        <v>2011</v>
      </c>
      <c r="L254" s="160">
        <v>1</v>
      </c>
    </row>
    <row r="255" spans="1:12" ht="14.4">
      <c r="A255" s="128"/>
      <c r="B255" s="154">
        <f t="shared" si="37"/>
        <v>40578</v>
      </c>
      <c r="C255" s="154">
        <f t="shared" si="38"/>
        <v>40584</v>
      </c>
      <c r="D255" s="155" t="str">
        <f t="shared" si="29"/>
        <v>Thu</v>
      </c>
      <c r="E255" s="162">
        <f t="shared" si="30"/>
        <v>1</v>
      </c>
      <c r="F255" s="162">
        <f t="shared" si="35"/>
        <v>3</v>
      </c>
      <c r="G255" s="162">
        <f t="shared" si="33"/>
        <v>10</v>
      </c>
      <c r="H255" s="162">
        <f t="shared" si="36"/>
        <v>1360</v>
      </c>
      <c r="I255" s="175">
        <f t="shared" si="34"/>
        <v>0.65384615384615385</v>
      </c>
      <c r="J255" s="159" t="str">
        <f t="shared" si="31"/>
        <v>Feb</v>
      </c>
      <c r="K255" s="159">
        <f t="shared" si="32"/>
        <v>2011</v>
      </c>
      <c r="L255" s="160">
        <v>1</v>
      </c>
    </row>
    <row r="256" spans="1:12" ht="14.4">
      <c r="A256" s="128"/>
      <c r="B256" s="154">
        <f t="shared" si="37"/>
        <v>40592</v>
      </c>
      <c r="C256" s="154">
        <f t="shared" si="38"/>
        <v>40598</v>
      </c>
      <c r="D256" s="155" t="str">
        <f t="shared" si="29"/>
        <v>Thu</v>
      </c>
      <c r="E256" s="162">
        <f t="shared" si="30"/>
        <v>2</v>
      </c>
      <c r="F256" s="162">
        <f t="shared" si="35"/>
        <v>4</v>
      </c>
      <c r="G256" s="162">
        <f t="shared" si="33"/>
        <v>11</v>
      </c>
      <c r="H256" s="162">
        <f t="shared" si="36"/>
        <v>1280</v>
      </c>
      <c r="I256" s="175">
        <f t="shared" si="34"/>
        <v>0.61538461538461542</v>
      </c>
      <c r="J256" s="159" t="str">
        <f t="shared" si="31"/>
        <v>Feb</v>
      </c>
      <c r="K256" s="159">
        <f t="shared" si="32"/>
        <v>2011</v>
      </c>
      <c r="L256" s="160">
        <v>1</v>
      </c>
    </row>
    <row r="257" spans="1:12" ht="14.4">
      <c r="A257" s="128"/>
      <c r="B257" s="154">
        <f t="shared" si="37"/>
        <v>40606</v>
      </c>
      <c r="C257" s="154">
        <f t="shared" si="38"/>
        <v>40612</v>
      </c>
      <c r="D257" s="155" t="str">
        <f t="shared" si="29"/>
        <v>Thu</v>
      </c>
      <c r="E257" s="162">
        <f t="shared" si="30"/>
        <v>1</v>
      </c>
      <c r="F257" s="162">
        <f t="shared" si="35"/>
        <v>5</v>
      </c>
      <c r="G257" s="162">
        <f t="shared" si="33"/>
        <v>12</v>
      </c>
      <c r="H257" s="162">
        <f t="shared" si="36"/>
        <v>1200</v>
      </c>
      <c r="I257" s="175">
        <f t="shared" si="34"/>
        <v>0.57692307692307687</v>
      </c>
      <c r="J257" s="159" t="str">
        <f t="shared" si="31"/>
        <v>Mar</v>
      </c>
      <c r="K257" s="159">
        <f t="shared" si="32"/>
        <v>2011</v>
      </c>
      <c r="L257" s="160">
        <v>1</v>
      </c>
    </row>
    <row r="258" spans="1:12" ht="14.4">
      <c r="A258" s="128"/>
      <c r="B258" s="154">
        <f t="shared" si="37"/>
        <v>40620</v>
      </c>
      <c r="C258" s="154">
        <f t="shared" si="38"/>
        <v>40626</v>
      </c>
      <c r="D258" s="155" t="str">
        <f t="shared" si="29"/>
        <v>Thu</v>
      </c>
      <c r="E258" s="162">
        <f t="shared" si="30"/>
        <v>2</v>
      </c>
      <c r="F258" s="162">
        <f t="shared" si="35"/>
        <v>6</v>
      </c>
      <c r="G258" s="162">
        <f t="shared" si="33"/>
        <v>13</v>
      </c>
      <c r="H258" s="162">
        <f t="shared" si="36"/>
        <v>1120</v>
      </c>
      <c r="I258" s="175">
        <f t="shared" si="34"/>
        <v>0.53846153846153844</v>
      </c>
      <c r="J258" s="159" t="str">
        <f t="shared" si="31"/>
        <v>Mar</v>
      </c>
      <c r="K258" s="159">
        <f t="shared" si="32"/>
        <v>2011</v>
      </c>
      <c r="L258" s="160">
        <v>1</v>
      </c>
    </row>
    <row r="259" spans="1:12" ht="14.4">
      <c r="A259" s="128"/>
      <c r="B259" s="154">
        <f t="shared" si="37"/>
        <v>40634</v>
      </c>
      <c r="C259" s="154">
        <f t="shared" si="38"/>
        <v>40640</v>
      </c>
      <c r="D259" s="155" t="str">
        <f t="shared" si="29"/>
        <v>Thu</v>
      </c>
      <c r="E259" s="162">
        <f t="shared" si="30"/>
        <v>1</v>
      </c>
      <c r="F259" s="162">
        <f t="shared" si="35"/>
        <v>7</v>
      </c>
      <c r="G259" s="162">
        <f t="shared" si="33"/>
        <v>14</v>
      </c>
      <c r="H259" s="162">
        <f t="shared" si="36"/>
        <v>1040</v>
      </c>
      <c r="I259" s="175">
        <f t="shared" si="34"/>
        <v>0.5</v>
      </c>
      <c r="J259" s="159" t="str">
        <f t="shared" si="31"/>
        <v>Apr</v>
      </c>
      <c r="K259" s="159">
        <f t="shared" si="32"/>
        <v>2011</v>
      </c>
      <c r="L259" s="160">
        <v>1</v>
      </c>
    </row>
    <row r="260" spans="1:12" ht="14.4">
      <c r="A260" s="128"/>
      <c r="B260" s="154">
        <f t="shared" si="37"/>
        <v>40648</v>
      </c>
      <c r="C260" s="154">
        <f t="shared" si="38"/>
        <v>40654</v>
      </c>
      <c r="D260" s="155" t="str">
        <f t="shared" si="29"/>
        <v>Thu</v>
      </c>
      <c r="E260" s="162">
        <f t="shared" si="30"/>
        <v>2</v>
      </c>
      <c r="F260" s="162">
        <f t="shared" si="35"/>
        <v>8</v>
      </c>
      <c r="G260" s="162">
        <f t="shared" si="33"/>
        <v>15</v>
      </c>
      <c r="H260" s="162">
        <f t="shared" si="36"/>
        <v>960</v>
      </c>
      <c r="I260" s="175">
        <f t="shared" si="34"/>
        <v>0.46153846153846156</v>
      </c>
      <c r="J260" s="159" t="str">
        <f t="shared" si="31"/>
        <v>Apr</v>
      </c>
      <c r="K260" s="159">
        <f t="shared" si="32"/>
        <v>2011</v>
      </c>
      <c r="L260" s="160">
        <v>1</v>
      </c>
    </row>
    <row r="261" spans="1:12" ht="14.4">
      <c r="A261" s="128"/>
      <c r="B261" s="154">
        <f t="shared" si="37"/>
        <v>40662</v>
      </c>
      <c r="C261" s="154">
        <f t="shared" si="38"/>
        <v>40668</v>
      </c>
      <c r="D261" s="155" t="str">
        <f t="shared" si="29"/>
        <v>Thu</v>
      </c>
      <c r="E261" s="162">
        <f t="shared" si="30"/>
        <v>1</v>
      </c>
      <c r="F261" s="162">
        <f t="shared" si="35"/>
        <v>9</v>
      </c>
      <c r="G261" s="162">
        <f t="shared" si="33"/>
        <v>16</v>
      </c>
      <c r="H261" s="162">
        <f t="shared" si="36"/>
        <v>880</v>
      </c>
      <c r="I261" s="175">
        <f t="shared" si="34"/>
        <v>0.42307692307692307</v>
      </c>
      <c r="J261" s="159" t="str">
        <f t="shared" si="31"/>
        <v>May</v>
      </c>
      <c r="K261" s="159">
        <f t="shared" si="32"/>
        <v>2011</v>
      </c>
      <c r="L261" s="160">
        <v>1</v>
      </c>
    </row>
    <row r="262" spans="1:12" ht="14.4">
      <c r="A262" s="128"/>
      <c r="B262" s="154">
        <f t="shared" si="37"/>
        <v>40676</v>
      </c>
      <c r="C262" s="154">
        <f t="shared" si="38"/>
        <v>40682</v>
      </c>
      <c r="D262" s="155" t="str">
        <f t="shared" si="29"/>
        <v>Thu</v>
      </c>
      <c r="E262" s="162">
        <f t="shared" si="30"/>
        <v>2</v>
      </c>
      <c r="F262" s="162">
        <f t="shared" si="35"/>
        <v>10</v>
      </c>
      <c r="G262" s="162">
        <f t="shared" si="33"/>
        <v>17</v>
      </c>
      <c r="H262" s="162">
        <f t="shared" si="36"/>
        <v>800</v>
      </c>
      <c r="I262" s="175">
        <f t="shared" si="34"/>
        <v>0.38461538461538464</v>
      </c>
      <c r="J262" s="159" t="str">
        <f t="shared" si="31"/>
        <v>May</v>
      </c>
      <c r="K262" s="159">
        <f t="shared" si="32"/>
        <v>2011</v>
      </c>
      <c r="L262" s="160">
        <v>1</v>
      </c>
    </row>
    <row r="263" spans="1:12" ht="14.4">
      <c r="A263" s="128"/>
      <c r="B263" s="154">
        <f t="shared" si="37"/>
        <v>40690</v>
      </c>
      <c r="C263" s="154">
        <f t="shared" si="38"/>
        <v>40696</v>
      </c>
      <c r="D263" s="155" t="str">
        <f t="shared" si="29"/>
        <v>Thu</v>
      </c>
      <c r="E263" s="162">
        <f t="shared" si="30"/>
        <v>1</v>
      </c>
      <c r="F263" s="162">
        <f t="shared" si="35"/>
        <v>11</v>
      </c>
      <c r="G263" s="162">
        <f t="shared" si="33"/>
        <v>18</v>
      </c>
      <c r="H263" s="162">
        <f t="shared" si="36"/>
        <v>720</v>
      </c>
      <c r="I263" s="175">
        <f t="shared" si="34"/>
        <v>0.34615384615384615</v>
      </c>
      <c r="J263" s="159" t="str">
        <f t="shared" si="31"/>
        <v>Jun</v>
      </c>
      <c r="K263" s="159">
        <f t="shared" si="32"/>
        <v>2011</v>
      </c>
      <c r="L263" s="160">
        <v>1</v>
      </c>
    </row>
    <row r="264" spans="1:12" ht="14.4">
      <c r="A264" s="128"/>
      <c r="B264" s="154">
        <f t="shared" si="37"/>
        <v>40704</v>
      </c>
      <c r="C264" s="154">
        <f t="shared" si="38"/>
        <v>40710</v>
      </c>
      <c r="D264" s="155" t="str">
        <f t="shared" ref="D264:D327" si="39">TEXT(C264,"ddd")</f>
        <v>Thu</v>
      </c>
      <c r="E264" s="162">
        <f t="shared" ref="E264:E327" si="40">IF(MONTH(C264)=MONTH(C263),E263+1,1)</f>
        <v>2</v>
      </c>
      <c r="F264" s="162">
        <f t="shared" si="35"/>
        <v>12</v>
      </c>
      <c r="G264" s="162">
        <f t="shared" si="33"/>
        <v>19</v>
      </c>
      <c r="H264" s="162">
        <f t="shared" si="36"/>
        <v>640</v>
      </c>
      <c r="I264" s="175">
        <f t="shared" si="34"/>
        <v>0.30769230769230771</v>
      </c>
      <c r="J264" s="159" t="str">
        <f t="shared" ref="J264:J327" si="41">TEXT(C264,"mmm")</f>
        <v>Jun</v>
      </c>
      <c r="K264" s="159">
        <f t="shared" ref="K264:K327" si="42">YEAR(C264)</f>
        <v>2011</v>
      </c>
      <c r="L264" s="160">
        <v>1</v>
      </c>
    </row>
    <row r="265" spans="1:12" ht="14.4">
      <c r="A265" s="128"/>
      <c r="B265" s="154">
        <f t="shared" si="37"/>
        <v>40718</v>
      </c>
      <c r="C265" s="154">
        <f t="shared" si="38"/>
        <v>40724</v>
      </c>
      <c r="D265" s="155" t="str">
        <f t="shared" si="39"/>
        <v>Thu</v>
      </c>
      <c r="E265" s="162">
        <f t="shared" si="40"/>
        <v>3</v>
      </c>
      <c r="F265" s="162">
        <f t="shared" si="35"/>
        <v>13</v>
      </c>
      <c r="G265" s="162">
        <f t="shared" si="33"/>
        <v>20</v>
      </c>
      <c r="H265" s="162">
        <f t="shared" si="36"/>
        <v>560</v>
      </c>
      <c r="I265" s="175">
        <f t="shared" si="34"/>
        <v>0.26923076923076922</v>
      </c>
      <c r="J265" s="159" t="str">
        <f t="shared" si="41"/>
        <v>Jun</v>
      </c>
      <c r="K265" s="159">
        <f t="shared" si="42"/>
        <v>2011</v>
      </c>
      <c r="L265" s="160">
        <v>1</v>
      </c>
    </row>
    <row r="266" spans="1:12" ht="14.4">
      <c r="A266" s="128"/>
      <c r="B266" s="154">
        <f t="shared" si="37"/>
        <v>40732</v>
      </c>
      <c r="C266" s="154">
        <f t="shared" si="38"/>
        <v>40738</v>
      </c>
      <c r="D266" s="155" t="str">
        <f t="shared" si="39"/>
        <v>Thu</v>
      </c>
      <c r="E266" s="162">
        <f t="shared" si="40"/>
        <v>1</v>
      </c>
      <c r="F266" s="162">
        <f t="shared" si="35"/>
        <v>14</v>
      </c>
      <c r="G266" s="162">
        <f t="shared" si="33"/>
        <v>21</v>
      </c>
      <c r="H266" s="162">
        <f t="shared" si="36"/>
        <v>480</v>
      </c>
      <c r="I266" s="175">
        <f t="shared" si="34"/>
        <v>0.23076923076923078</v>
      </c>
      <c r="J266" s="159" t="str">
        <f t="shared" si="41"/>
        <v>Jul</v>
      </c>
      <c r="K266" s="159">
        <f t="shared" si="42"/>
        <v>2011</v>
      </c>
      <c r="L266" s="160">
        <v>1</v>
      </c>
    </row>
    <row r="267" spans="1:12" ht="14.4">
      <c r="A267" s="128"/>
      <c r="B267" s="154">
        <f t="shared" si="37"/>
        <v>40746</v>
      </c>
      <c r="C267" s="154">
        <f t="shared" si="38"/>
        <v>40752</v>
      </c>
      <c r="D267" s="155" t="str">
        <f t="shared" si="39"/>
        <v>Thu</v>
      </c>
      <c r="E267" s="162">
        <f t="shared" si="40"/>
        <v>2</v>
      </c>
      <c r="F267" s="162">
        <f t="shared" si="35"/>
        <v>15</v>
      </c>
      <c r="G267" s="162">
        <f t="shared" ref="G267:G330" si="43">IF(AND(F267&lt;26,MONTH(C267)=10),E267,(G266+1))</f>
        <v>22</v>
      </c>
      <c r="H267" s="162">
        <f t="shared" si="36"/>
        <v>400</v>
      </c>
      <c r="I267" s="175">
        <f t="shared" si="34"/>
        <v>0.19230769230769232</v>
      </c>
      <c r="J267" s="159" t="str">
        <f t="shared" si="41"/>
        <v>Jul</v>
      </c>
      <c r="K267" s="159">
        <f t="shared" si="42"/>
        <v>2011</v>
      </c>
      <c r="L267" s="160">
        <v>1</v>
      </c>
    </row>
    <row r="268" spans="1:12" ht="14.4">
      <c r="A268" s="128"/>
      <c r="B268" s="154">
        <f t="shared" si="37"/>
        <v>40760</v>
      </c>
      <c r="C268" s="154">
        <f t="shared" si="38"/>
        <v>40766</v>
      </c>
      <c r="D268" s="155" t="str">
        <f t="shared" si="39"/>
        <v>Thu</v>
      </c>
      <c r="E268" s="162">
        <f t="shared" si="40"/>
        <v>1</v>
      </c>
      <c r="F268" s="162">
        <f t="shared" si="35"/>
        <v>16</v>
      </c>
      <c r="G268" s="162">
        <f t="shared" si="43"/>
        <v>23</v>
      </c>
      <c r="H268" s="162">
        <f t="shared" si="36"/>
        <v>320</v>
      </c>
      <c r="I268" s="175">
        <f t="shared" si="34"/>
        <v>0.15384615384615385</v>
      </c>
      <c r="J268" s="159" t="str">
        <f t="shared" si="41"/>
        <v>Aug</v>
      </c>
      <c r="K268" s="159">
        <f t="shared" si="42"/>
        <v>2011</v>
      </c>
      <c r="L268" s="160">
        <v>1</v>
      </c>
    </row>
    <row r="269" spans="1:12" ht="14.4">
      <c r="A269" s="128"/>
      <c r="B269" s="154">
        <f t="shared" si="37"/>
        <v>40774</v>
      </c>
      <c r="C269" s="154">
        <f t="shared" si="38"/>
        <v>40780</v>
      </c>
      <c r="D269" s="155" t="str">
        <f t="shared" si="39"/>
        <v>Thu</v>
      </c>
      <c r="E269" s="162">
        <f t="shared" si="40"/>
        <v>2</v>
      </c>
      <c r="F269" s="162">
        <f t="shared" si="35"/>
        <v>17</v>
      </c>
      <c r="G269" s="162">
        <f t="shared" si="43"/>
        <v>24</v>
      </c>
      <c r="H269" s="162">
        <f t="shared" si="36"/>
        <v>240</v>
      </c>
      <c r="I269" s="175">
        <f t="shared" si="34"/>
        <v>0.11538461538461539</v>
      </c>
      <c r="J269" s="159" t="str">
        <f t="shared" si="41"/>
        <v>Aug</v>
      </c>
      <c r="K269" s="159">
        <f t="shared" si="42"/>
        <v>2011</v>
      </c>
      <c r="L269" s="160">
        <v>1</v>
      </c>
    </row>
    <row r="270" spans="1:12" ht="14.4">
      <c r="A270" s="128"/>
      <c r="B270" s="154">
        <f t="shared" si="37"/>
        <v>40788</v>
      </c>
      <c r="C270" s="154">
        <f t="shared" si="38"/>
        <v>40794</v>
      </c>
      <c r="D270" s="155" t="str">
        <f t="shared" si="39"/>
        <v>Thu</v>
      </c>
      <c r="E270" s="162">
        <f t="shared" si="40"/>
        <v>1</v>
      </c>
      <c r="F270" s="162">
        <f t="shared" si="35"/>
        <v>18</v>
      </c>
      <c r="G270" s="162">
        <f t="shared" si="43"/>
        <v>25</v>
      </c>
      <c r="H270" s="162">
        <f t="shared" si="36"/>
        <v>160</v>
      </c>
      <c r="I270" s="175">
        <f t="shared" si="34"/>
        <v>7.6923076923076927E-2</v>
      </c>
      <c r="J270" s="159" t="str">
        <f t="shared" si="41"/>
        <v>Sep</v>
      </c>
      <c r="K270" s="159">
        <f t="shared" si="42"/>
        <v>2011</v>
      </c>
      <c r="L270" s="160">
        <v>1</v>
      </c>
    </row>
    <row r="271" spans="1:12" ht="14.4">
      <c r="A271" s="128"/>
      <c r="B271" s="154">
        <f t="shared" si="37"/>
        <v>40802</v>
      </c>
      <c r="C271" s="154">
        <f t="shared" si="38"/>
        <v>40808</v>
      </c>
      <c r="D271" s="155" t="str">
        <f t="shared" si="39"/>
        <v>Thu</v>
      </c>
      <c r="E271" s="162">
        <f t="shared" si="40"/>
        <v>2</v>
      </c>
      <c r="F271" s="162">
        <f t="shared" si="35"/>
        <v>19</v>
      </c>
      <c r="G271" s="162">
        <f t="shared" si="43"/>
        <v>26</v>
      </c>
      <c r="H271" s="162">
        <f t="shared" si="36"/>
        <v>80</v>
      </c>
      <c r="I271" s="175">
        <f t="shared" ref="I271:I334" si="44">H271/2080</f>
        <v>3.8461538461538464E-2</v>
      </c>
      <c r="J271" s="159" t="str">
        <f t="shared" si="41"/>
        <v>Sep</v>
      </c>
      <c r="K271" s="159">
        <f t="shared" si="42"/>
        <v>2011</v>
      </c>
      <c r="L271" s="160">
        <v>1</v>
      </c>
    </row>
    <row r="272" spans="1:12" ht="14.4">
      <c r="A272" s="128"/>
      <c r="B272" s="154">
        <f t="shared" si="37"/>
        <v>40816</v>
      </c>
      <c r="C272" s="154">
        <f t="shared" si="38"/>
        <v>40822</v>
      </c>
      <c r="D272" s="155" t="str">
        <f t="shared" si="39"/>
        <v>Thu</v>
      </c>
      <c r="E272" s="162">
        <f t="shared" si="40"/>
        <v>1</v>
      </c>
      <c r="F272" s="162">
        <f t="shared" si="35"/>
        <v>20</v>
      </c>
      <c r="G272" s="162">
        <f t="shared" si="43"/>
        <v>1</v>
      </c>
      <c r="H272" s="162">
        <f t="shared" si="36"/>
        <v>2080</v>
      </c>
      <c r="I272" s="175">
        <f t="shared" si="44"/>
        <v>1</v>
      </c>
      <c r="J272" s="159" t="str">
        <f t="shared" si="41"/>
        <v>Oct</v>
      </c>
      <c r="K272" s="159">
        <f t="shared" si="42"/>
        <v>2011</v>
      </c>
      <c r="L272" s="160">
        <v>1</v>
      </c>
    </row>
    <row r="273" spans="1:12" ht="14.4">
      <c r="A273" s="128"/>
      <c r="B273" s="154">
        <f t="shared" si="37"/>
        <v>40830</v>
      </c>
      <c r="C273" s="154">
        <f t="shared" si="38"/>
        <v>40836</v>
      </c>
      <c r="D273" s="155" t="str">
        <f t="shared" si="39"/>
        <v>Thu</v>
      </c>
      <c r="E273" s="162">
        <f t="shared" si="40"/>
        <v>2</v>
      </c>
      <c r="F273" s="162">
        <f t="shared" si="35"/>
        <v>21</v>
      </c>
      <c r="G273" s="162">
        <f t="shared" si="43"/>
        <v>2</v>
      </c>
      <c r="H273" s="162">
        <f t="shared" si="36"/>
        <v>2000</v>
      </c>
      <c r="I273" s="175">
        <f t="shared" si="44"/>
        <v>0.96153846153846156</v>
      </c>
      <c r="J273" s="159" t="str">
        <f t="shared" si="41"/>
        <v>Oct</v>
      </c>
      <c r="K273" s="159">
        <f t="shared" si="42"/>
        <v>2011</v>
      </c>
      <c r="L273" s="160">
        <v>1</v>
      </c>
    </row>
    <row r="274" spans="1:12" ht="14.4">
      <c r="A274" s="128"/>
      <c r="B274" s="154">
        <f t="shared" si="37"/>
        <v>40844</v>
      </c>
      <c r="C274" s="154">
        <f t="shared" si="38"/>
        <v>40850</v>
      </c>
      <c r="D274" s="155" t="str">
        <f t="shared" si="39"/>
        <v>Thu</v>
      </c>
      <c r="E274" s="162">
        <f t="shared" si="40"/>
        <v>1</v>
      </c>
      <c r="F274" s="162">
        <f t="shared" ref="F274:F337" si="45">IF(YEAR(C274)&gt;YEAR(C273),1,F273+1)</f>
        <v>22</v>
      </c>
      <c r="G274" s="162">
        <f t="shared" si="43"/>
        <v>3</v>
      </c>
      <c r="H274" s="162">
        <f t="shared" si="36"/>
        <v>1920</v>
      </c>
      <c r="I274" s="175">
        <f t="shared" si="44"/>
        <v>0.92307692307692313</v>
      </c>
      <c r="J274" s="159" t="str">
        <f t="shared" si="41"/>
        <v>Nov</v>
      </c>
      <c r="K274" s="159">
        <f t="shared" si="42"/>
        <v>2011</v>
      </c>
      <c r="L274" s="160">
        <v>1</v>
      </c>
    </row>
    <row r="275" spans="1:12" ht="14.4">
      <c r="A275" s="128"/>
      <c r="B275" s="154">
        <f t="shared" si="37"/>
        <v>40858</v>
      </c>
      <c r="C275" s="154">
        <f t="shared" si="38"/>
        <v>40864</v>
      </c>
      <c r="D275" s="155" t="str">
        <f t="shared" si="39"/>
        <v>Thu</v>
      </c>
      <c r="E275" s="162">
        <f t="shared" si="40"/>
        <v>2</v>
      </c>
      <c r="F275" s="162">
        <f t="shared" si="45"/>
        <v>23</v>
      </c>
      <c r="G275" s="162">
        <f t="shared" si="43"/>
        <v>4</v>
      </c>
      <c r="H275" s="162">
        <f t="shared" si="36"/>
        <v>1840</v>
      </c>
      <c r="I275" s="175">
        <f t="shared" si="44"/>
        <v>0.88461538461538458</v>
      </c>
      <c r="J275" s="159" t="str">
        <f t="shared" si="41"/>
        <v>Nov</v>
      </c>
      <c r="K275" s="159">
        <f t="shared" si="42"/>
        <v>2011</v>
      </c>
      <c r="L275" s="160">
        <v>1</v>
      </c>
    </row>
    <row r="276" spans="1:12" ht="14.4">
      <c r="A276" s="128"/>
      <c r="B276" s="154">
        <f t="shared" si="37"/>
        <v>40872</v>
      </c>
      <c r="C276" s="154">
        <f t="shared" si="38"/>
        <v>40878</v>
      </c>
      <c r="D276" s="155" t="str">
        <f t="shared" si="39"/>
        <v>Thu</v>
      </c>
      <c r="E276" s="162">
        <f t="shared" si="40"/>
        <v>1</v>
      </c>
      <c r="F276" s="162">
        <f t="shared" si="45"/>
        <v>24</v>
      </c>
      <c r="G276" s="162">
        <f t="shared" si="43"/>
        <v>5</v>
      </c>
      <c r="H276" s="162">
        <f t="shared" si="36"/>
        <v>1760</v>
      </c>
      <c r="I276" s="175">
        <f t="shared" si="44"/>
        <v>0.84615384615384615</v>
      </c>
      <c r="J276" s="159" t="str">
        <f t="shared" si="41"/>
        <v>Dec</v>
      </c>
      <c r="K276" s="159">
        <f t="shared" si="42"/>
        <v>2011</v>
      </c>
      <c r="L276" s="160">
        <v>1</v>
      </c>
    </row>
    <row r="277" spans="1:12" ht="14.4">
      <c r="A277" s="128"/>
      <c r="B277" s="154">
        <f t="shared" si="37"/>
        <v>40886</v>
      </c>
      <c r="C277" s="154">
        <f t="shared" si="38"/>
        <v>40892</v>
      </c>
      <c r="D277" s="155" t="str">
        <f t="shared" si="39"/>
        <v>Thu</v>
      </c>
      <c r="E277" s="162">
        <f t="shared" si="40"/>
        <v>2</v>
      </c>
      <c r="F277" s="162">
        <f t="shared" si="45"/>
        <v>25</v>
      </c>
      <c r="G277" s="162">
        <f t="shared" si="43"/>
        <v>6</v>
      </c>
      <c r="H277" s="162">
        <f t="shared" si="36"/>
        <v>1680</v>
      </c>
      <c r="I277" s="175">
        <f t="shared" si="44"/>
        <v>0.80769230769230771</v>
      </c>
      <c r="J277" s="159" t="str">
        <f t="shared" si="41"/>
        <v>Dec</v>
      </c>
      <c r="K277" s="159">
        <f t="shared" si="42"/>
        <v>2011</v>
      </c>
      <c r="L277" s="160">
        <v>1</v>
      </c>
    </row>
    <row r="278" spans="1:12" ht="14.4">
      <c r="A278" s="128"/>
      <c r="B278" s="154">
        <f t="shared" si="37"/>
        <v>40900</v>
      </c>
      <c r="C278" s="154">
        <f t="shared" si="38"/>
        <v>40906</v>
      </c>
      <c r="D278" s="155" t="str">
        <f t="shared" si="39"/>
        <v>Thu</v>
      </c>
      <c r="E278" s="162">
        <f t="shared" si="40"/>
        <v>3</v>
      </c>
      <c r="F278" s="162">
        <f t="shared" si="45"/>
        <v>26</v>
      </c>
      <c r="G278" s="162">
        <f t="shared" si="43"/>
        <v>7</v>
      </c>
      <c r="H278" s="162">
        <f t="shared" si="36"/>
        <v>1600</v>
      </c>
      <c r="I278" s="175">
        <f t="shared" si="44"/>
        <v>0.76923076923076927</v>
      </c>
      <c r="J278" s="159" t="str">
        <f t="shared" si="41"/>
        <v>Dec</v>
      </c>
      <c r="K278" s="159">
        <f t="shared" si="42"/>
        <v>2011</v>
      </c>
      <c r="L278" s="160">
        <v>1</v>
      </c>
    </row>
    <row r="279" spans="1:12" ht="14.4">
      <c r="A279" s="128"/>
      <c r="B279" s="154">
        <f t="shared" si="37"/>
        <v>40914</v>
      </c>
      <c r="C279" s="154">
        <f t="shared" si="38"/>
        <v>40920</v>
      </c>
      <c r="D279" s="155" t="str">
        <f t="shared" si="39"/>
        <v>Thu</v>
      </c>
      <c r="E279" s="162">
        <f t="shared" si="40"/>
        <v>1</v>
      </c>
      <c r="F279" s="162">
        <f t="shared" si="45"/>
        <v>1</v>
      </c>
      <c r="G279" s="162">
        <f t="shared" si="43"/>
        <v>8</v>
      </c>
      <c r="H279" s="162">
        <f t="shared" si="36"/>
        <v>1520</v>
      </c>
      <c r="I279" s="175">
        <f t="shared" si="44"/>
        <v>0.73076923076923073</v>
      </c>
      <c r="J279" s="159" t="str">
        <f t="shared" si="41"/>
        <v>Jan</v>
      </c>
      <c r="K279" s="159">
        <f t="shared" si="42"/>
        <v>2012</v>
      </c>
      <c r="L279" s="160">
        <v>1</v>
      </c>
    </row>
    <row r="280" spans="1:12" ht="14.4">
      <c r="A280" s="128"/>
      <c r="B280" s="154">
        <f t="shared" si="37"/>
        <v>40928</v>
      </c>
      <c r="C280" s="154">
        <f t="shared" si="38"/>
        <v>40934</v>
      </c>
      <c r="D280" s="155" t="str">
        <f t="shared" si="39"/>
        <v>Thu</v>
      </c>
      <c r="E280" s="162">
        <f t="shared" si="40"/>
        <v>2</v>
      </c>
      <c r="F280" s="162">
        <f t="shared" si="45"/>
        <v>2</v>
      </c>
      <c r="G280" s="162">
        <f t="shared" si="43"/>
        <v>9</v>
      </c>
      <c r="H280" s="162">
        <f t="shared" si="36"/>
        <v>1440</v>
      </c>
      <c r="I280" s="175">
        <f t="shared" si="44"/>
        <v>0.69230769230769229</v>
      </c>
      <c r="J280" s="159" t="str">
        <f t="shared" si="41"/>
        <v>Jan</v>
      </c>
      <c r="K280" s="159">
        <f t="shared" si="42"/>
        <v>2012</v>
      </c>
      <c r="L280" s="160">
        <v>1</v>
      </c>
    </row>
    <row r="281" spans="1:12" ht="14.4">
      <c r="A281" s="128"/>
      <c r="B281" s="154">
        <f t="shared" si="37"/>
        <v>40942</v>
      </c>
      <c r="C281" s="154">
        <f t="shared" si="38"/>
        <v>40948</v>
      </c>
      <c r="D281" s="155" t="str">
        <f t="shared" si="39"/>
        <v>Thu</v>
      </c>
      <c r="E281" s="162">
        <f t="shared" si="40"/>
        <v>1</v>
      </c>
      <c r="F281" s="162">
        <f t="shared" si="45"/>
        <v>3</v>
      </c>
      <c r="G281" s="162">
        <f t="shared" si="43"/>
        <v>10</v>
      </c>
      <c r="H281" s="162">
        <f t="shared" si="36"/>
        <v>1360</v>
      </c>
      <c r="I281" s="175">
        <f t="shared" si="44"/>
        <v>0.65384615384615385</v>
      </c>
      <c r="J281" s="159" t="str">
        <f t="shared" si="41"/>
        <v>Feb</v>
      </c>
      <c r="K281" s="159">
        <f t="shared" si="42"/>
        <v>2012</v>
      </c>
      <c r="L281" s="160">
        <v>1</v>
      </c>
    </row>
    <row r="282" spans="1:12" ht="14.4">
      <c r="A282" s="128"/>
      <c r="B282" s="154">
        <f t="shared" si="37"/>
        <v>40956</v>
      </c>
      <c r="C282" s="154">
        <f t="shared" si="38"/>
        <v>40962</v>
      </c>
      <c r="D282" s="155" t="str">
        <f t="shared" si="39"/>
        <v>Thu</v>
      </c>
      <c r="E282" s="162">
        <f t="shared" si="40"/>
        <v>2</v>
      </c>
      <c r="F282" s="162">
        <f t="shared" si="45"/>
        <v>4</v>
      </c>
      <c r="G282" s="162">
        <f t="shared" si="43"/>
        <v>11</v>
      </c>
      <c r="H282" s="162">
        <f t="shared" si="36"/>
        <v>1280</v>
      </c>
      <c r="I282" s="175">
        <f t="shared" si="44"/>
        <v>0.61538461538461542</v>
      </c>
      <c r="J282" s="159" t="str">
        <f t="shared" si="41"/>
        <v>Feb</v>
      </c>
      <c r="K282" s="159">
        <f t="shared" si="42"/>
        <v>2012</v>
      </c>
      <c r="L282" s="160">
        <v>1</v>
      </c>
    </row>
    <row r="283" spans="1:12" ht="14.4">
      <c r="A283" s="128"/>
      <c r="B283" s="154">
        <f t="shared" si="37"/>
        <v>40970</v>
      </c>
      <c r="C283" s="154">
        <f t="shared" si="38"/>
        <v>40976</v>
      </c>
      <c r="D283" s="155" t="str">
        <f t="shared" si="39"/>
        <v>Thu</v>
      </c>
      <c r="E283" s="162">
        <f t="shared" si="40"/>
        <v>1</v>
      </c>
      <c r="F283" s="162">
        <f t="shared" si="45"/>
        <v>5</v>
      </c>
      <c r="G283" s="162">
        <f t="shared" si="43"/>
        <v>12</v>
      </c>
      <c r="H283" s="162">
        <f t="shared" si="36"/>
        <v>1200</v>
      </c>
      <c r="I283" s="175">
        <f t="shared" si="44"/>
        <v>0.57692307692307687</v>
      </c>
      <c r="J283" s="159" t="str">
        <f t="shared" si="41"/>
        <v>Mar</v>
      </c>
      <c r="K283" s="159">
        <f t="shared" si="42"/>
        <v>2012</v>
      </c>
      <c r="L283" s="160">
        <v>1</v>
      </c>
    </row>
    <row r="284" spans="1:12" ht="14.4">
      <c r="A284" s="128"/>
      <c r="B284" s="154">
        <f t="shared" si="37"/>
        <v>40984</v>
      </c>
      <c r="C284" s="154">
        <f t="shared" si="38"/>
        <v>40990</v>
      </c>
      <c r="D284" s="155" t="str">
        <f t="shared" si="39"/>
        <v>Thu</v>
      </c>
      <c r="E284" s="162">
        <f t="shared" si="40"/>
        <v>2</v>
      </c>
      <c r="F284" s="162">
        <f t="shared" si="45"/>
        <v>6</v>
      </c>
      <c r="G284" s="162">
        <f t="shared" si="43"/>
        <v>13</v>
      </c>
      <c r="H284" s="162">
        <f t="shared" si="36"/>
        <v>1120</v>
      </c>
      <c r="I284" s="175">
        <f t="shared" si="44"/>
        <v>0.53846153846153844</v>
      </c>
      <c r="J284" s="159" t="str">
        <f t="shared" si="41"/>
        <v>Mar</v>
      </c>
      <c r="K284" s="159">
        <f t="shared" si="42"/>
        <v>2012</v>
      </c>
      <c r="L284" s="160">
        <v>1</v>
      </c>
    </row>
    <row r="285" spans="1:12" ht="14.4">
      <c r="A285" s="128"/>
      <c r="B285" s="154">
        <f t="shared" si="37"/>
        <v>40998</v>
      </c>
      <c r="C285" s="154">
        <f t="shared" si="38"/>
        <v>41004</v>
      </c>
      <c r="D285" s="155" t="str">
        <f t="shared" si="39"/>
        <v>Thu</v>
      </c>
      <c r="E285" s="162">
        <f t="shared" si="40"/>
        <v>1</v>
      </c>
      <c r="F285" s="162">
        <f t="shared" si="45"/>
        <v>7</v>
      </c>
      <c r="G285" s="162">
        <f t="shared" si="43"/>
        <v>14</v>
      </c>
      <c r="H285" s="162">
        <f t="shared" si="36"/>
        <v>1040</v>
      </c>
      <c r="I285" s="175">
        <f t="shared" si="44"/>
        <v>0.5</v>
      </c>
      <c r="J285" s="159" t="str">
        <f t="shared" si="41"/>
        <v>Apr</v>
      </c>
      <c r="K285" s="159">
        <f t="shared" si="42"/>
        <v>2012</v>
      </c>
      <c r="L285" s="160">
        <v>1</v>
      </c>
    </row>
    <row r="286" spans="1:12" ht="14.4">
      <c r="A286" s="128"/>
      <c r="B286" s="154">
        <f t="shared" si="37"/>
        <v>41012</v>
      </c>
      <c r="C286" s="154">
        <f t="shared" si="38"/>
        <v>41018</v>
      </c>
      <c r="D286" s="155" t="str">
        <f t="shared" si="39"/>
        <v>Thu</v>
      </c>
      <c r="E286" s="162">
        <f t="shared" si="40"/>
        <v>2</v>
      </c>
      <c r="F286" s="162">
        <f t="shared" si="45"/>
        <v>8</v>
      </c>
      <c r="G286" s="162">
        <f t="shared" si="43"/>
        <v>15</v>
      </c>
      <c r="H286" s="162">
        <f t="shared" si="36"/>
        <v>960</v>
      </c>
      <c r="I286" s="175">
        <f t="shared" si="44"/>
        <v>0.46153846153846156</v>
      </c>
      <c r="J286" s="159" t="str">
        <f t="shared" si="41"/>
        <v>Apr</v>
      </c>
      <c r="K286" s="159">
        <f t="shared" si="42"/>
        <v>2012</v>
      </c>
      <c r="L286" s="160">
        <v>1</v>
      </c>
    </row>
    <row r="287" spans="1:12" ht="14.4">
      <c r="A287" s="128"/>
      <c r="B287" s="154">
        <f t="shared" si="37"/>
        <v>41026</v>
      </c>
      <c r="C287" s="154">
        <f t="shared" si="38"/>
        <v>41032</v>
      </c>
      <c r="D287" s="155" t="str">
        <f t="shared" si="39"/>
        <v>Thu</v>
      </c>
      <c r="E287" s="162">
        <f t="shared" si="40"/>
        <v>1</v>
      </c>
      <c r="F287" s="162">
        <f t="shared" si="45"/>
        <v>9</v>
      </c>
      <c r="G287" s="162">
        <f t="shared" si="43"/>
        <v>16</v>
      </c>
      <c r="H287" s="162">
        <f t="shared" si="36"/>
        <v>880</v>
      </c>
      <c r="I287" s="175">
        <f t="shared" si="44"/>
        <v>0.42307692307692307</v>
      </c>
      <c r="J287" s="159" t="str">
        <f t="shared" si="41"/>
        <v>May</v>
      </c>
      <c r="K287" s="159">
        <f t="shared" si="42"/>
        <v>2012</v>
      </c>
      <c r="L287" s="160">
        <v>1</v>
      </c>
    </row>
    <row r="288" spans="1:12" ht="14.4">
      <c r="A288" s="128"/>
      <c r="B288" s="154">
        <f t="shared" si="37"/>
        <v>41040</v>
      </c>
      <c r="C288" s="154">
        <f t="shared" si="38"/>
        <v>41046</v>
      </c>
      <c r="D288" s="155" t="str">
        <f t="shared" si="39"/>
        <v>Thu</v>
      </c>
      <c r="E288" s="162">
        <f t="shared" si="40"/>
        <v>2</v>
      </c>
      <c r="F288" s="162">
        <f t="shared" si="45"/>
        <v>10</v>
      </c>
      <c r="G288" s="162">
        <f t="shared" si="43"/>
        <v>17</v>
      </c>
      <c r="H288" s="162">
        <f t="shared" si="36"/>
        <v>800</v>
      </c>
      <c r="I288" s="175">
        <f t="shared" si="44"/>
        <v>0.38461538461538464</v>
      </c>
      <c r="J288" s="159" t="str">
        <f t="shared" si="41"/>
        <v>May</v>
      </c>
      <c r="K288" s="159">
        <f t="shared" si="42"/>
        <v>2012</v>
      </c>
      <c r="L288" s="160">
        <v>1</v>
      </c>
    </row>
    <row r="289" spans="1:12" ht="14.4">
      <c r="A289" s="128"/>
      <c r="B289" s="154">
        <f t="shared" si="37"/>
        <v>41054</v>
      </c>
      <c r="C289" s="154">
        <f t="shared" si="38"/>
        <v>41060</v>
      </c>
      <c r="D289" s="155" t="str">
        <f t="shared" si="39"/>
        <v>Thu</v>
      </c>
      <c r="E289" s="162">
        <f t="shared" si="40"/>
        <v>3</v>
      </c>
      <c r="F289" s="162">
        <f t="shared" si="45"/>
        <v>11</v>
      </c>
      <c r="G289" s="162">
        <f t="shared" si="43"/>
        <v>18</v>
      </c>
      <c r="H289" s="162">
        <f t="shared" si="36"/>
        <v>720</v>
      </c>
      <c r="I289" s="175">
        <f t="shared" si="44"/>
        <v>0.34615384615384615</v>
      </c>
      <c r="J289" s="159" t="str">
        <f t="shared" si="41"/>
        <v>May</v>
      </c>
      <c r="K289" s="159">
        <f t="shared" si="42"/>
        <v>2012</v>
      </c>
      <c r="L289" s="160">
        <v>1</v>
      </c>
    </row>
    <row r="290" spans="1:12" ht="14.4">
      <c r="A290" s="128"/>
      <c r="B290" s="154">
        <f t="shared" si="37"/>
        <v>41068</v>
      </c>
      <c r="C290" s="154">
        <f t="shared" si="38"/>
        <v>41074</v>
      </c>
      <c r="D290" s="155" t="str">
        <f t="shared" si="39"/>
        <v>Thu</v>
      </c>
      <c r="E290" s="162">
        <f t="shared" si="40"/>
        <v>1</v>
      </c>
      <c r="F290" s="162">
        <f t="shared" si="45"/>
        <v>12</v>
      </c>
      <c r="G290" s="162">
        <f t="shared" si="43"/>
        <v>19</v>
      </c>
      <c r="H290" s="162">
        <f t="shared" si="36"/>
        <v>640</v>
      </c>
      <c r="I290" s="175">
        <f t="shared" si="44"/>
        <v>0.30769230769230771</v>
      </c>
      <c r="J290" s="159" t="str">
        <f t="shared" si="41"/>
        <v>Jun</v>
      </c>
      <c r="K290" s="159">
        <f t="shared" si="42"/>
        <v>2012</v>
      </c>
      <c r="L290" s="160">
        <v>1</v>
      </c>
    </row>
    <row r="291" spans="1:12" ht="14.4">
      <c r="A291" s="128"/>
      <c r="B291" s="154">
        <f t="shared" si="37"/>
        <v>41082</v>
      </c>
      <c r="C291" s="154">
        <f t="shared" si="38"/>
        <v>41088</v>
      </c>
      <c r="D291" s="155" t="str">
        <f t="shared" si="39"/>
        <v>Thu</v>
      </c>
      <c r="E291" s="162">
        <f t="shared" si="40"/>
        <v>2</v>
      </c>
      <c r="F291" s="162">
        <f t="shared" si="45"/>
        <v>13</v>
      </c>
      <c r="G291" s="162">
        <f t="shared" si="43"/>
        <v>20</v>
      </c>
      <c r="H291" s="162">
        <f t="shared" si="36"/>
        <v>560</v>
      </c>
      <c r="I291" s="175">
        <f t="shared" si="44"/>
        <v>0.26923076923076922</v>
      </c>
      <c r="J291" s="159" t="str">
        <f t="shared" si="41"/>
        <v>Jun</v>
      </c>
      <c r="K291" s="159">
        <f t="shared" si="42"/>
        <v>2012</v>
      </c>
      <c r="L291" s="160">
        <v>1</v>
      </c>
    </row>
    <row r="292" spans="1:12" ht="14.4">
      <c r="A292" s="128"/>
      <c r="B292" s="154">
        <f t="shared" si="37"/>
        <v>41096</v>
      </c>
      <c r="C292" s="154">
        <f t="shared" si="38"/>
        <v>41102</v>
      </c>
      <c r="D292" s="155" t="str">
        <f t="shared" si="39"/>
        <v>Thu</v>
      </c>
      <c r="E292" s="162">
        <f t="shared" si="40"/>
        <v>1</v>
      </c>
      <c r="F292" s="162">
        <f t="shared" si="45"/>
        <v>14</v>
      </c>
      <c r="G292" s="162">
        <f t="shared" si="43"/>
        <v>21</v>
      </c>
      <c r="H292" s="162">
        <f t="shared" si="36"/>
        <v>480</v>
      </c>
      <c r="I292" s="175">
        <f t="shared" si="44"/>
        <v>0.23076923076923078</v>
      </c>
      <c r="J292" s="159" t="str">
        <f t="shared" si="41"/>
        <v>Jul</v>
      </c>
      <c r="K292" s="159">
        <f t="shared" si="42"/>
        <v>2012</v>
      </c>
      <c r="L292" s="160">
        <v>1</v>
      </c>
    </row>
    <row r="293" spans="1:12" ht="14.4">
      <c r="A293" s="128"/>
      <c r="B293" s="154">
        <f t="shared" si="37"/>
        <v>41110</v>
      </c>
      <c r="C293" s="154">
        <f t="shared" si="38"/>
        <v>41116</v>
      </c>
      <c r="D293" s="155" t="str">
        <f t="shared" si="39"/>
        <v>Thu</v>
      </c>
      <c r="E293" s="162">
        <f t="shared" si="40"/>
        <v>2</v>
      </c>
      <c r="F293" s="162">
        <f t="shared" si="45"/>
        <v>15</v>
      </c>
      <c r="G293" s="162">
        <f t="shared" si="43"/>
        <v>22</v>
      </c>
      <c r="H293" s="162">
        <f t="shared" si="36"/>
        <v>400</v>
      </c>
      <c r="I293" s="175">
        <f t="shared" si="44"/>
        <v>0.19230769230769232</v>
      </c>
      <c r="J293" s="159" t="str">
        <f t="shared" si="41"/>
        <v>Jul</v>
      </c>
      <c r="K293" s="159">
        <f t="shared" si="42"/>
        <v>2012</v>
      </c>
      <c r="L293" s="160">
        <v>1</v>
      </c>
    </row>
    <row r="294" spans="1:12" ht="14.4">
      <c r="A294" s="128"/>
      <c r="B294" s="154">
        <f t="shared" si="37"/>
        <v>41124</v>
      </c>
      <c r="C294" s="154">
        <f t="shared" si="38"/>
        <v>41130</v>
      </c>
      <c r="D294" s="155" t="str">
        <f t="shared" si="39"/>
        <v>Thu</v>
      </c>
      <c r="E294" s="162">
        <f t="shared" si="40"/>
        <v>1</v>
      </c>
      <c r="F294" s="162">
        <f t="shared" si="45"/>
        <v>16</v>
      </c>
      <c r="G294" s="162">
        <f t="shared" si="43"/>
        <v>23</v>
      </c>
      <c r="H294" s="162">
        <f t="shared" si="36"/>
        <v>320</v>
      </c>
      <c r="I294" s="175">
        <f t="shared" si="44"/>
        <v>0.15384615384615385</v>
      </c>
      <c r="J294" s="159" t="str">
        <f t="shared" si="41"/>
        <v>Aug</v>
      </c>
      <c r="K294" s="159">
        <f t="shared" si="42"/>
        <v>2012</v>
      </c>
      <c r="L294" s="160">
        <v>1</v>
      </c>
    </row>
    <row r="295" spans="1:12" ht="14.4">
      <c r="A295" s="128"/>
      <c r="B295" s="154">
        <f t="shared" si="37"/>
        <v>41138</v>
      </c>
      <c r="C295" s="154">
        <f t="shared" si="38"/>
        <v>41144</v>
      </c>
      <c r="D295" s="155" t="str">
        <f t="shared" si="39"/>
        <v>Thu</v>
      </c>
      <c r="E295" s="162">
        <f t="shared" si="40"/>
        <v>2</v>
      </c>
      <c r="F295" s="162">
        <f t="shared" si="45"/>
        <v>17</v>
      </c>
      <c r="G295" s="162">
        <f t="shared" si="43"/>
        <v>24</v>
      </c>
      <c r="H295" s="162">
        <f t="shared" si="36"/>
        <v>240</v>
      </c>
      <c r="I295" s="175">
        <f t="shared" si="44"/>
        <v>0.11538461538461539</v>
      </c>
      <c r="J295" s="159" t="str">
        <f t="shared" si="41"/>
        <v>Aug</v>
      </c>
      <c r="K295" s="159">
        <f t="shared" si="42"/>
        <v>2012</v>
      </c>
      <c r="L295" s="160">
        <v>1</v>
      </c>
    </row>
    <row r="296" spans="1:12" ht="14.4">
      <c r="A296" s="128"/>
      <c r="B296" s="154">
        <f t="shared" si="37"/>
        <v>41152</v>
      </c>
      <c r="C296" s="154">
        <f t="shared" si="38"/>
        <v>41158</v>
      </c>
      <c r="D296" s="155" t="str">
        <f t="shared" si="39"/>
        <v>Thu</v>
      </c>
      <c r="E296" s="162">
        <f t="shared" si="40"/>
        <v>1</v>
      </c>
      <c r="F296" s="162">
        <f t="shared" si="45"/>
        <v>18</v>
      </c>
      <c r="G296" s="162">
        <f t="shared" si="43"/>
        <v>25</v>
      </c>
      <c r="H296" s="162">
        <f t="shared" si="36"/>
        <v>160</v>
      </c>
      <c r="I296" s="175">
        <f t="shared" si="44"/>
        <v>7.6923076923076927E-2</v>
      </c>
      <c r="J296" s="159" t="str">
        <f t="shared" si="41"/>
        <v>Sep</v>
      </c>
      <c r="K296" s="159">
        <f t="shared" si="42"/>
        <v>2012</v>
      </c>
      <c r="L296" s="160">
        <v>1</v>
      </c>
    </row>
    <row r="297" spans="1:12" ht="14.4">
      <c r="A297" s="128"/>
      <c r="B297" s="154">
        <f t="shared" si="37"/>
        <v>41166</v>
      </c>
      <c r="C297" s="154">
        <f t="shared" si="38"/>
        <v>41172</v>
      </c>
      <c r="D297" s="155" t="str">
        <f t="shared" si="39"/>
        <v>Thu</v>
      </c>
      <c r="E297" s="162">
        <f t="shared" si="40"/>
        <v>2</v>
      </c>
      <c r="F297" s="162">
        <f t="shared" si="45"/>
        <v>19</v>
      </c>
      <c r="G297" s="162">
        <f t="shared" si="43"/>
        <v>26</v>
      </c>
      <c r="H297" s="162">
        <f t="shared" ref="H297:H360" si="46">IF(2080-(G296*80)&gt;0,2080-(G296*80),2080)</f>
        <v>80</v>
      </c>
      <c r="I297" s="175">
        <f t="shared" si="44"/>
        <v>3.8461538461538464E-2</v>
      </c>
      <c r="J297" s="159" t="str">
        <f t="shared" si="41"/>
        <v>Sep</v>
      </c>
      <c r="K297" s="159">
        <f t="shared" si="42"/>
        <v>2012</v>
      </c>
      <c r="L297" s="160">
        <v>1</v>
      </c>
    </row>
    <row r="298" spans="1:12" ht="14.4">
      <c r="A298" s="128"/>
      <c r="B298" s="154">
        <f t="shared" si="37"/>
        <v>41180</v>
      </c>
      <c r="C298" s="154">
        <f t="shared" si="38"/>
        <v>41186</v>
      </c>
      <c r="D298" s="155" t="str">
        <f t="shared" si="39"/>
        <v>Thu</v>
      </c>
      <c r="E298" s="162">
        <f t="shared" si="40"/>
        <v>1</v>
      </c>
      <c r="F298" s="162">
        <f t="shared" si="45"/>
        <v>20</v>
      </c>
      <c r="G298" s="162">
        <f t="shared" si="43"/>
        <v>1</v>
      </c>
      <c r="H298" s="162">
        <f t="shared" si="46"/>
        <v>2080</v>
      </c>
      <c r="I298" s="175">
        <f t="shared" si="44"/>
        <v>1</v>
      </c>
      <c r="J298" s="159" t="str">
        <f t="shared" si="41"/>
        <v>Oct</v>
      </c>
      <c r="K298" s="159">
        <f t="shared" si="42"/>
        <v>2012</v>
      </c>
      <c r="L298" s="160">
        <v>1</v>
      </c>
    </row>
    <row r="299" spans="1:12" ht="14.4">
      <c r="A299" s="128"/>
      <c r="B299" s="154">
        <f t="shared" si="37"/>
        <v>41194</v>
      </c>
      <c r="C299" s="154">
        <f t="shared" si="38"/>
        <v>41200</v>
      </c>
      <c r="D299" s="155" t="str">
        <f t="shared" si="39"/>
        <v>Thu</v>
      </c>
      <c r="E299" s="162">
        <f t="shared" si="40"/>
        <v>2</v>
      </c>
      <c r="F299" s="162">
        <f t="shared" si="45"/>
        <v>21</v>
      </c>
      <c r="G299" s="162">
        <f t="shared" si="43"/>
        <v>2</v>
      </c>
      <c r="H299" s="162">
        <f t="shared" si="46"/>
        <v>2000</v>
      </c>
      <c r="I299" s="175">
        <f t="shared" si="44"/>
        <v>0.96153846153846156</v>
      </c>
      <c r="J299" s="159" t="str">
        <f t="shared" si="41"/>
        <v>Oct</v>
      </c>
      <c r="K299" s="159">
        <f t="shared" si="42"/>
        <v>2012</v>
      </c>
      <c r="L299" s="160">
        <v>1</v>
      </c>
    </row>
    <row r="300" spans="1:12" ht="14.4">
      <c r="A300" s="128"/>
      <c r="B300" s="154">
        <f t="shared" ref="B300:B363" si="47">B299+14</f>
        <v>41208</v>
      </c>
      <c r="C300" s="154">
        <f t="shared" ref="C300:C363" si="48">B300+6</f>
        <v>41214</v>
      </c>
      <c r="D300" s="155" t="str">
        <f t="shared" si="39"/>
        <v>Thu</v>
      </c>
      <c r="E300" s="162">
        <f t="shared" si="40"/>
        <v>1</v>
      </c>
      <c r="F300" s="162">
        <f t="shared" si="45"/>
        <v>22</v>
      </c>
      <c r="G300" s="162">
        <f t="shared" si="43"/>
        <v>3</v>
      </c>
      <c r="H300" s="162">
        <f t="shared" si="46"/>
        <v>1920</v>
      </c>
      <c r="I300" s="175">
        <f t="shared" si="44"/>
        <v>0.92307692307692313</v>
      </c>
      <c r="J300" s="159" t="str">
        <f t="shared" si="41"/>
        <v>Nov</v>
      </c>
      <c r="K300" s="159">
        <f t="shared" si="42"/>
        <v>2012</v>
      </c>
      <c r="L300" s="160">
        <v>1</v>
      </c>
    </row>
    <row r="301" spans="1:12" ht="14.4">
      <c r="A301" s="128"/>
      <c r="B301" s="154">
        <f t="shared" si="47"/>
        <v>41222</v>
      </c>
      <c r="C301" s="154">
        <f t="shared" si="48"/>
        <v>41228</v>
      </c>
      <c r="D301" s="155" t="str">
        <f t="shared" si="39"/>
        <v>Thu</v>
      </c>
      <c r="E301" s="162">
        <f t="shared" si="40"/>
        <v>2</v>
      </c>
      <c r="F301" s="162">
        <f t="shared" si="45"/>
        <v>23</v>
      </c>
      <c r="G301" s="162">
        <f t="shared" si="43"/>
        <v>4</v>
      </c>
      <c r="H301" s="162">
        <f t="shared" si="46"/>
        <v>1840</v>
      </c>
      <c r="I301" s="175">
        <f t="shared" si="44"/>
        <v>0.88461538461538458</v>
      </c>
      <c r="J301" s="159" t="str">
        <f t="shared" si="41"/>
        <v>Nov</v>
      </c>
      <c r="K301" s="159">
        <f t="shared" si="42"/>
        <v>2012</v>
      </c>
      <c r="L301" s="160">
        <v>1</v>
      </c>
    </row>
    <row r="302" spans="1:12" ht="14.4">
      <c r="A302" s="128"/>
      <c r="B302" s="154">
        <f t="shared" si="47"/>
        <v>41236</v>
      </c>
      <c r="C302" s="154">
        <f t="shared" si="48"/>
        <v>41242</v>
      </c>
      <c r="D302" s="155" t="str">
        <f t="shared" si="39"/>
        <v>Thu</v>
      </c>
      <c r="E302" s="162">
        <f t="shared" si="40"/>
        <v>3</v>
      </c>
      <c r="F302" s="162">
        <f t="shared" si="45"/>
        <v>24</v>
      </c>
      <c r="G302" s="162">
        <f t="shared" si="43"/>
        <v>5</v>
      </c>
      <c r="H302" s="162">
        <f t="shared" si="46"/>
        <v>1760</v>
      </c>
      <c r="I302" s="175">
        <f t="shared" si="44"/>
        <v>0.84615384615384615</v>
      </c>
      <c r="J302" s="159" t="str">
        <f t="shared" si="41"/>
        <v>Nov</v>
      </c>
      <c r="K302" s="159">
        <f t="shared" si="42"/>
        <v>2012</v>
      </c>
      <c r="L302" s="160">
        <v>1</v>
      </c>
    </row>
    <row r="303" spans="1:12" ht="14.4">
      <c r="A303" s="128"/>
      <c r="B303" s="154">
        <f t="shared" si="47"/>
        <v>41250</v>
      </c>
      <c r="C303" s="154">
        <f t="shared" si="48"/>
        <v>41256</v>
      </c>
      <c r="D303" s="155" t="str">
        <f t="shared" si="39"/>
        <v>Thu</v>
      </c>
      <c r="E303" s="162">
        <f t="shared" si="40"/>
        <v>1</v>
      </c>
      <c r="F303" s="162">
        <f t="shared" si="45"/>
        <v>25</v>
      </c>
      <c r="G303" s="162">
        <f t="shared" si="43"/>
        <v>6</v>
      </c>
      <c r="H303" s="162">
        <f t="shared" si="46"/>
        <v>1680</v>
      </c>
      <c r="I303" s="175">
        <f t="shared" si="44"/>
        <v>0.80769230769230771</v>
      </c>
      <c r="J303" s="159" t="str">
        <f t="shared" si="41"/>
        <v>Dec</v>
      </c>
      <c r="K303" s="159">
        <f t="shared" si="42"/>
        <v>2012</v>
      </c>
      <c r="L303" s="160">
        <v>1</v>
      </c>
    </row>
    <row r="304" spans="1:12" ht="14.4">
      <c r="A304" s="128"/>
      <c r="B304" s="154">
        <f t="shared" si="47"/>
        <v>41264</v>
      </c>
      <c r="C304" s="154">
        <f t="shared" si="48"/>
        <v>41270</v>
      </c>
      <c r="D304" s="155" t="str">
        <f t="shared" si="39"/>
        <v>Thu</v>
      </c>
      <c r="E304" s="162">
        <f t="shared" si="40"/>
        <v>2</v>
      </c>
      <c r="F304" s="162">
        <f t="shared" si="45"/>
        <v>26</v>
      </c>
      <c r="G304" s="162">
        <f t="shared" si="43"/>
        <v>7</v>
      </c>
      <c r="H304" s="162">
        <f t="shared" si="46"/>
        <v>1600</v>
      </c>
      <c r="I304" s="175">
        <f t="shared" si="44"/>
        <v>0.76923076923076927</v>
      </c>
      <c r="J304" s="159" t="str">
        <f t="shared" si="41"/>
        <v>Dec</v>
      </c>
      <c r="K304" s="159">
        <f t="shared" si="42"/>
        <v>2012</v>
      </c>
      <c r="L304" s="160">
        <v>1</v>
      </c>
    </row>
    <row r="305" spans="1:12" ht="14.4">
      <c r="A305" s="128"/>
      <c r="B305" s="154">
        <f t="shared" si="47"/>
        <v>41278</v>
      </c>
      <c r="C305" s="154">
        <f t="shared" si="48"/>
        <v>41284</v>
      </c>
      <c r="D305" s="155" t="str">
        <f t="shared" si="39"/>
        <v>Thu</v>
      </c>
      <c r="E305" s="162">
        <f t="shared" si="40"/>
        <v>1</v>
      </c>
      <c r="F305" s="162">
        <f t="shared" si="45"/>
        <v>1</v>
      </c>
      <c r="G305" s="162">
        <f t="shared" si="43"/>
        <v>8</v>
      </c>
      <c r="H305" s="162">
        <f t="shared" si="46"/>
        <v>1520</v>
      </c>
      <c r="I305" s="175">
        <f t="shared" si="44"/>
        <v>0.73076923076923073</v>
      </c>
      <c r="J305" s="159" t="str">
        <f t="shared" si="41"/>
        <v>Jan</v>
      </c>
      <c r="K305" s="159">
        <f t="shared" si="42"/>
        <v>2013</v>
      </c>
      <c r="L305" s="160">
        <v>1</v>
      </c>
    </row>
    <row r="306" spans="1:12" ht="14.4">
      <c r="A306" s="128"/>
      <c r="B306" s="154">
        <f t="shared" si="47"/>
        <v>41292</v>
      </c>
      <c r="C306" s="154">
        <f t="shared" si="48"/>
        <v>41298</v>
      </c>
      <c r="D306" s="155" t="str">
        <f t="shared" si="39"/>
        <v>Thu</v>
      </c>
      <c r="E306" s="162">
        <f t="shared" si="40"/>
        <v>2</v>
      </c>
      <c r="F306" s="162">
        <f t="shared" si="45"/>
        <v>2</v>
      </c>
      <c r="G306" s="162">
        <f t="shared" si="43"/>
        <v>9</v>
      </c>
      <c r="H306" s="162">
        <f t="shared" si="46"/>
        <v>1440</v>
      </c>
      <c r="I306" s="175">
        <f t="shared" si="44"/>
        <v>0.69230769230769229</v>
      </c>
      <c r="J306" s="159" t="str">
        <f t="shared" si="41"/>
        <v>Jan</v>
      </c>
      <c r="K306" s="159">
        <f t="shared" si="42"/>
        <v>2013</v>
      </c>
      <c r="L306" s="160">
        <v>1</v>
      </c>
    </row>
    <row r="307" spans="1:12" ht="14.4">
      <c r="A307" s="128"/>
      <c r="B307" s="154">
        <f t="shared" si="47"/>
        <v>41306</v>
      </c>
      <c r="C307" s="154">
        <f t="shared" si="48"/>
        <v>41312</v>
      </c>
      <c r="D307" s="155" t="str">
        <f t="shared" si="39"/>
        <v>Thu</v>
      </c>
      <c r="E307" s="162">
        <f t="shared" si="40"/>
        <v>1</v>
      </c>
      <c r="F307" s="162">
        <f t="shared" si="45"/>
        <v>3</v>
      </c>
      <c r="G307" s="162">
        <f t="shared" si="43"/>
        <v>10</v>
      </c>
      <c r="H307" s="162">
        <f t="shared" si="46"/>
        <v>1360</v>
      </c>
      <c r="I307" s="175">
        <f t="shared" si="44"/>
        <v>0.65384615384615385</v>
      </c>
      <c r="J307" s="159" t="str">
        <f t="shared" si="41"/>
        <v>Feb</v>
      </c>
      <c r="K307" s="159">
        <f t="shared" si="42"/>
        <v>2013</v>
      </c>
      <c r="L307" s="160">
        <v>1</v>
      </c>
    </row>
    <row r="308" spans="1:12" ht="14.4">
      <c r="A308" s="128"/>
      <c r="B308" s="154">
        <f t="shared" si="47"/>
        <v>41320</v>
      </c>
      <c r="C308" s="154">
        <f t="shared" si="48"/>
        <v>41326</v>
      </c>
      <c r="D308" s="155" t="str">
        <f t="shared" si="39"/>
        <v>Thu</v>
      </c>
      <c r="E308" s="162">
        <f t="shared" si="40"/>
        <v>2</v>
      </c>
      <c r="F308" s="162">
        <f t="shared" si="45"/>
        <v>4</v>
      </c>
      <c r="G308" s="162">
        <f t="shared" si="43"/>
        <v>11</v>
      </c>
      <c r="H308" s="162">
        <f t="shared" si="46"/>
        <v>1280</v>
      </c>
      <c r="I308" s="175">
        <f t="shared" si="44"/>
        <v>0.61538461538461542</v>
      </c>
      <c r="J308" s="159" t="str">
        <f t="shared" si="41"/>
        <v>Feb</v>
      </c>
      <c r="K308" s="159">
        <f t="shared" si="42"/>
        <v>2013</v>
      </c>
      <c r="L308" s="160">
        <v>1</v>
      </c>
    </row>
    <row r="309" spans="1:12" ht="14.4">
      <c r="A309" s="128"/>
      <c r="B309" s="154">
        <f t="shared" si="47"/>
        <v>41334</v>
      </c>
      <c r="C309" s="154">
        <f t="shared" si="48"/>
        <v>41340</v>
      </c>
      <c r="D309" s="155" t="str">
        <f t="shared" si="39"/>
        <v>Thu</v>
      </c>
      <c r="E309" s="162">
        <f t="shared" si="40"/>
        <v>1</v>
      </c>
      <c r="F309" s="162">
        <f t="shared" si="45"/>
        <v>5</v>
      </c>
      <c r="G309" s="162">
        <f t="shared" si="43"/>
        <v>12</v>
      </c>
      <c r="H309" s="162">
        <f t="shared" si="46"/>
        <v>1200</v>
      </c>
      <c r="I309" s="175">
        <f t="shared" si="44"/>
        <v>0.57692307692307687</v>
      </c>
      <c r="J309" s="159" t="str">
        <f t="shared" si="41"/>
        <v>Mar</v>
      </c>
      <c r="K309" s="159">
        <f t="shared" si="42"/>
        <v>2013</v>
      </c>
      <c r="L309" s="160">
        <v>1</v>
      </c>
    </row>
    <row r="310" spans="1:12" ht="14.4">
      <c r="A310" s="128"/>
      <c r="B310" s="154">
        <f t="shared" si="47"/>
        <v>41348</v>
      </c>
      <c r="C310" s="154">
        <f t="shared" si="48"/>
        <v>41354</v>
      </c>
      <c r="D310" s="155" t="str">
        <f t="shared" si="39"/>
        <v>Thu</v>
      </c>
      <c r="E310" s="162">
        <f t="shared" si="40"/>
        <v>2</v>
      </c>
      <c r="F310" s="162">
        <f t="shared" si="45"/>
        <v>6</v>
      </c>
      <c r="G310" s="162">
        <f t="shared" si="43"/>
        <v>13</v>
      </c>
      <c r="H310" s="162">
        <f t="shared" si="46"/>
        <v>1120</v>
      </c>
      <c r="I310" s="175">
        <f t="shared" si="44"/>
        <v>0.53846153846153844</v>
      </c>
      <c r="J310" s="159" t="str">
        <f t="shared" si="41"/>
        <v>Mar</v>
      </c>
      <c r="K310" s="159">
        <f t="shared" si="42"/>
        <v>2013</v>
      </c>
      <c r="L310" s="160">
        <v>1</v>
      </c>
    </row>
    <row r="311" spans="1:12" ht="14.4">
      <c r="A311" s="128"/>
      <c r="B311" s="154">
        <f t="shared" si="47"/>
        <v>41362</v>
      </c>
      <c r="C311" s="154">
        <f t="shared" si="48"/>
        <v>41368</v>
      </c>
      <c r="D311" s="155" t="str">
        <f t="shared" si="39"/>
        <v>Thu</v>
      </c>
      <c r="E311" s="162">
        <f t="shared" si="40"/>
        <v>1</v>
      </c>
      <c r="F311" s="162">
        <f t="shared" si="45"/>
        <v>7</v>
      </c>
      <c r="G311" s="162">
        <f t="shared" si="43"/>
        <v>14</v>
      </c>
      <c r="H311" s="162">
        <f t="shared" si="46"/>
        <v>1040</v>
      </c>
      <c r="I311" s="175">
        <f t="shared" si="44"/>
        <v>0.5</v>
      </c>
      <c r="J311" s="159" t="str">
        <f t="shared" si="41"/>
        <v>Apr</v>
      </c>
      <c r="K311" s="159">
        <f t="shared" si="42"/>
        <v>2013</v>
      </c>
      <c r="L311" s="160">
        <v>1</v>
      </c>
    </row>
    <row r="312" spans="1:12" ht="14.4">
      <c r="A312" s="128"/>
      <c r="B312" s="154">
        <f t="shared" si="47"/>
        <v>41376</v>
      </c>
      <c r="C312" s="154">
        <f t="shared" si="48"/>
        <v>41382</v>
      </c>
      <c r="D312" s="155" t="str">
        <f t="shared" si="39"/>
        <v>Thu</v>
      </c>
      <c r="E312" s="162">
        <f t="shared" si="40"/>
        <v>2</v>
      </c>
      <c r="F312" s="162">
        <f t="shared" si="45"/>
        <v>8</v>
      </c>
      <c r="G312" s="162">
        <f t="shared" si="43"/>
        <v>15</v>
      </c>
      <c r="H312" s="162">
        <f t="shared" si="46"/>
        <v>960</v>
      </c>
      <c r="I312" s="175">
        <f t="shared" si="44"/>
        <v>0.46153846153846156</v>
      </c>
      <c r="J312" s="159" t="str">
        <f t="shared" si="41"/>
        <v>Apr</v>
      </c>
      <c r="K312" s="159">
        <f t="shared" si="42"/>
        <v>2013</v>
      </c>
      <c r="L312" s="160">
        <v>1</v>
      </c>
    </row>
    <row r="313" spans="1:12" ht="14.4">
      <c r="A313" s="128"/>
      <c r="B313" s="154">
        <f t="shared" si="47"/>
        <v>41390</v>
      </c>
      <c r="C313" s="154">
        <f t="shared" si="48"/>
        <v>41396</v>
      </c>
      <c r="D313" s="155" t="str">
        <f t="shared" si="39"/>
        <v>Thu</v>
      </c>
      <c r="E313" s="162">
        <f t="shared" si="40"/>
        <v>1</v>
      </c>
      <c r="F313" s="162">
        <f t="shared" si="45"/>
        <v>9</v>
      </c>
      <c r="G313" s="162">
        <f t="shared" si="43"/>
        <v>16</v>
      </c>
      <c r="H313" s="162">
        <f t="shared" si="46"/>
        <v>880</v>
      </c>
      <c r="I313" s="175">
        <f t="shared" si="44"/>
        <v>0.42307692307692307</v>
      </c>
      <c r="J313" s="159" t="str">
        <f t="shared" si="41"/>
        <v>May</v>
      </c>
      <c r="K313" s="159">
        <f t="shared" si="42"/>
        <v>2013</v>
      </c>
      <c r="L313" s="160">
        <v>1</v>
      </c>
    </row>
    <row r="314" spans="1:12" ht="14.4">
      <c r="A314" s="128"/>
      <c r="B314" s="154">
        <f t="shared" si="47"/>
        <v>41404</v>
      </c>
      <c r="C314" s="154">
        <f t="shared" si="48"/>
        <v>41410</v>
      </c>
      <c r="D314" s="155" t="str">
        <f t="shared" si="39"/>
        <v>Thu</v>
      </c>
      <c r="E314" s="162">
        <f t="shared" si="40"/>
        <v>2</v>
      </c>
      <c r="F314" s="162">
        <f t="shared" si="45"/>
        <v>10</v>
      </c>
      <c r="G314" s="162">
        <f t="shared" si="43"/>
        <v>17</v>
      </c>
      <c r="H314" s="162">
        <f t="shared" si="46"/>
        <v>800</v>
      </c>
      <c r="I314" s="175">
        <f t="shared" si="44"/>
        <v>0.38461538461538464</v>
      </c>
      <c r="J314" s="159" t="str">
        <f t="shared" si="41"/>
        <v>May</v>
      </c>
      <c r="K314" s="159">
        <f t="shared" si="42"/>
        <v>2013</v>
      </c>
      <c r="L314" s="160">
        <v>1</v>
      </c>
    </row>
    <row r="315" spans="1:12" ht="14.4">
      <c r="A315" s="128"/>
      <c r="B315" s="154">
        <f t="shared" si="47"/>
        <v>41418</v>
      </c>
      <c r="C315" s="154">
        <f t="shared" si="48"/>
        <v>41424</v>
      </c>
      <c r="D315" s="155" t="str">
        <f t="shared" si="39"/>
        <v>Thu</v>
      </c>
      <c r="E315" s="162">
        <f t="shared" si="40"/>
        <v>3</v>
      </c>
      <c r="F315" s="162">
        <f t="shared" si="45"/>
        <v>11</v>
      </c>
      <c r="G315" s="162">
        <f t="shared" si="43"/>
        <v>18</v>
      </c>
      <c r="H315" s="162">
        <f t="shared" si="46"/>
        <v>720</v>
      </c>
      <c r="I315" s="175">
        <f t="shared" si="44"/>
        <v>0.34615384615384615</v>
      </c>
      <c r="J315" s="159" t="str">
        <f t="shared" si="41"/>
        <v>May</v>
      </c>
      <c r="K315" s="159">
        <f t="shared" si="42"/>
        <v>2013</v>
      </c>
      <c r="L315" s="160">
        <v>1</v>
      </c>
    </row>
    <row r="316" spans="1:12" ht="14.4">
      <c r="A316" s="128"/>
      <c r="B316" s="154">
        <f t="shared" si="47"/>
        <v>41432</v>
      </c>
      <c r="C316" s="154">
        <f t="shared" si="48"/>
        <v>41438</v>
      </c>
      <c r="D316" s="155" t="str">
        <f t="shared" si="39"/>
        <v>Thu</v>
      </c>
      <c r="E316" s="162">
        <f t="shared" si="40"/>
        <v>1</v>
      </c>
      <c r="F316" s="162">
        <f t="shared" si="45"/>
        <v>12</v>
      </c>
      <c r="G316" s="162">
        <f t="shared" si="43"/>
        <v>19</v>
      </c>
      <c r="H316" s="162">
        <f t="shared" si="46"/>
        <v>640</v>
      </c>
      <c r="I316" s="175">
        <f t="shared" si="44"/>
        <v>0.30769230769230771</v>
      </c>
      <c r="J316" s="159" t="str">
        <f t="shared" si="41"/>
        <v>Jun</v>
      </c>
      <c r="K316" s="159">
        <f t="shared" si="42"/>
        <v>2013</v>
      </c>
      <c r="L316" s="160">
        <v>1</v>
      </c>
    </row>
    <row r="317" spans="1:12" ht="14.4">
      <c r="A317" s="128"/>
      <c r="B317" s="154">
        <f t="shared" si="47"/>
        <v>41446</v>
      </c>
      <c r="C317" s="154">
        <f t="shared" si="48"/>
        <v>41452</v>
      </c>
      <c r="D317" s="155" t="str">
        <f t="shared" si="39"/>
        <v>Thu</v>
      </c>
      <c r="E317" s="162">
        <f t="shared" si="40"/>
        <v>2</v>
      </c>
      <c r="F317" s="162">
        <f t="shared" si="45"/>
        <v>13</v>
      </c>
      <c r="G317" s="162">
        <f t="shared" si="43"/>
        <v>20</v>
      </c>
      <c r="H317" s="162">
        <f t="shared" si="46"/>
        <v>560</v>
      </c>
      <c r="I317" s="175">
        <f t="shared" si="44"/>
        <v>0.26923076923076922</v>
      </c>
      <c r="J317" s="159" t="str">
        <f t="shared" si="41"/>
        <v>Jun</v>
      </c>
      <c r="K317" s="159">
        <f t="shared" si="42"/>
        <v>2013</v>
      </c>
      <c r="L317" s="160">
        <v>1</v>
      </c>
    </row>
    <row r="318" spans="1:12" ht="14.4">
      <c r="A318" s="128"/>
      <c r="B318" s="154">
        <f t="shared" si="47"/>
        <v>41460</v>
      </c>
      <c r="C318" s="154">
        <f t="shared" si="48"/>
        <v>41466</v>
      </c>
      <c r="D318" s="155" t="str">
        <f t="shared" si="39"/>
        <v>Thu</v>
      </c>
      <c r="E318" s="162">
        <f t="shared" si="40"/>
        <v>1</v>
      </c>
      <c r="F318" s="162">
        <f t="shared" si="45"/>
        <v>14</v>
      </c>
      <c r="G318" s="162">
        <f t="shared" si="43"/>
        <v>21</v>
      </c>
      <c r="H318" s="162">
        <f t="shared" si="46"/>
        <v>480</v>
      </c>
      <c r="I318" s="175">
        <f t="shared" si="44"/>
        <v>0.23076923076923078</v>
      </c>
      <c r="J318" s="159" t="str">
        <f t="shared" si="41"/>
        <v>Jul</v>
      </c>
      <c r="K318" s="159">
        <f t="shared" si="42"/>
        <v>2013</v>
      </c>
      <c r="L318" s="160">
        <v>1</v>
      </c>
    </row>
    <row r="319" spans="1:12" ht="14.4">
      <c r="A319" s="128"/>
      <c r="B319" s="154">
        <f t="shared" si="47"/>
        <v>41474</v>
      </c>
      <c r="C319" s="154">
        <f t="shared" si="48"/>
        <v>41480</v>
      </c>
      <c r="D319" s="155" t="str">
        <f t="shared" si="39"/>
        <v>Thu</v>
      </c>
      <c r="E319" s="162">
        <f t="shared" si="40"/>
        <v>2</v>
      </c>
      <c r="F319" s="162">
        <f t="shared" si="45"/>
        <v>15</v>
      </c>
      <c r="G319" s="162">
        <f t="shared" si="43"/>
        <v>22</v>
      </c>
      <c r="H319" s="162">
        <f t="shared" si="46"/>
        <v>400</v>
      </c>
      <c r="I319" s="175">
        <f t="shared" si="44"/>
        <v>0.19230769230769232</v>
      </c>
      <c r="J319" s="159" t="str">
        <f t="shared" si="41"/>
        <v>Jul</v>
      </c>
      <c r="K319" s="159">
        <f t="shared" si="42"/>
        <v>2013</v>
      </c>
      <c r="L319" s="160">
        <v>1</v>
      </c>
    </row>
    <row r="320" spans="1:12" ht="14.4">
      <c r="A320" s="128"/>
      <c r="B320" s="154">
        <f t="shared" si="47"/>
        <v>41488</v>
      </c>
      <c r="C320" s="154">
        <f t="shared" si="48"/>
        <v>41494</v>
      </c>
      <c r="D320" s="155" t="str">
        <f t="shared" si="39"/>
        <v>Thu</v>
      </c>
      <c r="E320" s="162">
        <f t="shared" si="40"/>
        <v>1</v>
      </c>
      <c r="F320" s="162">
        <f t="shared" si="45"/>
        <v>16</v>
      </c>
      <c r="G320" s="162">
        <f t="shared" si="43"/>
        <v>23</v>
      </c>
      <c r="H320" s="162">
        <f t="shared" si="46"/>
        <v>320</v>
      </c>
      <c r="I320" s="175">
        <f t="shared" si="44"/>
        <v>0.15384615384615385</v>
      </c>
      <c r="J320" s="159" t="str">
        <f t="shared" si="41"/>
        <v>Aug</v>
      </c>
      <c r="K320" s="159">
        <f t="shared" si="42"/>
        <v>2013</v>
      </c>
      <c r="L320" s="160">
        <v>1</v>
      </c>
    </row>
    <row r="321" spans="1:12" ht="14.4">
      <c r="A321" s="128"/>
      <c r="B321" s="154">
        <f t="shared" si="47"/>
        <v>41502</v>
      </c>
      <c r="C321" s="154">
        <f t="shared" si="48"/>
        <v>41508</v>
      </c>
      <c r="D321" s="155" t="str">
        <f t="shared" si="39"/>
        <v>Thu</v>
      </c>
      <c r="E321" s="162">
        <f t="shared" si="40"/>
        <v>2</v>
      </c>
      <c r="F321" s="162">
        <f t="shared" si="45"/>
        <v>17</v>
      </c>
      <c r="G321" s="162">
        <f t="shared" si="43"/>
        <v>24</v>
      </c>
      <c r="H321" s="162">
        <f t="shared" si="46"/>
        <v>240</v>
      </c>
      <c r="I321" s="175">
        <f t="shared" si="44"/>
        <v>0.11538461538461539</v>
      </c>
      <c r="J321" s="159" t="str">
        <f t="shared" si="41"/>
        <v>Aug</v>
      </c>
      <c r="K321" s="159">
        <f t="shared" si="42"/>
        <v>2013</v>
      </c>
      <c r="L321" s="160">
        <v>1</v>
      </c>
    </row>
    <row r="322" spans="1:12" ht="14.4">
      <c r="A322" s="128"/>
      <c r="B322" s="154">
        <f t="shared" si="47"/>
        <v>41516</v>
      </c>
      <c r="C322" s="154">
        <f t="shared" si="48"/>
        <v>41522</v>
      </c>
      <c r="D322" s="155" t="str">
        <f t="shared" si="39"/>
        <v>Thu</v>
      </c>
      <c r="E322" s="162">
        <f t="shared" si="40"/>
        <v>1</v>
      </c>
      <c r="F322" s="162">
        <f t="shared" si="45"/>
        <v>18</v>
      </c>
      <c r="G322" s="162">
        <f t="shared" si="43"/>
        <v>25</v>
      </c>
      <c r="H322" s="162">
        <f t="shared" si="46"/>
        <v>160</v>
      </c>
      <c r="I322" s="175">
        <f t="shared" si="44"/>
        <v>7.6923076923076927E-2</v>
      </c>
      <c r="J322" s="159" t="str">
        <f t="shared" si="41"/>
        <v>Sep</v>
      </c>
      <c r="K322" s="159">
        <f t="shared" si="42"/>
        <v>2013</v>
      </c>
      <c r="L322" s="160">
        <v>1</v>
      </c>
    </row>
    <row r="323" spans="1:12" ht="14.4">
      <c r="A323" s="128"/>
      <c r="B323" s="154">
        <f t="shared" si="47"/>
        <v>41530</v>
      </c>
      <c r="C323" s="154">
        <f t="shared" si="48"/>
        <v>41536</v>
      </c>
      <c r="D323" s="155" t="str">
        <f t="shared" si="39"/>
        <v>Thu</v>
      </c>
      <c r="E323" s="162">
        <f t="shared" si="40"/>
        <v>2</v>
      </c>
      <c r="F323" s="162">
        <f t="shared" si="45"/>
        <v>19</v>
      </c>
      <c r="G323" s="162">
        <f t="shared" si="43"/>
        <v>26</v>
      </c>
      <c r="H323" s="162">
        <f t="shared" si="46"/>
        <v>80</v>
      </c>
      <c r="I323" s="175">
        <f t="shared" si="44"/>
        <v>3.8461538461538464E-2</v>
      </c>
      <c r="J323" s="159" t="str">
        <f t="shared" si="41"/>
        <v>Sep</v>
      </c>
      <c r="K323" s="159">
        <f t="shared" si="42"/>
        <v>2013</v>
      </c>
      <c r="L323" s="160">
        <v>1</v>
      </c>
    </row>
    <row r="324" spans="1:12" ht="14.4">
      <c r="A324" s="128"/>
      <c r="B324" s="154">
        <f t="shared" si="47"/>
        <v>41544</v>
      </c>
      <c r="C324" s="154">
        <f t="shared" si="48"/>
        <v>41550</v>
      </c>
      <c r="D324" s="155" t="str">
        <f t="shared" si="39"/>
        <v>Thu</v>
      </c>
      <c r="E324" s="162">
        <f t="shared" si="40"/>
        <v>1</v>
      </c>
      <c r="F324" s="162">
        <f t="shared" si="45"/>
        <v>20</v>
      </c>
      <c r="G324" s="162">
        <f t="shared" si="43"/>
        <v>1</v>
      </c>
      <c r="H324" s="162">
        <f t="shared" si="46"/>
        <v>2080</v>
      </c>
      <c r="I324" s="175">
        <f t="shared" si="44"/>
        <v>1</v>
      </c>
      <c r="J324" s="159" t="str">
        <f t="shared" si="41"/>
        <v>Oct</v>
      </c>
      <c r="K324" s="159">
        <f t="shared" si="42"/>
        <v>2013</v>
      </c>
      <c r="L324" s="160">
        <v>1</v>
      </c>
    </row>
    <row r="325" spans="1:12" ht="14.4">
      <c r="A325" s="128"/>
      <c r="B325" s="154">
        <f t="shared" si="47"/>
        <v>41558</v>
      </c>
      <c r="C325" s="154">
        <f t="shared" si="48"/>
        <v>41564</v>
      </c>
      <c r="D325" s="155" t="str">
        <f t="shared" si="39"/>
        <v>Thu</v>
      </c>
      <c r="E325" s="162">
        <f t="shared" si="40"/>
        <v>2</v>
      </c>
      <c r="F325" s="162">
        <f t="shared" si="45"/>
        <v>21</v>
      </c>
      <c r="G325" s="162">
        <f t="shared" si="43"/>
        <v>2</v>
      </c>
      <c r="H325" s="162">
        <f t="shared" si="46"/>
        <v>2000</v>
      </c>
      <c r="I325" s="175">
        <f t="shared" si="44"/>
        <v>0.96153846153846156</v>
      </c>
      <c r="J325" s="159" t="str">
        <f t="shared" si="41"/>
        <v>Oct</v>
      </c>
      <c r="K325" s="159">
        <f t="shared" si="42"/>
        <v>2013</v>
      </c>
      <c r="L325" s="160">
        <v>1</v>
      </c>
    </row>
    <row r="326" spans="1:12" ht="14.4">
      <c r="A326" s="128"/>
      <c r="B326" s="154">
        <f t="shared" si="47"/>
        <v>41572</v>
      </c>
      <c r="C326" s="154">
        <f t="shared" si="48"/>
        <v>41578</v>
      </c>
      <c r="D326" s="155" t="str">
        <f t="shared" si="39"/>
        <v>Thu</v>
      </c>
      <c r="E326" s="162">
        <f t="shared" si="40"/>
        <v>3</v>
      </c>
      <c r="F326" s="162">
        <f t="shared" si="45"/>
        <v>22</v>
      </c>
      <c r="G326" s="162">
        <f t="shared" si="43"/>
        <v>3</v>
      </c>
      <c r="H326" s="162">
        <f t="shared" si="46"/>
        <v>1920</v>
      </c>
      <c r="I326" s="175">
        <f t="shared" si="44"/>
        <v>0.92307692307692313</v>
      </c>
      <c r="J326" s="159" t="str">
        <f t="shared" si="41"/>
        <v>Oct</v>
      </c>
      <c r="K326" s="159">
        <f t="shared" si="42"/>
        <v>2013</v>
      </c>
      <c r="L326" s="160">
        <v>1</v>
      </c>
    </row>
    <row r="327" spans="1:12" ht="14.4">
      <c r="A327" s="128"/>
      <c r="B327" s="154">
        <f t="shared" si="47"/>
        <v>41586</v>
      </c>
      <c r="C327" s="154">
        <f t="shared" si="48"/>
        <v>41592</v>
      </c>
      <c r="D327" s="155" t="str">
        <f t="shared" si="39"/>
        <v>Thu</v>
      </c>
      <c r="E327" s="162">
        <f t="shared" si="40"/>
        <v>1</v>
      </c>
      <c r="F327" s="162">
        <f t="shared" si="45"/>
        <v>23</v>
      </c>
      <c r="G327" s="162">
        <f t="shared" si="43"/>
        <v>4</v>
      </c>
      <c r="H327" s="162">
        <f t="shared" si="46"/>
        <v>1840</v>
      </c>
      <c r="I327" s="175">
        <f t="shared" si="44"/>
        <v>0.88461538461538458</v>
      </c>
      <c r="J327" s="159" t="str">
        <f t="shared" si="41"/>
        <v>Nov</v>
      </c>
      <c r="K327" s="159">
        <f t="shared" si="42"/>
        <v>2013</v>
      </c>
      <c r="L327" s="160">
        <v>1</v>
      </c>
    </row>
    <row r="328" spans="1:12" ht="14.4">
      <c r="A328" s="128"/>
      <c r="B328" s="154">
        <f t="shared" si="47"/>
        <v>41600</v>
      </c>
      <c r="C328" s="154">
        <f t="shared" si="48"/>
        <v>41606</v>
      </c>
      <c r="D328" s="155" t="str">
        <f t="shared" ref="D328:D391" si="49">TEXT(C328,"ddd")</f>
        <v>Thu</v>
      </c>
      <c r="E328" s="162">
        <f t="shared" ref="E328:E391" si="50">IF(MONTH(C328)=MONTH(C327),E327+1,1)</f>
        <v>2</v>
      </c>
      <c r="F328" s="162">
        <f t="shared" si="45"/>
        <v>24</v>
      </c>
      <c r="G328" s="162">
        <f t="shared" si="43"/>
        <v>5</v>
      </c>
      <c r="H328" s="162">
        <f t="shared" si="46"/>
        <v>1760</v>
      </c>
      <c r="I328" s="175">
        <f t="shared" si="44"/>
        <v>0.84615384615384615</v>
      </c>
      <c r="J328" s="159" t="str">
        <f t="shared" ref="J328:J391" si="51">TEXT(C328,"mmm")</f>
        <v>Nov</v>
      </c>
      <c r="K328" s="159">
        <f t="shared" ref="K328:K391" si="52">YEAR(C328)</f>
        <v>2013</v>
      </c>
      <c r="L328" s="160">
        <v>1</v>
      </c>
    </row>
    <row r="329" spans="1:12" ht="14.4">
      <c r="A329" s="128"/>
      <c r="B329" s="154">
        <f t="shared" si="47"/>
        <v>41614</v>
      </c>
      <c r="C329" s="154">
        <f t="shared" si="48"/>
        <v>41620</v>
      </c>
      <c r="D329" s="155" t="str">
        <f t="shared" si="49"/>
        <v>Thu</v>
      </c>
      <c r="E329" s="162">
        <f t="shared" si="50"/>
        <v>1</v>
      </c>
      <c r="F329" s="162">
        <f t="shared" si="45"/>
        <v>25</v>
      </c>
      <c r="G329" s="162">
        <f t="shared" si="43"/>
        <v>6</v>
      </c>
      <c r="H329" s="162">
        <f t="shared" si="46"/>
        <v>1680</v>
      </c>
      <c r="I329" s="175">
        <f t="shared" si="44"/>
        <v>0.80769230769230771</v>
      </c>
      <c r="J329" s="159" t="str">
        <f t="shared" si="51"/>
        <v>Dec</v>
      </c>
      <c r="K329" s="159">
        <f t="shared" si="52"/>
        <v>2013</v>
      </c>
      <c r="L329" s="160">
        <v>1</v>
      </c>
    </row>
    <row r="330" spans="1:12" ht="14.4">
      <c r="A330" s="128"/>
      <c r="B330" s="154">
        <f t="shared" si="47"/>
        <v>41628</v>
      </c>
      <c r="C330" s="154">
        <f t="shared" si="48"/>
        <v>41634</v>
      </c>
      <c r="D330" s="155" t="str">
        <f t="shared" si="49"/>
        <v>Thu</v>
      </c>
      <c r="E330" s="162">
        <f t="shared" si="50"/>
        <v>2</v>
      </c>
      <c r="F330" s="162">
        <f t="shared" si="45"/>
        <v>26</v>
      </c>
      <c r="G330" s="162">
        <f t="shared" si="43"/>
        <v>7</v>
      </c>
      <c r="H330" s="162">
        <f t="shared" si="46"/>
        <v>1600</v>
      </c>
      <c r="I330" s="175">
        <f t="shared" si="44"/>
        <v>0.76923076923076927</v>
      </c>
      <c r="J330" s="159" t="str">
        <f t="shared" si="51"/>
        <v>Dec</v>
      </c>
      <c r="K330" s="159">
        <f t="shared" si="52"/>
        <v>2013</v>
      </c>
      <c r="L330" s="160">
        <v>1</v>
      </c>
    </row>
    <row r="331" spans="1:12" ht="14.4">
      <c r="A331" s="128"/>
      <c r="B331" s="154">
        <f t="shared" si="47"/>
        <v>41642</v>
      </c>
      <c r="C331" s="154">
        <f t="shared" si="48"/>
        <v>41648</v>
      </c>
      <c r="D331" s="155" t="str">
        <f t="shared" si="49"/>
        <v>Thu</v>
      </c>
      <c r="E331" s="162">
        <f t="shared" si="50"/>
        <v>1</v>
      </c>
      <c r="F331" s="162">
        <f t="shared" si="45"/>
        <v>1</v>
      </c>
      <c r="G331" s="162">
        <f t="shared" ref="G331:G394" si="53">IF(AND(F331&lt;26,MONTH(C331)=10),E331,(G330+1))</f>
        <v>8</v>
      </c>
      <c r="H331" s="162">
        <f t="shared" si="46"/>
        <v>1520</v>
      </c>
      <c r="I331" s="175">
        <f t="shared" si="44"/>
        <v>0.73076923076923073</v>
      </c>
      <c r="J331" s="159" t="str">
        <f t="shared" si="51"/>
        <v>Jan</v>
      </c>
      <c r="K331" s="159">
        <f t="shared" si="52"/>
        <v>2014</v>
      </c>
      <c r="L331" s="160">
        <v>1</v>
      </c>
    </row>
    <row r="332" spans="1:12" ht="14.4">
      <c r="A332" s="128"/>
      <c r="B332" s="154">
        <f t="shared" si="47"/>
        <v>41656</v>
      </c>
      <c r="C332" s="154">
        <f t="shared" si="48"/>
        <v>41662</v>
      </c>
      <c r="D332" s="155" t="str">
        <f t="shared" si="49"/>
        <v>Thu</v>
      </c>
      <c r="E332" s="162">
        <f t="shared" si="50"/>
        <v>2</v>
      </c>
      <c r="F332" s="162">
        <f t="shared" si="45"/>
        <v>2</v>
      </c>
      <c r="G332" s="162">
        <f t="shared" si="53"/>
        <v>9</v>
      </c>
      <c r="H332" s="162">
        <f t="shared" si="46"/>
        <v>1440</v>
      </c>
      <c r="I332" s="175">
        <f t="shared" si="44"/>
        <v>0.69230769230769229</v>
      </c>
      <c r="J332" s="159" t="str">
        <f t="shared" si="51"/>
        <v>Jan</v>
      </c>
      <c r="K332" s="159">
        <f t="shared" si="52"/>
        <v>2014</v>
      </c>
      <c r="L332" s="160">
        <v>1</v>
      </c>
    </row>
    <row r="333" spans="1:12" ht="14.4">
      <c r="A333" s="128"/>
      <c r="B333" s="154">
        <f t="shared" si="47"/>
        <v>41670</v>
      </c>
      <c r="C333" s="154">
        <f t="shared" si="48"/>
        <v>41676</v>
      </c>
      <c r="D333" s="155" t="str">
        <f t="shared" si="49"/>
        <v>Thu</v>
      </c>
      <c r="E333" s="162">
        <f t="shared" si="50"/>
        <v>1</v>
      </c>
      <c r="F333" s="162">
        <f t="shared" si="45"/>
        <v>3</v>
      </c>
      <c r="G333" s="162">
        <f t="shared" si="53"/>
        <v>10</v>
      </c>
      <c r="H333" s="162">
        <f t="shared" si="46"/>
        <v>1360</v>
      </c>
      <c r="I333" s="175">
        <f t="shared" si="44"/>
        <v>0.65384615384615385</v>
      </c>
      <c r="J333" s="159" t="str">
        <f t="shared" si="51"/>
        <v>Feb</v>
      </c>
      <c r="K333" s="159">
        <f t="shared" si="52"/>
        <v>2014</v>
      </c>
      <c r="L333" s="160">
        <v>1</v>
      </c>
    </row>
    <row r="334" spans="1:12" ht="14.4">
      <c r="A334" s="128"/>
      <c r="B334" s="154">
        <f t="shared" si="47"/>
        <v>41684</v>
      </c>
      <c r="C334" s="154">
        <f t="shared" si="48"/>
        <v>41690</v>
      </c>
      <c r="D334" s="155" t="str">
        <f t="shared" si="49"/>
        <v>Thu</v>
      </c>
      <c r="E334" s="162">
        <f t="shared" si="50"/>
        <v>2</v>
      </c>
      <c r="F334" s="162">
        <f t="shared" si="45"/>
        <v>4</v>
      </c>
      <c r="G334" s="162">
        <f t="shared" si="53"/>
        <v>11</v>
      </c>
      <c r="H334" s="162">
        <f t="shared" si="46"/>
        <v>1280</v>
      </c>
      <c r="I334" s="175">
        <f t="shared" si="44"/>
        <v>0.61538461538461542</v>
      </c>
      <c r="J334" s="159" t="str">
        <f t="shared" si="51"/>
        <v>Feb</v>
      </c>
      <c r="K334" s="159">
        <f t="shared" si="52"/>
        <v>2014</v>
      </c>
      <c r="L334" s="160">
        <v>1</v>
      </c>
    </row>
    <row r="335" spans="1:12" ht="14.4">
      <c r="A335" s="128"/>
      <c r="B335" s="154">
        <f t="shared" si="47"/>
        <v>41698</v>
      </c>
      <c r="C335" s="154">
        <f t="shared" si="48"/>
        <v>41704</v>
      </c>
      <c r="D335" s="155" t="str">
        <f t="shared" si="49"/>
        <v>Thu</v>
      </c>
      <c r="E335" s="162">
        <f t="shared" si="50"/>
        <v>1</v>
      </c>
      <c r="F335" s="162">
        <f t="shared" si="45"/>
        <v>5</v>
      </c>
      <c r="G335" s="162">
        <f t="shared" si="53"/>
        <v>12</v>
      </c>
      <c r="H335" s="162">
        <f t="shared" si="46"/>
        <v>1200</v>
      </c>
      <c r="I335" s="175">
        <f t="shared" ref="I335:I398" si="54">H335/2080</f>
        <v>0.57692307692307687</v>
      </c>
      <c r="J335" s="159" t="str">
        <f t="shared" si="51"/>
        <v>Mar</v>
      </c>
      <c r="K335" s="159">
        <f t="shared" si="52"/>
        <v>2014</v>
      </c>
      <c r="L335" s="160">
        <v>1</v>
      </c>
    </row>
    <row r="336" spans="1:12" ht="14.4">
      <c r="A336" s="128"/>
      <c r="B336" s="154">
        <f t="shared" si="47"/>
        <v>41712</v>
      </c>
      <c r="C336" s="154">
        <f t="shared" si="48"/>
        <v>41718</v>
      </c>
      <c r="D336" s="155" t="str">
        <f t="shared" si="49"/>
        <v>Thu</v>
      </c>
      <c r="E336" s="162">
        <f t="shared" si="50"/>
        <v>2</v>
      </c>
      <c r="F336" s="162">
        <f t="shared" si="45"/>
        <v>6</v>
      </c>
      <c r="G336" s="162">
        <f t="shared" si="53"/>
        <v>13</v>
      </c>
      <c r="H336" s="162">
        <f t="shared" si="46"/>
        <v>1120</v>
      </c>
      <c r="I336" s="175">
        <f t="shared" si="54"/>
        <v>0.53846153846153844</v>
      </c>
      <c r="J336" s="159" t="str">
        <f t="shared" si="51"/>
        <v>Mar</v>
      </c>
      <c r="K336" s="159">
        <f t="shared" si="52"/>
        <v>2014</v>
      </c>
      <c r="L336" s="160">
        <v>1</v>
      </c>
    </row>
    <row r="337" spans="1:12" ht="14.4">
      <c r="A337" s="128"/>
      <c r="B337" s="154">
        <f t="shared" si="47"/>
        <v>41726</v>
      </c>
      <c r="C337" s="154">
        <f t="shared" si="48"/>
        <v>41732</v>
      </c>
      <c r="D337" s="155" t="str">
        <f t="shared" si="49"/>
        <v>Thu</v>
      </c>
      <c r="E337" s="162">
        <f t="shared" si="50"/>
        <v>1</v>
      </c>
      <c r="F337" s="162">
        <f t="shared" si="45"/>
        <v>7</v>
      </c>
      <c r="G337" s="162">
        <f t="shared" si="53"/>
        <v>14</v>
      </c>
      <c r="H337" s="162">
        <f t="shared" si="46"/>
        <v>1040</v>
      </c>
      <c r="I337" s="175">
        <f t="shared" si="54"/>
        <v>0.5</v>
      </c>
      <c r="J337" s="159" t="str">
        <f t="shared" si="51"/>
        <v>Apr</v>
      </c>
      <c r="K337" s="159">
        <f t="shared" si="52"/>
        <v>2014</v>
      </c>
      <c r="L337" s="160">
        <v>1</v>
      </c>
    </row>
    <row r="338" spans="1:12" ht="14.4">
      <c r="A338" s="128"/>
      <c r="B338" s="154">
        <f t="shared" si="47"/>
        <v>41740</v>
      </c>
      <c r="C338" s="154">
        <f t="shared" si="48"/>
        <v>41746</v>
      </c>
      <c r="D338" s="155" t="str">
        <f t="shared" si="49"/>
        <v>Thu</v>
      </c>
      <c r="E338" s="162">
        <f t="shared" si="50"/>
        <v>2</v>
      </c>
      <c r="F338" s="162">
        <f t="shared" ref="F338:F401" si="55">IF(YEAR(C338)&gt;YEAR(C337),1,F337+1)</f>
        <v>8</v>
      </c>
      <c r="G338" s="162">
        <f t="shared" si="53"/>
        <v>15</v>
      </c>
      <c r="H338" s="162">
        <f t="shared" si="46"/>
        <v>960</v>
      </c>
      <c r="I338" s="175">
        <f t="shared" si="54"/>
        <v>0.46153846153846156</v>
      </c>
      <c r="J338" s="159" t="str">
        <f t="shared" si="51"/>
        <v>Apr</v>
      </c>
      <c r="K338" s="159">
        <f t="shared" si="52"/>
        <v>2014</v>
      </c>
      <c r="L338" s="160">
        <v>1</v>
      </c>
    </row>
    <row r="339" spans="1:12" ht="14.4">
      <c r="A339" s="128"/>
      <c r="B339" s="154">
        <f t="shared" si="47"/>
        <v>41754</v>
      </c>
      <c r="C339" s="154">
        <f t="shared" si="48"/>
        <v>41760</v>
      </c>
      <c r="D339" s="155" t="str">
        <f t="shared" si="49"/>
        <v>Thu</v>
      </c>
      <c r="E339" s="162">
        <f t="shared" si="50"/>
        <v>1</v>
      </c>
      <c r="F339" s="162">
        <f t="shared" si="55"/>
        <v>9</v>
      </c>
      <c r="G339" s="162">
        <f t="shared" si="53"/>
        <v>16</v>
      </c>
      <c r="H339" s="162">
        <f t="shared" si="46"/>
        <v>880</v>
      </c>
      <c r="I339" s="175">
        <f t="shared" si="54"/>
        <v>0.42307692307692307</v>
      </c>
      <c r="J339" s="159" t="str">
        <f t="shared" si="51"/>
        <v>May</v>
      </c>
      <c r="K339" s="159">
        <f t="shared" si="52"/>
        <v>2014</v>
      </c>
      <c r="L339" s="160">
        <v>1</v>
      </c>
    </row>
    <row r="340" spans="1:12" ht="14.4">
      <c r="A340" s="128"/>
      <c r="B340" s="154">
        <f t="shared" si="47"/>
        <v>41768</v>
      </c>
      <c r="C340" s="154">
        <f t="shared" si="48"/>
        <v>41774</v>
      </c>
      <c r="D340" s="155" t="str">
        <f t="shared" si="49"/>
        <v>Thu</v>
      </c>
      <c r="E340" s="162">
        <f t="shared" si="50"/>
        <v>2</v>
      </c>
      <c r="F340" s="162">
        <f t="shared" si="55"/>
        <v>10</v>
      </c>
      <c r="G340" s="162">
        <f t="shared" si="53"/>
        <v>17</v>
      </c>
      <c r="H340" s="162">
        <f t="shared" si="46"/>
        <v>800</v>
      </c>
      <c r="I340" s="175">
        <f t="shared" si="54"/>
        <v>0.38461538461538464</v>
      </c>
      <c r="J340" s="159" t="str">
        <f t="shared" si="51"/>
        <v>May</v>
      </c>
      <c r="K340" s="159">
        <f t="shared" si="52"/>
        <v>2014</v>
      </c>
      <c r="L340" s="160">
        <v>1</v>
      </c>
    </row>
    <row r="341" spans="1:12" ht="14.4">
      <c r="A341" s="128"/>
      <c r="B341" s="154">
        <f t="shared" si="47"/>
        <v>41782</v>
      </c>
      <c r="C341" s="154">
        <f t="shared" si="48"/>
        <v>41788</v>
      </c>
      <c r="D341" s="155" t="str">
        <f t="shared" si="49"/>
        <v>Thu</v>
      </c>
      <c r="E341" s="162">
        <f t="shared" si="50"/>
        <v>3</v>
      </c>
      <c r="F341" s="162">
        <f t="shared" si="55"/>
        <v>11</v>
      </c>
      <c r="G341" s="162">
        <f t="shared" si="53"/>
        <v>18</v>
      </c>
      <c r="H341" s="162">
        <f t="shared" si="46"/>
        <v>720</v>
      </c>
      <c r="I341" s="175">
        <f t="shared" si="54"/>
        <v>0.34615384615384615</v>
      </c>
      <c r="J341" s="159" t="str">
        <f t="shared" si="51"/>
        <v>May</v>
      </c>
      <c r="K341" s="159">
        <f t="shared" si="52"/>
        <v>2014</v>
      </c>
      <c r="L341" s="160">
        <v>1</v>
      </c>
    </row>
    <row r="342" spans="1:12" ht="14.4">
      <c r="A342" s="128"/>
      <c r="B342" s="154">
        <f t="shared" si="47"/>
        <v>41796</v>
      </c>
      <c r="C342" s="154">
        <f t="shared" si="48"/>
        <v>41802</v>
      </c>
      <c r="D342" s="155" t="str">
        <f t="shared" si="49"/>
        <v>Thu</v>
      </c>
      <c r="E342" s="162">
        <f t="shared" si="50"/>
        <v>1</v>
      </c>
      <c r="F342" s="162">
        <f t="shared" si="55"/>
        <v>12</v>
      </c>
      <c r="G342" s="162">
        <f t="shared" si="53"/>
        <v>19</v>
      </c>
      <c r="H342" s="162">
        <f t="shared" si="46"/>
        <v>640</v>
      </c>
      <c r="I342" s="175">
        <f t="shared" si="54"/>
        <v>0.30769230769230771</v>
      </c>
      <c r="J342" s="159" t="str">
        <f t="shared" si="51"/>
        <v>Jun</v>
      </c>
      <c r="K342" s="159">
        <f t="shared" si="52"/>
        <v>2014</v>
      </c>
      <c r="L342" s="160">
        <v>1</v>
      </c>
    </row>
    <row r="343" spans="1:12" ht="14.4">
      <c r="A343" s="128"/>
      <c r="B343" s="154">
        <f t="shared" si="47"/>
        <v>41810</v>
      </c>
      <c r="C343" s="154">
        <f t="shared" si="48"/>
        <v>41816</v>
      </c>
      <c r="D343" s="155" t="str">
        <f t="shared" si="49"/>
        <v>Thu</v>
      </c>
      <c r="E343" s="162">
        <f t="shared" si="50"/>
        <v>2</v>
      </c>
      <c r="F343" s="162">
        <f t="shared" si="55"/>
        <v>13</v>
      </c>
      <c r="G343" s="162">
        <f t="shared" si="53"/>
        <v>20</v>
      </c>
      <c r="H343" s="162">
        <f t="shared" si="46"/>
        <v>560</v>
      </c>
      <c r="I343" s="175">
        <f t="shared" si="54"/>
        <v>0.26923076923076922</v>
      </c>
      <c r="J343" s="159" t="str">
        <f t="shared" si="51"/>
        <v>Jun</v>
      </c>
      <c r="K343" s="159">
        <f t="shared" si="52"/>
        <v>2014</v>
      </c>
      <c r="L343" s="160">
        <v>1</v>
      </c>
    </row>
    <row r="344" spans="1:12" ht="14.4">
      <c r="A344" s="128"/>
      <c r="B344" s="154">
        <f t="shared" si="47"/>
        <v>41824</v>
      </c>
      <c r="C344" s="154">
        <f t="shared" si="48"/>
        <v>41830</v>
      </c>
      <c r="D344" s="155" t="str">
        <f t="shared" si="49"/>
        <v>Thu</v>
      </c>
      <c r="E344" s="162">
        <f t="shared" si="50"/>
        <v>1</v>
      </c>
      <c r="F344" s="162">
        <f t="shared" si="55"/>
        <v>14</v>
      </c>
      <c r="G344" s="162">
        <f t="shared" si="53"/>
        <v>21</v>
      </c>
      <c r="H344" s="162">
        <f t="shared" si="46"/>
        <v>480</v>
      </c>
      <c r="I344" s="175">
        <f t="shared" si="54"/>
        <v>0.23076923076923078</v>
      </c>
      <c r="J344" s="159" t="str">
        <f t="shared" si="51"/>
        <v>Jul</v>
      </c>
      <c r="K344" s="159">
        <f t="shared" si="52"/>
        <v>2014</v>
      </c>
      <c r="L344" s="160">
        <v>1</v>
      </c>
    </row>
    <row r="345" spans="1:12" ht="14.4">
      <c r="A345" s="128"/>
      <c r="B345" s="154">
        <f t="shared" si="47"/>
        <v>41838</v>
      </c>
      <c r="C345" s="154">
        <f t="shared" si="48"/>
        <v>41844</v>
      </c>
      <c r="D345" s="155" t="str">
        <f t="shared" si="49"/>
        <v>Thu</v>
      </c>
      <c r="E345" s="162">
        <f t="shared" si="50"/>
        <v>2</v>
      </c>
      <c r="F345" s="162">
        <f t="shared" si="55"/>
        <v>15</v>
      </c>
      <c r="G345" s="162">
        <f t="shared" si="53"/>
        <v>22</v>
      </c>
      <c r="H345" s="162">
        <f t="shared" si="46"/>
        <v>400</v>
      </c>
      <c r="I345" s="175">
        <f t="shared" si="54"/>
        <v>0.19230769230769232</v>
      </c>
      <c r="J345" s="159" t="str">
        <f t="shared" si="51"/>
        <v>Jul</v>
      </c>
      <c r="K345" s="159">
        <f t="shared" si="52"/>
        <v>2014</v>
      </c>
      <c r="L345" s="160">
        <v>1</v>
      </c>
    </row>
    <row r="346" spans="1:12" ht="14.4">
      <c r="A346" s="128"/>
      <c r="B346" s="154">
        <f t="shared" si="47"/>
        <v>41852</v>
      </c>
      <c r="C346" s="154">
        <f t="shared" si="48"/>
        <v>41858</v>
      </c>
      <c r="D346" s="155" t="str">
        <f t="shared" si="49"/>
        <v>Thu</v>
      </c>
      <c r="E346" s="162">
        <f t="shared" si="50"/>
        <v>1</v>
      </c>
      <c r="F346" s="162">
        <f t="shared" si="55"/>
        <v>16</v>
      </c>
      <c r="G346" s="162">
        <f t="shared" si="53"/>
        <v>23</v>
      </c>
      <c r="H346" s="162">
        <f t="shared" si="46"/>
        <v>320</v>
      </c>
      <c r="I346" s="175">
        <f t="shared" si="54"/>
        <v>0.15384615384615385</v>
      </c>
      <c r="J346" s="159" t="str">
        <f t="shared" si="51"/>
        <v>Aug</v>
      </c>
      <c r="K346" s="159">
        <f t="shared" si="52"/>
        <v>2014</v>
      </c>
      <c r="L346" s="160">
        <v>1</v>
      </c>
    </row>
    <row r="347" spans="1:12" ht="14.4">
      <c r="A347" s="128"/>
      <c r="B347" s="154">
        <f t="shared" si="47"/>
        <v>41866</v>
      </c>
      <c r="C347" s="154">
        <f t="shared" si="48"/>
        <v>41872</v>
      </c>
      <c r="D347" s="155" t="str">
        <f t="shared" si="49"/>
        <v>Thu</v>
      </c>
      <c r="E347" s="162">
        <f t="shared" si="50"/>
        <v>2</v>
      </c>
      <c r="F347" s="162">
        <f t="shared" si="55"/>
        <v>17</v>
      </c>
      <c r="G347" s="162">
        <f t="shared" si="53"/>
        <v>24</v>
      </c>
      <c r="H347" s="162">
        <f t="shared" si="46"/>
        <v>240</v>
      </c>
      <c r="I347" s="175">
        <f t="shared" si="54"/>
        <v>0.11538461538461539</v>
      </c>
      <c r="J347" s="159" t="str">
        <f t="shared" si="51"/>
        <v>Aug</v>
      </c>
      <c r="K347" s="159">
        <f t="shared" si="52"/>
        <v>2014</v>
      </c>
      <c r="L347" s="160">
        <v>1</v>
      </c>
    </row>
    <row r="348" spans="1:12" ht="14.4">
      <c r="A348" s="128"/>
      <c r="B348" s="154">
        <f t="shared" si="47"/>
        <v>41880</v>
      </c>
      <c r="C348" s="154">
        <f t="shared" si="48"/>
        <v>41886</v>
      </c>
      <c r="D348" s="155" t="str">
        <f t="shared" si="49"/>
        <v>Thu</v>
      </c>
      <c r="E348" s="162">
        <f t="shared" si="50"/>
        <v>1</v>
      </c>
      <c r="F348" s="162">
        <f t="shared" si="55"/>
        <v>18</v>
      </c>
      <c r="G348" s="162">
        <f t="shared" si="53"/>
        <v>25</v>
      </c>
      <c r="H348" s="162">
        <f t="shared" si="46"/>
        <v>160</v>
      </c>
      <c r="I348" s="175">
        <f t="shared" si="54"/>
        <v>7.6923076923076927E-2</v>
      </c>
      <c r="J348" s="159" t="str">
        <f t="shared" si="51"/>
        <v>Sep</v>
      </c>
      <c r="K348" s="159">
        <f t="shared" si="52"/>
        <v>2014</v>
      </c>
      <c r="L348" s="160">
        <v>1</v>
      </c>
    </row>
    <row r="349" spans="1:12" ht="14.4">
      <c r="A349" s="128"/>
      <c r="B349" s="154">
        <f t="shared" si="47"/>
        <v>41894</v>
      </c>
      <c r="C349" s="154">
        <f t="shared" si="48"/>
        <v>41900</v>
      </c>
      <c r="D349" s="155" t="str">
        <f t="shared" si="49"/>
        <v>Thu</v>
      </c>
      <c r="E349" s="162">
        <f t="shared" si="50"/>
        <v>2</v>
      </c>
      <c r="F349" s="162">
        <f t="shared" si="55"/>
        <v>19</v>
      </c>
      <c r="G349" s="162">
        <f t="shared" si="53"/>
        <v>26</v>
      </c>
      <c r="H349" s="162">
        <f t="shared" si="46"/>
        <v>80</v>
      </c>
      <c r="I349" s="175">
        <f t="shared" si="54"/>
        <v>3.8461538461538464E-2</v>
      </c>
      <c r="J349" s="159" t="str">
        <f t="shared" si="51"/>
        <v>Sep</v>
      </c>
      <c r="K349" s="159">
        <f t="shared" si="52"/>
        <v>2014</v>
      </c>
      <c r="L349" s="160">
        <v>1</v>
      </c>
    </row>
    <row r="350" spans="1:12" ht="14.4">
      <c r="A350" s="128"/>
      <c r="B350" s="154">
        <f t="shared" si="47"/>
        <v>41908</v>
      </c>
      <c r="C350" s="154">
        <f t="shared" si="48"/>
        <v>41914</v>
      </c>
      <c r="D350" s="155" t="str">
        <f t="shared" si="49"/>
        <v>Thu</v>
      </c>
      <c r="E350" s="162">
        <f t="shared" si="50"/>
        <v>1</v>
      </c>
      <c r="F350" s="162">
        <f t="shared" si="55"/>
        <v>20</v>
      </c>
      <c r="G350" s="162">
        <f t="shared" si="53"/>
        <v>1</v>
      </c>
      <c r="H350" s="162">
        <f t="shared" si="46"/>
        <v>2080</v>
      </c>
      <c r="I350" s="175">
        <f t="shared" si="54"/>
        <v>1</v>
      </c>
      <c r="J350" s="159" t="str">
        <f t="shared" si="51"/>
        <v>Oct</v>
      </c>
      <c r="K350" s="159">
        <f t="shared" si="52"/>
        <v>2014</v>
      </c>
      <c r="L350" s="160">
        <v>1</v>
      </c>
    </row>
    <row r="351" spans="1:12" ht="14.4">
      <c r="A351" s="128"/>
      <c r="B351" s="154">
        <f t="shared" si="47"/>
        <v>41922</v>
      </c>
      <c r="C351" s="154">
        <f t="shared" si="48"/>
        <v>41928</v>
      </c>
      <c r="D351" s="155" t="str">
        <f t="shared" si="49"/>
        <v>Thu</v>
      </c>
      <c r="E351" s="162">
        <f t="shared" si="50"/>
        <v>2</v>
      </c>
      <c r="F351" s="162">
        <f t="shared" si="55"/>
        <v>21</v>
      </c>
      <c r="G351" s="162">
        <f t="shared" si="53"/>
        <v>2</v>
      </c>
      <c r="H351" s="162">
        <f t="shared" si="46"/>
        <v>2000</v>
      </c>
      <c r="I351" s="175">
        <f t="shared" si="54"/>
        <v>0.96153846153846156</v>
      </c>
      <c r="J351" s="159" t="str">
        <f t="shared" si="51"/>
        <v>Oct</v>
      </c>
      <c r="K351" s="159">
        <f t="shared" si="52"/>
        <v>2014</v>
      </c>
      <c r="L351" s="160">
        <v>1</v>
      </c>
    </row>
    <row r="352" spans="1:12" ht="14.4">
      <c r="A352" s="128"/>
      <c r="B352" s="154">
        <f t="shared" si="47"/>
        <v>41936</v>
      </c>
      <c r="C352" s="154">
        <f t="shared" si="48"/>
        <v>41942</v>
      </c>
      <c r="D352" s="155" t="str">
        <f t="shared" si="49"/>
        <v>Thu</v>
      </c>
      <c r="E352" s="162">
        <f t="shared" si="50"/>
        <v>3</v>
      </c>
      <c r="F352" s="162">
        <f t="shared" si="55"/>
        <v>22</v>
      </c>
      <c r="G352" s="162">
        <f t="shared" si="53"/>
        <v>3</v>
      </c>
      <c r="H352" s="162">
        <f t="shared" si="46"/>
        <v>1920</v>
      </c>
      <c r="I352" s="175">
        <f t="shared" si="54"/>
        <v>0.92307692307692313</v>
      </c>
      <c r="J352" s="159" t="str">
        <f t="shared" si="51"/>
        <v>Oct</v>
      </c>
      <c r="K352" s="159">
        <f t="shared" si="52"/>
        <v>2014</v>
      </c>
      <c r="L352" s="160">
        <v>1</v>
      </c>
    </row>
    <row r="353" spans="1:12" ht="14.4">
      <c r="A353" s="128"/>
      <c r="B353" s="154">
        <f t="shared" si="47"/>
        <v>41950</v>
      </c>
      <c r="C353" s="154">
        <f t="shared" si="48"/>
        <v>41956</v>
      </c>
      <c r="D353" s="155" t="str">
        <f t="shared" si="49"/>
        <v>Thu</v>
      </c>
      <c r="E353" s="162">
        <f t="shared" si="50"/>
        <v>1</v>
      </c>
      <c r="F353" s="162">
        <f t="shared" si="55"/>
        <v>23</v>
      </c>
      <c r="G353" s="162">
        <f t="shared" si="53"/>
        <v>4</v>
      </c>
      <c r="H353" s="162">
        <f t="shared" si="46"/>
        <v>1840</v>
      </c>
      <c r="I353" s="175">
        <f t="shared" si="54"/>
        <v>0.88461538461538458</v>
      </c>
      <c r="J353" s="159" t="str">
        <f t="shared" si="51"/>
        <v>Nov</v>
      </c>
      <c r="K353" s="159">
        <f t="shared" si="52"/>
        <v>2014</v>
      </c>
      <c r="L353" s="160">
        <v>1</v>
      </c>
    </row>
    <row r="354" spans="1:12" ht="14.4">
      <c r="A354" s="128"/>
      <c r="B354" s="154">
        <f t="shared" si="47"/>
        <v>41964</v>
      </c>
      <c r="C354" s="154">
        <f t="shared" si="48"/>
        <v>41970</v>
      </c>
      <c r="D354" s="155" t="str">
        <f t="shared" si="49"/>
        <v>Thu</v>
      </c>
      <c r="E354" s="162">
        <f t="shared" si="50"/>
        <v>2</v>
      </c>
      <c r="F354" s="162">
        <f t="shared" si="55"/>
        <v>24</v>
      </c>
      <c r="G354" s="162">
        <f t="shared" si="53"/>
        <v>5</v>
      </c>
      <c r="H354" s="162">
        <f t="shared" si="46"/>
        <v>1760</v>
      </c>
      <c r="I354" s="175">
        <f t="shared" si="54"/>
        <v>0.84615384615384615</v>
      </c>
      <c r="J354" s="159" t="str">
        <f t="shared" si="51"/>
        <v>Nov</v>
      </c>
      <c r="K354" s="159">
        <f t="shared" si="52"/>
        <v>2014</v>
      </c>
      <c r="L354" s="160">
        <v>1</v>
      </c>
    </row>
    <row r="355" spans="1:12" ht="14.4">
      <c r="A355" s="128"/>
      <c r="B355" s="154">
        <f t="shared" si="47"/>
        <v>41978</v>
      </c>
      <c r="C355" s="154">
        <f t="shared" si="48"/>
        <v>41984</v>
      </c>
      <c r="D355" s="155" t="str">
        <f t="shared" si="49"/>
        <v>Thu</v>
      </c>
      <c r="E355" s="162">
        <f t="shared" si="50"/>
        <v>1</v>
      </c>
      <c r="F355" s="162">
        <f t="shared" si="55"/>
        <v>25</v>
      </c>
      <c r="G355" s="162">
        <f t="shared" si="53"/>
        <v>6</v>
      </c>
      <c r="H355" s="162">
        <f t="shared" si="46"/>
        <v>1680</v>
      </c>
      <c r="I355" s="175">
        <f t="shared" si="54"/>
        <v>0.80769230769230771</v>
      </c>
      <c r="J355" s="159" t="str">
        <f t="shared" si="51"/>
        <v>Dec</v>
      </c>
      <c r="K355" s="159">
        <f t="shared" si="52"/>
        <v>2014</v>
      </c>
      <c r="L355" s="160">
        <v>1</v>
      </c>
    </row>
    <row r="356" spans="1:12" ht="14.4">
      <c r="A356" s="128"/>
      <c r="B356" s="154">
        <f t="shared" si="47"/>
        <v>41992</v>
      </c>
      <c r="C356" s="154">
        <f t="shared" si="48"/>
        <v>41998</v>
      </c>
      <c r="D356" s="155" t="str">
        <f t="shared" si="49"/>
        <v>Thu</v>
      </c>
      <c r="E356" s="162">
        <f t="shared" si="50"/>
        <v>2</v>
      </c>
      <c r="F356" s="162">
        <f t="shared" si="55"/>
        <v>26</v>
      </c>
      <c r="G356" s="162">
        <f t="shared" si="53"/>
        <v>7</v>
      </c>
      <c r="H356" s="162">
        <f t="shared" si="46"/>
        <v>1600</v>
      </c>
      <c r="I356" s="175">
        <f t="shared" si="54"/>
        <v>0.76923076923076927</v>
      </c>
      <c r="J356" s="159" t="str">
        <f t="shared" si="51"/>
        <v>Dec</v>
      </c>
      <c r="K356" s="159">
        <f t="shared" si="52"/>
        <v>2014</v>
      </c>
      <c r="L356" s="160">
        <v>1</v>
      </c>
    </row>
    <row r="357" spans="1:12" ht="14.4">
      <c r="A357" s="128"/>
      <c r="B357" s="176">
        <f t="shared" si="47"/>
        <v>42006</v>
      </c>
      <c r="C357" s="177">
        <f t="shared" si="48"/>
        <v>42012</v>
      </c>
      <c r="D357" s="178" t="str">
        <f t="shared" si="49"/>
        <v>Thu</v>
      </c>
      <c r="E357" s="179">
        <f t="shared" si="50"/>
        <v>1</v>
      </c>
      <c r="F357" s="179">
        <f t="shared" si="55"/>
        <v>1</v>
      </c>
      <c r="G357" s="179">
        <f t="shared" si="53"/>
        <v>8</v>
      </c>
      <c r="H357" s="179">
        <f t="shared" si="46"/>
        <v>1520</v>
      </c>
      <c r="I357" s="180">
        <f t="shared" si="54"/>
        <v>0.73076923076923073</v>
      </c>
      <c r="J357" s="181" t="str">
        <f t="shared" si="51"/>
        <v>Jan</v>
      </c>
      <c r="K357" s="182">
        <f t="shared" si="52"/>
        <v>2015</v>
      </c>
      <c r="L357" s="160">
        <v>1</v>
      </c>
    </row>
    <row r="358" spans="1:12" ht="14.4">
      <c r="A358" s="128"/>
      <c r="B358" s="183">
        <f t="shared" si="47"/>
        <v>42020</v>
      </c>
      <c r="C358" s="154">
        <f t="shared" si="48"/>
        <v>42026</v>
      </c>
      <c r="D358" s="155" t="str">
        <f t="shared" si="49"/>
        <v>Thu</v>
      </c>
      <c r="E358" s="162">
        <f t="shared" si="50"/>
        <v>2</v>
      </c>
      <c r="F358" s="162">
        <f t="shared" si="55"/>
        <v>2</v>
      </c>
      <c r="G358" s="162">
        <f t="shared" si="53"/>
        <v>9</v>
      </c>
      <c r="H358" s="162">
        <f t="shared" si="46"/>
        <v>1440</v>
      </c>
      <c r="I358" s="175">
        <f t="shared" si="54"/>
        <v>0.69230769230769229</v>
      </c>
      <c r="J358" s="159" t="str">
        <f t="shared" si="51"/>
        <v>Jan</v>
      </c>
      <c r="K358" s="184">
        <f t="shared" si="52"/>
        <v>2015</v>
      </c>
      <c r="L358" s="160">
        <v>1</v>
      </c>
    </row>
    <row r="359" spans="1:12" ht="14.4">
      <c r="A359" s="128"/>
      <c r="B359" s="183">
        <f t="shared" si="47"/>
        <v>42034</v>
      </c>
      <c r="C359" s="154">
        <f t="shared" si="48"/>
        <v>42040</v>
      </c>
      <c r="D359" s="155" t="str">
        <f t="shared" si="49"/>
        <v>Thu</v>
      </c>
      <c r="E359" s="162">
        <f t="shared" si="50"/>
        <v>1</v>
      </c>
      <c r="F359" s="162">
        <f t="shared" si="55"/>
        <v>3</v>
      </c>
      <c r="G359" s="162">
        <f t="shared" si="53"/>
        <v>10</v>
      </c>
      <c r="H359" s="162">
        <f t="shared" si="46"/>
        <v>1360</v>
      </c>
      <c r="I359" s="175">
        <f t="shared" si="54"/>
        <v>0.65384615384615385</v>
      </c>
      <c r="J359" s="159" t="str">
        <f t="shared" si="51"/>
        <v>Feb</v>
      </c>
      <c r="K359" s="184">
        <f t="shared" si="52"/>
        <v>2015</v>
      </c>
      <c r="L359" s="160">
        <v>1</v>
      </c>
    </row>
    <row r="360" spans="1:12" ht="14.4">
      <c r="A360" s="128"/>
      <c r="B360" s="183">
        <f t="shared" si="47"/>
        <v>42048</v>
      </c>
      <c r="C360" s="154">
        <f t="shared" si="48"/>
        <v>42054</v>
      </c>
      <c r="D360" s="155" t="str">
        <f t="shared" si="49"/>
        <v>Thu</v>
      </c>
      <c r="E360" s="162">
        <f t="shared" si="50"/>
        <v>2</v>
      </c>
      <c r="F360" s="162">
        <f t="shared" si="55"/>
        <v>4</v>
      </c>
      <c r="G360" s="162">
        <f t="shared" si="53"/>
        <v>11</v>
      </c>
      <c r="H360" s="162">
        <f t="shared" si="46"/>
        <v>1280</v>
      </c>
      <c r="I360" s="175">
        <f t="shared" si="54"/>
        <v>0.61538461538461542</v>
      </c>
      <c r="J360" s="159" t="str">
        <f t="shared" si="51"/>
        <v>Feb</v>
      </c>
      <c r="K360" s="184">
        <f t="shared" si="52"/>
        <v>2015</v>
      </c>
      <c r="L360" s="160">
        <v>1</v>
      </c>
    </row>
    <row r="361" spans="1:12" ht="14.4">
      <c r="A361" s="128"/>
      <c r="B361" s="183">
        <f t="shared" si="47"/>
        <v>42062</v>
      </c>
      <c r="C361" s="154">
        <f t="shared" si="48"/>
        <v>42068</v>
      </c>
      <c r="D361" s="155" t="str">
        <f t="shared" si="49"/>
        <v>Thu</v>
      </c>
      <c r="E361" s="162">
        <f t="shared" si="50"/>
        <v>1</v>
      </c>
      <c r="F361" s="162">
        <f t="shared" si="55"/>
        <v>5</v>
      </c>
      <c r="G361" s="162">
        <f t="shared" si="53"/>
        <v>12</v>
      </c>
      <c r="H361" s="162">
        <f t="shared" ref="H361:H424" si="56">IF(2080-(G360*80)&gt;0,2080-(G360*80),2080)</f>
        <v>1200</v>
      </c>
      <c r="I361" s="175">
        <f t="shared" si="54"/>
        <v>0.57692307692307687</v>
      </c>
      <c r="J361" s="159" t="str">
        <f t="shared" si="51"/>
        <v>Mar</v>
      </c>
      <c r="K361" s="184">
        <f t="shared" si="52"/>
        <v>2015</v>
      </c>
      <c r="L361" s="160">
        <v>1</v>
      </c>
    </row>
    <row r="362" spans="1:12" ht="14.4">
      <c r="A362" s="128"/>
      <c r="B362" s="183">
        <f t="shared" si="47"/>
        <v>42076</v>
      </c>
      <c r="C362" s="154">
        <f t="shared" si="48"/>
        <v>42082</v>
      </c>
      <c r="D362" s="155" t="str">
        <f t="shared" si="49"/>
        <v>Thu</v>
      </c>
      <c r="E362" s="162">
        <f t="shared" si="50"/>
        <v>2</v>
      </c>
      <c r="F362" s="162">
        <f t="shared" si="55"/>
        <v>6</v>
      </c>
      <c r="G362" s="162">
        <f t="shared" si="53"/>
        <v>13</v>
      </c>
      <c r="H362" s="162">
        <f t="shared" si="56"/>
        <v>1120</v>
      </c>
      <c r="I362" s="175">
        <f t="shared" si="54"/>
        <v>0.53846153846153844</v>
      </c>
      <c r="J362" s="159" t="str">
        <f t="shared" si="51"/>
        <v>Mar</v>
      </c>
      <c r="K362" s="184">
        <f t="shared" si="52"/>
        <v>2015</v>
      </c>
      <c r="L362" s="160">
        <v>1</v>
      </c>
    </row>
    <row r="363" spans="1:12" ht="15" thickBot="1">
      <c r="A363" s="128"/>
      <c r="B363" s="185">
        <f t="shared" si="47"/>
        <v>42090</v>
      </c>
      <c r="C363" s="186">
        <f t="shared" si="48"/>
        <v>42096</v>
      </c>
      <c r="D363" s="187" t="str">
        <f t="shared" si="49"/>
        <v>Thu</v>
      </c>
      <c r="E363" s="188">
        <f t="shared" si="50"/>
        <v>1</v>
      </c>
      <c r="F363" s="188">
        <f t="shared" si="55"/>
        <v>7</v>
      </c>
      <c r="G363" s="188">
        <f t="shared" si="53"/>
        <v>14</v>
      </c>
      <c r="H363" s="188">
        <f t="shared" si="56"/>
        <v>1040</v>
      </c>
      <c r="I363" s="189">
        <f t="shared" si="54"/>
        <v>0.5</v>
      </c>
      <c r="J363" s="190" t="str">
        <f t="shared" si="51"/>
        <v>Apr</v>
      </c>
      <c r="K363" s="191">
        <f t="shared" si="52"/>
        <v>2015</v>
      </c>
      <c r="L363" s="160">
        <v>1</v>
      </c>
    </row>
    <row r="364" spans="1:12" ht="15" thickTop="1">
      <c r="A364" s="128"/>
      <c r="B364" s="183">
        <f t="shared" ref="B364:B427" si="57">B363+14</f>
        <v>42104</v>
      </c>
      <c r="C364" s="154">
        <f t="shared" ref="C364:C427" si="58">B364+6</f>
        <v>42110</v>
      </c>
      <c r="D364" s="155" t="str">
        <f t="shared" si="49"/>
        <v>Thu</v>
      </c>
      <c r="E364" s="162">
        <f t="shared" si="50"/>
        <v>2</v>
      </c>
      <c r="F364" s="162">
        <f t="shared" si="55"/>
        <v>8</v>
      </c>
      <c r="G364" s="162">
        <f t="shared" si="53"/>
        <v>15</v>
      </c>
      <c r="H364" s="162">
        <f t="shared" si="56"/>
        <v>960</v>
      </c>
      <c r="I364" s="175">
        <f t="shared" si="54"/>
        <v>0.46153846153846156</v>
      </c>
      <c r="J364" s="159" t="str">
        <f t="shared" si="51"/>
        <v>Apr</v>
      </c>
      <c r="K364" s="184">
        <f t="shared" si="52"/>
        <v>2015</v>
      </c>
      <c r="L364" s="160">
        <v>1</v>
      </c>
    </row>
    <row r="365" spans="1:12" ht="14.4">
      <c r="A365" s="128"/>
      <c r="B365" s="183">
        <f t="shared" si="57"/>
        <v>42118</v>
      </c>
      <c r="C365" s="154">
        <f t="shared" si="58"/>
        <v>42124</v>
      </c>
      <c r="D365" s="155" t="str">
        <f t="shared" si="49"/>
        <v>Thu</v>
      </c>
      <c r="E365" s="162">
        <f t="shared" si="50"/>
        <v>3</v>
      </c>
      <c r="F365" s="162">
        <f t="shared" si="55"/>
        <v>9</v>
      </c>
      <c r="G365" s="162">
        <f t="shared" si="53"/>
        <v>16</v>
      </c>
      <c r="H365" s="162">
        <f t="shared" si="56"/>
        <v>880</v>
      </c>
      <c r="I365" s="175">
        <f t="shared" si="54"/>
        <v>0.42307692307692307</v>
      </c>
      <c r="J365" s="159" t="str">
        <f t="shared" si="51"/>
        <v>Apr</v>
      </c>
      <c r="K365" s="184">
        <f t="shared" si="52"/>
        <v>2015</v>
      </c>
      <c r="L365" s="160">
        <v>1</v>
      </c>
    </row>
    <row r="366" spans="1:12" ht="14.4">
      <c r="A366" s="128"/>
      <c r="B366" s="183">
        <f t="shared" si="57"/>
        <v>42132</v>
      </c>
      <c r="C366" s="154">
        <f t="shared" si="58"/>
        <v>42138</v>
      </c>
      <c r="D366" s="155" t="str">
        <f t="shared" si="49"/>
        <v>Thu</v>
      </c>
      <c r="E366" s="162">
        <f t="shared" si="50"/>
        <v>1</v>
      </c>
      <c r="F366" s="162">
        <f t="shared" si="55"/>
        <v>10</v>
      </c>
      <c r="G366" s="162">
        <f t="shared" si="53"/>
        <v>17</v>
      </c>
      <c r="H366" s="162">
        <f t="shared" si="56"/>
        <v>800</v>
      </c>
      <c r="I366" s="175">
        <f t="shared" si="54"/>
        <v>0.38461538461538464</v>
      </c>
      <c r="J366" s="159" t="str">
        <f t="shared" si="51"/>
        <v>May</v>
      </c>
      <c r="K366" s="184">
        <f t="shared" si="52"/>
        <v>2015</v>
      </c>
      <c r="L366" s="160">
        <v>1</v>
      </c>
    </row>
    <row r="367" spans="1:12" ht="14.4">
      <c r="A367" s="128"/>
      <c r="B367" s="183">
        <f t="shared" si="57"/>
        <v>42146</v>
      </c>
      <c r="C367" s="154">
        <f t="shared" si="58"/>
        <v>42152</v>
      </c>
      <c r="D367" s="155" t="str">
        <f t="shared" si="49"/>
        <v>Thu</v>
      </c>
      <c r="E367" s="162">
        <f t="shared" si="50"/>
        <v>2</v>
      </c>
      <c r="F367" s="162">
        <f t="shared" si="55"/>
        <v>11</v>
      </c>
      <c r="G367" s="162">
        <f t="shared" si="53"/>
        <v>18</v>
      </c>
      <c r="H367" s="162">
        <f t="shared" si="56"/>
        <v>720</v>
      </c>
      <c r="I367" s="175">
        <f t="shared" si="54"/>
        <v>0.34615384615384615</v>
      </c>
      <c r="J367" s="159" t="str">
        <f t="shared" si="51"/>
        <v>May</v>
      </c>
      <c r="K367" s="184">
        <f t="shared" si="52"/>
        <v>2015</v>
      </c>
      <c r="L367" s="160">
        <v>1</v>
      </c>
    </row>
    <row r="368" spans="1:12" ht="14.4">
      <c r="A368" s="128"/>
      <c r="B368" s="183">
        <f t="shared" si="57"/>
        <v>42160</v>
      </c>
      <c r="C368" s="154">
        <f t="shared" si="58"/>
        <v>42166</v>
      </c>
      <c r="D368" s="155" t="str">
        <f t="shared" si="49"/>
        <v>Thu</v>
      </c>
      <c r="E368" s="162">
        <f t="shared" si="50"/>
        <v>1</v>
      </c>
      <c r="F368" s="162">
        <f t="shared" si="55"/>
        <v>12</v>
      </c>
      <c r="G368" s="162">
        <f t="shared" si="53"/>
        <v>19</v>
      </c>
      <c r="H368" s="162">
        <f t="shared" si="56"/>
        <v>640</v>
      </c>
      <c r="I368" s="175">
        <f t="shared" si="54"/>
        <v>0.30769230769230771</v>
      </c>
      <c r="J368" s="159" t="str">
        <f t="shared" si="51"/>
        <v>Jun</v>
      </c>
      <c r="K368" s="184">
        <f t="shared" si="52"/>
        <v>2015</v>
      </c>
      <c r="L368" s="160">
        <v>1</v>
      </c>
    </row>
    <row r="369" spans="1:12" ht="14.4">
      <c r="A369" s="128"/>
      <c r="B369" s="183">
        <f t="shared" si="57"/>
        <v>42174</v>
      </c>
      <c r="C369" s="154">
        <f t="shared" si="58"/>
        <v>42180</v>
      </c>
      <c r="D369" s="155" t="str">
        <f t="shared" si="49"/>
        <v>Thu</v>
      </c>
      <c r="E369" s="162">
        <f t="shared" si="50"/>
        <v>2</v>
      </c>
      <c r="F369" s="162">
        <f t="shared" si="55"/>
        <v>13</v>
      </c>
      <c r="G369" s="162">
        <f t="shared" si="53"/>
        <v>20</v>
      </c>
      <c r="H369" s="162">
        <f t="shared" si="56"/>
        <v>560</v>
      </c>
      <c r="I369" s="175">
        <f t="shared" si="54"/>
        <v>0.26923076923076922</v>
      </c>
      <c r="J369" s="159" t="str">
        <f t="shared" si="51"/>
        <v>Jun</v>
      </c>
      <c r="K369" s="184">
        <f t="shared" si="52"/>
        <v>2015</v>
      </c>
      <c r="L369" s="160">
        <v>1</v>
      </c>
    </row>
    <row r="370" spans="1:12" ht="14.4">
      <c r="A370" s="128"/>
      <c r="B370" s="183">
        <f t="shared" si="57"/>
        <v>42188</v>
      </c>
      <c r="C370" s="154">
        <f t="shared" si="58"/>
        <v>42194</v>
      </c>
      <c r="D370" s="155" t="str">
        <f t="shared" si="49"/>
        <v>Thu</v>
      </c>
      <c r="E370" s="162">
        <f t="shared" si="50"/>
        <v>1</v>
      </c>
      <c r="F370" s="162">
        <f t="shared" si="55"/>
        <v>14</v>
      </c>
      <c r="G370" s="162">
        <f t="shared" si="53"/>
        <v>21</v>
      </c>
      <c r="H370" s="162">
        <f t="shared" si="56"/>
        <v>480</v>
      </c>
      <c r="I370" s="175">
        <f t="shared" si="54"/>
        <v>0.23076923076923078</v>
      </c>
      <c r="J370" s="159" t="str">
        <f t="shared" si="51"/>
        <v>Jul</v>
      </c>
      <c r="K370" s="184">
        <f t="shared" si="52"/>
        <v>2015</v>
      </c>
      <c r="L370" s="160">
        <v>1</v>
      </c>
    </row>
    <row r="371" spans="1:12" ht="14.4">
      <c r="A371" s="128"/>
      <c r="B371" s="183">
        <f t="shared" si="57"/>
        <v>42202</v>
      </c>
      <c r="C371" s="154">
        <f t="shared" si="58"/>
        <v>42208</v>
      </c>
      <c r="D371" s="155" t="str">
        <f t="shared" si="49"/>
        <v>Thu</v>
      </c>
      <c r="E371" s="162">
        <f t="shared" si="50"/>
        <v>2</v>
      </c>
      <c r="F371" s="162">
        <f t="shared" si="55"/>
        <v>15</v>
      </c>
      <c r="G371" s="162">
        <f t="shared" si="53"/>
        <v>22</v>
      </c>
      <c r="H371" s="162">
        <f t="shared" si="56"/>
        <v>400</v>
      </c>
      <c r="I371" s="175">
        <f t="shared" si="54"/>
        <v>0.19230769230769232</v>
      </c>
      <c r="J371" s="159" t="str">
        <f t="shared" si="51"/>
        <v>Jul</v>
      </c>
      <c r="K371" s="184">
        <f t="shared" si="52"/>
        <v>2015</v>
      </c>
      <c r="L371" s="160">
        <v>1</v>
      </c>
    </row>
    <row r="372" spans="1:12" ht="14.4">
      <c r="A372" s="128"/>
      <c r="B372" s="183">
        <f t="shared" si="57"/>
        <v>42216</v>
      </c>
      <c r="C372" s="154">
        <f t="shared" si="58"/>
        <v>42222</v>
      </c>
      <c r="D372" s="155" t="str">
        <f t="shared" si="49"/>
        <v>Thu</v>
      </c>
      <c r="E372" s="162">
        <f t="shared" si="50"/>
        <v>1</v>
      </c>
      <c r="F372" s="162">
        <f t="shared" si="55"/>
        <v>16</v>
      </c>
      <c r="G372" s="162">
        <f t="shared" si="53"/>
        <v>23</v>
      </c>
      <c r="H372" s="162">
        <f t="shared" si="56"/>
        <v>320</v>
      </c>
      <c r="I372" s="175">
        <f t="shared" si="54"/>
        <v>0.15384615384615385</v>
      </c>
      <c r="J372" s="159" t="str">
        <f t="shared" si="51"/>
        <v>Aug</v>
      </c>
      <c r="K372" s="184">
        <f t="shared" si="52"/>
        <v>2015</v>
      </c>
      <c r="L372" s="160">
        <v>1</v>
      </c>
    </row>
    <row r="373" spans="1:12" ht="14.4">
      <c r="A373" s="128"/>
      <c r="B373" s="183">
        <f t="shared" si="57"/>
        <v>42230</v>
      </c>
      <c r="C373" s="154">
        <f t="shared" si="58"/>
        <v>42236</v>
      </c>
      <c r="D373" s="155" t="str">
        <f t="shared" si="49"/>
        <v>Thu</v>
      </c>
      <c r="E373" s="162">
        <f t="shared" si="50"/>
        <v>2</v>
      </c>
      <c r="F373" s="162">
        <f t="shared" si="55"/>
        <v>17</v>
      </c>
      <c r="G373" s="162">
        <f t="shared" si="53"/>
        <v>24</v>
      </c>
      <c r="H373" s="162">
        <f t="shared" si="56"/>
        <v>240</v>
      </c>
      <c r="I373" s="175">
        <f t="shared" si="54"/>
        <v>0.11538461538461539</v>
      </c>
      <c r="J373" s="159" t="str">
        <f t="shared" si="51"/>
        <v>Aug</v>
      </c>
      <c r="K373" s="184">
        <f t="shared" si="52"/>
        <v>2015</v>
      </c>
      <c r="L373" s="160">
        <v>1</v>
      </c>
    </row>
    <row r="374" spans="1:12" ht="14.4">
      <c r="A374" s="128"/>
      <c r="B374" s="183">
        <f t="shared" si="57"/>
        <v>42244</v>
      </c>
      <c r="C374" s="154">
        <f t="shared" si="58"/>
        <v>42250</v>
      </c>
      <c r="D374" s="155" t="str">
        <f t="shared" si="49"/>
        <v>Thu</v>
      </c>
      <c r="E374" s="162">
        <f t="shared" si="50"/>
        <v>1</v>
      </c>
      <c r="F374" s="162">
        <f t="shared" si="55"/>
        <v>18</v>
      </c>
      <c r="G374" s="162">
        <f t="shared" si="53"/>
        <v>25</v>
      </c>
      <c r="H374" s="162">
        <f t="shared" si="56"/>
        <v>160</v>
      </c>
      <c r="I374" s="175">
        <f t="shared" si="54"/>
        <v>7.6923076923076927E-2</v>
      </c>
      <c r="J374" s="159" t="str">
        <f t="shared" si="51"/>
        <v>Sep</v>
      </c>
      <c r="K374" s="184">
        <f t="shared" si="52"/>
        <v>2015</v>
      </c>
      <c r="L374" s="160">
        <v>1</v>
      </c>
    </row>
    <row r="375" spans="1:12" ht="14.4">
      <c r="A375" s="128"/>
      <c r="B375" s="183">
        <f t="shared" si="57"/>
        <v>42258</v>
      </c>
      <c r="C375" s="154">
        <f t="shared" si="58"/>
        <v>42264</v>
      </c>
      <c r="D375" s="155" t="str">
        <f t="shared" si="49"/>
        <v>Thu</v>
      </c>
      <c r="E375" s="162">
        <f t="shared" si="50"/>
        <v>2</v>
      </c>
      <c r="F375" s="162">
        <f t="shared" si="55"/>
        <v>19</v>
      </c>
      <c r="G375" s="162">
        <f t="shared" si="53"/>
        <v>26</v>
      </c>
      <c r="H375" s="162">
        <f t="shared" si="56"/>
        <v>80</v>
      </c>
      <c r="I375" s="175">
        <f t="shared" si="54"/>
        <v>3.8461538461538464E-2</v>
      </c>
      <c r="J375" s="159" t="str">
        <f t="shared" si="51"/>
        <v>Sep</v>
      </c>
      <c r="K375" s="184">
        <f t="shared" si="52"/>
        <v>2015</v>
      </c>
      <c r="L375" s="160">
        <v>1</v>
      </c>
    </row>
    <row r="376" spans="1:12" ht="14.4">
      <c r="A376" s="128"/>
      <c r="B376" s="183">
        <f t="shared" si="57"/>
        <v>42272</v>
      </c>
      <c r="C376" s="154">
        <f t="shared" si="58"/>
        <v>42278</v>
      </c>
      <c r="D376" s="155" t="str">
        <f t="shared" si="49"/>
        <v>Thu</v>
      </c>
      <c r="E376" s="162">
        <f t="shared" si="50"/>
        <v>1</v>
      </c>
      <c r="F376" s="162">
        <f t="shared" si="55"/>
        <v>20</v>
      </c>
      <c r="G376" s="162">
        <f t="shared" si="53"/>
        <v>1</v>
      </c>
      <c r="H376" s="162">
        <f t="shared" si="56"/>
        <v>2080</v>
      </c>
      <c r="I376" s="175">
        <f t="shared" si="54"/>
        <v>1</v>
      </c>
      <c r="J376" s="159" t="str">
        <f t="shared" si="51"/>
        <v>Oct</v>
      </c>
      <c r="K376" s="184">
        <f t="shared" si="52"/>
        <v>2015</v>
      </c>
      <c r="L376" s="160">
        <v>1</v>
      </c>
    </row>
    <row r="377" spans="1:12" ht="14.4">
      <c r="A377" s="128"/>
      <c r="B377" s="183">
        <f t="shared" si="57"/>
        <v>42286</v>
      </c>
      <c r="C377" s="154">
        <f t="shared" si="58"/>
        <v>42292</v>
      </c>
      <c r="D377" s="155" t="str">
        <f t="shared" si="49"/>
        <v>Thu</v>
      </c>
      <c r="E377" s="162">
        <f t="shared" si="50"/>
        <v>2</v>
      </c>
      <c r="F377" s="162">
        <f t="shared" si="55"/>
        <v>21</v>
      </c>
      <c r="G377" s="162">
        <f t="shared" si="53"/>
        <v>2</v>
      </c>
      <c r="H377" s="162">
        <f t="shared" si="56"/>
        <v>2000</v>
      </c>
      <c r="I377" s="175">
        <f t="shared" si="54"/>
        <v>0.96153846153846156</v>
      </c>
      <c r="J377" s="159" t="str">
        <f t="shared" si="51"/>
        <v>Oct</v>
      </c>
      <c r="K377" s="184">
        <f t="shared" si="52"/>
        <v>2015</v>
      </c>
      <c r="L377" s="160">
        <v>1</v>
      </c>
    </row>
    <row r="378" spans="1:12" ht="14.4">
      <c r="A378" s="128"/>
      <c r="B378" s="183">
        <f t="shared" si="57"/>
        <v>42300</v>
      </c>
      <c r="C378" s="154">
        <f t="shared" si="58"/>
        <v>42306</v>
      </c>
      <c r="D378" s="155" t="str">
        <f t="shared" si="49"/>
        <v>Thu</v>
      </c>
      <c r="E378" s="162">
        <f t="shared" si="50"/>
        <v>3</v>
      </c>
      <c r="F378" s="162">
        <f t="shared" si="55"/>
        <v>22</v>
      </c>
      <c r="G378" s="162">
        <f t="shared" si="53"/>
        <v>3</v>
      </c>
      <c r="H378" s="162">
        <f t="shared" si="56"/>
        <v>1920</v>
      </c>
      <c r="I378" s="175">
        <f t="shared" si="54"/>
        <v>0.92307692307692313</v>
      </c>
      <c r="J378" s="159" t="str">
        <f t="shared" si="51"/>
        <v>Oct</v>
      </c>
      <c r="K378" s="184">
        <f t="shared" si="52"/>
        <v>2015</v>
      </c>
      <c r="L378" s="160">
        <v>1</v>
      </c>
    </row>
    <row r="379" spans="1:12" ht="14.4">
      <c r="A379" s="128"/>
      <c r="B379" s="183">
        <f t="shared" si="57"/>
        <v>42314</v>
      </c>
      <c r="C379" s="154">
        <f t="shared" si="58"/>
        <v>42320</v>
      </c>
      <c r="D379" s="155" t="str">
        <f t="shared" si="49"/>
        <v>Thu</v>
      </c>
      <c r="E379" s="162">
        <f t="shared" si="50"/>
        <v>1</v>
      </c>
      <c r="F379" s="162">
        <f t="shared" si="55"/>
        <v>23</v>
      </c>
      <c r="G379" s="162">
        <f t="shared" si="53"/>
        <v>4</v>
      </c>
      <c r="H379" s="162">
        <f t="shared" si="56"/>
        <v>1840</v>
      </c>
      <c r="I379" s="175">
        <f t="shared" si="54"/>
        <v>0.88461538461538458</v>
      </c>
      <c r="J379" s="159" t="str">
        <f t="shared" si="51"/>
        <v>Nov</v>
      </c>
      <c r="K379" s="184">
        <f t="shared" si="52"/>
        <v>2015</v>
      </c>
      <c r="L379" s="160">
        <v>1</v>
      </c>
    </row>
    <row r="380" spans="1:12" ht="14.4">
      <c r="A380" s="128"/>
      <c r="B380" s="183">
        <f t="shared" si="57"/>
        <v>42328</v>
      </c>
      <c r="C380" s="154">
        <f t="shared" si="58"/>
        <v>42334</v>
      </c>
      <c r="D380" s="155" t="str">
        <f t="shared" si="49"/>
        <v>Thu</v>
      </c>
      <c r="E380" s="162">
        <f t="shared" si="50"/>
        <v>2</v>
      </c>
      <c r="F380" s="162">
        <f t="shared" si="55"/>
        <v>24</v>
      </c>
      <c r="G380" s="162">
        <f t="shared" si="53"/>
        <v>5</v>
      </c>
      <c r="H380" s="162">
        <f t="shared" si="56"/>
        <v>1760</v>
      </c>
      <c r="I380" s="175">
        <f t="shared" si="54"/>
        <v>0.84615384615384615</v>
      </c>
      <c r="J380" s="159" t="str">
        <f t="shared" si="51"/>
        <v>Nov</v>
      </c>
      <c r="K380" s="184">
        <f t="shared" si="52"/>
        <v>2015</v>
      </c>
      <c r="L380" s="160">
        <v>1</v>
      </c>
    </row>
    <row r="381" spans="1:12" ht="14.4">
      <c r="A381" s="128"/>
      <c r="B381" s="183">
        <f t="shared" si="57"/>
        <v>42342</v>
      </c>
      <c r="C381" s="154">
        <f t="shared" si="58"/>
        <v>42348</v>
      </c>
      <c r="D381" s="155" t="str">
        <f t="shared" si="49"/>
        <v>Thu</v>
      </c>
      <c r="E381" s="162">
        <f t="shared" si="50"/>
        <v>1</v>
      </c>
      <c r="F381" s="162">
        <f t="shared" si="55"/>
        <v>25</v>
      </c>
      <c r="G381" s="162">
        <f t="shared" si="53"/>
        <v>6</v>
      </c>
      <c r="H381" s="162">
        <f t="shared" si="56"/>
        <v>1680</v>
      </c>
      <c r="I381" s="175">
        <f t="shared" si="54"/>
        <v>0.80769230769230771</v>
      </c>
      <c r="J381" s="159" t="str">
        <f t="shared" si="51"/>
        <v>Dec</v>
      </c>
      <c r="K381" s="184">
        <f t="shared" si="52"/>
        <v>2015</v>
      </c>
      <c r="L381" s="160">
        <v>1</v>
      </c>
    </row>
    <row r="382" spans="1:12" ht="14.4">
      <c r="A382" s="128"/>
      <c r="B382" s="192">
        <f t="shared" si="57"/>
        <v>42356</v>
      </c>
      <c r="C382" s="193">
        <f t="shared" si="58"/>
        <v>42362</v>
      </c>
      <c r="D382" s="194" t="str">
        <f t="shared" si="49"/>
        <v>Thu</v>
      </c>
      <c r="E382" s="195">
        <f t="shared" si="50"/>
        <v>2</v>
      </c>
      <c r="F382" s="195">
        <f t="shared" si="55"/>
        <v>26</v>
      </c>
      <c r="G382" s="195">
        <f t="shared" si="53"/>
        <v>7</v>
      </c>
      <c r="H382" s="195">
        <f t="shared" si="56"/>
        <v>1600</v>
      </c>
      <c r="I382" s="196">
        <f t="shared" si="54"/>
        <v>0.76923076923076927</v>
      </c>
      <c r="J382" s="197" t="str">
        <f t="shared" si="51"/>
        <v>Dec</v>
      </c>
      <c r="K382" s="198">
        <f t="shared" si="52"/>
        <v>2015</v>
      </c>
      <c r="L382" s="160">
        <v>1</v>
      </c>
    </row>
    <row r="383" spans="1:12" ht="14.4">
      <c r="A383" s="128"/>
      <c r="B383" s="176">
        <f t="shared" si="57"/>
        <v>42370</v>
      </c>
      <c r="C383" s="177">
        <f t="shared" si="58"/>
        <v>42376</v>
      </c>
      <c r="D383" s="178" t="str">
        <f t="shared" si="49"/>
        <v>Thu</v>
      </c>
      <c r="E383" s="179">
        <f t="shared" si="50"/>
        <v>1</v>
      </c>
      <c r="F383" s="179">
        <f t="shared" si="55"/>
        <v>1</v>
      </c>
      <c r="G383" s="179">
        <f t="shared" si="53"/>
        <v>8</v>
      </c>
      <c r="H383" s="179">
        <f t="shared" si="56"/>
        <v>1520</v>
      </c>
      <c r="I383" s="180">
        <f t="shared" si="54"/>
        <v>0.73076923076923073</v>
      </c>
      <c r="J383" s="181" t="str">
        <f t="shared" si="51"/>
        <v>Jan</v>
      </c>
      <c r="K383" s="182">
        <f t="shared" si="52"/>
        <v>2016</v>
      </c>
      <c r="L383" s="160">
        <v>1</v>
      </c>
    </row>
    <row r="384" spans="1:12" ht="14.4">
      <c r="A384" s="128"/>
      <c r="B384" s="183">
        <f t="shared" si="57"/>
        <v>42384</v>
      </c>
      <c r="C384" s="154">
        <f t="shared" si="58"/>
        <v>42390</v>
      </c>
      <c r="D384" s="155" t="str">
        <f t="shared" si="49"/>
        <v>Thu</v>
      </c>
      <c r="E384" s="162">
        <f t="shared" si="50"/>
        <v>2</v>
      </c>
      <c r="F384" s="162">
        <f t="shared" si="55"/>
        <v>2</v>
      </c>
      <c r="G384" s="162">
        <f t="shared" si="53"/>
        <v>9</v>
      </c>
      <c r="H384" s="162">
        <f t="shared" si="56"/>
        <v>1440</v>
      </c>
      <c r="I384" s="175">
        <f t="shared" si="54"/>
        <v>0.69230769230769229</v>
      </c>
      <c r="J384" s="159" t="str">
        <f t="shared" si="51"/>
        <v>Jan</v>
      </c>
      <c r="K384" s="184">
        <f t="shared" si="52"/>
        <v>2016</v>
      </c>
      <c r="L384" s="160">
        <v>1</v>
      </c>
    </row>
    <row r="385" spans="1:12" ht="14.4">
      <c r="A385" s="128"/>
      <c r="B385" s="183">
        <f t="shared" si="57"/>
        <v>42398</v>
      </c>
      <c r="C385" s="154">
        <f t="shared" si="58"/>
        <v>42404</v>
      </c>
      <c r="D385" s="155" t="str">
        <f t="shared" si="49"/>
        <v>Thu</v>
      </c>
      <c r="E385" s="162">
        <f t="shared" si="50"/>
        <v>1</v>
      </c>
      <c r="F385" s="162">
        <f t="shared" si="55"/>
        <v>3</v>
      </c>
      <c r="G385" s="162">
        <f t="shared" si="53"/>
        <v>10</v>
      </c>
      <c r="H385" s="162">
        <f t="shared" si="56"/>
        <v>1360</v>
      </c>
      <c r="I385" s="175">
        <f t="shared" si="54"/>
        <v>0.65384615384615385</v>
      </c>
      <c r="J385" s="159" t="str">
        <f t="shared" si="51"/>
        <v>Feb</v>
      </c>
      <c r="K385" s="184">
        <f t="shared" si="52"/>
        <v>2016</v>
      </c>
      <c r="L385" s="160">
        <v>1</v>
      </c>
    </row>
    <row r="386" spans="1:12" ht="14.4">
      <c r="A386" s="128"/>
      <c r="B386" s="183">
        <f t="shared" si="57"/>
        <v>42412</v>
      </c>
      <c r="C386" s="154">
        <f t="shared" si="58"/>
        <v>42418</v>
      </c>
      <c r="D386" s="155" t="str">
        <f t="shared" si="49"/>
        <v>Thu</v>
      </c>
      <c r="E386" s="162">
        <f t="shared" si="50"/>
        <v>2</v>
      </c>
      <c r="F386" s="162">
        <f t="shared" si="55"/>
        <v>4</v>
      </c>
      <c r="G386" s="162">
        <f t="shared" si="53"/>
        <v>11</v>
      </c>
      <c r="H386" s="162">
        <f t="shared" si="56"/>
        <v>1280</v>
      </c>
      <c r="I386" s="175">
        <f t="shared" si="54"/>
        <v>0.61538461538461542</v>
      </c>
      <c r="J386" s="159" t="str">
        <f t="shared" si="51"/>
        <v>Feb</v>
      </c>
      <c r="K386" s="184">
        <f t="shared" si="52"/>
        <v>2016</v>
      </c>
      <c r="L386" s="160">
        <v>1</v>
      </c>
    </row>
    <row r="387" spans="1:12" ht="14.4">
      <c r="A387" s="128"/>
      <c r="B387" s="183">
        <f t="shared" si="57"/>
        <v>42426</v>
      </c>
      <c r="C387" s="154">
        <f t="shared" si="58"/>
        <v>42432</v>
      </c>
      <c r="D387" s="155" t="str">
        <f t="shared" si="49"/>
        <v>Thu</v>
      </c>
      <c r="E387" s="162">
        <f t="shared" si="50"/>
        <v>1</v>
      </c>
      <c r="F387" s="162">
        <f t="shared" si="55"/>
        <v>5</v>
      </c>
      <c r="G387" s="162">
        <f t="shared" si="53"/>
        <v>12</v>
      </c>
      <c r="H387" s="162">
        <f t="shared" si="56"/>
        <v>1200</v>
      </c>
      <c r="I387" s="175">
        <f t="shared" si="54"/>
        <v>0.57692307692307687</v>
      </c>
      <c r="J387" s="159" t="str">
        <f t="shared" si="51"/>
        <v>Mar</v>
      </c>
      <c r="K387" s="184">
        <f t="shared" si="52"/>
        <v>2016</v>
      </c>
      <c r="L387" s="160">
        <v>1</v>
      </c>
    </row>
    <row r="388" spans="1:12" ht="14.4">
      <c r="A388" s="128"/>
      <c r="B388" s="183">
        <f t="shared" si="57"/>
        <v>42440</v>
      </c>
      <c r="C388" s="154">
        <f t="shared" si="58"/>
        <v>42446</v>
      </c>
      <c r="D388" s="155" t="str">
        <f t="shared" si="49"/>
        <v>Thu</v>
      </c>
      <c r="E388" s="162">
        <f t="shared" si="50"/>
        <v>2</v>
      </c>
      <c r="F388" s="162">
        <f t="shared" si="55"/>
        <v>6</v>
      </c>
      <c r="G388" s="162">
        <f t="shared" si="53"/>
        <v>13</v>
      </c>
      <c r="H388" s="162">
        <f t="shared" si="56"/>
        <v>1120</v>
      </c>
      <c r="I388" s="175">
        <f t="shared" si="54"/>
        <v>0.53846153846153844</v>
      </c>
      <c r="J388" s="159" t="str">
        <f t="shared" si="51"/>
        <v>Mar</v>
      </c>
      <c r="K388" s="184">
        <f t="shared" si="52"/>
        <v>2016</v>
      </c>
      <c r="L388" s="160">
        <v>1</v>
      </c>
    </row>
    <row r="389" spans="1:12" ht="14.4">
      <c r="A389" s="128"/>
      <c r="B389" s="183">
        <f t="shared" si="57"/>
        <v>42454</v>
      </c>
      <c r="C389" s="154">
        <f t="shared" si="58"/>
        <v>42460</v>
      </c>
      <c r="D389" s="155" t="str">
        <f t="shared" si="49"/>
        <v>Thu</v>
      </c>
      <c r="E389" s="162">
        <f t="shared" si="50"/>
        <v>3</v>
      </c>
      <c r="F389" s="162">
        <f t="shared" si="55"/>
        <v>7</v>
      </c>
      <c r="G389" s="162">
        <f t="shared" si="53"/>
        <v>14</v>
      </c>
      <c r="H389" s="162">
        <f t="shared" si="56"/>
        <v>1040</v>
      </c>
      <c r="I389" s="175">
        <f t="shared" si="54"/>
        <v>0.5</v>
      </c>
      <c r="J389" s="159" t="str">
        <f t="shared" si="51"/>
        <v>Mar</v>
      </c>
      <c r="K389" s="184">
        <f t="shared" si="52"/>
        <v>2016</v>
      </c>
      <c r="L389" s="160">
        <v>1</v>
      </c>
    </row>
    <row r="390" spans="1:12" ht="14.4">
      <c r="A390" s="128"/>
      <c r="B390" s="183">
        <f t="shared" si="57"/>
        <v>42468</v>
      </c>
      <c r="C390" s="154">
        <f t="shared" si="58"/>
        <v>42474</v>
      </c>
      <c r="D390" s="155" t="str">
        <f t="shared" si="49"/>
        <v>Thu</v>
      </c>
      <c r="E390" s="162">
        <f t="shared" si="50"/>
        <v>1</v>
      </c>
      <c r="F390" s="162">
        <f t="shared" si="55"/>
        <v>8</v>
      </c>
      <c r="G390" s="162">
        <f t="shared" si="53"/>
        <v>15</v>
      </c>
      <c r="H390" s="162">
        <f t="shared" si="56"/>
        <v>960</v>
      </c>
      <c r="I390" s="175">
        <f t="shared" si="54"/>
        <v>0.46153846153846156</v>
      </c>
      <c r="J390" s="159" t="str">
        <f t="shared" si="51"/>
        <v>Apr</v>
      </c>
      <c r="K390" s="184">
        <f t="shared" si="52"/>
        <v>2016</v>
      </c>
      <c r="L390" s="160">
        <v>1</v>
      </c>
    </row>
    <row r="391" spans="1:12" ht="14.4">
      <c r="A391" s="128"/>
      <c r="B391" s="183">
        <f t="shared" si="57"/>
        <v>42482</v>
      </c>
      <c r="C391" s="154">
        <f t="shared" si="58"/>
        <v>42488</v>
      </c>
      <c r="D391" s="155" t="str">
        <f t="shared" si="49"/>
        <v>Thu</v>
      </c>
      <c r="E391" s="162">
        <f t="shared" si="50"/>
        <v>2</v>
      </c>
      <c r="F391" s="162">
        <f t="shared" si="55"/>
        <v>9</v>
      </c>
      <c r="G391" s="162">
        <f t="shared" si="53"/>
        <v>16</v>
      </c>
      <c r="H391" s="162">
        <f t="shared" si="56"/>
        <v>880</v>
      </c>
      <c r="I391" s="175">
        <f t="shared" si="54"/>
        <v>0.42307692307692307</v>
      </c>
      <c r="J391" s="159" t="str">
        <f t="shared" si="51"/>
        <v>Apr</v>
      </c>
      <c r="K391" s="184">
        <f t="shared" si="52"/>
        <v>2016</v>
      </c>
      <c r="L391" s="160">
        <v>1</v>
      </c>
    </row>
    <row r="392" spans="1:12" ht="14.4">
      <c r="A392" s="128"/>
      <c r="B392" s="183">
        <f t="shared" si="57"/>
        <v>42496</v>
      </c>
      <c r="C392" s="154">
        <f t="shared" si="58"/>
        <v>42502</v>
      </c>
      <c r="D392" s="155" t="str">
        <f t="shared" ref="D392:D455" si="59">TEXT(C392,"ddd")</f>
        <v>Thu</v>
      </c>
      <c r="E392" s="162">
        <f t="shared" ref="E392:E455" si="60">IF(MONTH(C392)=MONTH(C391),E391+1,1)</f>
        <v>1</v>
      </c>
      <c r="F392" s="162">
        <f t="shared" si="55"/>
        <v>10</v>
      </c>
      <c r="G392" s="162">
        <f t="shared" si="53"/>
        <v>17</v>
      </c>
      <c r="H392" s="162">
        <f t="shared" si="56"/>
        <v>800</v>
      </c>
      <c r="I392" s="175">
        <f t="shared" si="54"/>
        <v>0.38461538461538464</v>
      </c>
      <c r="J392" s="159" t="str">
        <f t="shared" ref="J392:J455" si="61">TEXT(C392,"mmm")</f>
        <v>May</v>
      </c>
      <c r="K392" s="184">
        <f t="shared" ref="K392:K455" si="62">YEAR(C392)</f>
        <v>2016</v>
      </c>
      <c r="L392" s="160">
        <v>1</v>
      </c>
    </row>
    <row r="393" spans="1:12" ht="14.4">
      <c r="A393" s="128"/>
      <c r="B393" s="183">
        <f t="shared" si="57"/>
        <v>42510</v>
      </c>
      <c r="C393" s="154">
        <f t="shared" si="58"/>
        <v>42516</v>
      </c>
      <c r="D393" s="155" t="str">
        <f t="shared" si="59"/>
        <v>Thu</v>
      </c>
      <c r="E393" s="162">
        <f t="shared" si="60"/>
        <v>2</v>
      </c>
      <c r="F393" s="162">
        <f t="shared" si="55"/>
        <v>11</v>
      </c>
      <c r="G393" s="162">
        <f t="shared" si="53"/>
        <v>18</v>
      </c>
      <c r="H393" s="162">
        <f t="shared" si="56"/>
        <v>720</v>
      </c>
      <c r="I393" s="175">
        <f t="shared" si="54"/>
        <v>0.34615384615384615</v>
      </c>
      <c r="J393" s="159" t="str">
        <f t="shared" si="61"/>
        <v>May</v>
      </c>
      <c r="K393" s="184">
        <f t="shared" si="62"/>
        <v>2016</v>
      </c>
      <c r="L393" s="160">
        <v>1</v>
      </c>
    </row>
    <row r="394" spans="1:12" ht="14.4">
      <c r="A394" s="128"/>
      <c r="B394" s="183">
        <f t="shared" si="57"/>
        <v>42524</v>
      </c>
      <c r="C394" s="154">
        <f t="shared" si="58"/>
        <v>42530</v>
      </c>
      <c r="D394" s="155" t="str">
        <f t="shared" si="59"/>
        <v>Thu</v>
      </c>
      <c r="E394" s="162">
        <f t="shared" si="60"/>
        <v>1</v>
      </c>
      <c r="F394" s="162">
        <f t="shared" si="55"/>
        <v>12</v>
      </c>
      <c r="G394" s="162">
        <f t="shared" si="53"/>
        <v>19</v>
      </c>
      <c r="H394" s="162">
        <f t="shared" si="56"/>
        <v>640</v>
      </c>
      <c r="I394" s="175">
        <f t="shared" si="54"/>
        <v>0.30769230769230771</v>
      </c>
      <c r="J394" s="159" t="str">
        <f t="shared" si="61"/>
        <v>Jun</v>
      </c>
      <c r="K394" s="184">
        <f t="shared" si="62"/>
        <v>2016</v>
      </c>
      <c r="L394" s="160">
        <v>1</v>
      </c>
    </row>
    <row r="395" spans="1:12" ht="14.4">
      <c r="A395" s="128"/>
      <c r="B395" s="183">
        <f t="shared" si="57"/>
        <v>42538</v>
      </c>
      <c r="C395" s="154">
        <f t="shared" si="58"/>
        <v>42544</v>
      </c>
      <c r="D395" s="155" t="str">
        <f t="shared" si="59"/>
        <v>Thu</v>
      </c>
      <c r="E395" s="162">
        <f t="shared" si="60"/>
        <v>2</v>
      </c>
      <c r="F395" s="162">
        <f t="shared" si="55"/>
        <v>13</v>
      </c>
      <c r="G395" s="162">
        <f t="shared" ref="G395:G458" si="63">IF(AND(F395&lt;26,MONTH(C395)=10),E395,(G394+1))</f>
        <v>20</v>
      </c>
      <c r="H395" s="162">
        <f t="shared" si="56"/>
        <v>560</v>
      </c>
      <c r="I395" s="175">
        <f t="shared" si="54"/>
        <v>0.26923076923076922</v>
      </c>
      <c r="J395" s="159" t="str">
        <f t="shared" si="61"/>
        <v>Jun</v>
      </c>
      <c r="K395" s="184">
        <f t="shared" si="62"/>
        <v>2016</v>
      </c>
      <c r="L395" s="160">
        <v>1</v>
      </c>
    </row>
    <row r="396" spans="1:12" ht="14.4">
      <c r="A396" s="128"/>
      <c r="B396" s="183">
        <f t="shared" si="57"/>
        <v>42552</v>
      </c>
      <c r="C396" s="154">
        <f t="shared" si="58"/>
        <v>42558</v>
      </c>
      <c r="D396" s="155" t="str">
        <f t="shared" si="59"/>
        <v>Thu</v>
      </c>
      <c r="E396" s="162">
        <f t="shared" si="60"/>
        <v>1</v>
      </c>
      <c r="F396" s="162">
        <f t="shared" si="55"/>
        <v>14</v>
      </c>
      <c r="G396" s="162">
        <f t="shared" si="63"/>
        <v>21</v>
      </c>
      <c r="H396" s="162">
        <f t="shared" si="56"/>
        <v>480</v>
      </c>
      <c r="I396" s="175">
        <f t="shared" si="54"/>
        <v>0.23076923076923078</v>
      </c>
      <c r="J396" s="159" t="str">
        <f t="shared" si="61"/>
        <v>Jul</v>
      </c>
      <c r="K396" s="184">
        <f t="shared" si="62"/>
        <v>2016</v>
      </c>
      <c r="L396" s="160">
        <v>1</v>
      </c>
    </row>
    <row r="397" spans="1:12" ht="14.4">
      <c r="A397" s="128"/>
      <c r="B397" s="183">
        <f t="shared" si="57"/>
        <v>42566</v>
      </c>
      <c r="C397" s="154">
        <f t="shared" si="58"/>
        <v>42572</v>
      </c>
      <c r="D397" s="155" t="str">
        <f t="shared" si="59"/>
        <v>Thu</v>
      </c>
      <c r="E397" s="162">
        <f t="shared" si="60"/>
        <v>2</v>
      </c>
      <c r="F397" s="162">
        <f t="shared" si="55"/>
        <v>15</v>
      </c>
      <c r="G397" s="162">
        <f t="shared" si="63"/>
        <v>22</v>
      </c>
      <c r="H397" s="162">
        <f t="shared" si="56"/>
        <v>400</v>
      </c>
      <c r="I397" s="175">
        <f t="shared" si="54"/>
        <v>0.19230769230769232</v>
      </c>
      <c r="J397" s="159" t="str">
        <f t="shared" si="61"/>
        <v>Jul</v>
      </c>
      <c r="K397" s="184">
        <f t="shared" si="62"/>
        <v>2016</v>
      </c>
      <c r="L397" s="160">
        <v>1</v>
      </c>
    </row>
    <row r="398" spans="1:12" ht="14.4">
      <c r="A398" s="128"/>
      <c r="B398" s="183">
        <f t="shared" si="57"/>
        <v>42580</v>
      </c>
      <c r="C398" s="154">
        <f t="shared" si="58"/>
        <v>42586</v>
      </c>
      <c r="D398" s="155" t="str">
        <f t="shared" si="59"/>
        <v>Thu</v>
      </c>
      <c r="E398" s="162">
        <f t="shared" si="60"/>
        <v>1</v>
      </c>
      <c r="F398" s="162">
        <f t="shared" si="55"/>
        <v>16</v>
      </c>
      <c r="G398" s="162">
        <f t="shared" si="63"/>
        <v>23</v>
      </c>
      <c r="H398" s="162">
        <f t="shared" si="56"/>
        <v>320</v>
      </c>
      <c r="I398" s="175">
        <f t="shared" si="54"/>
        <v>0.15384615384615385</v>
      </c>
      <c r="J398" s="159" t="str">
        <f t="shared" si="61"/>
        <v>Aug</v>
      </c>
      <c r="K398" s="184">
        <f t="shared" si="62"/>
        <v>2016</v>
      </c>
      <c r="L398" s="160">
        <v>1</v>
      </c>
    </row>
    <row r="399" spans="1:12" ht="14.4">
      <c r="A399" s="128"/>
      <c r="B399" s="183">
        <f t="shared" si="57"/>
        <v>42594</v>
      </c>
      <c r="C399" s="154">
        <f t="shared" si="58"/>
        <v>42600</v>
      </c>
      <c r="D399" s="155" t="str">
        <f t="shared" si="59"/>
        <v>Thu</v>
      </c>
      <c r="E399" s="162">
        <f t="shared" si="60"/>
        <v>2</v>
      </c>
      <c r="F399" s="162">
        <f t="shared" si="55"/>
        <v>17</v>
      </c>
      <c r="G399" s="162">
        <f t="shared" si="63"/>
        <v>24</v>
      </c>
      <c r="H399" s="162">
        <f t="shared" si="56"/>
        <v>240</v>
      </c>
      <c r="I399" s="175">
        <f t="shared" ref="I399:I462" si="64">H399/2080</f>
        <v>0.11538461538461539</v>
      </c>
      <c r="J399" s="159" t="str">
        <f t="shared" si="61"/>
        <v>Aug</v>
      </c>
      <c r="K399" s="184">
        <f t="shared" si="62"/>
        <v>2016</v>
      </c>
      <c r="L399" s="160">
        <v>1</v>
      </c>
    </row>
    <row r="400" spans="1:12" ht="14.4">
      <c r="A400" s="128"/>
      <c r="B400" s="183">
        <f t="shared" si="57"/>
        <v>42608</v>
      </c>
      <c r="C400" s="154">
        <f t="shared" si="58"/>
        <v>42614</v>
      </c>
      <c r="D400" s="155" t="str">
        <f t="shared" si="59"/>
        <v>Thu</v>
      </c>
      <c r="E400" s="162">
        <f t="shared" si="60"/>
        <v>1</v>
      </c>
      <c r="F400" s="162">
        <f t="shared" si="55"/>
        <v>18</v>
      </c>
      <c r="G400" s="162">
        <f t="shared" si="63"/>
        <v>25</v>
      </c>
      <c r="H400" s="162">
        <f t="shared" si="56"/>
        <v>160</v>
      </c>
      <c r="I400" s="175">
        <f t="shared" si="64"/>
        <v>7.6923076923076927E-2</v>
      </c>
      <c r="J400" s="159" t="str">
        <f t="shared" si="61"/>
        <v>Sep</v>
      </c>
      <c r="K400" s="184">
        <f t="shared" si="62"/>
        <v>2016</v>
      </c>
      <c r="L400" s="160">
        <v>1</v>
      </c>
    </row>
    <row r="401" spans="1:17" ht="14.4">
      <c r="A401" s="128"/>
      <c r="B401" s="183">
        <f t="shared" si="57"/>
        <v>42622</v>
      </c>
      <c r="C401" s="154">
        <f t="shared" si="58"/>
        <v>42628</v>
      </c>
      <c r="D401" s="155" t="str">
        <f t="shared" si="59"/>
        <v>Thu</v>
      </c>
      <c r="E401" s="162">
        <f t="shared" si="60"/>
        <v>2</v>
      </c>
      <c r="F401" s="162">
        <f t="shared" si="55"/>
        <v>19</v>
      </c>
      <c r="G401" s="162">
        <f t="shared" si="63"/>
        <v>26</v>
      </c>
      <c r="H401" s="162">
        <f t="shared" si="56"/>
        <v>80</v>
      </c>
      <c r="I401" s="175">
        <f t="shared" si="64"/>
        <v>3.8461538461538464E-2</v>
      </c>
      <c r="J401" s="159" t="str">
        <f t="shared" si="61"/>
        <v>Sep</v>
      </c>
      <c r="K401" s="184">
        <f t="shared" si="62"/>
        <v>2016</v>
      </c>
      <c r="L401" s="160">
        <v>1</v>
      </c>
    </row>
    <row r="402" spans="1:17" ht="14.4">
      <c r="A402" s="128"/>
      <c r="B402" s="183">
        <f t="shared" si="57"/>
        <v>42636</v>
      </c>
      <c r="C402" s="154">
        <f t="shared" si="58"/>
        <v>42642</v>
      </c>
      <c r="D402" s="155" t="str">
        <f t="shared" si="59"/>
        <v>Thu</v>
      </c>
      <c r="E402" s="162">
        <f t="shared" si="60"/>
        <v>3</v>
      </c>
      <c r="F402" s="162">
        <f t="shared" ref="F402:F465" si="65">IF(YEAR(C402)&gt;YEAR(C401),1,F401+1)</f>
        <v>20</v>
      </c>
      <c r="G402" s="162">
        <f t="shared" si="63"/>
        <v>27</v>
      </c>
      <c r="H402" s="162">
        <f t="shared" si="56"/>
        <v>2080</v>
      </c>
      <c r="I402" s="175">
        <f t="shared" si="64"/>
        <v>1</v>
      </c>
      <c r="J402" s="159" t="str">
        <f t="shared" si="61"/>
        <v>Sep</v>
      </c>
      <c r="K402" s="184">
        <f t="shared" si="62"/>
        <v>2016</v>
      </c>
      <c r="L402" s="160">
        <v>1</v>
      </c>
    </row>
    <row r="403" spans="1:17" ht="14.4">
      <c r="A403" s="128"/>
      <c r="B403" s="183">
        <f t="shared" si="57"/>
        <v>42650</v>
      </c>
      <c r="C403" s="154">
        <f t="shared" si="58"/>
        <v>42656</v>
      </c>
      <c r="D403" s="155" t="str">
        <f t="shared" si="59"/>
        <v>Thu</v>
      </c>
      <c r="E403" s="162">
        <f t="shared" si="60"/>
        <v>1</v>
      </c>
      <c r="F403" s="162">
        <f t="shared" si="65"/>
        <v>21</v>
      </c>
      <c r="G403" s="162">
        <f t="shared" si="63"/>
        <v>1</v>
      </c>
      <c r="H403" s="162">
        <f t="shared" si="56"/>
        <v>2080</v>
      </c>
      <c r="I403" s="175">
        <f t="shared" si="64"/>
        <v>1</v>
      </c>
      <c r="J403" s="159" t="str">
        <f t="shared" si="61"/>
        <v>Oct</v>
      </c>
      <c r="K403" s="184">
        <f t="shared" si="62"/>
        <v>2016</v>
      </c>
      <c r="L403" s="160">
        <v>1</v>
      </c>
      <c r="O403" s="199">
        <v>42643</v>
      </c>
      <c r="P403" s="145">
        <f>B403-O403</f>
        <v>7</v>
      </c>
      <c r="Q403" s="200">
        <f>P403/14</f>
        <v>0.5</v>
      </c>
    </row>
    <row r="404" spans="1:17" ht="14.4">
      <c r="A404" s="128"/>
      <c r="B404" s="183">
        <f t="shared" si="57"/>
        <v>42664</v>
      </c>
      <c r="C404" s="154">
        <f t="shared" si="58"/>
        <v>42670</v>
      </c>
      <c r="D404" s="155" t="str">
        <f t="shared" si="59"/>
        <v>Thu</v>
      </c>
      <c r="E404" s="162">
        <f t="shared" si="60"/>
        <v>2</v>
      </c>
      <c r="F404" s="162">
        <f t="shared" si="65"/>
        <v>22</v>
      </c>
      <c r="G404" s="162">
        <f t="shared" si="63"/>
        <v>2</v>
      </c>
      <c r="H404" s="162">
        <f t="shared" si="56"/>
        <v>2000</v>
      </c>
      <c r="I404" s="175">
        <f t="shared" si="64"/>
        <v>0.96153846153846156</v>
      </c>
      <c r="J404" s="159" t="str">
        <f t="shared" si="61"/>
        <v>Oct</v>
      </c>
      <c r="K404" s="184">
        <f t="shared" si="62"/>
        <v>2016</v>
      </c>
      <c r="L404" s="160">
        <v>1</v>
      </c>
    </row>
    <row r="405" spans="1:17" ht="14.4">
      <c r="A405" s="128"/>
      <c r="B405" s="183">
        <f t="shared" si="57"/>
        <v>42678</v>
      </c>
      <c r="C405" s="154">
        <f t="shared" si="58"/>
        <v>42684</v>
      </c>
      <c r="D405" s="155" t="str">
        <f t="shared" si="59"/>
        <v>Thu</v>
      </c>
      <c r="E405" s="162">
        <f t="shared" si="60"/>
        <v>1</v>
      </c>
      <c r="F405" s="162">
        <f t="shared" si="65"/>
        <v>23</v>
      </c>
      <c r="G405" s="162">
        <f t="shared" si="63"/>
        <v>3</v>
      </c>
      <c r="H405" s="162">
        <f t="shared" si="56"/>
        <v>1920</v>
      </c>
      <c r="I405" s="175">
        <f t="shared" si="64"/>
        <v>0.92307692307692313</v>
      </c>
      <c r="J405" s="159" t="str">
        <f t="shared" si="61"/>
        <v>Nov</v>
      </c>
      <c r="K405" s="184">
        <f t="shared" si="62"/>
        <v>2016</v>
      </c>
      <c r="L405" s="160">
        <v>1</v>
      </c>
    </row>
    <row r="406" spans="1:17" ht="14.4">
      <c r="A406" s="128"/>
      <c r="B406" s="183">
        <f t="shared" si="57"/>
        <v>42692</v>
      </c>
      <c r="C406" s="154">
        <f t="shared" si="58"/>
        <v>42698</v>
      </c>
      <c r="D406" s="155" t="str">
        <f t="shared" si="59"/>
        <v>Thu</v>
      </c>
      <c r="E406" s="162">
        <f t="shared" si="60"/>
        <v>2</v>
      </c>
      <c r="F406" s="162">
        <f t="shared" si="65"/>
        <v>24</v>
      </c>
      <c r="G406" s="162">
        <f t="shared" si="63"/>
        <v>4</v>
      </c>
      <c r="H406" s="162">
        <f t="shared" si="56"/>
        <v>1840</v>
      </c>
      <c r="I406" s="175">
        <f t="shared" si="64"/>
        <v>0.88461538461538458</v>
      </c>
      <c r="J406" s="159" t="str">
        <f t="shared" si="61"/>
        <v>Nov</v>
      </c>
      <c r="K406" s="184">
        <f t="shared" si="62"/>
        <v>2016</v>
      </c>
      <c r="L406" s="160">
        <v>1</v>
      </c>
    </row>
    <row r="407" spans="1:17" ht="14.4">
      <c r="A407" s="128"/>
      <c r="B407" s="183">
        <f t="shared" si="57"/>
        <v>42706</v>
      </c>
      <c r="C407" s="154">
        <f t="shared" si="58"/>
        <v>42712</v>
      </c>
      <c r="D407" s="155" t="str">
        <f t="shared" si="59"/>
        <v>Thu</v>
      </c>
      <c r="E407" s="162">
        <f t="shared" si="60"/>
        <v>1</v>
      </c>
      <c r="F407" s="162">
        <f t="shared" si="65"/>
        <v>25</v>
      </c>
      <c r="G407" s="162">
        <f t="shared" si="63"/>
        <v>5</v>
      </c>
      <c r="H407" s="162">
        <f t="shared" si="56"/>
        <v>1760</v>
      </c>
      <c r="I407" s="175">
        <f t="shared" si="64"/>
        <v>0.84615384615384615</v>
      </c>
      <c r="J407" s="159" t="str">
        <f t="shared" si="61"/>
        <v>Dec</v>
      </c>
      <c r="K407" s="184">
        <f t="shared" si="62"/>
        <v>2016</v>
      </c>
      <c r="L407" s="160">
        <v>1</v>
      </c>
    </row>
    <row r="408" spans="1:17" ht="14.4">
      <c r="A408" s="128"/>
      <c r="B408" s="192">
        <f t="shared" si="57"/>
        <v>42720</v>
      </c>
      <c r="C408" s="193">
        <f t="shared" si="58"/>
        <v>42726</v>
      </c>
      <c r="D408" s="194" t="str">
        <f t="shared" si="59"/>
        <v>Thu</v>
      </c>
      <c r="E408" s="195">
        <f t="shared" si="60"/>
        <v>2</v>
      </c>
      <c r="F408" s="195">
        <f t="shared" si="65"/>
        <v>26</v>
      </c>
      <c r="G408" s="195">
        <f t="shared" si="63"/>
        <v>6</v>
      </c>
      <c r="H408" s="195">
        <f t="shared" si="56"/>
        <v>1680</v>
      </c>
      <c r="I408" s="196">
        <f t="shared" si="64"/>
        <v>0.80769230769230771</v>
      </c>
      <c r="J408" s="197" t="str">
        <f t="shared" si="61"/>
        <v>Dec</v>
      </c>
      <c r="K408" s="198">
        <f t="shared" si="62"/>
        <v>2016</v>
      </c>
      <c r="L408" s="160">
        <v>1</v>
      </c>
    </row>
    <row r="409" spans="1:17" ht="14.4">
      <c r="A409" s="128"/>
      <c r="B409" s="154">
        <f t="shared" si="57"/>
        <v>42734</v>
      </c>
      <c r="C409" s="154">
        <f t="shared" si="58"/>
        <v>42740</v>
      </c>
      <c r="D409" s="155" t="str">
        <f t="shared" si="59"/>
        <v>Thu</v>
      </c>
      <c r="E409" s="162">
        <f t="shared" si="60"/>
        <v>1</v>
      </c>
      <c r="F409" s="162">
        <f t="shared" si="65"/>
        <v>1</v>
      </c>
      <c r="G409" s="162">
        <f t="shared" si="63"/>
        <v>7</v>
      </c>
      <c r="H409" s="162">
        <f t="shared" si="56"/>
        <v>1600</v>
      </c>
      <c r="I409" s="175">
        <f t="shared" si="64"/>
        <v>0.76923076923076927</v>
      </c>
      <c r="J409" s="159" t="str">
        <f t="shared" si="61"/>
        <v>Jan</v>
      </c>
      <c r="K409" s="159">
        <f t="shared" si="62"/>
        <v>2017</v>
      </c>
      <c r="L409" s="160">
        <v>1</v>
      </c>
    </row>
    <row r="410" spans="1:17" ht="14.4">
      <c r="A410" s="128"/>
      <c r="B410" s="154">
        <f t="shared" si="57"/>
        <v>42748</v>
      </c>
      <c r="C410" s="154">
        <f t="shared" si="58"/>
        <v>42754</v>
      </c>
      <c r="D410" s="155" t="str">
        <f t="shared" si="59"/>
        <v>Thu</v>
      </c>
      <c r="E410" s="162">
        <f t="shared" si="60"/>
        <v>2</v>
      </c>
      <c r="F410" s="162">
        <f t="shared" si="65"/>
        <v>2</v>
      </c>
      <c r="G410" s="162">
        <f t="shared" si="63"/>
        <v>8</v>
      </c>
      <c r="H410" s="162">
        <f t="shared" si="56"/>
        <v>1520</v>
      </c>
      <c r="I410" s="175">
        <f t="shared" si="64"/>
        <v>0.73076923076923073</v>
      </c>
      <c r="J410" s="159" t="str">
        <f t="shared" si="61"/>
        <v>Jan</v>
      </c>
      <c r="K410" s="159">
        <f t="shared" si="62"/>
        <v>2017</v>
      </c>
      <c r="L410" s="160">
        <v>1</v>
      </c>
    </row>
    <row r="411" spans="1:17" ht="14.4">
      <c r="A411" s="128"/>
      <c r="B411" s="154">
        <f t="shared" si="57"/>
        <v>42762</v>
      </c>
      <c r="C411" s="154">
        <f t="shared" si="58"/>
        <v>42768</v>
      </c>
      <c r="D411" s="155" t="str">
        <f t="shared" si="59"/>
        <v>Thu</v>
      </c>
      <c r="E411" s="162">
        <f t="shared" si="60"/>
        <v>1</v>
      </c>
      <c r="F411" s="162">
        <f t="shared" si="65"/>
        <v>3</v>
      </c>
      <c r="G411" s="162">
        <f t="shared" si="63"/>
        <v>9</v>
      </c>
      <c r="H411" s="162">
        <f t="shared" si="56"/>
        <v>1440</v>
      </c>
      <c r="I411" s="175">
        <f t="shared" si="64"/>
        <v>0.69230769230769229</v>
      </c>
      <c r="J411" s="159" t="str">
        <f t="shared" si="61"/>
        <v>Feb</v>
      </c>
      <c r="K411" s="159">
        <f t="shared" si="62"/>
        <v>2017</v>
      </c>
      <c r="L411" s="160">
        <v>1</v>
      </c>
    </row>
    <row r="412" spans="1:17" ht="14.4">
      <c r="A412" s="128"/>
      <c r="B412" s="154">
        <f t="shared" si="57"/>
        <v>42776</v>
      </c>
      <c r="C412" s="154">
        <f t="shared" si="58"/>
        <v>42782</v>
      </c>
      <c r="D412" s="155" t="str">
        <f t="shared" si="59"/>
        <v>Thu</v>
      </c>
      <c r="E412" s="162">
        <f t="shared" si="60"/>
        <v>2</v>
      </c>
      <c r="F412" s="162">
        <f t="shared" si="65"/>
        <v>4</v>
      </c>
      <c r="G412" s="162">
        <f t="shared" si="63"/>
        <v>10</v>
      </c>
      <c r="H412" s="162">
        <f t="shared" si="56"/>
        <v>1360</v>
      </c>
      <c r="I412" s="175">
        <f t="shared" si="64"/>
        <v>0.65384615384615385</v>
      </c>
      <c r="J412" s="159" t="str">
        <f t="shared" si="61"/>
        <v>Feb</v>
      </c>
      <c r="K412" s="159">
        <f t="shared" si="62"/>
        <v>2017</v>
      </c>
      <c r="L412" s="160">
        <v>1</v>
      </c>
    </row>
    <row r="413" spans="1:17" ht="14.4">
      <c r="A413" s="128"/>
      <c r="B413" s="154">
        <f t="shared" si="57"/>
        <v>42790</v>
      </c>
      <c r="C413" s="154">
        <f t="shared" si="58"/>
        <v>42796</v>
      </c>
      <c r="D413" s="155" t="str">
        <f t="shared" si="59"/>
        <v>Thu</v>
      </c>
      <c r="E413" s="162">
        <f t="shared" si="60"/>
        <v>1</v>
      </c>
      <c r="F413" s="162">
        <f t="shared" si="65"/>
        <v>5</v>
      </c>
      <c r="G413" s="162">
        <f t="shared" si="63"/>
        <v>11</v>
      </c>
      <c r="H413" s="162">
        <f t="shared" si="56"/>
        <v>1280</v>
      </c>
      <c r="I413" s="175">
        <f t="shared" si="64"/>
        <v>0.61538461538461542</v>
      </c>
      <c r="J413" s="159" t="str">
        <f t="shared" si="61"/>
        <v>Mar</v>
      </c>
      <c r="K413" s="159">
        <f t="shared" si="62"/>
        <v>2017</v>
      </c>
      <c r="L413" s="160">
        <v>1</v>
      </c>
    </row>
    <row r="414" spans="1:17" ht="14.4">
      <c r="A414" s="128"/>
      <c r="B414" s="154">
        <f t="shared" si="57"/>
        <v>42804</v>
      </c>
      <c r="C414" s="154">
        <f t="shared" si="58"/>
        <v>42810</v>
      </c>
      <c r="D414" s="155" t="str">
        <f t="shared" si="59"/>
        <v>Thu</v>
      </c>
      <c r="E414" s="162">
        <f t="shared" si="60"/>
        <v>2</v>
      </c>
      <c r="F414" s="162">
        <f t="shared" si="65"/>
        <v>6</v>
      </c>
      <c r="G414" s="162">
        <f t="shared" si="63"/>
        <v>12</v>
      </c>
      <c r="H414" s="162">
        <f t="shared" si="56"/>
        <v>1200</v>
      </c>
      <c r="I414" s="175">
        <f t="shared" si="64"/>
        <v>0.57692307692307687</v>
      </c>
      <c r="J414" s="159" t="str">
        <f t="shared" si="61"/>
        <v>Mar</v>
      </c>
      <c r="K414" s="159">
        <f t="shared" si="62"/>
        <v>2017</v>
      </c>
      <c r="L414" s="160">
        <v>1</v>
      </c>
    </row>
    <row r="415" spans="1:17" ht="14.4">
      <c r="A415" s="128"/>
      <c r="B415" s="154">
        <f t="shared" si="57"/>
        <v>42818</v>
      </c>
      <c r="C415" s="154">
        <f t="shared" si="58"/>
        <v>42824</v>
      </c>
      <c r="D415" s="155" t="str">
        <f t="shared" si="59"/>
        <v>Thu</v>
      </c>
      <c r="E415" s="162">
        <f t="shared" si="60"/>
        <v>3</v>
      </c>
      <c r="F415" s="162">
        <f t="shared" si="65"/>
        <v>7</v>
      </c>
      <c r="G415" s="162">
        <f t="shared" si="63"/>
        <v>13</v>
      </c>
      <c r="H415" s="162">
        <f t="shared" si="56"/>
        <v>1120</v>
      </c>
      <c r="I415" s="175">
        <f t="shared" si="64"/>
        <v>0.53846153846153844</v>
      </c>
      <c r="J415" s="159" t="str">
        <f t="shared" si="61"/>
        <v>Mar</v>
      </c>
      <c r="K415" s="159">
        <f t="shared" si="62"/>
        <v>2017</v>
      </c>
      <c r="L415" s="160">
        <v>1</v>
      </c>
    </row>
    <row r="416" spans="1:17" ht="14.4">
      <c r="A416" s="128"/>
      <c r="B416" s="154">
        <f t="shared" si="57"/>
        <v>42832</v>
      </c>
      <c r="C416" s="154">
        <f t="shared" si="58"/>
        <v>42838</v>
      </c>
      <c r="D416" s="155" t="str">
        <f t="shared" si="59"/>
        <v>Thu</v>
      </c>
      <c r="E416" s="162">
        <f t="shared" si="60"/>
        <v>1</v>
      </c>
      <c r="F416" s="162">
        <f t="shared" si="65"/>
        <v>8</v>
      </c>
      <c r="G416" s="162">
        <f t="shared" si="63"/>
        <v>14</v>
      </c>
      <c r="H416" s="162">
        <f t="shared" si="56"/>
        <v>1040</v>
      </c>
      <c r="I416" s="175">
        <f t="shared" si="64"/>
        <v>0.5</v>
      </c>
      <c r="J416" s="159" t="str">
        <f t="shared" si="61"/>
        <v>Apr</v>
      </c>
      <c r="K416" s="159">
        <f t="shared" si="62"/>
        <v>2017</v>
      </c>
      <c r="L416" s="160">
        <v>1</v>
      </c>
    </row>
    <row r="417" spans="1:17" ht="14.4">
      <c r="A417" s="128"/>
      <c r="B417" s="154">
        <f t="shared" si="57"/>
        <v>42846</v>
      </c>
      <c r="C417" s="154">
        <f t="shared" si="58"/>
        <v>42852</v>
      </c>
      <c r="D417" s="155" t="str">
        <f t="shared" si="59"/>
        <v>Thu</v>
      </c>
      <c r="E417" s="162">
        <f t="shared" si="60"/>
        <v>2</v>
      </c>
      <c r="F417" s="162">
        <f t="shared" si="65"/>
        <v>9</v>
      </c>
      <c r="G417" s="162">
        <f t="shared" si="63"/>
        <v>15</v>
      </c>
      <c r="H417" s="162">
        <f t="shared" si="56"/>
        <v>960</v>
      </c>
      <c r="I417" s="175">
        <f t="shared" si="64"/>
        <v>0.46153846153846156</v>
      </c>
      <c r="J417" s="159" t="str">
        <f t="shared" si="61"/>
        <v>Apr</v>
      </c>
      <c r="K417" s="159">
        <f t="shared" si="62"/>
        <v>2017</v>
      </c>
      <c r="L417" s="160">
        <v>1</v>
      </c>
    </row>
    <row r="418" spans="1:17" ht="14.4">
      <c r="A418" s="128"/>
      <c r="B418" s="154">
        <f t="shared" si="57"/>
        <v>42860</v>
      </c>
      <c r="C418" s="154">
        <f t="shared" si="58"/>
        <v>42866</v>
      </c>
      <c r="D418" s="155" t="str">
        <f t="shared" si="59"/>
        <v>Thu</v>
      </c>
      <c r="E418" s="162">
        <f t="shared" si="60"/>
        <v>1</v>
      </c>
      <c r="F418" s="162">
        <f t="shared" si="65"/>
        <v>10</v>
      </c>
      <c r="G418" s="162">
        <f t="shared" si="63"/>
        <v>16</v>
      </c>
      <c r="H418" s="162">
        <f t="shared" si="56"/>
        <v>880</v>
      </c>
      <c r="I418" s="175">
        <f t="shared" si="64"/>
        <v>0.42307692307692307</v>
      </c>
      <c r="J418" s="159" t="str">
        <f t="shared" si="61"/>
        <v>May</v>
      </c>
      <c r="K418" s="159">
        <f t="shared" si="62"/>
        <v>2017</v>
      </c>
      <c r="L418" s="160">
        <v>1</v>
      </c>
    </row>
    <row r="419" spans="1:17" ht="14.4">
      <c r="A419" s="128"/>
      <c r="B419" s="154">
        <f t="shared" si="57"/>
        <v>42874</v>
      </c>
      <c r="C419" s="154">
        <f t="shared" si="58"/>
        <v>42880</v>
      </c>
      <c r="D419" s="155" t="str">
        <f t="shared" si="59"/>
        <v>Thu</v>
      </c>
      <c r="E419" s="162">
        <f t="shared" si="60"/>
        <v>2</v>
      </c>
      <c r="F419" s="162">
        <f t="shared" si="65"/>
        <v>11</v>
      </c>
      <c r="G419" s="162">
        <f t="shared" si="63"/>
        <v>17</v>
      </c>
      <c r="H419" s="162">
        <f t="shared" si="56"/>
        <v>800</v>
      </c>
      <c r="I419" s="175">
        <f t="shared" si="64"/>
        <v>0.38461538461538464</v>
      </c>
      <c r="J419" s="159" t="str">
        <f t="shared" si="61"/>
        <v>May</v>
      </c>
      <c r="K419" s="159">
        <f t="shared" si="62"/>
        <v>2017</v>
      </c>
      <c r="L419" s="160">
        <v>1</v>
      </c>
    </row>
    <row r="420" spans="1:17" ht="14.4">
      <c r="A420" s="128"/>
      <c r="B420" s="154">
        <f t="shared" si="57"/>
        <v>42888</v>
      </c>
      <c r="C420" s="154">
        <f t="shared" si="58"/>
        <v>42894</v>
      </c>
      <c r="D420" s="155" t="str">
        <f t="shared" si="59"/>
        <v>Thu</v>
      </c>
      <c r="E420" s="162">
        <f t="shared" si="60"/>
        <v>1</v>
      </c>
      <c r="F420" s="162">
        <f t="shared" si="65"/>
        <v>12</v>
      </c>
      <c r="G420" s="162">
        <f t="shared" si="63"/>
        <v>18</v>
      </c>
      <c r="H420" s="162">
        <f t="shared" si="56"/>
        <v>720</v>
      </c>
      <c r="I420" s="175">
        <f t="shared" si="64"/>
        <v>0.34615384615384615</v>
      </c>
      <c r="J420" s="159" t="str">
        <f t="shared" si="61"/>
        <v>Jun</v>
      </c>
      <c r="K420" s="159">
        <f t="shared" si="62"/>
        <v>2017</v>
      </c>
      <c r="L420" s="160">
        <v>1</v>
      </c>
    </row>
    <row r="421" spans="1:17" ht="14.4">
      <c r="A421" s="128"/>
      <c r="B421" s="154">
        <f t="shared" si="57"/>
        <v>42902</v>
      </c>
      <c r="C421" s="154">
        <f t="shared" si="58"/>
        <v>42908</v>
      </c>
      <c r="D421" s="155" t="str">
        <f t="shared" si="59"/>
        <v>Thu</v>
      </c>
      <c r="E421" s="162">
        <f t="shared" si="60"/>
        <v>2</v>
      </c>
      <c r="F421" s="162">
        <f t="shared" si="65"/>
        <v>13</v>
      </c>
      <c r="G421" s="162">
        <f t="shared" si="63"/>
        <v>19</v>
      </c>
      <c r="H421" s="162">
        <f t="shared" si="56"/>
        <v>640</v>
      </c>
      <c r="I421" s="175">
        <f t="shared" si="64"/>
        <v>0.30769230769230771</v>
      </c>
      <c r="J421" s="159" t="str">
        <f t="shared" si="61"/>
        <v>Jun</v>
      </c>
      <c r="K421" s="159">
        <f t="shared" si="62"/>
        <v>2017</v>
      </c>
      <c r="L421" s="160">
        <v>1</v>
      </c>
    </row>
    <row r="422" spans="1:17" ht="14.4">
      <c r="A422" s="128"/>
      <c r="B422" s="154">
        <f t="shared" si="57"/>
        <v>42916</v>
      </c>
      <c r="C422" s="154">
        <f t="shared" si="58"/>
        <v>42922</v>
      </c>
      <c r="D422" s="155" t="str">
        <f t="shared" si="59"/>
        <v>Thu</v>
      </c>
      <c r="E422" s="162">
        <f t="shared" si="60"/>
        <v>1</v>
      </c>
      <c r="F422" s="162">
        <f t="shared" si="65"/>
        <v>14</v>
      </c>
      <c r="G422" s="162">
        <f t="shared" si="63"/>
        <v>20</v>
      </c>
      <c r="H422" s="162">
        <f t="shared" si="56"/>
        <v>560</v>
      </c>
      <c r="I422" s="175">
        <f t="shared" si="64"/>
        <v>0.26923076923076922</v>
      </c>
      <c r="J422" s="159" t="str">
        <f t="shared" si="61"/>
        <v>Jul</v>
      </c>
      <c r="K422" s="159">
        <f t="shared" si="62"/>
        <v>2017</v>
      </c>
      <c r="L422" s="160">
        <v>1</v>
      </c>
    </row>
    <row r="423" spans="1:17" ht="14.4">
      <c r="A423" s="128"/>
      <c r="B423" s="154">
        <f t="shared" si="57"/>
        <v>42930</v>
      </c>
      <c r="C423" s="154">
        <f t="shared" si="58"/>
        <v>42936</v>
      </c>
      <c r="D423" s="155" t="str">
        <f t="shared" si="59"/>
        <v>Thu</v>
      </c>
      <c r="E423" s="162">
        <f t="shared" si="60"/>
        <v>2</v>
      </c>
      <c r="F423" s="162">
        <f t="shared" si="65"/>
        <v>15</v>
      </c>
      <c r="G423" s="162">
        <f t="shared" si="63"/>
        <v>21</v>
      </c>
      <c r="H423" s="162">
        <f t="shared" si="56"/>
        <v>480</v>
      </c>
      <c r="I423" s="175">
        <f t="shared" si="64"/>
        <v>0.23076923076923078</v>
      </c>
      <c r="J423" s="159" t="str">
        <f t="shared" si="61"/>
        <v>Jul</v>
      </c>
      <c r="K423" s="159">
        <f t="shared" si="62"/>
        <v>2017</v>
      </c>
      <c r="L423" s="160">
        <v>1</v>
      </c>
    </row>
    <row r="424" spans="1:17" ht="14.4">
      <c r="A424" s="128"/>
      <c r="B424" s="154">
        <f t="shared" si="57"/>
        <v>42944</v>
      </c>
      <c r="C424" s="154">
        <f t="shared" si="58"/>
        <v>42950</v>
      </c>
      <c r="D424" s="155" t="str">
        <f t="shared" si="59"/>
        <v>Thu</v>
      </c>
      <c r="E424" s="162">
        <f t="shared" si="60"/>
        <v>1</v>
      </c>
      <c r="F424" s="162">
        <f t="shared" si="65"/>
        <v>16</v>
      </c>
      <c r="G424" s="162">
        <f t="shared" si="63"/>
        <v>22</v>
      </c>
      <c r="H424" s="162">
        <f t="shared" si="56"/>
        <v>400</v>
      </c>
      <c r="I424" s="175">
        <f t="shared" si="64"/>
        <v>0.19230769230769232</v>
      </c>
      <c r="J424" s="159" t="str">
        <f t="shared" si="61"/>
        <v>Aug</v>
      </c>
      <c r="K424" s="159">
        <f t="shared" si="62"/>
        <v>2017</v>
      </c>
      <c r="L424" s="160">
        <v>1</v>
      </c>
    </row>
    <row r="425" spans="1:17" ht="14.4">
      <c r="A425" s="128"/>
      <c r="B425" s="154">
        <f t="shared" si="57"/>
        <v>42958</v>
      </c>
      <c r="C425" s="154">
        <f t="shared" si="58"/>
        <v>42964</v>
      </c>
      <c r="D425" s="155" t="str">
        <f t="shared" si="59"/>
        <v>Thu</v>
      </c>
      <c r="E425" s="162">
        <f t="shared" si="60"/>
        <v>2</v>
      </c>
      <c r="F425" s="162">
        <f t="shared" si="65"/>
        <v>17</v>
      </c>
      <c r="G425" s="162">
        <f t="shared" si="63"/>
        <v>23</v>
      </c>
      <c r="H425" s="162">
        <f t="shared" ref="H425:H488" si="66">IF(2080-(G424*80)&gt;0,2080-(G424*80),2080)</f>
        <v>320</v>
      </c>
      <c r="I425" s="175">
        <f t="shared" si="64"/>
        <v>0.15384615384615385</v>
      </c>
      <c r="J425" s="159" t="str">
        <f t="shared" si="61"/>
        <v>Aug</v>
      </c>
      <c r="K425" s="159">
        <f t="shared" si="62"/>
        <v>2017</v>
      </c>
      <c r="L425" s="160">
        <v>1</v>
      </c>
    </row>
    <row r="426" spans="1:17" ht="14.4">
      <c r="A426" s="128"/>
      <c r="B426" s="154">
        <f t="shared" si="57"/>
        <v>42972</v>
      </c>
      <c r="C426" s="154">
        <f t="shared" si="58"/>
        <v>42978</v>
      </c>
      <c r="D426" s="155" t="str">
        <f t="shared" si="59"/>
        <v>Thu</v>
      </c>
      <c r="E426" s="162">
        <f t="shared" si="60"/>
        <v>3</v>
      </c>
      <c r="F426" s="162">
        <f t="shared" si="65"/>
        <v>18</v>
      </c>
      <c r="G426" s="162">
        <f t="shared" si="63"/>
        <v>24</v>
      </c>
      <c r="H426" s="162">
        <f t="shared" si="66"/>
        <v>240</v>
      </c>
      <c r="I426" s="175">
        <f t="shared" si="64"/>
        <v>0.11538461538461539</v>
      </c>
      <c r="J426" s="159" t="str">
        <f t="shared" si="61"/>
        <v>Aug</v>
      </c>
      <c r="K426" s="159">
        <f t="shared" si="62"/>
        <v>2017</v>
      </c>
      <c r="L426" s="160">
        <v>1</v>
      </c>
    </row>
    <row r="427" spans="1:17" ht="14.4">
      <c r="A427" s="128"/>
      <c r="B427" s="154">
        <f t="shared" si="57"/>
        <v>42986</v>
      </c>
      <c r="C427" s="154">
        <f t="shared" si="58"/>
        <v>42992</v>
      </c>
      <c r="D427" s="155" t="str">
        <f t="shared" si="59"/>
        <v>Thu</v>
      </c>
      <c r="E427" s="162">
        <f t="shared" si="60"/>
        <v>1</v>
      </c>
      <c r="F427" s="162">
        <f t="shared" si="65"/>
        <v>19</v>
      </c>
      <c r="G427" s="162">
        <f t="shared" si="63"/>
        <v>25</v>
      </c>
      <c r="H427" s="162">
        <f t="shared" si="66"/>
        <v>160</v>
      </c>
      <c r="I427" s="175">
        <f t="shared" si="64"/>
        <v>7.6923076923076927E-2</v>
      </c>
      <c r="J427" s="159" t="str">
        <f t="shared" si="61"/>
        <v>Sep</v>
      </c>
      <c r="K427" s="159">
        <f t="shared" si="62"/>
        <v>2017</v>
      </c>
      <c r="L427" s="160">
        <v>1</v>
      </c>
    </row>
    <row r="428" spans="1:17" ht="14.4">
      <c r="A428" s="128"/>
      <c r="B428" s="154">
        <f t="shared" ref="B428:B491" si="67">B427+14</f>
        <v>43000</v>
      </c>
      <c r="C428" s="154">
        <f t="shared" ref="C428:C491" si="68">B428+6</f>
        <v>43006</v>
      </c>
      <c r="D428" s="155" t="str">
        <f t="shared" si="59"/>
        <v>Thu</v>
      </c>
      <c r="E428" s="162">
        <f t="shared" si="60"/>
        <v>2</v>
      </c>
      <c r="F428" s="162">
        <f t="shared" si="65"/>
        <v>20</v>
      </c>
      <c r="G428" s="162">
        <f t="shared" si="63"/>
        <v>26</v>
      </c>
      <c r="H428" s="162">
        <f t="shared" si="66"/>
        <v>80</v>
      </c>
      <c r="I428" s="175">
        <f t="shared" si="64"/>
        <v>3.8461538461538464E-2</v>
      </c>
      <c r="J428" s="159" t="str">
        <f t="shared" si="61"/>
        <v>Sep</v>
      </c>
      <c r="K428" s="159">
        <f t="shared" si="62"/>
        <v>2017</v>
      </c>
      <c r="L428" s="160">
        <v>1</v>
      </c>
    </row>
    <row r="429" spans="1:17" ht="14.4">
      <c r="A429" s="128"/>
      <c r="B429" s="154">
        <f t="shared" si="67"/>
        <v>43014</v>
      </c>
      <c r="C429" s="154">
        <f t="shared" si="68"/>
        <v>43020</v>
      </c>
      <c r="D429" s="155" t="str">
        <f t="shared" si="59"/>
        <v>Thu</v>
      </c>
      <c r="E429" s="162">
        <f t="shared" si="60"/>
        <v>1</v>
      </c>
      <c r="F429" s="162">
        <f t="shared" si="65"/>
        <v>21</v>
      </c>
      <c r="G429" s="162">
        <f t="shared" si="63"/>
        <v>1</v>
      </c>
      <c r="H429" s="162">
        <f t="shared" si="66"/>
        <v>2080</v>
      </c>
      <c r="I429" s="175">
        <f t="shared" si="64"/>
        <v>1</v>
      </c>
      <c r="J429" s="159" t="str">
        <f t="shared" si="61"/>
        <v>Oct</v>
      </c>
      <c r="K429" s="159">
        <f t="shared" si="62"/>
        <v>2017</v>
      </c>
      <c r="L429" s="160">
        <v>1</v>
      </c>
      <c r="O429" s="199">
        <v>43008</v>
      </c>
      <c r="P429" s="145">
        <f>B429-O429</f>
        <v>6</v>
      </c>
      <c r="Q429" s="200">
        <f>P429/14</f>
        <v>0.42857142857142855</v>
      </c>
    </row>
    <row r="430" spans="1:17" ht="14.4">
      <c r="A430" s="128"/>
      <c r="B430" s="154">
        <f t="shared" si="67"/>
        <v>43028</v>
      </c>
      <c r="C430" s="154">
        <f t="shared" si="68"/>
        <v>43034</v>
      </c>
      <c r="D430" s="155" t="str">
        <f t="shared" si="59"/>
        <v>Thu</v>
      </c>
      <c r="E430" s="162">
        <f t="shared" si="60"/>
        <v>2</v>
      </c>
      <c r="F430" s="162">
        <f t="shared" si="65"/>
        <v>22</v>
      </c>
      <c r="G430" s="162">
        <f t="shared" si="63"/>
        <v>2</v>
      </c>
      <c r="H430" s="162">
        <f t="shared" si="66"/>
        <v>2000</v>
      </c>
      <c r="I430" s="175">
        <f t="shared" si="64"/>
        <v>0.96153846153846156</v>
      </c>
      <c r="J430" s="159" t="str">
        <f t="shared" si="61"/>
        <v>Oct</v>
      </c>
      <c r="K430" s="159">
        <f t="shared" si="62"/>
        <v>2017</v>
      </c>
      <c r="L430" s="160">
        <v>1</v>
      </c>
      <c r="Q430" s="201">
        <f>1-Q429</f>
        <v>0.5714285714285714</v>
      </c>
    </row>
    <row r="431" spans="1:17" ht="14.4">
      <c r="A431" s="128"/>
      <c r="B431" s="154">
        <f t="shared" si="67"/>
        <v>43042</v>
      </c>
      <c r="C431" s="154">
        <f t="shared" si="68"/>
        <v>43048</v>
      </c>
      <c r="D431" s="155" t="str">
        <f t="shared" si="59"/>
        <v>Thu</v>
      </c>
      <c r="E431" s="162">
        <f t="shared" si="60"/>
        <v>1</v>
      </c>
      <c r="F431" s="162">
        <f t="shared" si="65"/>
        <v>23</v>
      </c>
      <c r="G431" s="162">
        <f t="shared" si="63"/>
        <v>3</v>
      </c>
      <c r="H431" s="162">
        <f t="shared" si="66"/>
        <v>1920</v>
      </c>
      <c r="I431" s="175">
        <f t="shared" si="64"/>
        <v>0.92307692307692313</v>
      </c>
      <c r="J431" s="159" t="str">
        <f t="shared" si="61"/>
        <v>Nov</v>
      </c>
      <c r="K431" s="159">
        <f t="shared" si="62"/>
        <v>2017</v>
      </c>
      <c r="L431" s="160">
        <v>1</v>
      </c>
      <c r="Q431" s="201">
        <f>Q430+Q455</f>
        <v>0.9285714285714286</v>
      </c>
    </row>
    <row r="432" spans="1:17" ht="14.4">
      <c r="A432" s="128"/>
      <c r="B432" s="154">
        <f t="shared" si="67"/>
        <v>43056</v>
      </c>
      <c r="C432" s="154">
        <f t="shared" si="68"/>
        <v>43062</v>
      </c>
      <c r="D432" s="155" t="str">
        <f t="shared" si="59"/>
        <v>Thu</v>
      </c>
      <c r="E432" s="162">
        <f t="shared" si="60"/>
        <v>2</v>
      </c>
      <c r="F432" s="162">
        <f t="shared" si="65"/>
        <v>24</v>
      </c>
      <c r="G432" s="162">
        <f t="shared" si="63"/>
        <v>4</v>
      </c>
      <c r="H432" s="162">
        <f t="shared" si="66"/>
        <v>1840</v>
      </c>
      <c r="I432" s="175">
        <f t="shared" si="64"/>
        <v>0.88461538461538458</v>
      </c>
      <c r="J432" s="159" t="str">
        <f t="shared" si="61"/>
        <v>Nov</v>
      </c>
      <c r="K432" s="159">
        <f t="shared" si="62"/>
        <v>2017</v>
      </c>
      <c r="L432" s="160">
        <v>1</v>
      </c>
    </row>
    <row r="433" spans="1:12" ht="14.4">
      <c r="A433" s="128"/>
      <c r="B433" s="154">
        <f t="shared" si="67"/>
        <v>43070</v>
      </c>
      <c r="C433" s="154">
        <f t="shared" si="68"/>
        <v>43076</v>
      </c>
      <c r="D433" s="155" t="str">
        <f t="shared" si="59"/>
        <v>Thu</v>
      </c>
      <c r="E433" s="162">
        <f t="shared" si="60"/>
        <v>1</v>
      </c>
      <c r="F433" s="162">
        <f t="shared" si="65"/>
        <v>25</v>
      </c>
      <c r="G433" s="162">
        <f t="shared" si="63"/>
        <v>5</v>
      </c>
      <c r="H433" s="162">
        <f t="shared" si="66"/>
        <v>1760</v>
      </c>
      <c r="I433" s="175">
        <f t="shared" si="64"/>
        <v>0.84615384615384615</v>
      </c>
      <c r="J433" s="159" t="str">
        <f t="shared" si="61"/>
        <v>Dec</v>
      </c>
      <c r="K433" s="159">
        <f t="shared" si="62"/>
        <v>2017</v>
      </c>
      <c r="L433" s="160">
        <v>1</v>
      </c>
    </row>
    <row r="434" spans="1:12" ht="14.4">
      <c r="A434" s="128"/>
      <c r="B434" s="154">
        <f t="shared" si="67"/>
        <v>43084</v>
      </c>
      <c r="C434" s="154">
        <f t="shared" si="68"/>
        <v>43090</v>
      </c>
      <c r="D434" s="155" t="str">
        <f t="shared" si="59"/>
        <v>Thu</v>
      </c>
      <c r="E434" s="162">
        <f t="shared" si="60"/>
        <v>2</v>
      </c>
      <c r="F434" s="162">
        <f t="shared" si="65"/>
        <v>26</v>
      </c>
      <c r="G434" s="162">
        <f t="shared" si="63"/>
        <v>6</v>
      </c>
      <c r="H434" s="162">
        <f t="shared" si="66"/>
        <v>1680</v>
      </c>
      <c r="I434" s="175">
        <f t="shared" si="64"/>
        <v>0.80769230769230771</v>
      </c>
      <c r="J434" s="159" t="str">
        <f t="shared" si="61"/>
        <v>Dec</v>
      </c>
      <c r="K434" s="159">
        <f t="shared" si="62"/>
        <v>2017</v>
      </c>
      <c r="L434" s="160">
        <v>1</v>
      </c>
    </row>
    <row r="435" spans="1:12" ht="14.4">
      <c r="A435" s="128"/>
      <c r="B435" s="154">
        <f t="shared" si="67"/>
        <v>43098</v>
      </c>
      <c r="C435" s="154">
        <f t="shared" si="68"/>
        <v>43104</v>
      </c>
      <c r="D435" s="155" t="str">
        <f t="shared" si="59"/>
        <v>Thu</v>
      </c>
      <c r="E435" s="162">
        <f t="shared" si="60"/>
        <v>1</v>
      </c>
      <c r="F435" s="162">
        <f t="shared" si="65"/>
        <v>1</v>
      </c>
      <c r="G435" s="162">
        <f t="shared" si="63"/>
        <v>7</v>
      </c>
      <c r="H435" s="162">
        <f t="shared" si="66"/>
        <v>1600</v>
      </c>
      <c r="I435" s="175">
        <f t="shared" si="64"/>
        <v>0.76923076923076927</v>
      </c>
      <c r="J435" s="159" t="str">
        <f t="shared" si="61"/>
        <v>Jan</v>
      </c>
      <c r="K435" s="159">
        <f t="shared" si="62"/>
        <v>2018</v>
      </c>
      <c r="L435" s="160">
        <v>1</v>
      </c>
    </row>
    <row r="436" spans="1:12" ht="14.4">
      <c r="A436" s="128"/>
      <c r="B436" s="154">
        <f t="shared" si="67"/>
        <v>43112</v>
      </c>
      <c r="C436" s="154">
        <f t="shared" si="68"/>
        <v>43118</v>
      </c>
      <c r="D436" s="155" t="str">
        <f t="shared" si="59"/>
        <v>Thu</v>
      </c>
      <c r="E436" s="162">
        <f t="shared" si="60"/>
        <v>2</v>
      </c>
      <c r="F436" s="162">
        <f t="shared" si="65"/>
        <v>2</v>
      </c>
      <c r="G436" s="162">
        <f t="shared" si="63"/>
        <v>8</v>
      </c>
      <c r="H436" s="162">
        <f t="shared" si="66"/>
        <v>1520</v>
      </c>
      <c r="I436" s="175">
        <f t="shared" si="64"/>
        <v>0.73076923076923073</v>
      </c>
      <c r="J436" s="159" t="str">
        <f t="shared" si="61"/>
        <v>Jan</v>
      </c>
      <c r="K436" s="159">
        <f t="shared" si="62"/>
        <v>2018</v>
      </c>
      <c r="L436" s="160">
        <v>1</v>
      </c>
    </row>
    <row r="437" spans="1:12" ht="14.4">
      <c r="A437" s="128"/>
      <c r="B437" s="154">
        <f t="shared" si="67"/>
        <v>43126</v>
      </c>
      <c r="C437" s="154">
        <f t="shared" si="68"/>
        <v>43132</v>
      </c>
      <c r="D437" s="155" t="str">
        <f t="shared" si="59"/>
        <v>Thu</v>
      </c>
      <c r="E437" s="162">
        <f t="shared" si="60"/>
        <v>1</v>
      </c>
      <c r="F437" s="162">
        <f t="shared" si="65"/>
        <v>3</v>
      </c>
      <c r="G437" s="162">
        <f t="shared" si="63"/>
        <v>9</v>
      </c>
      <c r="H437" s="162">
        <f t="shared" si="66"/>
        <v>1440</v>
      </c>
      <c r="I437" s="175">
        <f t="shared" si="64"/>
        <v>0.69230769230769229</v>
      </c>
      <c r="J437" s="159" t="str">
        <f t="shared" si="61"/>
        <v>Feb</v>
      </c>
      <c r="K437" s="159">
        <f t="shared" si="62"/>
        <v>2018</v>
      </c>
      <c r="L437" s="160">
        <v>1</v>
      </c>
    </row>
    <row r="438" spans="1:12" ht="14.4">
      <c r="A438" s="128"/>
      <c r="B438" s="154">
        <f t="shared" si="67"/>
        <v>43140</v>
      </c>
      <c r="C438" s="154">
        <f t="shared" si="68"/>
        <v>43146</v>
      </c>
      <c r="D438" s="155" t="str">
        <f t="shared" si="59"/>
        <v>Thu</v>
      </c>
      <c r="E438" s="162">
        <f t="shared" si="60"/>
        <v>2</v>
      </c>
      <c r="F438" s="162">
        <f t="shared" si="65"/>
        <v>4</v>
      </c>
      <c r="G438" s="162">
        <f t="shared" si="63"/>
        <v>10</v>
      </c>
      <c r="H438" s="162">
        <f t="shared" si="66"/>
        <v>1360</v>
      </c>
      <c r="I438" s="175">
        <f t="shared" si="64"/>
        <v>0.65384615384615385</v>
      </c>
      <c r="J438" s="159" t="str">
        <f t="shared" si="61"/>
        <v>Feb</v>
      </c>
      <c r="K438" s="159">
        <f t="shared" si="62"/>
        <v>2018</v>
      </c>
      <c r="L438" s="160">
        <v>1</v>
      </c>
    </row>
    <row r="439" spans="1:12" ht="14.4">
      <c r="A439" s="128"/>
      <c r="B439" s="154">
        <f t="shared" si="67"/>
        <v>43154</v>
      </c>
      <c r="C439" s="154">
        <f t="shared" si="68"/>
        <v>43160</v>
      </c>
      <c r="D439" s="155" t="str">
        <f t="shared" si="59"/>
        <v>Thu</v>
      </c>
      <c r="E439" s="162">
        <f t="shared" si="60"/>
        <v>1</v>
      </c>
      <c r="F439" s="162">
        <f t="shared" si="65"/>
        <v>5</v>
      </c>
      <c r="G439" s="162">
        <f t="shared" si="63"/>
        <v>11</v>
      </c>
      <c r="H439" s="162">
        <f t="shared" si="66"/>
        <v>1280</v>
      </c>
      <c r="I439" s="175">
        <f t="shared" si="64"/>
        <v>0.61538461538461542</v>
      </c>
      <c r="J439" s="159" t="str">
        <f t="shared" si="61"/>
        <v>Mar</v>
      </c>
      <c r="K439" s="159">
        <f t="shared" si="62"/>
        <v>2018</v>
      </c>
      <c r="L439" s="160">
        <v>1</v>
      </c>
    </row>
    <row r="440" spans="1:12" ht="14.4">
      <c r="A440" s="128"/>
      <c r="B440" s="154">
        <f t="shared" si="67"/>
        <v>43168</v>
      </c>
      <c r="C440" s="154">
        <f t="shared" si="68"/>
        <v>43174</v>
      </c>
      <c r="D440" s="155" t="str">
        <f t="shared" si="59"/>
        <v>Thu</v>
      </c>
      <c r="E440" s="162">
        <f t="shared" si="60"/>
        <v>2</v>
      </c>
      <c r="F440" s="162">
        <f t="shared" si="65"/>
        <v>6</v>
      </c>
      <c r="G440" s="162">
        <f t="shared" si="63"/>
        <v>12</v>
      </c>
      <c r="H440" s="162">
        <f t="shared" si="66"/>
        <v>1200</v>
      </c>
      <c r="I440" s="175">
        <f t="shared" si="64"/>
        <v>0.57692307692307687</v>
      </c>
      <c r="J440" s="159" t="str">
        <f t="shared" si="61"/>
        <v>Mar</v>
      </c>
      <c r="K440" s="159">
        <f t="shared" si="62"/>
        <v>2018</v>
      </c>
      <c r="L440" s="160">
        <v>1</v>
      </c>
    </row>
    <row r="441" spans="1:12" ht="14.4">
      <c r="A441" s="128"/>
      <c r="B441" s="154">
        <f t="shared" si="67"/>
        <v>43182</v>
      </c>
      <c r="C441" s="154">
        <f t="shared" si="68"/>
        <v>43188</v>
      </c>
      <c r="D441" s="155" t="str">
        <f t="shared" si="59"/>
        <v>Thu</v>
      </c>
      <c r="E441" s="162">
        <f t="shared" si="60"/>
        <v>3</v>
      </c>
      <c r="F441" s="162">
        <f t="shared" si="65"/>
        <v>7</v>
      </c>
      <c r="G441" s="162">
        <f t="shared" si="63"/>
        <v>13</v>
      </c>
      <c r="H441" s="162">
        <f t="shared" si="66"/>
        <v>1120</v>
      </c>
      <c r="I441" s="175">
        <f t="shared" si="64"/>
        <v>0.53846153846153844</v>
      </c>
      <c r="J441" s="159" t="str">
        <f t="shared" si="61"/>
        <v>Mar</v>
      </c>
      <c r="K441" s="159">
        <f t="shared" si="62"/>
        <v>2018</v>
      </c>
      <c r="L441" s="160">
        <v>1</v>
      </c>
    </row>
    <row r="442" spans="1:12" ht="14.4">
      <c r="A442" s="128"/>
      <c r="B442" s="154">
        <f t="shared" si="67"/>
        <v>43196</v>
      </c>
      <c r="C442" s="154">
        <f t="shared" si="68"/>
        <v>43202</v>
      </c>
      <c r="D442" s="155" t="str">
        <f t="shared" si="59"/>
        <v>Thu</v>
      </c>
      <c r="E442" s="162">
        <f t="shared" si="60"/>
        <v>1</v>
      </c>
      <c r="F442" s="162">
        <f t="shared" si="65"/>
        <v>8</v>
      </c>
      <c r="G442" s="162">
        <f t="shared" si="63"/>
        <v>14</v>
      </c>
      <c r="H442" s="162">
        <f t="shared" si="66"/>
        <v>1040</v>
      </c>
      <c r="I442" s="175">
        <f t="shared" si="64"/>
        <v>0.5</v>
      </c>
      <c r="J442" s="159" t="str">
        <f t="shared" si="61"/>
        <v>Apr</v>
      </c>
      <c r="K442" s="159">
        <f t="shared" si="62"/>
        <v>2018</v>
      </c>
      <c r="L442" s="160">
        <v>1</v>
      </c>
    </row>
    <row r="443" spans="1:12" ht="14.4">
      <c r="A443" s="128"/>
      <c r="B443" s="154">
        <f t="shared" si="67"/>
        <v>43210</v>
      </c>
      <c r="C443" s="154">
        <f t="shared" si="68"/>
        <v>43216</v>
      </c>
      <c r="D443" s="155" t="str">
        <f t="shared" si="59"/>
        <v>Thu</v>
      </c>
      <c r="E443" s="162">
        <f t="shared" si="60"/>
        <v>2</v>
      </c>
      <c r="F443" s="162">
        <f t="shared" si="65"/>
        <v>9</v>
      </c>
      <c r="G443" s="162">
        <f t="shared" si="63"/>
        <v>15</v>
      </c>
      <c r="H443" s="162">
        <f t="shared" si="66"/>
        <v>960</v>
      </c>
      <c r="I443" s="175">
        <f t="shared" si="64"/>
        <v>0.46153846153846156</v>
      </c>
      <c r="J443" s="159" t="str">
        <f t="shared" si="61"/>
        <v>Apr</v>
      </c>
      <c r="K443" s="159">
        <f t="shared" si="62"/>
        <v>2018</v>
      </c>
      <c r="L443" s="160">
        <v>1</v>
      </c>
    </row>
    <row r="444" spans="1:12" ht="14.4">
      <c r="A444" s="128"/>
      <c r="B444" s="154">
        <f t="shared" si="67"/>
        <v>43224</v>
      </c>
      <c r="C444" s="154">
        <f t="shared" si="68"/>
        <v>43230</v>
      </c>
      <c r="D444" s="155" t="str">
        <f t="shared" si="59"/>
        <v>Thu</v>
      </c>
      <c r="E444" s="162">
        <f t="shared" si="60"/>
        <v>1</v>
      </c>
      <c r="F444" s="162">
        <f t="shared" si="65"/>
        <v>10</v>
      </c>
      <c r="G444" s="162">
        <f t="shared" si="63"/>
        <v>16</v>
      </c>
      <c r="H444" s="162">
        <f t="shared" si="66"/>
        <v>880</v>
      </c>
      <c r="I444" s="175">
        <f t="shared" si="64"/>
        <v>0.42307692307692307</v>
      </c>
      <c r="J444" s="159" t="str">
        <f t="shared" si="61"/>
        <v>May</v>
      </c>
      <c r="K444" s="159">
        <f t="shared" si="62"/>
        <v>2018</v>
      </c>
      <c r="L444" s="160">
        <v>1</v>
      </c>
    </row>
    <row r="445" spans="1:12" ht="14.4">
      <c r="A445" s="128"/>
      <c r="B445" s="154">
        <f t="shared" si="67"/>
        <v>43238</v>
      </c>
      <c r="C445" s="154">
        <f t="shared" si="68"/>
        <v>43244</v>
      </c>
      <c r="D445" s="155" t="str">
        <f t="shared" si="59"/>
        <v>Thu</v>
      </c>
      <c r="E445" s="162">
        <f t="shared" si="60"/>
        <v>2</v>
      </c>
      <c r="F445" s="162">
        <f t="shared" si="65"/>
        <v>11</v>
      </c>
      <c r="G445" s="162">
        <f t="shared" si="63"/>
        <v>17</v>
      </c>
      <c r="H445" s="162">
        <f t="shared" si="66"/>
        <v>800</v>
      </c>
      <c r="I445" s="175">
        <f t="shared" si="64"/>
        <v>0.38461538461538464</v>
      </c>
      <c r="J445" s="159" t="str">
        <f t="shared" si="61"/>
        <v>May</v>
      </c>
      <c r="K445" s="159">
        <f t="shared" si="62"/>
        <v>2018</v>
      </c>
      <c r="L445" s="160">
        <v>1</v>
      </c>
    </row>
    <row r="446" spans="1:12" ht="14.4">
      <c r="A446" s="128"/>
      <c r="B446" s="154">
        <f t="shared" si="67"/>
        <v>43252</v>
      </c>
      <c r="C446" s="154">
        <f t="shared" si="68"/>
        <v>43258</v>
      </c>
      <c r="D446" s="155" t="str">
        <f t="shared" si="59"/>
        <v>Thu</v>
      </c>
      <c r="E446" s="162">
        <f t="shared" si="60"/>
        <v>1</v>
      </c>
      <c r="F446" s="162">
        <f t="shared" si="65"/>
        <v>12</v>
      </c>
      <c r="G446" s="162">
        <f t="shared" si="63"/>
        <v>18</v>
      </c>
      <c r="H446" s="162">
        <f t="shared" si="66"/>
        <v>720</v>
      </c>
      <c r="I446" s="175">
        <f t="shared" si="64"/>
        <v>0.34615384615384615</v>
      </c>
      <c r="J446" s="159" t="str">
        <f t="shared" si="61"/>
        <v>Jun</v>
      </c>
      <c r="K446" s="159">
        <f t="shared" si="62"/>
        <v>2018</v>
      </c>
      <c r="L446" s="160">
        <v>1</v>
      </c>
    </row>
    <row r="447" spans="1:12" ht="14.4">
      <c r="A447" s="128"/>
      <c r="B447" s="154">
        <f t="shared" si="67"/>
        <v>43266</v>
      </c>
      <c r="C447" s="154">
        <f t="shared" si="68"/>
        <v>43272</v>
      </c>
      <c r="D447" s="155" t="str">
        <f t="shared" si="59"/>
        <v>Thu</v>
      </c>
      <c r="E447" s="162">
        <f t="shared" si="60"/>
        <v>2</v>
      </c>
      <c r="F447" s="162">
        <f t="shared" si="65"/>
        <v>13</v>
      </c>
      <c r="G447" s="162">
        <f t="shared" si="63"/>
        <v>19</v>
      </c>
      <c r="H447" s="162">
        <f t="shared" si="66"/>
        <v>640</v>
      </c>
      <c r="I447" s="175">
        <f t="shared" si="64"/>
        <v>0.30769230769230771</v>
      </c>
      <c r="J447" s="159" t="str">
        <f t="shared" si="61"/>
        <v>Jun</v>
      </c>
      <c r="K447" s="159">
        <f t="shared" si="62"/>
        <v>2018</v>
      </c>
      <c r="L447" s="160">
        <v>1</v>
      </c>
    </row>
    <row r="448" spans="1:12" ht="14.4">
      <c r="A448" s="128"/>
      <c r="B448" s="154">
        <f t="shared" si="67"/>
        <v>43280</v>
      </c>
      <c r="C448" s="154">
        <f t="shared" si="68"/>
        <v>43286</v>
      </c>
      <c r="D448" s="155" t="str">
        <f t="shared" si="59"/>
        <v>Thu</v>
      </c>
      <c r="E448" s="162">
        <f t="shared" si="60"/>
        <v>1</v>
      </c>
      <c r="F448" s="162">
        <f t="shared" si="65"/>
        <v>14</v>
      </c>
      <c r="G448" s="162">
        <f t="shared" si="63"/>
        <v>20</v>
      </c>
      <c r="H448" s="162">
        <f t="shared" si="66"/>
        <v>560</v>
      </c>
      <c r="I448" s="175">
        <f t="shared" si="64"/>
        <v>0.26923076923076922</v>
      </c>
      <c r="J448" s="159" t="str">
        <f t="shared" si="61"/>
        <v>Jul</v>
      </c>
      <c r="K448" s="159">
        <f t="shared" si="62"/>
        <v>2018</v>
      </c>
      <c r="L448" s="160">
        <v>1</v>
      </c>
    </row>
    <row r="449" spans="1:17" ht="14.4">
      <c r="A449" s="128"/>
      <c r="B449" s="154">
        <f t="shared" si="67"/>
        <v>43294</v>
      </c>
      <c r="C449" s="154">
        <f t="shared" si="68"/>
        <v>43300</v>
      </c>
      <c r="D449" s="155" t="str">
        <f t="shared" si="59"/>
        <v>Thu</v>
      </c>
      <c r="E449" s="162">
        <f t="shared" si="60"/>
        <v>2</v>
      </c>
      <c r="F449" s="162">
        <f t="shared" si="65"/>
        <v>15</v>
      </c>
      <c r="G449" s="162">
        <f t="shared" si="63"/>
        <v>21</v>
      </c>
      <c r="H449" s="162">
        <f t="shared" si="66"/>
        <v>480</v>
      </c>
      <c r="I449" s="175">
        <f t="shared" si="64"/>
        <v>0.23076923076923078</v>
      </c>
      <c r="J449" s="159" t="str">
        <f t="shared" si="61"/>
        <v>Jul</v>
      </c>
      <c r="K449" s="159">
        <f t="shared" si="62"/>
        <v>2018</v>
      </c>
      <c r="L449" s="160">
        <v>1</v>
      </c>
    </row>
    <row r="450" spans="1:17" ht="14.4">
      <c r="A450" s="128"/>
      <c r="B450" s="154">
        <f t="shared" si="67"/>
        <v>43308</v>
      </c>
      <c r="C450" s="154">
        <f t="shared" si="68"/>
        <v>43314</v>
      </c>
      <c r="D450" s="155" t="str">
        <f t="shared" si="59"/>
        <v>Thu</v>
      </c>
      <c r="E450" s="162">
        <f t="shared" si="60"/>
        <v>1</v>
      </c>
      <c r="F450" s="162">
        <f t="shared" si="65"/>
        <v>16</v>
      </c>
      <c r="G450" s="162">
        <f t="shared" si="63"/>
        <v>22</v>
      </c>
      <c r="H450" s="162">
        <f t="shared" si="66"/>
        <v>400</v>
      </c>
      <c r="I450" s="175">
        <f t="shared" si="64"/>
        <v>0.19230769230769232</v>
      </c>
      <c r="J450" s="159" t="str">
        <f t="shared" si="61"/>
        <v>Aug</v>
      </c>
      <c r="K450" s="159">
        <f t="shared" si="62"/>
        <v>2018</v>
      </c>
      <c r="L450" s="160">
        <v>1</v>
      </c>
    </row>
    <row r="451" spans="1:17" ht="14.4">
      <c r="A451" s="128"/>
      <c r="B451" s="154">
        <f t="shared" si="67"/>
        <v>43322</v>
      </c>
      <c r="C451" s="154">
        <f t="shared" si="68"/>
        <v>43328</v>
      </c>
      <c r="D451" s="155" t="str">
        <f t="shared" si="59"/>
        <v>Thu</v>
      </c>
      <c r="E451" s="162">
        <f t="shared" si="60"/>
        <v>2</v>
      </c>
      <c r="F451" s="162">
        <f t="shared" si="65"/>
        <v>17</v>
      </c>
      <c r="G451" s="162">
        <f t="shared" si="63"/>
        <v>23</v>
      </c>
      <c r="H451" s="162">
        <f t="shared" si="66"/>
        <v>320</v>
      </c>
      <c r="I451" s="175">
        <f t="shared" si="64"/>
        <v>0.15384615384615385</v>
      </c>
      <c r="J451" s="159" t="str">
        <f t="shared" si="61"/>
        <v>Aug</v>
      </c>
      <c r="K451" s="159">
        <f t="shared" si="62"/>
        <v>2018</v>
      </c>
      <c r="L451" s="160">
        <v>1</v>
      </c>
    </row>
    <row r="452" spans="1:17" ht="14.4">
      <c r="A452" s="128"/>
      <c r="B452" s="154">
        <f t="shared" si="67"/>
        <v>43336</v>
      </c>
      <c r="C452" s="154">
        <f t="shared" si="68"/>
        <v>43342</v>
      </c>
      <c r="D452" s="155" t="str">
        <f t="shared" si="59"/>
        <v>Thu</v>
      </c>
      <c r="E452" s="162">
        <f t="shared" si="60"/>
        <v>3</v>
      </c>
      <c r="F452" s="162">
        <f t="shared" si="65"/>
        <v>18</v>
      </c>
      <c r="G452" s="162">
        <f t="shared" si="63"/>
        <v>24</v>
      </c>
      <c r="H452" s="162">
        <f t="shared" si="66"/>
        <v>240</v>
      </c>
      <c r="I452" s="175">
        <f t="shared" si="64"/>
        <v>0.11538461538461539</v>
      </c>
      <c r="J452" s="159" t="str">
        <f t="shared" si="61"/>
        <v>Aug</v>
      </c>
      <c r="K452" s="159">
        <f t="shared" si="62"/>
        <v>2018</v>
      </c>
      <c r="L452" s="160">
        <v>1</v>
      </c>
    </row>
    <row r="453" spans="1:17" ht="14.4">
      <c r="A453" s="128"/>
      <c r="B453" s="154">
        <f t="shared" si="67"/>
        <v>43350</v>
      </c>
      <c r="C453" s="154">
        <f t="shared" si="68"/>
        <v>43356</v>
      </c>
      <c r="D453" s="155" t="str">
        <f t="shared" si="59"/>
        <v>Thu</v>
      </c>
      <c r="E453" s="162">
        <f t="shared" si="60"/>
        <v>1</v>
      </c>
      <c r="F453" s="162">
        <f t="shared" si="65"/>
        <v>19</v>
      </c>
      <c r="G453" s="162">
        <f t="shared" si="63"/>
        <v>25</v>
      </c>
      <c r="H453" s="162">
        <f t="shared" si="66"/>
        <v>160</v>
      </c>
      <c r="I453" s="175">
        <f t="shared" si="64"/>
        <v>7.6923076923076927E-2</v>
      </c>
      <c r="J453" s="159" t="str">
        <f t="shared" si="61"/>
        <v>Sep</v>
      </c>
      <c r="K453" s="159">
        <f t="shared" si="62"/>
        <v>2018</v>
      </c>
      <c r="L453" s="160">
        <v>1</v>
      </c>
    </row>
    <row r="454" spans="1:17" ht="14.4">
      <c r="A454" s="128"/>
      <c r="B454" s="154">
        <f t="shared" si="67"/>
        <v>43364</v>
      </c>
      <c r="C454" s="154">
        <f t="shared" si="68"/>
        <v>43370</v>
      </c>
      <c r="D454" s="155" t="str">
        <f t="shared" si="59"/>
        <v>Thu</v>
      </c>
      <c r="E454" s="162">
        <f t="shared" si="60"/>
        <v>2</v>
      </c>
      <c r="F454" s="162">
        <f t="shared" si="65"/>
        <v>20</v>
      </c>
      <c r="G454" s="162">
        <f t="shared" si="63"/>
        <v>26</v>
      </c>
      <c r="H454" s="162">
        <f t="shared" si="66"/>
        <v>80</v>
      </c>
      <c r="I454" s="175">
        <f t="shared" si="64"/>
        <v>3.8461538461538464E-2</v>
      </c>
      <c r="J454" s="159" t="str">
        <f t="shared" si="61"/>
        <v>Sep</v>
      </c>
      <c r="K454" s="159">
        <f t="shared" si="62"/>
        <v>2018</v>
      </c>
      <c r="L454" s="160">
        <v>1</v>
      </c>
    </row>
    <row r="455" spans="1:17" ht="14.4">
      <c r="A455" s="128"/>
      <c r="B455" s="154">
        <f t="shared" si="67"/>
        <v>43378</v>
      </c>
      <c r="C455" s="154">
        <f t="shared" si="68"/>
        <v>43384</v>
      </c>
      <c r="D455" s="155" t="str">
        <f t="shared" si="59"/>
        <v>Thu</v>
      </c>
      <c r="E455" s="162">
        <f t="shared" si="60"/>
        <v>1</v>
      </c>
      <c r="F455" s="162">
        <f t="shared" si="65"/>
        <v>21</v>
      </c>
      <c r="G455" s="162">
        <f t="shared" si="63"/>
        <v>1</v>
      </c>
      <c r="H455" s="162">
        <f t="shared" si="66"/>
        <v>2080</v>
      </c>
      <c r="I455" s="175">
        <f t="shared" si="64"/>
        <v>1</v>
      </c>
      <c r="J455" s="159" t="str">
        <f t="shared" si="61"/>
        <v>Oct</v>
      </c>
      <c r="K455" s="159">
        <f t="shared" si="62"/>
        <v>2018</v>
      </c>
      <c r="L455" s="160">
        <v>1</v>
      </c>
      <c r="O455" s="199">
        <v>43373</v>
      </c>
      <c r="P455" s="145">
        <f>B455-O455</f>
        <v>5</v>
      </c>
      <c r="Q455" s="200">
        <f>P455/14</f>
        <v>0.35714285714285715</v>
      </c>
    </row>
    <row r="456" spans="1:17" ht="14.4">
      <c r="A456" s="128"/>
      <c r="B456" s="154">
        <f t="shared" si="67"/>
        <v>43392</v>
      </c>
      <c r="C456" s="154">
        <f t="shared" si="68"/>
        <v>43398</v>
      </c>
      <c r="D456" s="155" t="str">
        <f t="shared" ref="D456:D519" si="69">TEXT(C456,"ddd")</f>
        <v>Thu</v>
      </c>
      <c r="E456" s="162">
        <f t="shared" ref="E456:E519" si="70">IF(MONTH(C456)=MONTH(C455),E455+1,1)</f>
        <v>2</v>
      </c>
      <c r="F456" s="162">
        <f t="shared" si="65"/>
        <v>22</v>
      </c>
      <c r="G456" s="162">
        <f t="shared" si="63"/>
        <v>2</v>
      </c>
      <c r="H456" s="162">
        <f t="shared" si="66"/>
        <v>2000</v>
      </c>
      <c r="I456" s="175">
        <f t="shared" si="64"/>
        <v>0.96153846153846156</v>
      </c>
      <c r="J456" s="159" t="str">
        <f t="shared" ref="J456:J519" si="71">TEXT(C456,"mmm")</f>
        <v>Oct</v>
      </c>
      <c r="K456" s="159">
        <f t="shared" ref="K456:K519" si="72">YEAR(C456)</f>
        <v>2018</v>
      </c>
      <c r="L456" s="160">
        <v>1</v>
      </c>
      <c r="Q456" s="201">
        <f>1-Q455</f>
        <v>0.64285714285714279</v>
      </c>
    </row>
    <row r="457" spans="1:17" ht="14.4">
      <c r="A457" s="128"/>
      <c r="B457" s="154">
        <f t="shared" si="67"/>
        <v>43406</v>
      </c>
      <c r="C457" s="154">
        <f t="shared" si="68"/>
        <v>43412</v>
      </c>
      <c r="D457" s="155" t="str">
        <f t="shared" si="69"/>
        <v>Thu</v>
      </c>
      <c r="E457" s="162">
        <f t="shared" si="70"/>
        <v>1</v>
      </c>
      <c r="F457" s="162">
        <f t="shared" si="65"/>
        <v>23</v>
      </c>
      <c r="G457" s="162">
        <f t="shared" si="63"/>
        <v>3</v>
      </c>
      <c r="H457" s="162">
        <f t="shared" si="66"/>
        <v>1920</v>
      </c>
      <c r="I457" s="175">
        <f t="shared" si="64"/>
        <v>0.92307692307692313</v>
      </c>
      <c r="J457" s="159" t="str">
        <f t="shared" si="71"/>
        <v>Nov</v>
      </c>
      <c r="K457" s="159">
        <f t="shared" si="72"/>
        <v>2018</v>
      </c>
      <c r="L457" s="160">
        <v>1</v>
      </c>
      <c r="O457" s="145">
        <f>5/14</f>
        <v>0.35714285714285715</v>
      </c>
    </row>
    <row r="458" spans="1:17" ht="14.4">
      <c r="A458" s="128"/>
      <c r="B458" s="154">
        <f t="shared" si="67"/>
        <v>43420</v>
      </c>
      <c r="C458" s="154">
        <f t="shared" si="68"/>
        <v>43426</v>
      </c>
      <c r="D458" s="155" t="str">
        <f t="shared" si="69"/>
        <v>Thu</v>
      </c>
      <c r="E458" s="162">
        <f t="shared" si="70"/>
        <v>2</v>
      </c>
      <c r="F458" s="162">
        <f t="shared" si="65"/>
        <v>24</v>
      </c>
      <c r="G458" s="162">
        <f t="shared" si="63"/>
        <v>4</v>
      </c>
      <c r="H458" s="162">
        <f t="shared" si="66"/>
        <v>1840</v>
      </c>
      <c r="I458" s="175">
        <f t="shared" si="64"/>
        <v>0.88461538461538458</v>
      </c>
      <c r="J458" s="159" t="str">
        <f t="shared" si="71"/>
        <v>Nov</v>
      </c>
      <c r="K458" s="159">
        <f t="shared" si="72"/>
        <v>2018</v>
      </c>
      <c r="L458" s="160">
        <v>1</v>
      </c>
    </row>
    <row r="459" spans="1:17" ht="14.4">
      <c r="A459" s="128"/>
      <c r="B459" s="154">
        <f t="shared" si="67"/>
        <v>43434</v>
      </c>
      <c r="C459" s="154">
        <f t="shared" si="68"/>
        <v>43440</v>
      </c>
      <c r="D459" s="155" t="str">
        <f t="shared" si="69"/>
        <v>Thu</v>
      </c>
      <c r="E459" s="162">
        <f t="shared" si="70"/>
        <v>1</v>
      </c>
      <c r="F459" s="162">
        <f t="shared" si="65"/>
        <v>25</v>
      </c>
      <c r="G459" s="162">
        <f t="shared" ref="G459:G522" si="73">IF(AND(F459&lt;26,MONTH(C459)=10),E459,(G458+1))</f>
        <v>5</v>
      </c>
      <c r="H459" s="162">
        <f t="shared" si="66"/>
        <v>1760</v>
      </c>
      <c r="I459" s="175">
        <f t="shared" si="64"/>
        <v>0.84615384615384615</v>
      </c>
      <c r="J459" s="159" t="str">
        <f t="shared" si="71"/>
        <v>Dec</v>
      </c>
      <c r="K459" s="159">
        <f t="shared" si="72"/>
        <v>2018</v>
      </c>
      <c r="L459" s="160">
        <v>1</v>
      </c>
    </row>
    <row r="460" spans="1:17" ht="14.4">
      <c r="A460" s="128"/>
      <c r="B460" s="154">
        <f t="shared" si="67"/>
        <v>43448</v>
      </c>
      <c r="C460" s="154">
        <f t="shared" si="68"/>
        <v>43454</v>
      </c>
      <c r="D460" s="155" t="str">
        <f t="shared" si="69"/>
        <v>Thu</v>
      </c>
      <c r="E460" s="162">
        <f t="shared" si="70"/>
        <v>2</v>
      </c>
      <c r="F460" s="162">
        <f t="shared" si="65"/>
        <v>26</v>
      </c>
      <c r="G460" s="162">
        <f t="shared" si="73"/>
        <v>6</v>
      </c>
      <c r="H460" s="162">
        <f t="shared" si="66"/>
        <v>1680</v>
      </c>
      <c r="I460" s="175">
        <f t="shared" si="64"/>
        <v>0.80769230769230771</v>
      </c>
      <c r="J460" s="159" t="str">
        <f t="shared" si="71"/>
        <v>Dec</v>
      </c>
      <c r="K460" s="159">
        <f t="shared" si="72"/>
        <v>2018</v>
      </c>
      <c r="L460" s="160">
        <v>1</v>
      </c>
    </row>
    <row r="461" spans="1:17" ht="14.4">
      <c r="A461" s="128"/>
      <c r="B461" s="154">
        <f t="shared" si="67"/>
        <v>43462</v>
      </c>
      <c r="C461" s="154">
        <f t="shared" si="68"/>
        <v>43468</v>
      </c>
      <c r="D461" s="155" t="str">
        <f t="shared" si="69"/>
        <v>Thu</v>
      </c>
      <c r="E461" s="162">
        <f t="shared" si="70"/>
        <v>1</v>
      </c>
      <c r="F461" s="162">
        <f t="shared" si="65"/>
        <v>1</v>
      </c>
      <c r="G461" s="162">
        <f t="shared" si="73"/>
        <v>7</v>
      </c>
      <c r="H461" s="162">
        <f t="shared" si="66"/>
        <v>1600</v>
      </c>
      <c r="I461" s="175">
        <f t="shared" si="64"/>
        <v>0.76923076923076927</v>
      </c>
      <c r="J461" s="159" t="str">
        <f t="shared" si="71"/>
        <v>Jan</v>
      </c>
      <c r="K461" s="159">
        <f t="shared" si="72"/>
        <v>2019</v>
      </c>
      <c r="L461" s="160">
        <v>1</v>
      </c>
    </row>
    <row r="462" spans="1:17" ht="14.4">
      <c r="A462" s="128"/>
      <c r="B462" s="154">
        <f t="shared" si="67"/>
        <v>43476</v>
      </c>
      <c r="C462" s="154">
        <f t="shared" si="68"/>
        <v>43482</v>
      </c>
      <c r="D462" s="155" t="str">
        <f t="shared" si="69"/>
        <v>Thu</v>
      </c>
      <c r="E462" s="162">
        <f t="shared" si="70"/>
        <v>2</v>
      </c>
      <c r="F462" s="162">
        <f t="shared" si="65"/>
        <v>2</v>
      </c>
      <c r="G462" s="162">
        <f t="shared" si="73"/>
        <v>8</v>
      </c>
      <c r="H462" s="162">
        <f t="shared" si="66"/>
        <v>1520</v>
      </c>
      <c r="I462" s="175">
        <f t="shared" si="64"/>
        <v>0.73076923076923073</v>
      </c>
      <c r="J462" s="159" t="str">
        <f t="shared" si="71"/>
        <v>Jan</v>
      </c>
      <c r="K462" s="159">
        <f t="shared" si="72"/>
        <v>2019</v>
      </c>
      <c r="L462" s="160">
        <v>1</v>
      </c>
    </row>
    <row r="463" spans="1:17" ht="14.4">
      <c r="A463" s="128"/>
      <c r="B463" s="154">
        <f t="shared" si="67"/>
        <v>43490</v>
      </c>
      <c r="C463" s="154">
        <f t="shared" si="68"/>
        <v>43496</v>
      </c>
      <c r="D463" s="155" t="str">
        <f t="shared" si="69"/>
        <v>Thu</v>
      </c>
      <c r="E463" s="162">
        <f t="shared" si="70"/>
        <v>3</v>
      </c>
      <c r="F463" s="162">
        <f t="shared" si="65"/>
        <v>3</v>
      </c>
      <c r="G463" s="162">
        <f t="shared" si="73"/>
        <v>9</v>
      </c>
      <c r="H463" s="162">
        <f t="shared" si="66"/>
        <v>1440</v>
      </c>
      <c r="I463" s="175">
        <f t="shared" ref="I463:I523" si="74">H463/2080</f>
        <v>0.69230769230769229</v>
      </c>
      <c r="J463" s="159" t="str">
        <f t="shared" si="71"/>
        <v>Jan</v>
      </c>
      <c r="K463" s="159">
        <f t="shared" si="72"/>
        <v>2019</v>
      </c>
      <c r="L463" s="160">
        <v>1</v>
      </c>
    </row>
    <row r="464" spans="1:17" ht="14.4">
      <c r="A464" s="128"/>
      <c r="B464" s="154">
        <f t="shared" si="67"/>
        <v>43504</v>
      </c>
      <c r="C464" s="154">
        <f t="shared" si="68"/>
        <v>43510</v>
      </c>
      <c r="D464" s="155" t="str">
        <f t="shared" si="69"/>
        <v>Thu</v>
      </c>
      <c r="E464" s="162">
        <f t="shared" si="70"/>
        <v>1</v>
      </c>
      <c r="F464" s="162">
        <f t="shared" si="65"/>
        <v>4</v>
      </c>
      <c r="G464" s="162">
        <f t="shared" si="73"/>
        <v>10</v>
      </c>
      <c r="H464" s="162">
        <f t="shared" si="66"/>
        <v>1360</v>
      </c>
      <c r="I464" s="175">
        <f t="shared" si="74"/>
        <v>0.65384615384615385</v>
      </c>
      <c r="J464" s="159" t="str">
        <f t="shared" si="71"/>
        <v>Feb</v>
      </c>
      <c r="K464" s="159">
        <f t="shared" si="72"/>
        <v>2019</v>
      </c>
      <c r="L464" s="160">
        <v>1</v>
      </c>
    </row>
    <row r="465" spans="1:12" ht="14.4">
      <c r="A465" s="128"/>
      <c r="B465" s="154">
        <f t="shared" si="67"/>
        <v>43518</v>
      </c>
      <c r="C465" s="154">
        <f t="shared" si="68"/>
        <v>43524</v>
      </c>
      <c r="D465" s="155" t="str">
        <f t="shared" si="69"/>
        <v>Thu</v>
      </c>
      <c r="E465" s="162">
        <f t="shared" si="70"/>
        <v>2</v>
      </c>
      <c r="F465" s="162">
        <f t="shared" si="65"/>
        <v>5</v>
      </c>
      <c r="G465" s="162">
        <f t="shared" si="73"/>
        <v>11</v>
      </c>
      <c r="H465" s="162">
        <f t="shared" si="66"/>
        <v>1280</v>
      </c>
      <c r="I465" s="175">
        <f t="shared" si="74"/>
        <v>0.61538461538461542</v>
      </c>
      <c r="J465" s="159" t="str">
        <f t="shared" si="71"/>
        <v>Feb</v>
      </c>
      <c r="K465" s="159">
        <f t="shared" si="72"/>
        <v>2019</v>
      </c>
      <c r="L465" s="160">
        <v>1</v>
      </c>
    </row>
    <row r="466" spans="1:12" ht="14.4">
      <c r="A466" s="128"/>
      <c r="B466" s="154">
        <f t="shared" si="67"/>
        <v>43532</v>
      </c>
      <c r="C466" s="154">
        <f t="shared" si="68"/>
        <v>43538</v>
      </c>
      <c r="D466" s="155" t="str">
        <f t="shared" si="69"/>
        <v>Thu</v>
      </c>
      <c r="E466" s="162">
        <f t="shared" si="70"/>
        <v>1</v>
      </c>
      <c r="F466" s="162">
        <f t="shared" ref="F466:F523" si="75">IF(YEAR(C466)&gt;YEAR(C465),1,F465+1)</f>
        <v>6</v>
      </c>
      <c r="G466" s="162">
        <f t="shared" si="73"/>
        <v>12</v>
      </c>
      <c r="H466" s="162">
        <f t="shared" si="66"/>
        <v>1200</v>
      </c>
      <c r="I466" s="175">
        <f t="shared" si="74"/>
        <v>0.57692307692307687</v>
      </c>
      <c r="J466" s="159" t="str">
        <f t="shared" si="71"/>
        <v>Mar</v>
      </c>
      <c r="K466" s="159">
        <f t="shared" si="72"/>
        <v>2019</v>
      </c>
      <c r="L466" s="160">
        <v>1</v>
      </c>
    </row>
    <row r="467" spans="1:12" ht="14.4">
      <c r="A467" s="128"/>
      <c r="B467" s="154">
        <f t="shared" si="67"/>
        <v>43546</v>
      </c>
      <c r="C467" s="154">
        <f t="shared" si="68"/>
        <v>43552</v>
      </c>
      <c r="D467" s="155" t="str">
        <f t="shared" si="69"/>
        <v>Thu</v>
      </c>
      <c r="E467" s="162">
        <f t="shared" si="70"/>
        <v>2</v>
      </c>
      <c r="F467" s="162">
        <f t="shared" si="75"/>
        <v>7</v>
      </c>
      <c r="G467" s="162">
        <f t="shared" si="73"/>
        <v>13</v>
      </c>
      <c r="H467" s="162">
        <f t="shared" si="66"/>
        <v>1120</v>
      </c>
      <c r="I467" s="175">
        <f t="shared" si="74"/>
        <v>0.53846153846153844</v>
      </c>
      <c r="J467" s="159" t="str">
        <f t="shared" si="71"/>
        <v>Mar</v>
      </c>
      <c r="K467" s="159">
        <f t="shared" si="72"/>
        <v>2019</v>
      </c>
      <c r="L467" s="160">
        <v>1</v>
      </c>
    </row>
    <row r="468" spans="1:12" ht="14.4">
      <c r="A468" s="128"/>
      <c r="B468" s="154">
        <f t="shared" si="67"/>
        <v>43560</v>
      </c>
      <c r="C468" s="154">
        <f t="shared" si="68"/>
        <v>43566</v>
      </c>
      <c r="D468" s="155" t="str">
        <f t="shared" si="69"/>
        <v>Thu</v>
      </c>
      <c r="E468" s="162">
        <f t="shared" si="70"/>
        <v>1</v>
      </c>
      <c r="F468" s="162">
        <f t="shared" si="75"/>
        <v>8</v>
      </c>
      <c r="G468" s="162">
        <f t="shared" si="73"/>
        <v>14</v>
      </c>
      <c r="H468" s="162">
        <f t="shared" si="66"/>
        <v>1040</v>
      </c>
      <c r="I468" s="175">
        <f t="shared" si="74"/>
        <v>0.5</v>
      </c>
      <c r="J468" s="159" t="str">
        <f t="shared" si="71"/>
        <v>Apr</v>
      </c>
      <c r="K468" s="159">
        <f t="shared" si="72"/>
        <v>2019</v>
      </c>
      <c r="L468" s="160">
        <v>1</v>
      </c>
    </row>
    <row r="469" spans="1:12" ht="14.4">
      <c r="A469" s="128"/>
      <c r="B469" s="154">
        <f t="shared" si="67"/>
        <v>43574</v>
      </c>
      <c r="C469" s="154">
        <f t="shared" si="68"/>
        <v>43580</v>
      </c>
      <c r="D469" s="155" t="str">
        <f t="shared" si="69"/>
        <v>Thu</v>
      </c>
      <c r="E469" s="162">
        <f t="shared" si="70"/>
        <v>2</v>
      </c>
      <c r="F469" s="162">
        <f t="shared" si="75"/>
        <v>9</v>
      </c>
      <c r="G469" s="162">
        <f t="shared" si="73"/>
        <v>15</v>
      </c>
      <c r="H469" s="162">
        <f t="shared" si="66"/>
        <v>960</v>
      </c>
      <c r="I469" s="175">
        <f t="shared" si="74"/>
        <v>0.46153846153846156</v>
      </c>
      <c r="J469" s="159" t="str">
        <f t="shared" si="71"/>
        <v>Apr</v>
      </c>
      <c r="K469" s="159">
        <f t="shared" si="72"/>
        <v>2019</v>
      </c>
      <c r="L469" s="160">
        <v>1</v>
      </c>
    </row>
    <row r="470" spans="1:12" ht="14.4">
      <c r="A470" s="128"/>
      <c r="B470" s="154">
        <f t="shared" si="67"/>
        <v>43588</v>
      </c>
      <c r="C470" s="154">
        <f t="shared" si="68"/>
        <v>43594</v>
      </c>
      <c r="D470" s="155" t="str">
        <f t="shared" si="69"/>
        <v>Thu</v>
      </c>
      <c r="E470" s="162">
        <f t="shared" si="70"/>
        <v>1</v>
      </c>
      <c r="F470" s="162">
        <f t="shared" si="75"/>
        <v>10</v>
      </c>
      <c r="G470" s="162">
        <f t="shared" si="73"/>
        <v>16</v>
      </c>
      <c r="H470" s="162">
        <f t="shared" si="66"/>
        <v>880</v>
      </c>
      <c r="I470" s="175">
        <f t="shared" si="74"/>
        <v>0.42307692307692307</v>
      </c>
      <c r="J470" s="159" t="str">
        <f t="shared" si="71"/>
        <v>May</v>
      </c>
      <c r="K470" s="159">
        <f t="shared" si="72"/>
        <v>2019</v>
      </c>
      <c r="L470" s="160">
        <v>1</v>
      </c>
    </row>
    <row r="471" spans="1:12" ht="14.4">
      <c r="A471" s="128"/>
      <c r="B471" s="154">
        <f t="shared" si="67"/>
        <v>43602</v>
      </c>
      <c r="C471" s="154">
        <f t="shared" si="68"/>
        <v>43608</v>
      </c>
      <c r="D471" s="155" t="str">
        <f t="shared" si="69"/>
        <v>Thu</v>
      </c>
      <c r="E471" s="162">
        <f t="shared" si="70"/>
        <v>2</v>
      </c>
      <c r="F471" s="162">
        <f t="shared" si="75"/>
        <v>11</v>
      </c>
      <c r="G471" s="162">
        <f t="shared" si="73"/>
        <v>17</v>
      </c>
      <c r="H471" s="162">
        <f t="shared" si="66"/>
        <v>800</v>
      </c>
      <c r="I471" s="175">
        <f t="shared" si="74"/>
        <v>0.38461538461538464</v>
      </c>
      <c r="J471" s="159" t="str">
        <f t="shared" si="71"/>
        <v>May</v>
      </c>
      <c r="K471" s="159">
        <f t="shared" si="72"/>
        <v>2019</v>
      </c>
      <c r="L471" s="160">
        <v>1</v>
      </c>
    </row>
    <row r="472" spans="1:12" ht="14.4">
      <c r="A472" s="128"/>
      <c r="B472" s="154">
        <f t="shared" si="67"/>
        <v>43616</v>
      </c>
      <c r="C472" s="154">
        <f t="shared" si="68"/>
        <v>43622</v>
      </c>
      <c r="D472" s="155" t="str">
        <f t="shared" si="69"/>
        <v>Thu</v>
      </c>
      <c r="E472" s="162">
        <f t="shared" si="70"/>
        <v>1</v>
      </c>
      <c r="F472" s="162">
        <f t="shared" si="75"/>
        <v>12</v>
      </c>
      <c r="G472" s="162">
        <f t="shared" si="73"/>
        <v>18</v>
      </c>
      <c r="H472" s="162">
        <f t="shared" si="66"/>
        <v>720</v>
      </c>
      <c r="I472" s="175">
        <f t="shared" si="74"/>
        <v>0.34615384615384615</v>
      </c>
      <c r="J472" s="159" t="str">
        <f t="shared" si="71"/>
        <v>Jun</v>
      </c>
      <c r="K472" s="159">
        <f t="shared" si="72"/>
        <v>2019</v>
      </c>
      <c r="L472" s="160">
        <v>1</v>
      </c>
    </row>
    <row r="473" spans="1:12" ht="14.4">
      <c r="A473" s="128"/>
      <c r="B473" s="154">
        <f t="shared" si="67"/>
        <v>43630</v>
      </c>
      <c r="C473" s="154">
        <f t="shared" si="68"/>
        <v>43636</v>
      </c>
      <c r="D473" s="155" t="str">
        <f t="shared" si="69"/>
        <v>Thu</v>
      </c>
      <c r="E473" s="162">
        <f t="shared" si="70"/>
        <v>2</v>
      </c>
      <c r="F473" s="162">
        <f t="shared" si="75"/>
        <v>13</v>
      </c>
      <c r="G473" s="162">
        <f t="shared" si="73"/>
        <v>19</v>
      </c>
      <c r="H473" s="162">
        <f t="shared" si="66"/>
        <v>640</v>
      </c>
      <c r="I473" s="175">
        <f t="shared" si="74"/>
        <v>0.30769230769230771</v>
      </c>
      <c r="J473" s="159" t="str">
        <f t="shared" si="71"/>
        <v>Jun</v>
      </c>
      <c r="K473" s="159">
        <f t="shared" si="72"/>
        <v>2019</v>
      </c>
      <c r="L473" s="160">
        <v>1</v>
      </c>
    </row>
    <row r="474" spans="1:12" ht="14.4">
      <c r="A474" s="128"/>
      <c r="B474" s="154">
        <f t="shared" si="67"/>
        <v>43644</v>
      </c>
      <c r="C474" s="154">
        <f t="shared" si="68"/>
        <v>43650</v>
      </c>
      <c r="D474" s="155" t="str">
        <f t="shared" si="69"/>
        <v>Thu</v>
      </c>
      <c r="E474" s="162">
        <f t="shared" si="70"/>
        <v>1</v>
      </c>
      <c r="F474" s="162">
        <f t="shared" si="75"/>
        <v>14</v>
      </c>
      <c r="G474" s="162">
        <f t="shared" si="73"/>
        <v>20</v>
      </c>
      <c r="H474" s="162">
        <f t="shared" si="66"/>
        <v>560</v>
      </c>
      <c r="I474" s="175">
        <f t="shared" si="74"/>
        <v>0.26923076923076922</v>
      </c>
      <c r="J474" s="159" t="str">
        <f t="shared" si="71"/>
        <v>Jul</v>
      </c>
      <c r="K474" s="159">
        <f t="shared" si="72"/>
        <v>2019</v>
      </c>
      <c r="L474" s="160">
        <v>1</v>
      </c>
    </row>
    <row r="475" spans="1:12" ht="14.4">
      <c r="A475" s="128"/>
      <c r="B475" s="154">
        <f t="shared" si="67"/>
        <v>43658</v>
      </c>
      <c r="C475" s="154">
        <f t="shared" si="68"/>
        <v>43664</v>
      </c>
      <c r="D475" s="155" t="str">
        <f t="shared" si="69"/>
        <v>Thu</v>
      </c>
      <c r="E475" s="162">
        <f t="shared" si="70"/>
        <v>2</v>
      </c>
      <c r="F475" s="162">
        <f t="shared" si="75"/>
        <v>15</v>
      </c>
      <c r="G475" s="162">
        <f t="shared" si="73"/>
        <v>21</v>
      </c>
      <c r="H475" s="162">
        <f t="shared" si="66"/>
        <v>480</v>
      </c>
      <c r="I475" s="175">
        <f t="shared" si="74"/>
        <v>0.23076923076923078</v>
      </c>
      <c r="J475" s="159" t="str">
        <f t="shared" si="71"/>
        <v>Jul</v>
      </c>
      <c r="K475" s="159">
        <f t="shared" si="72"/>
        <v>2019</v>
      </c>
      <c r="L475" s="160">
        <v>1</v>
      </c>
    </row>
    <row r="476" spans="1:12" ht="14.4">
      <c r="A476" s="128"/>
      <c r="B476" s="154">
        <f t="shared" si="67"/>
        <v>43672</v>
      </c>
      <c r="C476" s="154">
        <f t="shared" si="68"/>
        <v>43678</v>
      </c>
      <c r="D476" s="155" t="str">
        <f t="shared" si="69"/>
        <v>Thu</v>
      </c>
      <c r="E476" s="162">
        <f t="shared" si="70"/>
        <v>1</v>
      </c>
      <c r="F476" s="162">
        <f t="shared" si="75"/>
        <v>16</v>
      </c>
      <c r="G476" s="162">
        <f t="shared" si="73"/>
        <v>22</v>
      </c>
      <c r="H476" s="162">
        <f t="shared" si="66"/>
        <v>400</v>
      </c>
      <c r="I476" s="175">
        <f t="shared" si="74"/>
        <v>0.19230769230769232</v>
      </c>
      <c r="J476" s="159" t="str">
        <f t="shared" si="71"/>
        <v>Aug</v>
      </c>
      <c r="K476" s="159">
        <f t="shared" si="72"/>
        <v>2019</v>
      </c>
      <c r="L476" s="160">
        <v>1</v>
      </c>
    </row>
    <row r="477" spans="1:12" ht="14.4">
      <c r="A477" s="128"/>
      <c r="B477" s="154">
        <f t="shared" si="67"/>
        <v>43686</v>
      </c>
      <c r="C477" s="154">
        <f t="shared" si="68"/>
        <v>43692</v>
      </c>
      <c r="D477" s="155" t="str">
        <f t="shared" si="69"/>
        <v>Thu</v>
      </c>
      <c r="E477" s="162">
        <f t="shared" si="70"/>
        <v>2</v>
      </c>
      <c r="F477" s="162">
        <f t="shared" si="75"/>
        <v>17</v>
      </c>
      <c r="G477" s="162">
        <f t="shared" si="73"/>
        <v>23</v>
      </c>
      <c r="H477" s="162">
        <f t="shared" si="66"/>
        <v>320</v>
      </c>
      <c r="I477" s="175">
        <f t="shared" si="74"/>
        <v>0.15384615384615385</v>
      </c>
      <c r="J477" s="159" t="str">
        <f t="shared" si="71"/>
        <v>Aug</v>
      </c>
      <c r="K477" s="159">
        <f t="shared" si="72"/>
        <v>2019</v>
      </c>
      <c r="L477" s="160">
        <v>1</v>
      </c>
    </row>
    <row r="478" spans="1:12" ht="14.4">
      <c r="A478" s="128"/>
      <c r="B478" s="154">
        <f t="shared" si="67"/>
        <v>43700</v>
      </c>
      <c r="C478" s="154">
        <f t="shared" si="68"/>
        <v>43706</v>
      </c>
      <c r="D478" s="155" t="str">
        <f t="shared" si="69"/>
        <v>Thu</v>
      </c>
      <c r="E478" s="162">
        <f t="shared" si="70"/>
        <v>3</v>
      </c>
      <c r="F478" s="162">
        <f t="shared" si="75"/>
        <v>18</v>
      </c>
      <c r="G478" s="162">
        <f t="shared" si="73"/>
        <v>24</v>
      </c>
      <c r="H478" s="162">
        <f t="shared" si="66"/>
        <v>240</v>
      </c>
      <c r="I478" s="175">
        <f t="shared" si="74"/>
        <v>0.11538461538461539</v>
      </c>
      <c r="J478" s="159" t="str">
        <f t="shared" si="71"/>
        <v>Aug</v>
      </c>
      <c r="K478" s="159">
        <f t="shared" si="72"/>
        <v>2019</v>
      </c>
      <c r="L478" s="160">
        <v>1</v>
      </c>
    </row>
    <row r="479" spans="1:12" ht="14.4">
      <c r="A479" s="128"/>
      <c r="B479" s="154">
        <f t="shared" si="67"/>
        <v>43714</v>
      </c>
      <c r="C479" s="154">
        <f t="shared" si="68"/>
        <v>43720</v>
      </c>
      <c r="D479" s="155" t="str">
        <f t="shared" si="69"/>
        <v>Thu</v>
      </c>
      <c r="E479" s="162">
        <f t="shared" si="70"/>
        <v>1</v>
      </c>
      <c r="F479" s="162">
        <f t="shared" si="75"/>
        <v>19</v>
      </c>
      <c r="G479" s="162">
        <f t="shared" si="73"/>
        <v>25</v>
      </c>
      <c r="H479" s="162">
        <f t="shared" si="66"/>
        <v>160</v>
      </c>
      <c r="I479" s="175">
        <f t="shared" si="74"/>
        <v>7.6923076923076927E-2</v>
      </c>
      <c r="J479" s="159" t="str">
        <f t="shared" si="71"/>
        <v>Sep</v>
      </c>
      <c r="K479" s="159">
        <f t="shared" si="72"/>
        <v>2019</v>
      </c>
      <c r="L479" s="160">
        <v>1</v>
      </c>
    </row>
    <row r="480" spans="1:12" ht="14.4">
      <c r="A480" s="128"/>
      <c r="B480" s="154">
        <f t="shared" si="67"/>
        <v>43728</v>
      </c>
      <c r="C480" s="154">
        <f t="shared" si="68"/>
        <v>43734</v>
      </c>
      <c r="D480" s="155" t="str">
        <f t="shared" si="69"/>
        <v>Thu</v>
      </c>
      <c r="E480" s="162">
        <f t="shared" si="70"/>
        <v>2</v>
      </c>
      <c r="F480" s="162">
        <f t="shared" si="75"/>
        <v>20</v>
      </c>
      <c r="G480" s="162">
        <f t="shared" si="73"/>
        <v>26</v>
      </c>
      <c r="H480" s="162">
        <f t="shared" si="66"/>
        <v>80</v>
      </c>
      <c r="I480" s="175">
        <f t="shared" si="74"/>
        <v>3.8461538461538464E-2</v>
      </c>
      <c r="J480" s="159" t="str">
        <f t="shared" si="71"/>
        <v>Sep</v>
      </c>
      <c r="K480" s="159">
        <f t="shared" si="72"/>
        <v>2019</v>
      </c>
      <c r="L480" s="160">
        <v>1</v>
      </c>
    </row>
    <row r="481" spans="1:17" ht="14.4">
      <c r="A481" s="128"/>
      <c r="B481" s="154">
        <f t="shared" si="67"/>
        <v>43742</v>
      </c>
      <c r="C481" s="154">
        <f t="shared" si="68"/>
        <v>43748</v>
      </c>
      <c r="D481" s="155" t="str">
        <f t="shared" si="69"/>
        <v>Thu</v>
      </c>
      <c r="E481" s="162">
        <f t="shared" si="70"/>
        <v>1</v>
      </c>
      <c r="F481" s="162">
        <f t="shared" si="75"/>
        <v>21</v>
      </c>
      <c r="G481" s="162">
        <f t="shared" si="73"/>
        <v>1</v>
      </c>
      <c r="H481" s="162">
        <f t="shared" si="66"/>
        <v>2080</v>
      </c>
      <c r="I481" s="175">
        <f t="shared" si="74"/>
        <v>1</v>
      </c>
      <c r="J481" s="159" t="str">
        <f t="shared" si="71"/>
        <v>Oct</v>
      </c>
      <c r="K481" s="159">
        <f t="shared" si="72"/>
        <v>2019</v>
      </c>
      <c r="L481" s="160">
        <v>1</v>
      </c>
      <c r="O481" s="199">
        <v>43738</v>
      </c>
      <c r="P481" s="145">
        <f>B481-O481</f>
        <v>4</v>
      </c>
      <c r="Q481" s="200">
        <f>P481/14</f>
        <v>0.2857142857142857</v>
      </c>
    </row>
    <row r="482" spans="1:17" ht="14.4">
      <c r="A482" s="128"/>
      <c r="B482" s="154">
        <f t="shared" si="67"/>
        <v>43756</v>
      </c>
      <c r="C482" s="154">
        <f t="shared" si="68"/>
        <v>43762</v>
      </c>
      <c r="D482" s="155" t="str">
        <f t="shared" si="69"/>
        <v>Thu</v>
      </c>
      <c r="E482" s="162">
        <f t="shared" si="70"/>
        <v>2</v>
      </c>
      <c r="F482" s="162">
        <f t="shared" si="75"/>
        <v>22</v>
      </c>
      <c r="G482" s="162">
        <f t="shared" si="73"/>
        <v>2</v>
      </c>
      <c r="H482" s="162">
        <f t="shared" si="66"/>
        <v>2000</v>
      </c>
      <c r="I482" s="175">
        <f t="shared" si="74"/>
        <v>0.96153846153846156</v>
      </c>
      <c r="J482" s="159" t="str">
        <f t="shared" si="71"/>
        <v>Oct</v>
      </c>
      <c r="K482" s="159">
        <f t="shared" si="72"/>
        <v>2019</v>
      </c>
      <c r="L482" s="160">
        <v>1</v>
      </c>
      <c r="Q482" s="201">
        <f>1-Q481</f>
        <v>0.7142857142857143</v>
      </c>
    </row>
    <row r="483" spans="1:17" ht="14.4">
      <c r="A483" s="128"/>
      <c r="B483" s="154">
        <f t="shared" si="67"/>
        <v>43770</v>
      </c>
      <c r="C483" s="154">
        <f t="shared" si="68"/>
        <v>43776</v>
      </c>
      <c r="D483" s="155" t="str">
        <f t="shared" si="69"/>
        <v>Thu</v>
      </c>
      <c r="E483" s="162">
        <f t="shared" si="70"/>
        <v>1</v>
      </c>
      <c r="F483" s="162">
        <f t="shared" si="75"/>
        <v>23</v>
      </c>
      <c r="G483" s="162">
        <f t="shared" si="73"/>
        <v>3</v>
      </c>
      <c r="H483" s="162">
        <f t="shared" si="66"/>
        <v>1920</v>
      </c>
      <c r="I483" s="175">
        <f t="shared" si="74"/>
        <v>0.92307692307692313</v>
      </c>
      <c r="J483" s="159" t="str">
        <f t="shared" si="71"/>
        <v>Nov</v>
      </c>
      <c r="K483" s="159">
        <f t="shared" si="72"/>
        <v>2019</v>
      </c>
      <c r="L483" s="160">
        <v>1</v>
      </c>
    </row>
    <row r="484" spans="1:17" ht="14.4">
      <c r="A484" s="128"/>
      <c r="B484" s="154">
        <f t="shared" si="67"/>
        <v>43784</v>
      </c>
      <c r="C484" s="154">
        <f t="shared" si="68"/>
        <v>43790</v>
      </c>
      <c r="D484" s="155" t="str">
        <f t="shared" si="69"/>
        <v>Thu</v>
      </c>
      <c r="E484" s="162">
        <f t="shared" si="70"/>
        <v>2</v>
      </c>
      <c r="F484" s="162">
        <f t="shared" si="75"/>
        <v>24</v>
      </c>
      <c r="G484" s="162">
        <f t="shared" si="73"/>
        <v>4</v>
      </c>
      <c r="H484" s="162">
        <f t="shared" si="66"/>
        <v>1840</v>
      </c>
      <c r="I484" s="175">
        <f t="shared" si="74"/>
        <v>0.88461538461538458</v>
      </c>
      <c r="J484" s="159" t="str">
        <f t="shared" si="71"/>
        <v>Nov</v>
      </c>
      <c r="K484" s="159">
        <f t="shared" si="72"/>
        <v>2019</v>
      </c>
      <c r="L484" s="160">
        <v>1</v>
      </c>
    </row>
    <row r="485" spans="1:17" ht="14.4">
      <c r="A485" s="128"/>
      <c r="B485" s="154">
        <f t="shared" si="67"/>
        <v>43798</v>
      </c>
      <c r="C485" s="154">
        <f t="shared" si="68"/>
        <v>43804</v>
      </c>
      <c r="D485" s="155" t="str">
        <f t="shared" si="69"/>
        <v>Thu</v>
      </c>
      <c r="E485" s="162">
        <f t="shared" si="70"/>
        <v>1</v>
      </c>
      <c r="F485" s="162">
        <f t="shared" si="75"/>
        <v>25</v>
      </c>
      <c r="G485" s="162">
        <f t="shared" si="73"/>
        <v>5</v>
      </c>
      <c r="H485" s="162">
        <f t="shared" si="66"/>
        <v>1760</v>
      </c>
      <c r="I485" s="175">
        <f t="shared" si="74"/>
        <v>0.84615384615384615</v>
      </c>
      <c r="J485" s="159" t="str">
        <f t="shared" si="71"/>
        <v>Dec</v>
      </c>
      <c r="K485" s="159">
        <f t="shared" si="72"/>
        <v>2019</v>
      </c>
      <c r="L485" s="160">
        <v>1</v>
      </c>
    </row>
    <row r="486" spans="1:17" ht="14.4">
      <c r="A486" s="128"/>
      <c r="B486" s="154">
        <f t="shared" si="67"/>
        <v>43812</v>
      </c>
      <c r="C486" s="154">
        <f t="shared" si="68"/>
        <v>43818</v>
      </c>
      <c r="D486" s="155" t="str">
        <f t="shared" si="69"/>
        <v>Thu</v>
      </c>
      <c r="E486" s="162">
        <f t="shared" si="70"/>
        <v>2</v>
      </c>
      <c r="F486" s="162">
        <f t="shared" si="75"/>
        <v>26</v>
      </c>
      <c r="G486" s="162">
        <f t="shared" si="73"/>
        <v>6</v>
      </c>
      <c r="H486" s="162">
        <f t="shared" si="66"/>
        <v>1680</v>
      </c>
      <c r="I486" s="175">
        <f t="shared" si="74"/>
        <v>0.80769230769230771</v>
      </c>
      <c r="J486" s="159" t="str">
        <f t="shared" si="71"/>
        <v>Dec</v>
      </c>
      <c r="K486" s="159">
        <f t="shared" si="72"/>
        <v>2019</v>
      </c>
      <c r="L486" s="160">
        <v>1</v>
      </c>
    </row>
    <row r="487" spans="1:17" ht="14.4">
      <c r="A487" s="128"/>
      <c r="B487" s="154">
        <f t="shared" si="67"/>
        <v>43826</v>
      </c>
      <c r="C487" s="154">
        <f t="shared" si="68"/>
        <v>43832</v>
      </c>
      <c r="D487" s="155" t="str">
        <f t="shared" si="69"/>
        <v>Thu</v>
      </c>
      <c r="E487" s="162">
        <f t="shared" si="70"/>
        <v>1</v>
      </c>
      <c r="F487" s="162">
        <f t="shared" si="75"/>
        <v>1</v>
      </c>
      <c r="G487" s="162">
        <f t="shared" si="73"/>
        <v>7</v>
      </c>
      <c r="H487" s="162">
        <f t="shared" si="66"/>
        <v>1600</v>
      </c>
      <c r="I487" s="175">
        <f t="shared" si="74"/>
        <v>0.76923076923076927</v>
      </c>
      <c r="J487" s="159" t="str">
        <f t="shared" si="71"/>
        <v>Jan</v>
      </c>
      <c r="K487" s="159">
        <f t="shared" si="72"/>
        <v>2020</v>
      </c>
      <c r="L487" s="160">
        <v>1</v>
      </c>
    </row>
    <row r="488" spans="1:17" ht="14.4">
      <c r="A488" s="128"/>
      <c r="B488" s="154">
        <f t="shared" si="67"/>
        <v>43840</v>
      </c>
      <c r="C488" s="154">
        <f t="shared" si="68"/>
        <v>43846</v>
      </c>
      <c r="D488" s="155" t="str">
        <f t="shared" si="69"/>
        <v>Thu</v>
      </c>
      <c r="E488" s="162">
        <f t="shared" si="70"/>
        <v>2</v>
      </c>
      <c r="F488" s="162">
        <f t="shared" si="75"/>
        <v>2</v>
      </c>
      <c r="G488" s="162">
        <f t="shared" si="73"/>
        <v>8</v>
      </c>
      <c r="H488" s="162">
        <f t="shared" si="66"/>
        <v>1520</v>
      </c>
      <c r="I488" s="175">
        <f t="shared" si="74"/>
        <v>0.73076923076923073</v>
      </c>
      <c r="J488" s="159" t="str">
        <f t="shared" si="71"/>
        <v>Jan</v>
      </c>
      <c r="K488" s="159">
        <f t="shared" si="72"/>
        <v>2020</v>
      </c>
      <c r="L488" s="160">
        <v>1</v>
      </c>
    </row>
    <row r="489" spans="1:17" ht="14.4">
      <c r="A489" s="128"/>
      <c r="B489" s="154">
        <f t="shared" si="67"/>
        <v>43854</v>
      </c>
      <c r="C489" s="154">
        <f t="shared" si="68"/>
        <v>43860</v>
      </c>
      <c r="D489" s="155" t="str">
        <f t="shared" si="69"/>
        <v>Thu</v>
      </c>
      <c r="E489" s="162">
        <f t="shared" si="70"/>
        <v>3</v>
      </c>
      <c r="F489" s="162">
        <f t="shared" si="75"/>
        <v>3</v>
      </c>
      <c r="G489" s="162">
        <f t="shared" si="73"/>
        <v>9</v>
      </c>
      <c r="H489" s="162">
        <f t="shared" ref="H489:H523" si="76">IF(2080-(G488*80)&gt;0,2080-(G488*80),2080)</f>
        <v>1440</v>
      </c>
      <c r="I489" s="175">
        <f t="shared" si="74"/>
        <v>0.69230769230769229</v>
      </c>
      <c r="J489" s="159" t="str">
        <f t="shared" si="71"/>
        <v>Jan</v>
      </c>
      <c r="K489" s="159">
        <f t="shared" si="72"/>
        <v>2020</v>
      </c>
      <c r="L489" s="160">
        <v>1</v>
      </c>
    </row>
    <row r="490" spans="1:17" ht="14.4">
      <c r="A490" s="128"/>
      <c r="B490" s="154">
        <f t="shared" si="67"/>
        <v>43868</v>
      </c>
      <c r="C490" s="154">
        <f t="shared" si="68"/>
        <v>43874</v>
      </c>
      <c r="D490" s="155" t="str">
        <f t="shared" si="69"/>
        <v>Thu</v>
      </c>
      <c r="E490" s="162">
        <f t="shared" si="70"/>
        <v>1</v>
      </c>
      <c r="F490" s="162">
        <f t="shared" si="75"/>
        <v>4</v>
      </c>
      <c r="G490" s="162">
        <f t="shared" si="73"/>
        <v>10</v>
      </c>
      <c r="H490" s="162">
        <f t="shared" si="76"/>
        <v>1360</v>
      </c>
      <c r="I490" s="175">
        <f t="shared" si="74"/>
        <v>0.65384615384615385</v>
      </c>
      <c r="J490" s="159" t="str">
        <f t="shared" si="71"/>
        <v>Feb</v>
      </c>
      <c r="K490" s="159">
        <f t="shared" si="72"/>
        <v>2020</v>
      </c>
      <c r="L490" s="160">
        <v>1</v>
      </c>
    </row>
    <row r="491" spans="1:17" ht="14.4">
      <c r="A491" s="128"/>
      <c r="B491" s="154">
        <f t="shared" si="67"/>
        <v>43882</v>
      </c>
      <c r="C491" s="154">
        <f t="shared" si="68"/>
        <v>43888</v>
      </c>
      <c r="D491" s="155" t="str">
        <f t="shared" si="69"/>
        <v>Thu</v>
      </c>
      <c r="E491" s="162">
        <f t="shared" si="70"/>
        <v>2</v>
      </c>
      <c r="F491" s="162">
        <f t="shared" si="75"/>
        <v>5</v>
      </c>
      <c r="G491" s="162">
        <f t="shared" si="73"/>
        <v>11</v>
      </c>
      <c r="H491" s="162">
        <f t="shared" si="76"/>
        <v>1280</v>
      </c>
      <c r="I491" s="175">
        <f t="shared" si="74"/>
        <v>0.61538461538461542</v>
      </c>
      <c r="J491" s="159" t="str">
        <f t="shared" si="71"/>
        <v>Feb</v>
      </c>
      <c r="K491" s="159">
        <f t="shared" si="72"/>
        <v>2020</v>
      </c>
      <c r="L491" s="160">
        <v>1</v>
      </c>
    </row>
    <row r="492" spans="1:17" ht="14.4">
      <c r="A492" s="128"/>
      <c r="B492" s="154">
        <f t="shared" ref="B492:B539" si="77">B491+14</f>
        <v>43896</v>
      </c>
      <c r="C492" s="154">
        <f t="shared" ref="C492:C523" si="78">B492+6</f>
        <v>43902</v>
      </c>
      <c r="D492" s="155" t="str">
        <f t="shared" si="69"/>
        <v>Thu</v>
      </c>
      <c r="E492" s="162">
        <f t="shared" si="70"/>
        <v>1</v>
      </c>
      <c r="F492" s="162">
        <f t="shared" si="75"/>
        <v>6</v>
      </c>
      <c r="G492" s="162">
        <f t="shared" si="73"/>
        <v>12</v>
      </c>
      <c r="H492" s="162">
        <f t="shared" si="76"/>
        <v>1200</v>
      </c>
      <c r="I492" s="175">
        <f t="shared" si="74"/>
        <v>0.57692307692307687</v>
      </c>
      <c r="J492" s="159" t="str">
        <f t="shared" si="71"/>
        <v>Mar</v>
      </c>
      <c r="K492" s="159">
        <f t="shared" si="72"/>
        <v>2020</v>
      </c>
      <c r="L492" s="160">
        <v>1</v>
      </c>
    </row>
    <row r="493" spans="1:17" ht="14.4">
      <c r="A493" s="128"/>
      <c r="B493" s="154">
        <f t="shared" si="77"/>
        <v>43910</v>
      </c>
      <c r="C493" s="154">
        <f t="shared" si="78"/>
        <v>43916</v>
      </c>
      <c r="D493" s="155" t="str">
        <f t="shared" si="69"/>
        <v>Thu</v>
      </c>
      <c r="E493" s="162">
        <f t="shared" si="70"/>
        <v>2</v>
      </c>
      <c r="F493" s="162">
        <f t="shared" si="75"/>
        <v>7</v>
      </c>
      <c r="G493" s="162">
        <f t="shared" si="73"/>
        <v>13</v>
      </c>
      <c r="H493" s="162">
        <f t="shared" si="76"/>
        <v>1120</v>
      </c>
      <c r="I493" s="175">
        <f t="shared" si="74"/>
        <v>0.53846153846153844</v>
      </c>
      <c r="J493" s="159" t="str">
        <f t="shared" si="71"/>
        <v>Mar</v>
      </c>
      <c r="K493" s="159">
        <f t="shared" si="72"/>
        <v>2020</v>
      </c>
      <c r="L493" s="160">
        <v>1</v>
      </c>
    </row>
    <row r="494" spans="1:17" ht="14.4">
      <c r="A494" s="128"/>
      <c r="B494" s="154">
        <f t="shared" si="77"/>
        <v>43924</v>
      </c>
      <c r="C494" s="154">
        <f t="shared" si="78"/>
        <v>43930</v>
      </c>
      <c r="D494" s="155" t="str">
        <f t="shared" si="69"/>
        <v>Thu</v>
      </c>
      <c r="E494" s="162">
        <f t="shared" si="70"/>
        <v>1</v>
      </c>
      <c r="F494" s="162">
        <f t="shared" si="75"/>
        <v>8</v>
      </c>
      <c r="G494" s="162">
        <f t="shared" si="73"/>
        <v>14</v>
      </c>
      <c r="H494" s="162">
        <f t="shared" si="76"/>
        <v>1040</v>
      </c>
      <c r="I494" s="175">
        <f t="shared" si="74"/>
        <v>0.5</v>
      </c>
      <c r="J494" s="159" t="str">
        <f t="shared" si="71"/>
        <v>Apr</v>
      </c>
      <c r="K494" s="159">
        <f t="shared" si="72"/>
        <v>2020</v>
      </c>
      <c r="L494" s="160">
        <v>1</v>
      </c>
    </row>
    <row r="495" spans="1:17" ht="14.4">
      <c r="A495" s="128"/>
      <c r="B495" s="154">
        <f t="shared" si="77"/>
        <v>43938</v>
      </c>
      <c r="C495" s="154">
        <f t="shared" si="78"/>
        <v>43944</v>
      </c>
      <c r="D495" s="155" t="str">
        <f t="shared" si="69"/>
        <v>Thu</v>
      </c>
      <c r="E495" s="162">
        <f t="shared" si="70"/>
        <v>2</v>
      </c>
      <c r="F495" s="162">
        <f t="shared" si="75"/>
        <v>9</v>
      </c>
      <c r="G495" s="162">
        <f t="shared" si="73"/>
        <v>15</v>
      </c>
      <c r="H495" s="162">
        <f t="shared" si="76"/>
        <v>960</v>
      </c>
      <c r="I495" s="175">
        <f t="shared" si="74"/>
        <v>0.46153846153846156</v>
      </c>
      <c r="J495" s="159" t="str">
        <f t="shared" si="71"/>
        <v>Apr</v>
      </c>
      <c r="K495" s="159">
        <f t="shared" si="72"/>
        <v>2020</v>
      </c>
      <c r="L495" s="160">
        <v>1</v>
      </c>
    </row>
    <row r="496" spans="1:17" ht="14.4">
      <c r="A496" s="128"/>
      <c r="B496" s="154">
        <f t="shared" si="77"/>
        <v>43952</v>
      </c>
      <c r="C496" s="154">
        <f t="shared" si="78"/>
        <v>43958</v>
      </c>
      <c r="D496" s="155" t="str">
        <f t="shared" si="69"/>
        <v>Thu</v>
      </c>
      <c r="E496" s="162">
        <f t="shared" si="70"/>
        <v>1</v>
      </c>
      <c r="F496" s="162">
        <f t="shared" si="75"/>
        <v>10</v>
      </c>
      <c r="G496" s="162">
        <f t="shared" si="73"/>
        <v>16</v>
      </c>
      <c r="H496" s="162">
        <f t="shared" si="76"/>
        <v>880</v>
      </c>
      <c r="I496" s="175">
        <f t="shared" si="74"/>
        <v>0.42307692307692307</v>
      </c>
      <c r="J496" s="159" t="str">
        <f t="shared" si="71"/>
        <v>May</v>
      </c>
      <c r="K496" s="159">
        <f t="shared" si="72"/>
        <v>2020</v>
      </c>
      <c r="L496" s="160">
        <v>1</v>
      </c>
    </row>
    <row r="497" spans="1:17" ht="14.4">
      <c r="A497" s="128"/>
      <c r="B497" s="154">
        <f t="shared" si="77"/>
        <v>43966</v>
      </c>
      <c r="C497" s="154">
        <f t="shared" si="78"/>
        <v>43972</v>
      </c>
      <c r="D497" s="155" t="str">
        <f t="shared" si="69"/>
        <v>Thu</v>
      </c>
      <c r="E497" s="162">
        <f t="shared" si="70"/>
        <v>2</v>
      </c>
      <c r="F497" s="162">
        <f t="shared" si="75"/>
        <v>11</v>
      </c>
      <c r="G497" s="162">
        <f t="shared" si="73"/>
        <v>17</v>
      </c>
      <c r="H497" s="162">
        <f t="shared" si="76"/>
        <v>800</v>
      </c>
      <c r="I497" s="175">
        <f t="shared" si="74"/>
        <v>0.38461538461538464</v>
      </c>
      <c r="J497" s="159" t="str">
        <f t="shared" si="71"/>
        <v>May</v>
      </c>
      <c r="K497" s="159">
        <f t="shared" si="72"/>
        <v>2020</v>
      </c>
      <c r="L497" s="160">
        <v>1</v>
      </c>
    </row>
    <row r="498" spans="1:17" ht="14.4">
      <c r="A498" s="128"/>
      <c r="B498" s="154">
        <f t="shared" si="77"/>
        <v>43980</v>
      </c>
      <c r="C498" s="154">
        <f t="shared" si="78"/>
        <v>43986</v>
      </c>
      <c r="D498" s="155" t="str">
        <f t="shared" si="69"/>
        <v>Thu</v>
      </c>
      <c r="E498" s="162">
        <f t="shared" si="70"/>
        <v>1</v>
      </c>
      <c r="F498" s="162">
        <f t="shared" si="75"/>
        <v>12</v>
      </c>
      <c r="G498" s="162">
        <f t="shared" si="73"/>
        <v>18</v>
      </c>
      <c r="H498" s="162">
        <f t="shared" si="76"/>
        <v>720</v>
      </c>
      <c r="I498" s="175">
        <f t="shared" si="74"/>
        <v>0.34615384615384615</v>
      </c>
      <c r="J498" s="159" t="str">
        <f t="shared" si="71"/>
        <v>Jun</v>
      </c>
      <c r="K498" s="159">
        <f t="shared" si="72"/>
        <v>2020</v>
      </c>
      <c r="L498" s="160">
        <v>1</v>
      </c>
    </row>
    <row r="499" spans="1:17" ht="14.4">
      <c r="A499" s="128"/>
      <c r="B499" s="154">
        <f t="shared" si="77"/>
        <v>43994</v>
      </c>
      <c r="C499" s="154">
        <f t="shared" si="78"/>
        <v>44000</v>
      </c>
      <c r="D499" s="155" t="str">
        <f t="shared" si="69"/>
        <v>Thu</v>
      </c>
      <c r="E499" s="162">
        <f t="shared" si="70"/>
        <v>2</v>
      </c>
      <c r="F499" s="162">
        <f t="shared" si="75"/>
        <v>13</v>
      </c>
      <c r="G499" s="162">
        <f t="shared" si="73"/>
        <v>19</v>
      </c>
      <c r="H499" s="162">
        <f t="shared" si="76"/>
        <v>640</v>
      </c>
      <c r="I499" s="175">
        <f t="shared" si="74"/>
        <v>0.30769230769230771</v>
      </c>
      <c r="J499" s="159" t="str">
        <f t="shared" si="71"/>
        <v>Jun</v>
      </c>
      <c r="K499" s="159">
        <f t="shared" si="72"/>
        <v>2020</v>
      </c>
      <c r="L499" s="160">
        <v>1</v>
      </c>
    </row>
    <row r="500" spans="1:17" ht="14.4">
      <c r="A500" s="128"/>
      <c r="B500" s="154">
        <f t="shared" si="77"/>
        <v>44008</v>
      </c>
      <c r="C500" s="154">
        <f t="shared" si="78"/>
        <v>44014</v>
      </c>
      <c r="D500" s="155" t="str">
        <f t="shared" si="69"/>
        <v>Thu</v>
      </c>
      <c r="E500" s="162">
        <f t="shared" si="70"/>
        <v>1</v>
      </c>
      <c r="F500" s="162">
        <f t="shared" si="75"/>
        <v>14</v>
      </c>
      <c r="G500" s="162">
        <f t="shared" si="73"/>
        <v>20</v>
      </c>
      <c r="H500" s="162">
        <f t="shared" si="76"/>
        <v>560</v>
      </c>
      <c r="I500" s="175">
        <f t="shared" si="74"/>
        <v>0.26923076923076922</v>
      </c>
      <c r="J500" s="159" t="str">
        <f t="shared" si="71"/>
        <v>Jul</v>
      </c>
      <c r="K500" s="159">
        <f t="shared" si="72"/>
        <v>2020</v>
      </c>
      <c r="L500" s="160">
        <v>1</v>
      </c>
    </row>
    <row r="501" spans="1:17" ht="14.4">
      <c r="A501" s="128"/>
      <c r="B501" s="154">
        <f t="shared" si="77"/>
        <v>44022</v>
      </c>
      <c r="C501" s="154">
        <f t="shared" si="78"/>
        <v>44028</v>
      </c>
      <c r="D501" s="155" t="str">
        <f t="shared" si="69"/>
        <v>Thu</v>
      </c>
      <c r="E501" s="162">
        <f t="shared" si="70"/>
        <v>2</v>
      </c>
      <c r="F501" s="162">
        <f t="shared" si="75"/>
        <v>15</v>
      </c>
      <c r="G501" s="162">
        <f t="shared" si="73"/>
        <v>21</v>
      </c>
      <c r="H501" s="162">
        <f t="shared" si="76"/>
        <v>480</v>
      </c>
      <c r="I501" s="175">
        <f t="shared" si="74"/>
        <v>0.23076923076923078</v>
      </c>
      <c r="J501" s="159" t="str">
        <f t="shared" si="71"/>
        <v>Jul</v>
      </c>
      <c r="K501" s="159">
        <f t="shared" si="72"/>
        <v>2020</v>
      </c>
      <c r="L501" s="160">
        <v>1</v>
      </c>
    </row>
    <row r="502" spans="1:17" ht="14.4">
      <c r="A502" s="128"/>
      <c r="B502" s="154">
        <f t="shared" si="77"/>
        <v>44036</v>
      </c>
      <c r="C502" s="154">
        <f t="shared" si="78"/>
        <v>44042</v>
      </c>
      <c r="D502" s="155" t="str">
        <f t="shared" si="69"/>
        <v>Thu</v>
      </c>
      <c r="E502" s="162">
        <f t="shared" si="70"/>
        <v>3</v>
      </c>
      <c r="F502" s="162">
        <f t="shared" si="75"/>
        <v>16</v>
      </c>
      <c r="G502" s="162">
        <f t="shared" si="73"/>
        <v>22</v>
      </c>
      <c r="H502" s="162">
        <f t="shared" si="76"/>
        <v>400</v>
      </c>
      <c r="I502" s="175">
        <f t="shared" si="74"/>
        <v>0.19230769230769232</v>
      </c>
      <c r="J502" s="159" t="str">
        <f t="shared" si="71"/>
        <v>Jul</v>
      </c>
      <c r="K502" s="159">
        <f t="shared" si="72"/>
        <v>2020</v>
      </c>
      <c r="L502" s="160">
        <v>1</v>
      </c>
    </row>
    <row r="503" spans="1:17" ht="14.4">
      <c r="A503" s="128"/>
      <c r="B503" s="154">
        <f t="shared" si="77"/>
        <v>44050</v>
      </c>
      <c r="C503" s="154">
        <f t="shared" si="78"/>
        <v>44056</v>
      </c>
      <c r="D503" s="155" t="str">
        <f t="shared" si="69"/>
        <v>Thu</v>
      </c>
      <c r="E503" s="162">
        <f t="shared" si="70"/>
        <v>1</v>
      </c>
      <c r="F503" s="162">
        <f t="shared" si="75"/>
        <v>17</v>
      </c>
      <c r="G503" s="162">
        <f t="shared" si="73"/>
        <v>23</v>
      </c>
      <c r="H503" s="162">
        <f t="shared" si="76"/>
        <v>320</v>
      </c>
      <c r="I503" s="175">
        <f t="shared" si="74"/>
        <v>0.15384615384615385</v>
      </c>
      <c r="J503" s="159" t="str">
        <f t="shared" si="71"/>
        <v>Aug</v>
      </c>
      <c r="K503" s="159">
        <f t="shared" si="72"/>
        <v>2020</v>
      </c>
      <c r="L503" s="160">
        <v>1</v>
      </c>
    </row>
    <row r="504" spans="1:17" ht="14.4">
      <c r="A504" s="128"/>
      <c r="B504" s="154">
        <f t="shared" si="77"/>
        <v>44064</v>
      </c>
      <c r="C504" s="154">
        <f t="shared" si="78"/>
        <v>44070</v>
      </c>
      <c r="D504" s="155" t="str">
        <f t="shared" si="69"/>
        <v>Thu</v>
      </c>
      <c r="E504" s="162">
        <f t="shared" si="70"/>
        <v>2</v>
      </c>
      <c r="F504" s="162">
        <f t="shared" si="75"/>
        <v>18</v>
      </c>
      <c r="G504" s="162">
        <f t="shared" si="73"/>
        <v>24</v>
      </c>
      <c r="H504" s="162">
        <f t="shared" si="76"/>
        <v>240</v>
      </c>
      <c r="I504" s="175">
        <f t="shared" si="74"/>
        <v>0.11538461538461539</v>
      </c>
      <c r="J504" s="159" t="str">
        <f t="shared" si="71"/>
        <v>Aug</v>
      </c>
      <c r="K504" s="159">
        <f t="shared" si="72"/>
        <v>2020</v>
      </c>
      <c r="L504" s="160">
        <v>1</v>
      </c>
    </row>
    <row r="505" spans="1:17" ht="14.4">
      <c r="A505" s="128"/>
      <c r="B505" s="154">
        <f t="shared" si="77"/>
        <v>44078</v>
      </c>
      <c r="C505" s="154">
        <f t="shared" si="78"/>
        <v>44084</v>
      </c>
      <c r="D505" s="155" t="str">
        <f t="shared" si="69"/>
        <v>Thu</v>
      </c>
      <c r="E505" s="162">
        <f t="shared" si="70"/>
        <v>1</v>
      </c>
      <c r="F505" s="162">
        <f t="shared" si="75"/>
        <v>19</v>
      </c>
      <c r="G505" s="162">
        <f t="shared" si="73"/>
        <v>25</v>
      </c>
      <c r="H505" s="162">
        <f t="shared" si="76"/>
        <v>160</v>
      </c>
      <c r="I505" s="175">
        <f t="shared" si="74"/>
        <v>7.6923076923076927E-2</v>
      </c>
      <c r="J505" s="159" t="str">
        <f t="shared" si="71"/>
        <v>Sep</v>
      </c>
      <c r="K505" s="159">
        <f t="shared" si="72"/>
        <v>2020</v>
      </c>
      <c r="L505" s="160">
        <v>1</v>
      </c>
    </row>
    <row r="506" spans="1:17" ht="14.4">
      <c r="A506" s="128"/>
      <c r="B506" s="154">
        <f t="shared" si="77"/>
        <v>44092</v>
      </c>
      <c r="C506" s="154">
        <f t="shared" si="78"/>
        <v>44098</v>
      </c>
      <c r="D506" s="155" t="str">
        <f t="shared" si="69"/>
        <v>Thu</v>
      </c>
      <c r="E506" s="162">
        <f t="shared" si="70"/>
        <v>2</v>
      </c>
      <c r="F506" s="162">
        <f t="shared" si="75"/>
        <v>20</v>
      </c>
      <c r="G506" s="162">
        <f t="shared" si="73"/>
        <v>26</v>
      </c>
      <c r="H506" s="162">
        <f t="shared" si="76"/>
        <v>80</v>
      </c>
      <c r="I506" s="175">
        <f t="shared" si="74"/>
        <v>3.8461538461538464E-2</v>
      </c>
      <c r="J506" s="159" t="str">
        <f t="shared" si="71"/>
        <v>Sep</v>
      </c>
      <c r="K506" s="159">
        <f t="shared" si="72"/>
        <v>2020</v>
      </c>
      <c r="L506" s="160">
        <v>1</v>
      </c>
      <c r="O506" s="199">
        <v>44104</v>
      </c>
      <c r="P506" s="145">
        <f>B507-O506</f>
        <v>2</v>
      </c>
      <c r="Q506" s="200">
        <f>P506/14</f>
        <v>0.14285714285714285</v>
      </c>
    </row>
    <row r="507" spans="1:17" ht="14.4">
      <c r="A507" s="128"/>
      <c r="B507" s="154">
        <f t="shared" si="77"/>
        <v>44106</v>
      </c>
      <c r="C507" s="154">
        <f t="shared" si="78"/>
        <v>44112</v>
      </c>
      <c r="D507" s="155" t="str">
        <f t="shared" si="69"/>
        <v>Thu</v>
      </c>
      <c r="E507" s="162">
        <f t="shared" si="70"/>
        <v>1</v>
      </c>
      <c r="F507" s="162">
        <f t="shared" si="75"/>
        <v>21</v>
      </c>
      <c r="G507" s="162">
        <f t="shared" si="73"/>
        <v>1</v>
      </c>
      <c r="H507" s="162">
        <f t="shared" si="76"/>
        <v>2080</v>
      </c>
      <c r="I507" s="175">
        <f t="shared" si="74"/>
        <v>1</v>
      </c>
      <c r="J507" s="159" t="str">
        <f t="shared" si="71"/>
        <v>Oct</v>
      </c>
      <c r="K507" s="159">
        <f t="shared" si="72"/>
        <v>2020</v>
      </c>
      <c r="L507" s="160">
        <v>1</v>
      </c>
      <c r="Q507" s="201">
        <f>1-Q506</f>
        <v>0.85714285714285721</v>
      </c>
    </row>
    <row r="508" spans="1:17" ht="14.4">
      <c r="A508" s="128"/>
      <c r="B508" s="154">
        <f t="shared" si="77"/>
        <v>44120</v>
      </c>
      <c r="C508" s="154">
        <f t="shared" si="78"/>
        <v>44126</v>
      </c>
      <c r="D508" s="155" t="str">
        <f t="shared" si="69"/>
        <v>Thu</v>
      </c>
      <c r="E508" s="162">
        <f t="shared" si="70"/>
        <v>2</v>
      </c>
      <c r="F508" s="162">
        <f t="shared" si="75"/>
        <v>22</v>
      </c>
      <c r="G508" s="162">
        <f t="shared" si="73"/>
        <v>2</v>
      </c>
      <c r="H508" s="162">
        <f t="shared" si="76"/>
        <v>2000</v>
      </c>
      <c r="I508" s="175">
        <f t="shared" si="74"/>
        <v>0.96153846153846156</v>
      </c>
      <c r="J508" s="159" t="str">
        <f t="shared" si="71"/>
        <v>Oct</v>
      </c>
      <c r="K508" s="159">
        <f t="shared" si="72"/>
        <v>2020</v>
      </c>
      <c r="L508" s="160">
        <v>1</v>
      </c>
    </row>
    <row r="509" spans="1:17" ht="14.4">
      <c r="A509" s="128"/>
      <c r="B509" s="154">
        <f t="shared" si="77"/>
        <v>44134</v>
      </c>
      <c r="C509" s="154">
        <f t="shared" si="78"/>
        <v>44140</v>
      </c>
      <c r="D509" s="155" t="str">
        <f t="shared" si="69"/>
        <v>Thu</v>
      </c>
      <c r="E509" s="162">
        <f t="shared" si="70"/>
        <v>1</v>
      </c>
      <c r="F509" s="162">
        <f t="shared" si="75"/>
        <v>23</v>
      </c>
      <c r="G509" s="162">
        <f t="shared" si="73"/>
        <v>3</v>
      </c>
      <c r="H509" s="162">
        <f t="shared" si="76"/>
        <v>1920</v>
      </c>
      <c r="I509" s="175">
        <f t="shared" si="74"/>
        <v>0.92307692307692313</v>
      </c>
      <c r="J509" s="159" t="str">
        <f t="shared" si="71"/>
        <v>Nov</v>
      </c>
      <c r="K509" s="159">
        <f t="shared" si="72"/>
        <v>2020</v>
      </c>
      <c r="L509" s="160">
        <v>1</v>
      </c>
    </row>
    <row r="510" spans="1:17" ht="14.4">
      <c r="A510" s="128"/>
      <c r="B510" s="154">
        <f t="shared" si="77"/>
        <v>44148</v>
      </c>
      <c r="C510" s="154">
        <f t="shared" si="78"/>
        <v>44154</v>
      </c>
      <c r="D510" s="155" t="str">
        <f t="shared" si="69"/>
        <v>Thu</v>
      </c>
      <c r="E510" s="162">
        <f t="shared" si="70"/>
        <v>2</v>
      </c>
      <c r="F510" s="162">
        <f t="shared" si="75"/>
        <v>24</v>
      </c>
      <c r="G510" s="162">
        <f t="shared" si="73"/>
        <v>4</v>
      </c>
      <c r="H510" s="162">
        <f t="shared" si="76"/>
        <v>1840</v>
      </c>
      <c r="I510" s="175">
        <f t="shared" si="74"/>
        <v>0.88461538461538458</v>
      </c>
      <c r="J510" s="159" t="str">
        <f t="shared" si="71"/>
        <v>Nov</v>
      </c>
      <c r="K510" s="159">
        <f t="shared" si="72"/>
        <v>2020</v>
      </c>
      <c r="L510" s="160">
        <v>1</v>
      </c>
    </row>
    <row r="511" spans="1:17" ht="14.4">
      <c r="A511" s="128"/>
      <c r="B511" s="154">
        <f t="shared" si="77"/>
        <v>44162</v>
      </c>
      <c r="C511" s="154">
        <f t="shared" si="78"/>
        <v>44168</v>
      </c>
      <c r="D511" s="155" t="str">
        <f t="shared" si="69"/>
        <v>Thu</v>
      </c>
      <c r="E511" s="162">
        <f t="shared" si="70"/>
        <v>1</v>
      </c>
      <c r="F511" s="162">
        <f t="shared" si="75"/>
        <v>25</v>
      </c>
      <c r="G511" s="162">
        <f t="shared" si="73"/>
        <v>5</v>
      </c>
      <c r="H511" s="162">
        <f t="shared" si="76"/>
        <v>1760</v>
      </c>
      <c r="I511" s="175">
        <f t="shared" si="74"/>
        <v>0.84615384615384615</v>
      </c>
      <c r="J511" s="159" t="str">
        <f t="shared" si="71"/>
        <v>Dec</v>
      </c>
      <c r="K511" s="159">
        <f t="shared" si="72"/>
        <v>2020</v>
      </c>
      <c r="L511" s="160">
        <v>1</v>
      </c>
      <c r="P511" s="145">
        <f>7.02*52</f>
        <v>365.03999999999996</v>
      </c>
      <c r="Q511" s="145">
        <f>P511/7</f>
        <v>52.148571428571422</v>
      </c>
    </row>
    <row r="512" spans="1:17" ht="14.4">
      <c r="A512" s="128"/>
      <c r="B512" s="154">
        <f t="shared" si="77"/>
        <v>44176</v>
      </c>
      <c r="C512" s="154">
        <f t="shared" si="78"/>
        <v>44182</v>
      </c>
      <c r="D512" s="155" t="str">
        <f t="shared" si="69"/>
        <v>Thu</v>
      </c>
      <c r="E512" s="162">
        <f t="shared" si="70"/>
        <v>2</v>
      </c>
      <c r="F512" s="162">
        <f t="shared" si="75"/>
        <v>26</v>
      </c>
      <c r="G512" s="162">
        <f t="shared" si="73"/>
        <v>6</v>
      </c>
      <c r="H512" s="162">
        <f t="shared" si="76"/>
        <v>1680</v>
      </c>
      <c r="I512" s="175">
        <f t="shared" si="74"/>
        <v>0.80769230769230771</v>
      </c>
      <c r="J512" s="159" t="str">
        <f t="shared" si="71"/>
        <v>Dec</v>
      </c>
      <c r="K512" s="159">
        <f t="shared" si="72"/>
        <v>2020</v>
      </c>
      <c r="L512" s="160">
        <v>1</v>
      </c>
      <c r="Q512" s="145">
        <f>Q511/2</f>
        <v>26.074285714285711</v>
      </c>
    </row>
    <row r="513" spans="1:12" ht="14.4">
      <c r="A513" s="128"/>
      <c r="B513" s="154">
        <f t="shared" si="77"/>
        <v>44190</v>
      </c>
      <c r="C513" s="154">
        <f t="shared" si="78"/>
        <v>44196</v>
      </c>
      <c r="D513" s="155" t="str">
        <f t="shared" si="69"/>
        <v>Thu</v>
      </c>
      <c r="E513" s="162">
        <f t="shared" si="70"/>
        <v>3</v>
      </c>
      <c r="F513" s="162">
        <f t="shared" si="75"/>
        <v>27</v>
      </c>
      <c r="G513" s="162">
        <f t="shared" si="73"/>
        <v>7</v>
      </c>
      <c r="H513" s="162">
        <f t="shared" si="76"/>
        <v>1600</v>
      </c>
      <c r="I513" s="175">
        <f t="shared" si="74"/>
        <v>0.76923076923076927</v>
      </c>
      <c r="J513" s="159" t="str">
        <f t="shared" si="71"/>
        <v>Dec</v>
      </c>
      <c r="K513" s="159">
        <f t="shared" si="72"/>
        <v>2020</v>
      </c>
      <c r="L513" s="160">
        <v>1</v>
      </c>
    </row>
    <row r="514" spans="1:12" ht="14.4">
      <c r="A514" s="128"/>
      <c r="B514" s="154">
        <f t="shared" si="77"/>
        <v>44204</v>
      </c>
      <c r="C514" s="154">
        <f t="shared" si="78"/>
        <v>44210</v>
      </c>
      <c r="D514" s="155" t="str">
        <f t="shared" si="69"/>
        <v>Thu</v>
      </c>
      <c r="E514" s="162">
        <f t="shared" si="70"/>
        <v>1</v>
      </c>
      <c r="F514" s="162">
        <f t="shared" si="75"/>
        <v>1</v>
      </c>
      <c r="G514" s="162">
        <f t="shared" si="73"/>
        <v>8</v>
      </c>
      <c r="H514" s="162">
        <f t="shared" si="76"/>
        <v>1520</v>
      </c>
      <c r="I514" s="175">
        <f t="shared" si="74"/>
        <v>0.73076923076923073</v>
      </c>
      <c r="J514" s="159" t="str">
        <f t="shared" si="71"/>
        <v>Jan</v>
      </c>
      <c r="K514" s="159">
        <f t="shared" si="72"/>
        <v>2021</v>
      </c>
      <c r="L514" s="160">
        <v>1</v>
      </c>
    </row>
    <row r="515" spans="1:12" ht="14.4">
      <c r="A515" s="128"/>
      <c r="B515" s="154">
        <f t="shared" si="77"/>
        <v>44218</v>
      </c>
      <c r="C515" s="154">
        <f t="shared" si="78"/>
        <v>44224</v>
      </c>
      <c r="D515" s="155" t="str">
        <f t="shared" si="69"/>
        <v>Thu</v>
      </c>
      <c r="E515" s="162">
        <f t="shared" si="70"/>
        <v>2</v>
      </c>
      <c r="F515" s="162">
        <f t="shared" si="75"/>
        <v>2</v>
      </c>
      <c r="G515" s="162">
        <f t="shared" si="73"/>
        <v>9</v>
      </c>
      <c r="H515" s="162">
        <f t="shared" si="76"/>
        <v>1440</v>
      </c>
      <c r="I515" s="175">
        <f t="shared" si="74"/>
        <v>0.69230769230769229</v>
      </c>
      <c r="J515" s="159" t="str">
        <f t="shared" si="71"/>
        <v>Jan</v>
      </c>
      <c r="K515" s="159">
        <f t="shared" si="72"/>
        <v>2021</v>
      </c>
      <c r="L515" s="160">
        <v>1</v>
      </c>
    </row>
    <row r="516" spans="1:12" ht="14.4">
      <c r="A516" s="128"/>
      <c r="B516" s="154">
        <f t="shared" si="77"/>
        <v>44232</v>
      </c>
      <c r="C516" s="154">
        <f t="shared" si="78"/>
        <v>44238</v>
      </c>
      <c r="D516" s="155" t="str">
        <f t="shared" si="69"/>
        <v>Thu</v>
      </c>
      <c r="E516" s="162">
        <f t="shared" si="70"/>
        <v>1</v>
      </c>
      <c r="F516" s="162">
        <f t="shared" si="75"/>
        <v>3</v>
      </c>
      <c r="G516" s="162">
        <f t="shared" si="73"/>
        <v>10</v>
      </c>
      <c r="H516" s="162">
        <f t="shared" si="76"/>
        <v>1360</v>
      </c>
      <c r="I516" s="175">
        <f t="shared" si="74"/>
        <v>0.65384615384615385</v>
      </c>
      <c r="J516" s="159" t="str">
        <f t="shared" si="71"/>
        <v>Feb</v>
      </c>
      <c r="K516" s="159">
        <f t="shared" si="72"/>
        <v>2021</v>
      </c>
      <c r="L516" s="160">
        <v>1</v>
      </c>
    </row>
    <row r="517" spans="1:12" ht="14.4">
      <c r="A517" s="128"/>
      <c r="B517" s="154">
        <f t="shared" si="77"/>
        <v>44246</v>
      </c>
      <c r="C517" s="154">
        <f t="shared" si="78"/>
        <v>44252</v>
      </c>
      <c r="D517" s="155" t="str">
        <f t="shared" si="69"/>
        <v>Thu</v>
      </c>
      <c r="E517" s="162">
        <f t="shared" si="70"/>
        <v>2</v>
      </c>
      <c r="F517" s="162">
        <f t="shared" si="75"/>
        <v>4</v>
      </c>
      <c r="G517" s="162">
        <f t="shared" si="73"/>
        <v>11</v>
      </c>
      <c r="H517" s="162">
        <f t="shared" si="76"/>
        <v>1280</v>
      </c>
      <c r="I517" s="175">
        <f t="shared" si="74"/>
        <v>0.61538461538461542</v>
      </c>
      <c r="J517" s="159" t="str">
        <f t="shared" si="71"/>
        <v>Feb</v>
      </c>
      <c r="K517" s="159">
        <f t="shared" si="72"/>
        <v>2021</v>
      </c>
      <c r="L517" s="160">
        <v>1</v>
      </c>
    </row>
    <row r="518" spans="1:12" ht="14.4">
      <c r="A518" s="128"/>
      <c r="B518" s="154">
        <f t="shared" si="77"/>
        <v>44260</v>
      </c>
      <c r="C518" s="154">
        <f t="shared" si="78"/>
        <v>44266</v>
      </c>
      <c r="D518" s="155" t="str">
        <f t="shared" si="69"/>
        <v>Thu</v>
      </c>
      <c r="E518" s="162">
        <f t="shared" si="70"/>
        <v>1</v>
      </c>
      <c r="F518" s="162">
        <f t="shared" si="75"/>
        <v>5</v>
      </c>
      <c r="G518" s="162">
        <f t="shared" si="73"/>
        <v>12</v>
      </c>
      <c r="H518" s="162">
        <f t="shared" si="76"/>
        <v>1200</v>
      </c>
      <c r="I518" s="175">
        <f t="shared" si="74"/>
        <v>0.57692307692307687</v>
      </c>
      <c r="J518" s="159" t="str">
        <f t="shared" si="71"/>
        <v>Mar</v>
      </c>
      <c r="K518" s="159">
        <f t="shared" si="72"/>
        <v>2021</v>
      </c>
      <c r="L518" s="160">
        <v>1</v>
      </c>
    </row>
    <row r="519" spans="1:12" ht="14.4">
      <c r="A519" s="128"/>
      <c r="B519" s="154">
        <f t="shared" si="77"/>
        <v>44274</v>
      </c>
      <c r="C519" s="154">
        <f t="shared" si="78"/>
        <v>44280</v>
      </c>
      <c r="D519" s="155" t="str">
        <f t="shared" si="69"/>
        <v>Thu</v>
      </c>
      <c r="E519" s="162">
        <f t="shared" si="70"/>
        <v>2</v>
      </c>
      <c r="F519" s="162">
        <f t="shared" si="75"/>
        <v>6</v>
      </c>
      <c r="G519" s="162">
        <f t="shared" si="73"/>
        <v>13</v>
      </c>
      <c r="H519" s="162">
        <f t="shared" si="76"/>
        <v>1120</v>
      </c>
      <c r="I519" s="175">
        <f t="shared" si="74"/>
        <v>0.53846153846153844</v>
      </c>
      <c r="J519" s="159" t="str">
        <f t="shared" si="71"/>
        <v>Mar</v>
      </c>
      <c r="K519" s="159">
        <f t="shared" si="72"/>
        <v>2021</v>
      </c>
      <c r="L519" s="160">
        <v>1</v>
      </c>
    </row>
    <row r="520" spans="1:12" ht="14.4">
      <c r="A520" s="128"/>
      <c r="B520" s="154">
        <f t="shared" si="77"/>
        <v>44288</v>
      </c>
      <c r="C520" s="154">
        <f t="shared" si="78"/>
        <v>44294</v>
      </c>
      <c r="D520" s="155" t="str">
        <f t="shared" ref="D520:D523" si="79">TEXT(C520,"ddd")</f>
        <v>Thu</v>
      </c>
      <c r="E520" s="162">
        <f t="shared" ref="E520:E523" si="80">IF(MONTH(C520)=MONTH(C519),E519+1,1)</f>
        <v>1</v>
      </c>
      <c r="F520" s="162">
        <f t="shared" si="75"/>
        <v>7</v>
      </c>
      <c r="G520" s="162">
        <f t="shared" si="73"/>
        <v>14</v>
      </c>
      <c r="H520" s="162">
        <f t="shared" si="76"/>
        <v>1040</v>
      </c>
      <c r="I520" s="175">
        <f t="shared" si="74"/>
        <v>0.5</v>
      </c>
      <c r="J520" s="159" t="str">
        <f t="shared" ref="J520:J523" si="81">TEXT(C520,"mmm")</f>
        <v>Apr</v>
      </c>
      <c r="K520" s="159">
        <f t="shared" ref="K520:K523" si="82">YEAR(C520)</f>
        <v>2021</v>
      </c>
      <c r="L520" s="160">
        <v>1</v>
      </c>
    </row>
    <row r="521" spans="1:12" ht="14.4">
      <c r="A521" s="128"/>
      <c r="B521" s="154">
        <f t="shared" si="77"/>
        <v>44302</v>
      </c>
      <c r="C521" s="154">
        <f t="shared" si="78"/>
        <v>44308</v>
      </c>
      <c r="D521" s="155" t="str">
        <f t="shared" si="79"/>
        <v>Thu</v>
      </c>
      <c r="E521" s="162">
        <f t="shared" si="80"/>
        <v>2</v>
      </c>
      <c r="F521" s="162">
        <f t="shared" si="75"/>
        <v>8</v>
      </c>
      <c r="G521" s="162">
        <f t="shared" si="73"/>
        <v>15</v>
      </c>
      <c r="H521" s="162">
        <f t="shared" si="76"/>
        <v>960</v>
      </c>
      <c r="I521" s="175">
        <f t="shared" si="74"/>
        <v>0.46153846153846156</v>
      </c>
      <c r="J521" s="159" t="str">
        <f t="shared" si="81"/>
        <v>Apr</v>
      </c>
      <c r="K521" s="159">
        <f t="shared" si="82"/>
        <v>2021</v>
      </c>
      <c r="L521" s="160">
        <v>1</v>
      </c>
    </row>
    <row r="522" spans="1:12" ht="14.4">
      <c r="A522" s="128"/>
      <c r="B522" s="154">
        <f t="shared" si="77"/>
        <v>44316</v>
      </c>
      <c r="C522" s="154">
        <f t="shared" si="78"/>
        <v>44322</v>
      </c>
      <c r="D522" s="155" t="str">
        <f t="shared" si="79"/>
        <v>Thu</v>
      </c>
      <c r="E522" s="162">
        <f t="shared" si="80"/>
        <v>1</v>
      </c>
      <c r="F522" s="162">
        <f t="shared" si="75"/>
        <v>9</v>
      </c>
      <c r="G522" s="162">
        <f t="shared" si="73"/>
        <v>16</v>
      </c>
      <c r="H522" s="162">
        <f t="shared" si="76"/>
        <v>880</v>
      </c>
      <c r="I522" s="175">
        <f t="shared" si="74"/>
        <v>0.42307692307692307</v>
      </c>
      <c r="J522" s="159" t="str">
        <f t="shared" si="81"/>
        <v>May</v>
      </c>
      <c r="K522" s="159">
        <f t="shared" si="82"/>
        <v>2021</v>
      </c>
      <c r="L522" s="160">
        <v>1</v>
      </c>
    </row>
    <row r="523" spans="1:12" ht="14.4">
      <c r="A523" s="128"/>
      <c r="B523" s="154">
        <f t="shared" si="77"/>
        <v>44330</v>
      </c>
      <c r="C523" s="154">
        <f t="shared" si="78"/>
        <v>44336</v>
      </c>
      <c r="D523" s="155" t="str">
        <f t="shared" si="79"/>
        <v>Thu</v>
      </c>
      <c r="E523" s="162">
        <f t="shared" si="80"/>
        <v>2</v>
      </c>
      <c r="F523" s="162">
        <f t="shared" si="75"/>
        <v>10</v>
      </c>
      <c r="G523" s="162">
        <f t="shared" ref="G523" si="83">IF(AND(F523&lt;26,MONTH(C523)=10),E523,(G522+1))</f>
        <v>17</v>
      </c>
      <c r="H523" s="162">
        <f t="shared" si="76"/>
        <v>800</v>
      </c>
      <c r="I523" s="175">
        <f t="shared" si="74"/>
        <v>0.38461538461538464</v>
      </c>
      <c r="J523" s="159" t="str">
        <f t="shared" si="81"/>
        <v>May</v>
      </c>
      <c r="K523" s="159">
        <f t="shared" si="82"/>
        <v>2021</v>
      </c>
      <c r="L523" s="160">
        <v>1</v>
      </c>
    </row>
    <row r="524" spans="1:12" ht="14.4">
      <c r="B524" s="154">
        <f t="shared" si="77"/>
        <v>44344</v>
      </c>
      <c r="C524" s="154">
        <f t="shared" ref="C524:C539" si="84">B524+6</f>
        <v>44350</v>
      </c>
      <c r="D524" s="155" t="str">
        <f t="shared" ref="D524:D539" si="85">TEXT(C524,"ddd")</f>
        <v>Thu</v>
      </c>
      <c r="E524" s="162">
        <f t="shared" ref="E524:E539" si="86">IF(MONTH(C524)=MONTH(C523),E523+1,1)</f>
        <v>1</v>
      </c>
      <c r="F524" s="162">
        <f t="shared" ref="F524:F539" si="87">IF(YEAR(C524)&gt;YEAR(C523),1,F523+1)</f>
        <v>11</v>
      </c>
      <c r="G524" s="162">
        <f t="shared" ref="G524:G539" si="88">IF(AND(F524&lt;26,MONTH(C524)=10),E524,(G523+1))</f>
        <v>18</v>
      </c>
      <c r="H524" s="162">
        <f t="shared" ref="H524:H539" si="89">IF(2080-(G523*80)&gt;0,2080-(G523*80),2080)</f>
        <v>720</v>
      </c>
      <c r="I524" s="175">
        <f t="shared" ref="I524:I539" si="90">H524/2080</f>
        <v>0.34615384615384615</v>
      </c>
      <c r="J524" s="159" t="str">
        <f t="shared" ref="J524:J539" si="91">TEXT(C524,"mmm")</f>
        <v>Jun</v>
      </c>
      <c r="K524" s="159">
        <f t="shared" ref="K524:K539" si="92">YEAR(C524)</f>
        <v>2021</v>
      </c>
      <c r="L524" s="160">
        <v>1</v>
      </c>
    </row>
    <row r="525" spans="1:12" ht="14.4">
      <c r="B525" s="154">
        <f t="shared" si="77"/>
        <v>44358</v>
      </c>
      <c r="C525" s="154">
        <f t="shared" si="84"/>
        <v>44364</v>
      </c>
      <c r="D525" s="155" t="str">
        <f t="shared" si="85"/>
        <v>Thu</v>
      </c>
      <c r="E525" s="162">
        <f t="shared" si="86"/>
        <v>2</v>
      </c>
      <c r="F525" s="162">
        <f t="shared" si="87"/>
        <v>12</v>
      </c>
      <c r="G525" s="162">
        <f t="shared" si="88"/>
        <v>19</v>
      </c>
      <c r="H525" s="162">
        <f t="shared" si="89"/>
        <v>640</v>
      </c>
      <c r="I525" s="175">
        <f t="shared" si="90"/>
        <v>0.30769230769230771</v>
      </c>
      <c r="J525" s="159" t="str">
        <f t="shared" si="91"/>
        <v>Jun</v>
      </c>
      <c r="K525" s="159">
        <f t="shared" si="92"/>
        <v>2021</v>
      </c>
      <c r="L525" s="160">
        <v>1</v>
      </c>
    </row>
    <row r="526" spans="1:12" ht="14.4">
      <c r="B526" s="154">
        <f t="shared" si="77"/>
        <v>44372</v>
      </c>
      <c r="C526" s="154">
        <f t="shared" si="84"/>
        <v>44378</v>
      </c>
      <c r="D526" s="155" t="str">
        <f t="shared" si="85"/>
        <v>Thu</v>
      </c>
      <c r="E526" s="162">
        <f t="shared" si="86"/>
        <v>1</v>
      </c>
      <c r="F526" s="162">
        <f t="shared" si="87"/>
        <v>13</v>
      </c>
      <c r="G526" s="162">
        <f t="shared" si="88"/>
        <v>20</v>
      </c>
      <c r="H526" s="162">
        <f t="shared" si="89"/>
        <v>560</v>
      </c>
      <c r="I526" s="175">
        <f t="shared" si="90"/>
        <v>0.26923076923076922</v>
      </c>
      <c r="J526" s="159" t="str">
        <f t="shared" si="91"/>
        <v>Jul</v>
      </c>
      <c r="K526" s="159">
        <f t="shared" si="92"/>
        <v>2021</v>
      </c>
      <c r="L526" s="160">
        <v>1</v>
      </c>
    </row>
    <row r="527" spans="1:12" ht="14.4">
      <c r="B527" s="154">
        <f t="shared" si="77"/>
        <v>44386</v>
      </c>
      <c r="C527" s="154">
        <f t="shared" si="84"/>
        <v>44392</v>
      </c>
      <c r="D527" s="155" t="str">
        <f t="shared" si="85"/>
        <v>Thu</v>
      </c>
      <c r="E527" s="162">
        <f t="shared" si="86"/>
        <v>2</v>
      </c>
      <c r="F527" s="162">
        <f t="shared" si="87"/>
        <v>14</v>
      </c>
      <c r="G527" s="162">
        <f t="shared" si="88"/>
        <v>21</v>
      </c>
      <c r="H527" s="162">
        <f t="shared" si="89"/>
        <v>480</v>
      </c>
      <c r="I527" s="175">
        <f t="shared" si="90"/>
        <v>0.23076923076923078</v>
      </c>
      <c r="J527" s="159" t="str">
        <f t="shared" si="91"/>
        <v>Jul</v>
      </c>
      <c r="K527" s="159">
        <f t="shared" si="92"/>
        <v>2021</v>
      </c>
      <c r="L527" s="160">
        <v>1</v>
      </c>
    </row>
    <row r="528" spans="1:12" ht="14.4">
      <c r="B528" s="154">
        <f t="shared" si="77"/>
        <v>44400</v>
      </c>
      <c r="C528" s="154">
        <f t="shared" si="84"/>
        <v>44406</v>
      </c>
      <c r="D528" s="155" t="str">
        <f t="shared" si="85"/>
        <v>Thu</v>
      </c>
      <c r="E528" s="162">
        <f t="shared" si="86"/>
        <v>3</v>
      </c>
      <c r="F528" s="162">
        <f t="shared" si="87"/>
        <v>15</v>
      </c>
      <c r="G528" s="162">
        <f t="shared" si="88"/>
        <v>22</v>
      </c>
      <c r="H528" s="162">
        <f t="shared" si="89"/>
        <v>400</v>
      </c>
      <c r="I528" s="175">
        <f t="shared" si="90"/>
        <v>0.19230769230769232</v>
      </c>
      <c r="J528" s="159" t="str">
        <f t="shared" si="91"/>
        <v>Jul</v>
      </c>
      <c r="K528" s="159">
        <f t="shared" si="92"/>
        <v>2021</v>
      </c>
      <c r="L528" s="160">
        <v>1</v>
      </c>
    </row>
    <row r="529" spans="2:17" ht="14.4">
      <c r="B529" s="154">
        <f t="shared" si="77"/>
        <v>44414</v>
      </c>
      <c r="C529" s="154">
        <f t="shared" si="84"/>
        <v>44420</v>
      </c>
      <c r="D529" s="155" t="str">
        <f t="shared" si="85"/>
        <v>Thu</v>
      </c>
      <c r="E529" s="162">
        <f t="shared" si="86"/>
        <v>1</v>
      </c>
      <c r="F529" s="162">
        <f t="shared" si="87"/>
        <v>16</v>
      </c>
      <c r="G529" s="162">
        <f t="shared" si="88"/>
        <v>23</v>
      </c>
      <c r="H529" s="162">
        <f t="shared" si="89"/>
        <v>320</v>
      </c>
      <c r="I529" s="175">
        <f t="shared" si="90"/>
        <v>0.15384615384615385</v>
      </c>
      <c r="J529" s="159" t="str">
        <f t="shared" si="91"/>
        <v>Aug</v>
      </c>
      <c r="K529" s="159">
        <f t="shared" si="92"/>
        <v>2021</v>
      </c>
      <c r="L529" s="160">
        <v>1</v>
      </c>
    </row>
    <row r="530" spans="2:17" ht="14.4">
      <c r="B530" s="154">
        <f t="shared" si="77"/>
        <v>44428</v>
      </c>
      <c r="C530" s="154">
        <f t="shared" si="84"/>
        <v>44434</v>
      </c>
      <c r="D530" s="155" t="str">
        <f t="shared" si="85"/>
        <v>Thu</v>
      </c>
      <c r="E530" s="162">
        <f t="shared" si="86"/>
        <v>2</v>
      </c>
      <c r="F530" s="162">
        <f t="shared" si="87"/>
        <v>17</v>
      </c>
      <c r="G530" s="162">
        <f t="shared" si="88"/>
        <v>24</v>
      </c>
      <c r="H530" s="162">
        <f t="shared" si="89"/>
        <v>240</v>
      </c>
      <c r="I530" s="175">
        <f t="shared" si="90"/>
        <v>0.11538461538461539</v>
      </c>
      <c r="J530" s="159" t="str">
        <f t="shared" si="91"/>
        <v>Aug</v>
      </c>
      <c r="K530" s="159">
        <f t="shared" si="92"/>
        <v>2021</v>
      </c>
      <c r="L530" s="160">
        <v>1</v>
      </c>
    </row>
    <row r="531" spans="2:17" ht="14.4">
      <c r="B531" s="154">
        <f t="shared" si="77"/>
        <v>44442</v>
      </c>
      <c r="C531" s="154">
        <f t="shared" si="84"/>
        <v>44448</v>
      </c>
      <c r="D531" s="155" t="str">
        <f t="shared" si="85"/>
        <v>Thu</v>
      </c>
      <c r="E531" s="162">
        <f t="shared" si="86"/>
        <v>1</v>
      </c>
      <c r="F531" s="162">
        <f t="shared" si="87"/>
        <v>18</v>
      </c>
      <c r="G531" s="162">
        <f t="shared" si="88"/>
        <v>25</v>
      </c>
      <c r="H531" s="162">
        <f t="shared" si="89"/>
        <v>160</v>
      </c>
      <c r="I531" s="175">
        <f t="shared" si="90"/>
        <v>7.6923076923076927E-2</v>
      </c>
      <c r="J531" s="159" t="str">
        <f t="shared" si="91"/>
        <v>Sep</v>
      </c>
      <c r="K531" s="159">
        <f t="shared" si="92"/>
        <v>2021</v>
      </c>
      <c r="L531" s="160">
        <v>1</v>
      </c>
    </row>
    <row r="532" spans="2:17" ht="14.4">
      <c r="B532" s="154">
        <f t="shared" si="77"/>
        <v>44456</v>
      </c>
      <c r="C532" s="154">
        <f t="shared" si="84"/>
        <v>44462</v>
      </c>
      <c r="D532" s="155" t="str">
        <f t="shared" si="85"/>
        <v>Thu</v>
      </c>
      <c r="E532" s="162">
        <f t="shared" si="86"/>
        <v>2</v>
      </c>
      <c r="F532" s="162">
        <f t="shared" si="87"/>
        <v>19</v>
      </c>
      <c r="G532" s="162">
        <f t="shared" si="88"/>
        <v>26</v>
      </c>
      <c r="H532" s="162">
        <f t="shared" si="89"/>
        <v>80</v>
      </c>
      <c r="I532" s="175">
        <f t="shared" si="90"/>
        <v>3.8461538461538464E-2</v>
      </c>
      <c r="J532" s="159" t="str">
        <f t="shared" si="91"/>
        <v>Sep</v>
      </c>
      <c r="K532" s="159">
        <f t="shared" si="92"/>
        <v>2021</v>
      </c>
      <c r="L532" s="160">
        <v>1</v>
      </c>
      <c r="O532" s="199">
        <v>44469</v>
      </c>
      <c r="P532" s="145">
        <f>B533-O532</f>
        <v>1</v>
      </c>
      <c r="Q532" s="200">
        <f>P532/14</f>
        <v>7.1428571428571425E-2</v>
      </c>
    </row>
    <row r="533" spans="2:17" ht="14.4">
      <c r="B533" s="154">
        <f>B532+14</f>
        <v>44470</v>
      </c>
      <c r="C533" s="154">
        <f t="shared" si="84"/>
        <v>44476</v>
      </c>
      <c r="D533" s="155" t="str">
        <f t="shared" si="85"/>
        <v>Thu</v>
      </c>
      <c r="E533" s="162">
        <f>IF(MONTH(C533)=MONTH(C532),E532+1,1)</f>
        <v>1</v>
      </c>
      <c r="F533" s="162">
        <f>IF(YEAR(C533)&gt;YEAR(C532),1,F532+1)</f>
        <v>20</v>
      </c>
      <c r="G533" s="162">
        <f>IF(AND(F533&lt;26,MONTH(C533)=10),E533,(G532+1))</f>
        <v>1</v>
      </c>
      <c r="H533" s="162">
        <f>IF(2080-(G532*80)&gt;0,2080-(G532*80),2080)</f>
        <v>2080</v>
      </c>
      <c r="I533" s="175">
        <f t="shared" si="90"/>
        <v>1</v>
      </c>
      <c r="J533" s="159" t="str">
        <f t="shared" si="91"/>
        <v>Oct</v>
      </c>
      <c r="K533" s="159">
        <f t="shared" si="92"/>
        <v>2021</v>
      </c>
      <c r="L533" s="160">
        <v>1</v>
      </c>
      <c r="Q533" s="201">
        <f>1-Q532</f>
        <v>0.9285714285714286</v>
      </c>
    </row>
    <row r="534" spans="2:17" ht="14.4">
      <c r="B534" s="154">
        <f t="shared" si="77"/>
        <v>44484</v>
      </c>
      <c r="C534" s="154">
        <f t="shared" si="84"/>
        <v>44490</v>
      </c>
      <c r="D534" s="155" t="str">
        <f t="shared" si="85"/>
        <v>Thu</v>
      </c>
      <c r="E534" s="162">
        <f t="shared" si="86"/>
        <v>2</v>
      </c>
      <c r="F534" s="162">
        <f t="shared" si="87"/>
        <v>21</v>
      </c>
      <c r="G534" s="162">
        <f t="shared" si="88"/>
        <v>2</v>
      </c>
      <c r="H534" s="162">
        <f t="shared" si="89"/>
        <v>2000</v>
      </c>
      <c r="I534" s="175">
        <f t="shared" si="90"/>
        <v>0.96153846153846156</v>
      </c>
      <c r="J534" s="159" t="str">
        <f t="shared" si="91"/>
        <v>Oct</v>
      </c>
      <c r="K534" s="159">
        <f t="shared" si="92"/>
        <v>2021</v>
      </c>
      <c r="L534" s="160">
        <v>1</v>
      </c>
      <c r="Q534" s="201">
        <f>1-Q533</f>
        <v>7.1428571428571397E-2</v>
      </c>
    </row>
    <row r="535" spans="2:17" ht="14.4">
      <c r="B535" s="154">
        <f t="shared" si="77"/>
        <v>44498</v>
      </c>
      <c r="C535" s="154">
        <f t="shared" si="84"/>
        <v>44504</v>
      </c>
      <c r="D535" s="155" t="str">
        <f t="shared" si="85"/>
        <v>Thu</v>
      </c>
      <c r="E535" s="162">
        <f t="shared" si="86"/>
        <v>1</v>
      </c>
      <c r="F535" s="162">
        <f t="shared" si="87"/>
        <v>22</v>
      </c>
      <c r="G535" s="162">
        <f t="shared" si="88"/>
        <v>3</v>
      </c>
      <c r="H535" s="162">
        <f t="shared" si="89"/>
        <v>1920</v>
      </c>
      <c r="I535" s="175">
        <f t="shared" si="90"/>
        <v>0.92307692307692313</v>
      </c>
      <c r="J535" s="159" t="str">
        <f t="shared" si="91"/>
        <v>Nov</v>
      </c>
      <c r="K535" s="159">
        <f t="shared" si="92"/>
        <v>2021</v>
      </c>
      <c r="L535" s="160">
        <v>1</v>
      </c>
    </row>
    <row r="536" spans="2:17" ht="14.4">
      <c r="B536" s="154">
        <f t="shared" si="77"/>
        <v>44512</v>
      </c>
      <c r="C536" s="154">
        <f t="shared" si="84"/>
        <v>44518</v>
      </c>
      <c r="D536" s="155" t="str">
        <f t="shared" si="85"/>
        <v>Thu</v>
      </c>
      <c r="E536" s="162">
        <f t="shared" si="86"/>
        <v>2</v>
      </c>
      <c r="F536" s="162">
        <f t="shared" si="87"/>
        <v>23</v>
      </c>
      <c r="G536" s="162">
        <f t="shared" si="88"/>
        <v>4</v>
      </c>
      <c r="H536" s="162">
        <f t="shared" si="89"/>
        <v>1840</v>
      </c>
      <c r="I536" s="175">
        <f t="shared" si="90"/>
        <v>0.88461538461538458</v>
      </c>
      <c r="J536" s="159" t="str">
        <f t="shared" si="91"/>
        <v>Nov</v>
      </c>
      <c r="K536" s="159">
        <f t="shared" si="92"/>
        <v>2021</v>
      </c>
      <c r="L536" s="160">
        <v>1</v>
      </c>
    </row>
    <row r="537" spans="2:17" ht="14.4">
      <c r="B537" s="154">
        <f t="shared" si="77"/>
        <v>44526</v>
      </c>
      <c r="C537" s="154">
        <f t="shared" si="84"/>
        <v>44532</v>
      </c>
      <c r="D537" s="155" t="str">
        <f t="shared" si="85"/>
        <v>Thu</v>
      </c>
      <c r="E537" s="162">
        <f t="shared" si="86"/>
        <v>1</v>
      </c>
      <c r="F537" s="162">
        <f t="shared" si="87"/>
        <v>24</v>
      </c>
      <c r="G537" s="162">
        <f t="shared" si="88"/>
        <v>5</v>
      </c>
      <c r="H537" s="162">
        <f t="shared" si="89"/>
        <v>1760</v>
      </c>
      <c r="I537" s="175">
        <f t="shared" si="90"/>
        <v>0.84615384615384615</v>
      </c>
      <c r="J537" s="159" t="str">
        <f t="shared" si="91"/>
        <v>Dec</v>
      </c>
      <c r="K537" s="159">
        <f t="shared" si="92"/>
        <v>2021</v>
      </c>
      <c r="L537" s="160">
        <v>1</v>
      </c>
    </row>
    <row r="538" spans="2:17" ht="14.4">
      <c r="B538" s="154">
        <f t="shared" si="77"/>
        <v>44540</v>
      </c>
      <c r="C538" s="154">
        <f t="shared" si="84"/>
        <v>44546</v>
      </c>
      <c r="D538" s="155" t="str">
        <f t="shared" si="85"/>
        <v>Thu</v>
      </c>
      <c r="E538" s="162">
        <f t="shared" si="86"/>
        <v>2</v>
      </c>
      <c r="F538" s="162">
        <f t="shared" si="87"/>
        <v>25</v>
      </c>
      <c r="G538" s="162">
        <f t="shared" si="88"/>
        <v>6</v>
      </c>
      <c r="H538" s="162">
        <f t="shared" si="89"/>
        <v>1680</v>
      </c>
      <c r="I538" s="175">
        <f t="shared" si="90"/>
        <v>0.80769230769230771</v>
      </c>
      <c r="J538" s="159" t="str">
        <f t="shared" si="91"/>
        <v>Dec</v>
      </c>
      <c r="K538" s="159">
        <f t="shared" si="92"/>
        <v>2021</v>
      </c>
      <c r="L538" s="160">
        <v>1</v>
      </c>
    </row>
    <row r="539" spans="2:17" ht="14.4">
      <c r="B539" s="154">
        <f t="shared" si="77"/>
        <v>44554</v>
      </c>
      <c r="C539" s="154">
        <f t="shared" si="84"/>
        <v>44560</v>
      </c>
      <c r="D539" s="155" t="str">
        <f t="shared" si="85"/>
        <v>Thu</v>
      </c>
      <c r="E539" s="162">
        <f t="shared" si="86"/>
        <v>3</v>
      </c>
      <c r="F539" s="162">
        <f t="shared" si="87"/>
        <v>26</v>
      </c>
      <c r="G539" s="162">
        <f t="shared" si="88"/>
        <v>7</v>
      </c>
      <c r="H539" s="162">
        <f t="shared" si="89"/>
        <v>1600</v>
      </c>
      <c r="I539" s="175">
        <f t="shared" si="90"/>
        <v>0.76923076923076927</v>
      </c>
      <c r="J539" s="159" t="str">
        <f t="shared" si="91"/>
        <v>Dec</v>
      </c>
      <c r="K539" s="159">
        <f t="shared" si="92"/>
        <v>2021</v>
      </c>
      <c r="L539" s="160">
        <v>1</v>
      </c>
    </row>
  </sheetData>
  <pageMargins left="0.7" right="0.7" top="0.75" bottom="0.75" header="0.3" footer="0.3"/>
  <pageSetup scale="7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3"/>
  <sheetViews>
    <sheetView zoomScale="80" zoomScaleNormal="80" workbookViewId="0">
      <selection activeCell="C7" sqref="C7:C25"/>
    </sheetView>
  </sheetViews>
  <sheetFormatPr defaultColWidth="7.08984375" defaultRowHeight="14.4"/>
  <cols>
    <col min="1" max="1" width="16.90625" style="322" customWidth="1"/>
    <col min="2" max="2" width="20.453125" style="322" customWidth="1"/>
    <col min="3" max="3" width="33" style="322" customWidth="1"/>
    <col min="4" max="4" width="40.6328125" style="322" bestFit="1" customWidth="1"/>
    <col min="5" max="5" width="20.6328125" style="322" customWidth="1"/>
    <col min="6" max="6" width="17.1796875" style="322" customWidth="1"/>
    <col min="7" max="7" width="15.6328125" style="322" customWidth="1"/>
    <col min="8" max="8" width="7.08984375" style="322"/>
    <col min="9" max="9" width="15.36328125" style="322" customWidth="1"/>
    <col min="10" max="10" width="8.54296875" style="322" bestFit="1" customWidth="1"/>
    <col min="11" max="16384" width="7.08984375" style="322"/>
  </cols>
  <sheetData>
    <row r="1" spans="1:10" ht="15.6">
      <c r="A1" s="321"/>
    </row>
    <row r="2" spans="1:10" ht="15" thickBot="1"/>
    <row r="3" spans="1:10" ht="15" customHeight="1" thickBot="1">
      <c r="C3" s="605" t="s">
        <v>1972</v>
      </c>
      <c r="D3" s="606"/>
      <c r="E3" s="606"/>
      <c r="F3" s="607"/>
    </row>
    <row r="4" spans="1:10" ht="32.25" customHeight="1" thickBot="1">
      <c r="A4" s="505" t="s">
        <v>1971</v>
      </c>
      <c r="B4" s="506" t="s">
        <v>1119</v>
      </c>
      <c r="C4" s="508" t="s">
        <v>451</v>
      </c>
      <c r="D4" s="509" t="s">
        <v>452</v>
      </c>
      <c r="E4" s="507" t="s">
        <v>1973</v>
      </c>
      <c r="F4" s="507" t="s">
        <v>1974</v>
      </c>
      <c r="G4" s="510" t="s">
        <v>1975</v>
      </c>
    </row>
    <row r="5" spans="1:10" ht="15.6">
      <c r="A5" s="344"/>
      <c r="B5" s="345"/>
      <c r="C5" s="380"/>
      <c r="D5" s="394"/>
      <c r="G5" s="384"/>
    </row>
    <row r="6" spans="1:10" ht="15.6">
      <c r="A6" s="480" t="s">
        <v>1652</v>
      </c>
      <c r="C6" s="381"/>
      <c r="D6" s="381"/>
      <c r="E6" s="322">
        <v>42785</v>
      </c>
      <c r="F6" s="322">
        <v>44496</v>
      </c>
      <c r="G6" s="511">
        <f>F6-E6</f>
        <v>1711</v>
      </c>
      <c r="I6" s="322">
        <v>44496</v>
      </c>
    </row>
    <row r="7" spans="1:10" ht="15.6">
      <c r="A7" s="20" t="s">
        <v>1313</v>
      </c>
      <c r="B7" s="507"/>
      <c r="D7" s="507"/>
      <c r="E7" s="322">
        <v>51334</v>
      </c>
      <c r="F7" s="322">
        <v>53387.360000000001</v>
      </c>
      <c r="G7" s="511">
        <f>F7-E7</f>
        <v>2053.3600000000006</v>
      </c>
      <c r="I7" s="322">
        <v>53387.360000000001</v>
      </c>
    </row>
    <row r="8" spans="1:10" ht="15.6">
      <c r="A8" s="20" t="s">
        <v>1336</v>
      </c>
      <c r="B8" s="507"/>
      <c r="D8" s="424"/>
      <c r="E8" s="322">
        <v>54808</v>
      </c>
      <c r="F8" s="322">
        <v>57000.32</v>
      </c>
      <c r="G8" s="511">
        <f>F8-E8</f>
        <v>2192.3199999999997</v>
      </c>
      <c r="I8" s="322">
        <v>57000.32</v>
      </c>
    </row>
    <row r="9" spans="1:10" ht="15.6">
      <c r="A9" s="346" t="s">
        <v>2484</v>
      </c>
      <c r="B9" s="322" t="s">
        <v>125</v>
      </c>
      <c r="C9" s="381"/>
      <c r="D9" s="381"/>
      <c r="E9" s="322">
        <v>37523.199999999997</v>
      </c>
      <c r="F9" s="322">
        <v>42777.78</v>
      </c>
      <c r="G9" s="511">
        <f t="shared" ref="G9:G16" si="0">F9-E9</f>
        <v>5254.5800000000017</v>
      </c>
      <c r="I9" s="322">
        <v>42777.78</v>
      </c>
    </row>
    <row r="10" spans="1:10" ht="15.6">
      <c r="A10" s="346" t="s">
        <v>2501</v>
      </c>
      <c r="B10" s="322" t="s">
        <v>125</v>
      </c>
      <c r="E10" s="322">
        <v>37523.199999999997</v>
      </c>
      <c r="F10" s="322">
        <v>41939</v>
      </c>
      <c r="G10" s="511">
        <f t="shared" si="0"/>
        <v>4415.8000000000029</v>
      </c>
      <c r="I10" s="322">
        <v>41939</v>
      </c>
    </row>
    <row r="11" spans="1:10" ht="15.6">
      <c r="A11" s="346" t="s">
        <v>1524</v>
      </c>
      <c r="B11" s="322" t="s">
        <v>1526</v>
      </c>
      <c r="E11" s="322">
        <v>52520</v>
      </c>
      <c r="F11" s="322">
        <v>55146</v>
      </c>
      <c r="G11" s="511">
        <f t="shared" si="0"/>
        <v>2626</v>
      </c>
      <c r="I11" s="322">
        <v>55146</v>
      </c>
    </row>
    <row r="12" spans="1:10" ht="15.6">
      <c r="A12" s="346" t="s">
        <v>1604</v>
      </c>
      <c r="B12" s="322" t="s">
        <v>125</v>
      </c>
      <c r="E12" s="322">
        <v>39790.400000000001</v>
      </c>
      <c r="F12" s="322">
        <v>42777.78</v>
      </c>
      <c r="G12" s="511">
        <f t="shared" si="0"/>
        <v>2987.3799999999974</v>
      </c>
      <c r="I12" s="322">
        <v>42777.78</v>
      </c>
      <c r="J12" s="322">
        <f>F12/E12-1</f>
        <v>7.5077908239173263E-2</v>
      </c>
    </row>
    <row r="13" spans="1:10" ht="15.6">
      <c r="A13" s="346" t="s">
        <v>1347</v>
      </c>
      <c r="B13" s="322" t="s">
        <v>995</v>
      </c>
      <c r="E13" s="322">
        <v>77455.039999999994</v>
      </c>
      <c r="F13" s="322">
        <f>E13*1.05</f>
        <v>81327.792000000001</v>
      </c>
      <c r="G13" s="511">
        <f t="shared" si="0"/>
        <v>3872.7520000000077</v>
      </c>
      <c r="I13" s="322">
        <f>H13*1.05</f>
        <v>0</v>
      </c>
      <c r="J13" s="566">
        <f t="shared" ref="J13:J17" si="1">F13/E13-1</f>
        <v>5.0000000000000044E-2</v>
      </c>
    </row>
    <row r="14" spans="1:10">
      <c r="A14" s="346" t="s">
        <v>1295</v>
      </c>
      <c r="B14" s="322" t="s">
        <v>992</v>
      </c>
      <c r="E14" s="322">
        <v>88760</v>
      </c>
      <c r="F14" s="322">
        <f>E14*1.035</f>
        <v>91866.599999999991</v>
      </c>
      <c r="G14" s="322">
        <f t="shared" si="0"/>
        <v>3106.5999999999913</v>
      </c>
      <c r="J14" s="566"/>
    </row>
    <row r="15" spans="1:10" ht="15.6">
      <c r="A15" s="346" t="s">
        <v>1629</v>
      </c>
      <c r="B15" s="322" t="s">
        <v>2987</v>
      </c>
      <c r="E15" s="322">
        <v>55286.400000000001</v>
      </c>
      <c r="F15" s="322">
        <v>57221.423999999999</v>
      </c>
      <c r="G15" s="511">
        <f t="shared" si="0"/>
        <v>1935.0239999999976</v>
      </c>
      <c r="I15" s="322">
        <v>57221.423999999999</v>
      </c>
      <c r="J15" s="566">
        <f t="shared" si="1"/>
        <v>3.499999999999992E-2</v>
      </c>
    </row>
    <row r="16" spans="1:10" ht="15.6">
      <c r="A16" s="385" t="s">
        <v>1362</v>
      </c>
      <c r="B16" s="322" t="s">
        <v>2988</v>
      </c>
      <c r="E16" s="322">
        <v>94568.24</v>
      </c>
      <c r="F16" s="322">
        <v>97878.128400000001</v>
      </c>
      <c r="G16" s="511">
        <f t="shared" si="0"/>
        <v>3309.8883999999962</v>
      </c>
      <c r="I16" s="322">
        <v>97878.128400000001</v>
      </c>
      <c r="J16" s="566">
        <f t="shared" si="1"/>
        <v>3.499999999999992E-2</v>
      </c>
    </row>
    <row r="17" spans="1:10" ht="15.6">
      <c r="A17" s="346" t="s">
        <v>1530</v>
      </c>
      <c r="B17" s="322" t="s">
        <v>2989</v>
      </c>
      <c r="E17" s="322">
        <v>55286.400000000001</v>
      </c>
      <c r="F17" s="322">
        <v>58050.720000000001</v>
      </c>
      <c r="G17" s="511">
        <f t="shared" ref="G17" si="2">F17-E17</f>
        <v>2764.3199999999997</v>
      </c>
      <c r="I17" s="322">
        <v>58050.720000000001</v>
      </c>
      <c r="J17" s="566">
        <f t="shared" si="1"/>
        <v>5.0000000000000044E-2</v>
      </c>
    </row>
    <row r="18" spans="1:10">
      <c r="A18" s="346"/>
      <c r="J18" s="566"/>
    </row>
    <row r="19" spans="1:10">
      <c r="A19" s="346"/>
    </row>
    <row r="20" spans="1:10">
      <c r="A20" s="346"/>
    </row>
    <row r="21" spans="1:10">
      <c r="A21" s="346"/>
    </row>
    <row r="22" spans="1:10">
      <c r="A22" s="346"/>
    </row>
    <row r="23" spans="1:10">
      <c r="A23" s="346"/>
    </row>
    <row r="24" spans="1:10">
      <c r="A24" s="346"/>
    </row>
    <row r="25" spans="1:10">
      <c r="A25" s="346"/>
    </row>
    <row r="26" spans="1:10">
      <c r="A26" s="346"/>
    </row>
    <row r="27" spans="1:10">
      <c r="A27" s="346"/>
    </row>
    <row r="28" spans="1:10">
      <c r="A28" s="346"/>
    </row>
    <row r="29" spans="1:10">
      <c r="A29" s="346"/>
    </row>
    <row r="30" spans="1:10">
      <c r="A30" s="346"/>
    </row>
    <row r="31" spans="1:10">
      <c r="A31" s="346"/>
    </row>
    <row r="32" spans="1:10">
      <c r="A32" s="346"/>
    </row>
    <row r="33" spans="1:4">
      <c r="A33" s="346"/>
    </row>
    <row r="34" spans="1:4">
      <c r="A34" s="346"/>
    </row>
    <row r="35" spans="1:4">
      <c r="A35" s="346"/>
    </row>
    <row r="36" spans="1:4">
      <c r="A36" s="346"/>
    </row>
    <row r="37" spans="1:4">
      <c r="A37" s="346"/>
    </row>
    <row r="38" spans="1:4">
      <c r="A38" s="346"/>
    </row>
    <row r="39" spans="1:4">
      <c r="A39" s="346"/>
    </row>
    <row r="40" spans="1:4">
      <c r="A40" s="346"/>
    </row>
    <row r="41" spans="1:4">
      <c r="A41" s="346"/>
    </row>
    <row r="42" spans="1:4">
      <c r="A42" s="346"/>
    </row>
    <row r="43" spans="1:4">
      <c r="A43" s="346"/>
    </row>
    <row r="44" spans="1:4">
      <c r="A44" s="346"/>
    </row>
    <row r="45" spans="1:4">
      <c r="A45" s="346"/>
    </row>
    <row r="46" spans="1:4">
      <c r="A46" s="346"/>
    </row>
    <row r="47" spans="1:4">
      <c r="A47" s="346"/>
      <c r="B47" s="347"/>
      <c r="C47" s="347"/>
      <c r="D47" s="347"/>
    </row>
    <row r="48" spans="1:4">
      <c r="A48" s="346"/>
      <c r="B48" s="347"/>
      <c r="C48" s="347"/>
      <c r="D48" s="347"/>
    </row>
    <row r="49" spans="1:4">
      <c r="A49" s="346"/>
    </row>
    <row r="50" spans="1:4">
      <c r="A50" s="346"/>
    </row>
    <row r="51" spans="1:4">
      <c r="A51" s="346"/>
    </row>
    <row r="52" spans="1:4">
      <c r="A52" s="346"/>
    </row>
    <row r="53" spans="1:4">
      <c r="A53" s="346"/>
    </row>
    <row r="54" spans="1:4">
      <c r="A54" s="346"/>
    </row>
    <row r="55" spans="1:4">
      <c r="A55" s="346"/>
    </row>
    <row r="56" spans="1:4">
      <c r="A56" s="346"/>
    </row>
    <row r="57" spans="1:4">
      <c r="A57" s="346"/>
    </row>
    <row r="58" spans="1:4">
      <c r="A58" s="346"/>
    </row>
    <row r="59" spans="1:4">
      <c r="A59" s="346"/>
    </row>
    <row r="60" spans="1:4">
      <c r="A60" s="346"/>
    </row>
    <row r="61" spans="1:4">
      <c r="A61" s="346"/>
    </row>
    <row r="62" spans="1:4">
      <c r="A62" s="346"/>
    </row>
    <row r="63" spans="1:4" ht="15" thickBot="1">
      <c r="A63" s="348"/>
      <c r="B63" s="349"/>
      <c r="C63" s="349"/>
      <c r="D63" s="349"/>
    </row>
    <row r="64" spans="1:4" s="336" customFormat="1"/>
    <row r="65" spans="1:5" s="336" customFormat="1"/>
    <row r="66" spans="1:5" s="336" customFormat="1"/>
    <row r="67" spans="1:5" s="324" customFormat="1">
      <c r="C67" s="330"/>
      <c r="D67" s="330"/>
      <c r="E67" s="322"/>
    </row>
    <row r="68" spans="1:5" s="324" customFormat="1">
      <c r="C68" s="330"/>
      <c r="D68" s="330"/>
      <c r="E68" s="322"/>
    </row>
    <row r="69" spans="1:5" s="324" customFormat="1">
      <c r="C69" s="330"/>
      <c r="D69" s="330"/>
      <c r="E69" s="322"/>
    </row>
    <row r="70" spans="1:5" s="324" customFormat="1">
      <c r="C70" s="330"/>
      <c r="D70" s="330"/>
      <c r="E70" s="322"/>
    </row>
    <row r="71" spans="1:5" s="324" customFormat="1">
      <c r="C71" s="330"/>
      <c r="D71" s="330"/>
      <c r="E71" s="322"/>
    </row>
    <row r="72" spans="1:5" s="324" customFormat="1">
      <c r="C72" s="330"/>
      <c r="D72" s="330"/>
      <c r="E72" s="322"/>
    </row>
    <row r="73" spans="1:5" s="324" customFormat="1">
      <c r="C73" s="330"/>
      <c r="D73" s="330"/>
      <c r="E73" s="322"/>
    </row>
    <row r="74" spans="1:5" s="324" customFormat="1">
      <c r="C74" s="330"/>
      <c r="D74" s="330"/>
    </row>
    <row r="75" spans="1:5" s="336" customFormat="1"/>
    <row r="76" spans="1:5" s="336" customFormat="1"/>
    <row r="77" spans="1:5" s="336" customFormat="1"/>
    <row r="78" spans="1:5" s="336" customFormat="1"/>
    <row r="79" spans="1:5" s="336" customFormat="1"/>
    <row r="80" spans="1:5" ht="15" thickBot="1">
      <c r="A80" s="336"/>
      <c r="B80" s="336"/>
      <c r="C80" s="336"/>
    </row>
    <row r="81" spans="1:3" ht="31.5" customHeight="1">
      <c r="A81" s="350"/>
      <c r="B81" s="351"/>
      <c r="C81" s="352"/>
    </row>
    <row r="82" spans="1:3" ht="17.25" customHeight="1">
      <c r="A82" s="350"/>
      <c r="B82" s="353"/>
      <c r="C82" s="354"/>
    </row>
    <row r="83" spans="1:3" ht="45" customHeight="1">
      <c r="A83" s="350"/>
      <c r="B83" s="353"/>
      <c r="C83" s="354"/>
    </row>
    <row r="84" spans="1:3" ht="15.75" customHeight="1">
      <c r="A84" s="350"/>
      <c r="B84" s="353"/>
      <c r="C84" s="354"/>
    </row>
    <row r="85" spans="1:3" ht="32.25" customHeight="1">
      <c r="A85" s="350"/>
      <c r="B85" s="353"/>
      <c r="C85" s="354"/>
    </row>
    <row r="86" spans="1:3" ht="14.25" customHeight="1">
      <c r="A86" s="350"/>
      <c r="B86" s="353"/>
      <c r="C86" s="354"/>
    </row>
    <row r="87" spans="1:3">
      <c r="A87" s="350"/>
      <c r="B87" s="353"/>
      <c r="C87" s="354"/>
    </row>
    <row r="88" spans="1:3" ht="12" customHeight="1">
      <c r="A88" s="350"/>
      <c r="B88" s="353"/>
      <c r="C88" s="354"/>
    </row>
    <row r="89" spans="1:3" ht="45" customHeight="1">
      <c r="A89" s="350"/>
      <c r="B89" s="353"/>
      <c r="C89" s="354"/>
    </row>
    <row r="90" spans="1:3" s="358" customFormat="1" ht="15" customHeight="1">
      <c r="A90" s="355"/>
      <c r="B90" s="356"/>
      <c r="C90" s="357"/>
    </row>
    <row r="91" spans="1:3">
      <c r="A91" s="350"/>
      <c r="B91" s="353"/>
      <c r="C91" s="354"/>
    </row>
    <row r="92" spans="1:3" ht="14.25" customHeight="1">
      <c r="A92" s="350"/>
      <c r="B92" s="353"/>
      <c r="C92" s="354"/>
    </row>
    <row r="93" spans="1:3">
      <c r="A93" s="350"/>
      <c r="B93" s="353"/>
      <c r="C93" s="354"/>
    </row>
    <row r="94" spans="1:3" ht="15.75" customHeight="1">
      <c r="A94" s="350"/>
      <c r="B94" s="353"/>
      <c r="C94" s="354"/>
    </row>
    <row r="95" spans="1:3" ht="30" customHeight="1">
      <c r="A95" s="350"/>
      <c r="B95" s="353"/>
      <c r="C95" s="354"/>
    </row>
    <row r="96" spans="1:3" ht="15.75" customHeight="1">
      <c r="A96" s="350"/>
      <c r="B96" s="353"/>
      <c r="C96" s="354"/>
    </row>
    <row r="97" spans="1:3" ht="45" customHeight="1">
      <c r="A97" s="350"/>
      <c r="B97" s="353"/>
      <c r="C97" s="354"/>
    </row>
    <row r="98" spans="1:3" ht="14.25" customHeight="1">
      <c r="A98" s="350"/>
      <c r="B98" s="353"/>
      <c r="C98" s="354"/>
    </row>
    <row r="99" spans="1:3" ht="42.9" customHeight="1">
      <c r="A99" s="350">
        <f t="shared" ref="A99" si="3">+A97+1</f>
        <v>1</v>
      </c>
      <c r="B99" s="353" t="s">
        <v>472</v>
      </c>
      <c r="C99" s="354" t="s">
        <v>472</v>
      </c>
    </row>
    <row r="100" spans="1:3">
      <c r="A100" s="350"/>
      <c r="B100" s="353"/>
      <c r="C100" s="354"/>
    </row>
    <row r="101" spans="1:3" ht="28.8">
      <c r="A101" s="350">
        <v>11</v>
      </c>
      <c r="B101" s="353" t="s">
        <v>471</v>
      </c>
      <c r="C101" s="354" t="s">
        <v>471</v>
      </c>
    </row>
    <row r="102" spans="1:3">
      <c r="B102" s="359"/>
      <c r="C102" s="360"/>
    </row>
    <row r="103" spans="1:3" ht="15" thickBot="1">
      <c r="A103" s="322">
        <v>12</v>
      </c>
      <c r="B103" s="361" t="s">
        <v>474</v>
      </c>
      <c r="C103" s="362" t="s">
        <v>474</v>
      </c>
    </row>
  </sheetData>
  <autoFilter ref="C4:D75" xr:uid="{00000000-0009-0000-0000-000001000000}"/>
  <sortState xmlns:xlrd2="http://schemas.microsoft.com/office/spreadsheetml/2017/richdata2" ref="A11:I30">
    <sortCondition ref="D11:D30"/>
  </sortState>
  <mergeCells count="1">
    <mergeCell ref="C3:F3"/>
  </mergeCells>
  <conditionalFormatting sqref="A6:A7">
    <cfRule type="cellIs" dxfId="27" priority="2" operator="equal">
      <formula>0</formula>
    </cfRule>
  </conditionalFormatting>
  <conditionalFormatting sqref="A8">
    <cfRule type="cellIs" dxfId="26" priority="1" operator="equal">
      <formula>0</formula>
    </cfRule>
  </conditionalFormatting>
  <pageMargins left="0.45" right="0.2" top="0.2" bottom="0.2" header="0.3" footer="0.3"/>
  <pageSetup paperSize="5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BD72"/>
  <sheetViews>
    <sheetView zoomScale="80" zoomScaleNormal="80" workbookViewId="0">
      <pane xSplit="1" ySplit="2" topLeftCell="B3" activePane="bottomRight" state="frozen"/>
      <selection activeCell="Q35" sqref="Q35"/>
      <selection pane="topRight" activeCell="Q35" sqref="Q35"/>
      <selection pane="bottomLeft" activeCell="Q35" sqref="Q35"/>
      <selection pane="bottomRight" activeCell="F27" sqref="F27"/>
    </sheetView>
  </sheetViews>
  <sheetFormatPr defaultColWidth="8.90625" defaultRowHeight="15.6"/>
  <cols>
    <col min="1" max="1" width="11.54296875" style="233" customWidth="1"/>
    <col min="2" max="2" width="10.453125" customWidth="1"/>
    <col min="3" max="3" width="12.453125" style="228" customWidth="1"/>
    <col min="4" max="4" width="12.81640625" style="228" customWidth="1"/>
    <col min="5" max="5" width="11.6328125" style="228" customWidth="1"/>
    <col min="6" max="6" width="12.08984375" style="228" customWidth="1"/>
    <col min="7" max="7" width="10.36328125" style="228" customWidth="1"/>
    <col min="8" max="8" width="11.08984375" style="228" customWidth="1"/>
    <col min="9" max="11" width="9.08984375" style="228" customWidth="1"/>
    <col min="12" max="13" width="11.36328125" style="228" customWidth="1"/>
    <col min="14" max="14" width="12" style="228" customWidth="1"/>
    <col min="15" max="15" width="10" style="228" customWidth="1"/>
    <col min="16" max="16" width="9.08984375" style="228" bestFit="1" customWidth="1"/>
    <col min="17" max="17" width="12.1796875" style="228" customWidth="1"/>
    <col min="18" max="19" width="10.90625" style="228" customWidth="1"/>
    <col min="20" max="20" width="11.1796875" style="228" bestFit="1" customWidth="1"/>
    <col min="21" max="21" width="14" style="228" customWidth="1"/>
    <col min="22" max="22" width="11" style="228" customWidth="1"/>
    <col min="23" max="23" width="10.81640625" style="228" customWidth="1"/>
    <col min="24" max="24" width="12.1796875" style="228" customWidth="1"/>
    <col min="25" max="30" width="8.90625" style="228" customWidth="1"/>
    <col min="31" max="32" width="11.36328125" style="228" customWidth="1"/>
    <col min="33" max="33" width="10.54296875" style="228" customWidth="1"/>
    <col min="34" max="34" width="8.90625" style="228" customWidth="1"/>
    <col min="35" max="36" width="10.90625" style="228" customWidth="1"/>
    <col min="37" max="37" width="11.1796875" style="228" bestFit="1" customWidth="1"/>
    <col min="38" max="38" width="9.81640625" bestFit="1" customWidth="1"/>
    <col min="39" max="39" width="13.08984375" style="233" bestFit="1" customWidth="1"/>
    <col min="40" max="40" width="13.453125" style="233" customWidth="1"/>
    <col min="41" max="54" width="8.90625" style="233"/>
  </cols>
  <sheetData>
    <row r="1" spans="1:56">
      <c r="A1" s="237"/>
      <c r="B1" s="89"/>
      <c r="C1" s="226" t="s">
        <v>97</v>
      </c>
      <c r="D1" s="226" t="s">
        <v>98</v>
      </c>
      <c r="E1" s="226" t="s">
        <v>99</v>
      </c>
      <c r="F1" s="226" t="s">
        <v>100</v>
      </c>
      <c r="G1" s="226" t="s">
        <v>24</v>
      </c>
      <c r="H1" s="226" t="s">
        <v>101</v>
      </c>
      <c r="I1" s="226" t="s">
        <v>25</v>
      </c>
      <c r="J1" s="226" t="s">
        <v>103</v>
      </c>
      <c r="K1" s="226" t="s">
        <v>104</v>
      </c>
      <c r="L1" s="494" t="s">
        <v>102</v>
      </c>
      <c r="M1" s="226"/>
      <c r="N1" s="226" t="s">
        <v>39</v>
      </c>
      <c r="O1" s="226" t="s">
        <v>40</v>
      </c>
      <c r="P1" s="226" t="s">
        <v>41</v>
      </c>
      <c r="Q1" s="226" t="s">
        <v>14</v>
      </c>
      <c r="R1" s="253" t="s">
        <v>357</v>
      </c>
      <c r="S1" s="253"/>
      <c r="T1" s="254" t="s">
        <v>358</v>
      </c>
      <c r="V1" s="226" t="s">
        <v>97</v>
      </c>
      <c r="W1" s="226" t="s">
        <v>98</v>
      </c>
      <c r="X1" s="226" t="s">
        <v>99</v>
      </c>
      <c r="Y1" s="226" t="s">
        <v>100</v>
      </c>
      <c r="Z1" s="226" t="s">
        <v>24</v>
      </c>
      <c r="AA1" s="226" t="s">
        <v>101</v>
      </c>
      <c r="AB1" s="226" t="s">
        <v>25</v>
      </c>
      <c r="AC1" s="226" t="s">
        <v>103</v>
      </c>
      <c r="AD1" s="226" t="s">
        <v>104</v>
      </c>
      <c r="AE1" s="226" t="s">
        <v>102</v>
      </c>
      <c r="AF1" s="226" t="s">
        <v>39</v>
      </c>
      <c r="AG1" s="226" t="s">
        <v>40</v>
      </c>
      <c r="AH1" s="226" t="s">
        <v>41</v>
      </c>
      <c r="AI1" s="226" t="s">
        <v>14</v>
      </c>
      <c r="AJ1" s="226" t="s">
        <v>357</v>
      </c>
      <c r="AK1" s="227" t="s">
        <v>358</v>
      </c>
      <c r="AL1" s="90"/>
      <c r="AM1" s="236" t="s">
        <v>97</v>
      </c>
      <c r="AN1" s="236" t="s">
        <v>98</v>
      </c>
      <c r="AO1" s="236" t="s">
        <v>99</v>
      </c>
      <c r="AP1" s="236" t="s">
        <v>100</v>
      </c>
      <c r="AQ1" s="236" t="s">
        <v>24</v>
      </c>
      <c r="AR1" s="236" t="s">
        <v>101</v>
      </c>
      <c r="AS1" s="236" t="s">
        <v>25</v>
      </c>
      <c r="AT1" s="236" t="s">
        <v>103</v>
      </c>
      <c r="AU1" s="236" t="s">
        <v>104</v>
      </c>
      <c r="AV1" s="236" t="s">
        <v>102</v>
      </c>
      <c r="AW1" s="236" t="s">
        <v>39</v>
      </c>
      <c r="AX1" s="236" t="s">
        <v>40</v>
      </c>
      <c r="AY1" s="236" t="s">
        <v>41</v>
      </c>
      <c r="AZ1" s="236" t="s">
        <v>14</v>
      </c>
      <c r="BA1" s="236" t="s">
        <v>357</v>
      </c>
      <c r="BB1" s="237" t="s">
        <v>358</v>
      </c>
    </row>
    <row r="2" spans="1:56">
      <c r="A2" s="237"/>
      <c r="B2" s="89"/>
      <c r="C2" s="226" t="s">
        <v>53</v>
      </c>
      <c r="D2" s="226" t="s">
        <v>47</v>
      </c>
      <c r="E2" s="226" t="s">
        <v>54</v>
      </c>
      <c r="F2" s="226" t="s">
        <v>56</v>
      </c>
      <c r="G2" s="226" t="s">
        <v>59</v>
      </c>
      <c r="H2" s="226" t="s">
        <v>58</v>
      </c>
      <c r="I2" s="226">
        <v>50115</v>
      </c>
      <c r="J2" s="226" t="s">
        <v>32</v>
      </c>
      <c r="K2" s="226" t="s">
        <v>57</v>
      </c>
      <c r="L2" s="494"/>
      <c r="M2" s="226"/>
      <c r="N2" s="226">
        <v>50610</v>
      </c>
      <c r="O2" s="229" t="s">
        <v>60</v>
      </c>
      <c r="P2" s="229" t="s">
        <v>61</v>
      </c>
      <c r="Q2" s="229" t="s">
        <v>62</v>
      </c>
      <c r="R2" s="258"/>
      <c r="S2" s="258"/>
      <c r="T2" s="254"/>
      <c r="V2" s="226" t="s">
        <v>53</v>
      </c>
      <c r="W2" s="226" t="s">
        <v>47</v>
      </c>
      <c r="X2" s="226" t="s">
        <v>54</v>
      </c>
      <c r="Y2" s="226" t="s">
        <v>56</v>
      </c>
      <c r="Z2" s="226" t="s">
        <v>59</v>
      </c>
      <c r="AA2" s="226" t="s">
        <v>58</v>
      </c>
      <c r="AB2" s="226">
        <v>50115</v>
      </c>
      <c r="AC2" s="226" t="s">
        <v>32</v>
      </c>
      <c r="AD2" s="226" t="s">
        <v>57</v>
      </c>
      <c r="AE2" s="226"/>
      <c r="AF2" s="226">
        <v>50610</v>
      </c>
      <c r="AG2" s="229" t="s">
        <v>60</v>
      </c>
      <c r="AH2" s="229" t="s">
        <v>61</v>
      </c>
      <c r="AI2" s="229" t="s">
        <v>62</v>
      </c>
      <c r="AJ2" s="229"/>
      <c r="AK2" s="227"/>
    </row>
    <row r="3" spans="1:56">
      <c r="A3" s="237"/>
      <c r="B3" s="89"/>
      <c r="C3" s="227"/>
      <c r="D3" s="227"/>
      <c r="E3" s="227"/>
      <c r="F3" s="227"/>
      <c r="G3" s="227"/>
      <c r="H3" s="227"/>
      <c r="I3" s="227"/>
      <c r="J3" s="227"/>
      <c r="K3" s="227"/>
      <c r="L3" s="495"/>
      <c r="M3" s="227"/>
      <c r="N3" s="227"/>
      <c r="O3" s="227"/>
      <c r="P3" s="227"/>
      <c r="Q3" s="227"/>
      <c r="R3" s="254"/>
      <c r="S3" s="254"/>
      <c r="T3" s="426">
        <f>(891361-T8)/T8</f>
        <v>2.0604645190788919</v>
      </c>
      <c r="AE3" s="227"/>
      <c r="AJ3" s="227"/>
      <c r="AK3" s="227"/>
    </row>
    <row r="4" spans="1:56">
      <c r="L4" s="496"/>
      <c r="R4" s="255"/>
      <c r="S4" s="255"/>
      <c r="T4" s="255"/>
    </row>
    <row r="5" spans="1:56">
      <c r="A5" s="236" t="s">
        <v>759</v>
      </c>
      <c r="B5" s="519">
        <f>SUM(C5:D5)/SUM(V5:W5)-1</f>
        <v>-0.66377546927643194</v>
      </c>
      <c r="C5" s="227">
        <f>SUMIFS('Prop Budget Calc'!$AD:$AD,'Prop Budget Calc'!$G:$G,'Prop Budget Summary'!$A5,'Prop Budget Calc'!$I:$I,'Prop Budget Summary'!C$2)+SUMIFS('Prop Budget Calc'!$AH:$AH,'Prop Budget Calc'!$G:$G,'Prop Budget Summary'!$A5,'Prop Budget Calc'!$I:$I,'Prop Budget Summary'!C$2)</f>
        <v>83315</v>
      </c>
      <c r="D5" s="227">
        <f>SUMIFS('Prop Budget Calc'!$AD:$AD,'Prop Budget Calc'!$G:$G,'Prop Budget Summary'!$A5,'Prop Budget Calc'!$I:$I,'Prop Budget Summary'!D$2)+SUMIFS('Prop Budget Calc'!$AH:$AH,'Prop Budget Calc'!$G:$G,'Prop Budget Summary'!$A5,'Prop Budget Calc'!$I:$I,'Prop Budget Summary'!D$2)</f>
        <v>50809</v>
      </c>
      <c r="E5" s="227">
        <f>SUMIFS('Prop Budget Calc'!$AD:$AD,'Prop Budget Calc'!$G:$G,'Prop Budget Summary'!$A5,'Prop Budget Calc'!$I:$I,'Prop Budget Summary'!E$2)</f>
        <v>0</v>
      </c>
      <c r="F5" s="227">
        <f>SUMIFS('Prop Budget Calc'!$AD:$AD,'Prop Budget Calc'!$G:$G,'Prop Budget Summary'!$A5,'Prop Budget Calc'!$I:$I,'Prop Budget Summary'!F$2)+SUMIFS('Prop Budget Calc'!$AH:$AH,'Prop Budget Calc'!$G:$G,'Prop Budget Summary'!$A5,'Prop Budget Calc'!$I:$I,'Prop Budget Summary'!F$2)</f>
        <v>0</v>
      </c>
      <c r="G5" s="227">
        <f>SUMIF('Prop Budget Calc'!$G:$G,'Prop Budget Summary'!$A5,'Prop Budget Calc'!$AG:$AG)</f>
        <v>1355.8333333333333</v>
      </c>
      <c r="H5" s="227">
        <f>SUMIFS('Prop Budget Calc'!$AD:$AD,'Prop Budget Calc'!$G:$G,'Prop Budget Summary'!$A5,'Prop Budget Calc'!$I:$I,'Prop Budget Summary'!H$2)</f>
        <v>0</v>
      </c>
      <c r="I5" s="227">
        <f>SUMIF('Prop Budget Calc'!$G:$G,'Prop Budget Summary'!$A5,'Prop Budget Calc'!$AK:$AK)</f>
        <v>0</v>
      </c>
      <c r="J5" s="227">
        <f>SUMIF('Prop Budget Calc'!$G:$G,'Prop Budget Summary'!$A5,'Prop Budget Calc'!$AL:$AL)</f>
        <v>0</v>
      </c>
      <c r="L5" s="496">
        <f t="shared" ref="L5:L25" si="0">SUBTOTAL(9,C5:K5)</f>
        <v>135479.83333333334</v>
      </c>
      <c r="M5" s="491">
        <f>L5/AE5-1</f>
        <v>-0.67120615328361455</v>
      </c>
      <c r="N5" s="227">
        <f>SUMIF('Prop Budget Calc'!$G:$G,'Prop Budget Summary'!$A5,'Prop Budget Calc'!$AU:$AU)</f>
        <v>10460</v>
      </c>
      <c r="O5" s="227">
        <f>SUMIF('Prop Budget Calc'!$G:$G,'Prop Budget Summary'!$A5,'Prop Budget Calc'!$BE:$BE)</f>
        <v>31135.365475999999</v>
      </c>
      <c r="P5" s="227">
        <f>SUMIF('Prop Budget Calc'!$G:$G,'Prop Budget Summary'!$A5,'Prop Budget Calc'!$AR:$AR)</f>
        <v>188.06283440000004</v>
      </c>
      <c r="Q5" s="227">
        <f>SUMIF('Prop Budget Calc'!$G:$G,'Prop Budget Summary'!$A5,'Prop Budget Calc'!$AQ:$AQ)</f>
        <v>23125.612766666665</v>
      </c>
      <c r="R5" s="254">
        <f>SUBTOTAL(9,N5:Q5)</f>
        <v>64909.041077066664</v>
      </c>
      <c r="S5" s="426">
        <f>R5/AJ5-1</f>
        <v>-0.51326858674785225</v>
      </c>
      <c r="T5" s="259">
        <f>L5+R5</f>
        <v>200388.87441039999</v>
      </c>
      <c r="U5" s="235">
        <f>T5/AK5-1</f>
        <v>-0.63258904451273179</v>
      </c>
      <c r="V5" s="230">
        <f>SUMIFS('YTD Personnel'!$G:$G,'YTD Personnel'!$B:$B,'Prop Budget Summary'!$A5,'YTD Personnel'!$C:$C,'Prop Budget Summary'!C$2)</f>
        <v>350262</v>
      </c>
      <c r="W5" s="230">
        <f>SUMIFS('YTD Personnel'!$G:$G,'YTD Personnel'!$B:$B,'Prop Budget Summary'!$A5,'YTD Personnel'!$C:$C,'Prop Budget Summary'!D$2)</f>
        <v>48650</v>
      </c>
      <c r="X5" s="230">
        <f>SUMIFS('YTD Personnel'!$G:$G,'YTD Personnel'!$B:$B,'Prop Budget Summary'!$A5,'YTD Personnel'!$C:$C,'Prop Budget Summary'!E$2)</f>
        <v>3500</v>
      </c>
      <c r="Y5" s="230">
        <f>SUMIFS('YTD Personnel'!$G:$G,'YTD Personnel'!$B:$B,'Prop Budget Summary'!$A5,'YTD Personnel'!$C:$C,'Prop Budget Summary'!F$2)</f>
        <v>0</v>
      </c>
      <c r="Z5" s="230">
        <f>SUMIFS('YTD Personnel'!$G:$G,'YTD Personnel'!$B:$B,'Prop Budget Summary'!$A5,'YTD Personnel'!$C:$C,'Prop Budget Summary'!G$2)</f>
        <v>2439</v>
      </c>
      <c r="AA5" s="230">
        <f>SUMIFS('YTD Personnel'!$G:$G,'YTD Personnel'!$B:$B,'Prop Budget Summary'!$A5,'YTD Personnel'!$C:$C,'Prop Budget Summary'!H$2)</f>
        <v>0</v>
      </c>
      <c r="AB5" s="230">
        <f>SUMIFS('YTD Personnel'!$G:$G,'YTD Personnel'!$B:$B,'Prop Budget Summary'!$A5,'YTD Personnel'!$C:$C,'Prop Budget Summary'!I$2)</f>
        <v>0</v>
      </c>
      <c r="AC5" s="230">
        <f>SUMIFS('YTD Personnel'!$G:$G,'YTD Personnel'!$B:$B,'Prop Budget Summary'!$A5,'YTD Personnel'!$C:$C,'Prop Budget Summary'!J$2)</f>
        <v>7200</v>
      </c>
      <c r="AD5" s="230">
        <f>SUMIFS('YTD Personnel'!$G:$G,'YTD Personnel'!$B:$B,'Prop Budget Summary'!$A5,'YTD Personnel'!$C:$C,'Prop Budget Summary'!K$2)</f>
        <v>0</v>
      </c>
      <c r="AE5" s="228">
        <f>SUBTOTAL(9,V5:AD5)</f>
        <v>412051</v>
      </c>
      <c r="AF5" s="230">
        <f>SUMIFS('YTD Personnel'!$G:$G,'YTD Personnel'!$B:$B,'Prop Budget Summary'!$A5,'YTD Personnel'!$C:$C,'Prop Budget Summary'!N$2)</f>
        <v>22380</v>
      </c>
      <c r="AG5" s="230">
        <f>SUMIFS('YTD Personnel'!$G:$G,'YTD Personnel'!$B:$B,'Prop Budget Summary'!$A5,'YTD Personnel'!$C:$C,'Prop Budget Summary'!O$2)</f>
        <v>41860</v>
      </c>
      <c r="AH5" s="230">
        <f>SUMIFS('YTD Personnel'!$G:$G,'YTD Personnel'!$B:$B,'Prop Budget Summary'!$A5,'YTD Personnel'!$C:$C,'Prop Budget Summary'!P$2)</f>
        <v>592</v>
      </c>
      <c r="AI5" s="230">
        <f>SUMIFS('YTD Personnel'!$G:$G,'YTD Personnel'!$B:$B,'Prop Budget Summary'!$A5,'YTD Personnel'!$C:$C,'Prop Budget Summary'!Q$2)</f>
        <v>68525</v>
      </c>
      <c r="AJ5" s="227">
        <f>SUBTOTAL(9,AF5:AI5)</f>
        <v>133357</v>
      </c>
      <c r="AK5" s="230">
        <f>SUBTOTAL(9,V5:AJ5)</f>
        <v>545408</v>
      </c>
      <c r="AL5" s="91"/>
      <c r="AM5" s="235">
        <f t="shared" ref="AM5:AM11" si="1">IF(C5=0,0,C5/V5-1)</f>
        <v>-0.76213520164905124</v>
      </c>
      <c r="AN5" s="235">
        <f t="shared" ref="AN5:AN11" si="2">IF(D5=0,0,D5/W5-1)</f>
        <v>4.4378211716341154E-2</v>
      </c>
      <c r="AO5" s="235">
        <f t="shared" ref="AO5:AO11" si="3">IF(E5=0,0,E5/X5-1)</f>
        <v>0</v>
      </c>
      <c r="AP5" s="235">
        <f t="shared" ref="AP5:AP11" si="4">IF(F5=0,0,F5/Y5-1)</f>
        <v>0</v>
      </c>
      <c r="AQ5" s="235">
        <f t="shared" ref="AQ5:AQ11" si="5">IF(G5=0,0,G5/Z5-1)</f>
        <v>-0.44410277436107692</v>
      </c>
      <c r="AR5" s="235">
        <f t="shared" ref="AR5:AR11" si="6">IF(H5=0,0,H5/AA5-1)</f>
        <v>0</v>
      </c>
      <c r="AS5" s="235">
        <f t="shared" ref="AS5:AS11" si="7">IF(I5=0,0,I5/AB5-1)</f>
        <v>0</v>
      </c>
      <c r="AT5" s="235">
        <f t="shared" ref="AT5:AT13" si="8">IF(J5=0,0,J5/AC5-1)</f>
        <v>0</v>
      </c>
      <c r="AU5" s="235">
        <f t="shared" ref="AU5:AU13" si="9">IF(K5=0,0,K5/AD5-1)</f>
        <v>0</v>
      </c>
      <c r="AV5" s="235">
        <f t="shared" ref="AV5:AV13" si="10">IF(L5=0,0,L5/AE5-1)</f>
        <v>-0.67120615328361455</v>
      </c>
      <c r="AW5" s="235">
        <f t="shared" ref="AW5:AW13" si="11">IF(N5=0,0,N5/AF5-1)</f>
        <v>-0.5326184092940125</v>
      </c>
      <c r="AX5" s="235">
        <f t="shared" ref="AX5:AX13" si="12">IF(O5=0,0,O5/AG5-1)</f>
        <v>-0.25620244921165791</v>
      </c>
      <c r="AY5" s="235">
        <f t="shared" ref="AY5:AY13" si="13">IF(P5=0,0,P5/AH5-1)</f>
        <v>-0.68232629324324323</v>
      </c>
      <c r="AZ5" s="235">
        <f t="shared" ref="AZ5:AZ13" si="14">IF(Q5=0,0,Q5/AI5-1)</f>
        <v>-0.66252298042077107</v>
      </c>
      <c r="BA5" s="235">
        <f t="shared" ref="BA5:BA13" si="15">IF(R5=0,0,R5/AJ5-1)</f>
        <v>-0.51326858674785225</v>
      </c>
      <c r="BB5" s="235">
        <f t="shared" ref="BB5:BB13" si="16">IF(T5=0,0,T5/AK5-1)</f>
        <v>-0.63258904451273179</v>
      </c>
    </row>
    <row r="6" spans="1:56">
      <c r="A6" s="236" t="s">
        <v>761</v>
      </c>
      <c r="B6" s="519">
        <f t="shared" ref="B6:B25" si="17">SUM(C6:D6)/SUM(V6:W6)-1</f>
        <v>-0.64772121308387887</v>
      </c>
      <c r="C6" s="227">
        <f>SUMIFS('Prop Budget Calc'!$AD:$AD,'Prop Budget Calc'!$G:$G,'Prop Budget Summary'!$A6,'Prop Budget Calc'!$I:$I,'Prop Budget Summary'!C$2)+SUMIFS('Prop Budget Calc'!$AH:$AH,'Prop Budget Calc'!$G:$G,'Prop Budget Summary'!$A6,'Prop Budget Calc'!$I:$I,'Prop Budget Summary'!C$2)</f>
        <v>62099</v>
      </c>
      <c r="D6" s="227">
        <f>SUMIFS('Prop Budget Calc'!$AD:$AD,'Prop Budget Calc'!$G:$G,'Prop Budget Summary'!$A6,'Prop Budget Calc'!$I:$I,'Prop Budget Summary'!D$2)+SUMIFS('Prop Budget Calc'!$AH:$AH,'Prop Budget Calc'!$G:$G,'Prop Budget Summary'!$A6,'Prop Budget Calc'!$I:$I,'Prop Budget Summary'!D$2)</f>
        <v>0</v>
      </c>
      <c r="E6" s="227">
        <f>SUMIFS('Prop Budget Calc'!$AD:$AD,'Prop Budget Calc'!$G:$G,'Prop Budget Summary'!$A6,'Prop Budget Calc'!$I:$I,'Prop Budget Summary'!E$2)</f>
        <v>0</v>
      </c>
      <c r="F6" s="227">
        <f>SUMIFS('Prop Budget Calc'!$AD:$AD,'Prop Budget Calc'!$G:$G,'Prop Budget Summary'!$A6,'Prop Budget Calc'!$I:$I,'Prop Budget Summary'!F$2)+SUMIFS('Prop Budget Calc'!$AH:$AH,'Prop Budget Calc'!$G:$G,'Prop Budget Summary'!$A6,'Prop Budget Calc'!$I:$I,'Prop Budget Summary'!F$2)</f>
        <v>0</v>
      </c>
      <c r="G6" s="227">
        <f>SUMIF('Prop Budget Calc'!$G:$G,'Prop Budget Summary'!$A6,'Prop Budget Calc'!$AG:$AG)</f>
        <v>594</v>
      </c>
      <c r="H6" s="227">
        <f>SUMIFS('Prop Budget Calc'!$AD:$AD,'Prop Budget Calc'!$G:$G,'Prop Budget Summary'!$A6,'Prop Budget Calc'!$I:$I,'Prop Budget Summary'!H$2)</f>
        <v>0</v>
      </c>
      <c r="I6" s="227">
        <f>SUMIF('Prop Budget Calc'!$G:$G,'Prop Budget Summary'!$A6,'Prop Budget Calc'!$AK:$AK)</f>
        <v>0</v>
      </c>
      <c r="J6" s="227">
        <f>SUMIF('Prop Budget Calc'!$G:$G,'Prop Budget Summary'!$A6,'Prop Budget Calc'!$AL:$AL)</f>
        <v>0</v>
      </c>
      <c r="L6" s="496">
        <f t="shared" si="0"/>
        <v>62693</v>
      </c>
      <c r="M6" s="491">
        <f t="shared" ref="M6:M25" si="18">L6/AE6-1</f>
        <v>-0.64675024651359347</v>
      </c>
      <c r="N6" s="227">
        <f>SUMIF('Prop Budget Calc'!$G:$G,'Prop Budget Summary'!$A6,'Prop Budget Calc'!$AU:$AU)</f>
        <v>4800</v>
      </c>
      <c r="O6" s="227">
        <f>SUMIF('Prop Budget Calc'!$G:$G,'Prop Budget Summary'!$A6,'Prop Budget Calc'!$BE:$BE)</f>
        <v>11030.728143999999</v>
      </c>
      <c r="P6" s="227">
        <f>SUMIF('Prop Budget Calc'!$G:$G,'Prop Budget Summary'!$A6,'Prop Budget Calc'!$AR:$AR)</f>
        <v>86.365876800000024</v>
      </c>
      <c r="Q6" s="227">
        <f>SUMIF('Prop Budget Calc'!$G:$G,'Prop Budget Summary'!$A6,'Prop Budget Calc'!$AQ:$AQ)</f>
        <v>10620.1942</v>
      </c>
      <c r="R6" s="254">
        <f t="shared" ref="R6:R25" si="19">SUBTOTAL(9,N6:Q6)</f>
        <v>26537.288220800001</v>
      </c>
      <c r="S6" s="426">
        <f t="shared" ref="S6:S26" si="20">R6/AJ6-1</f>
        <v>-0.64513802491508643</v>
      </c>
      <c r="T6" s="259">
        <f t="shared" ref="T6:T25" si="21">L6+R6</f>
        <v>89230.288220799994</v>
      </c>
      <c r="U6" s="235">
        <f t="shared" ref="U6:U27" si="22">T6/AK6-1</f>
        <v>-0.64627230078531017</v>
      </c>
      <c r="V6" s="230">
        <f>SUMIFS('YTD Personnel'!$G:$G,'YTD Personnel'!$B:$B,'Prop Budget Summary'!$A6,'YTD Personnel'!$C:$C,'Prop Budget Summary'!C$2)</f>
        <v>176278</v>
      </c>
      <c r="W6" s="230">
        <f>SUMIFS('YTD Personnel'!$G:$G,'YTD Personnel'!$B:$B,'Prop Budget Summary'!$A6,'YTD Personnel'!$C:$C,'Prop Budget Summary'!D$2)</f>
        <v>0</v>
      </c>
      <c r="X6" s="230">
        <f>SUMIFS('YTD Personnel'!$G:$G,'YTD Personnel'!$B:$B,'Prop Budget Summary'!$A6,'YTD Personnel'!$C:$C,'Prop Budget Summary'!E$2)</f>
        <v>0</v>
      </c>
      <c r="Y6" s="230">
        <f>SUMIFS('YTD Personnel'!$G:$G,'YTD Personnel'!$B:$B,'Prop Budget Summary'!$A6,'YTD Personnel'!$C:$C,'Prop Budget Summary'!F$2)</f>
        <v>0</v>
      </c>
      <c r="Z6" s="230">
        <f>SUMIFS('YTD Personnel'!$G:$G,'YTD Personnel'!$B:$B,'Prop Budget Summary'!$A6,'YTD Personnel'!$C:$C,'Prop Budget Summary'!G$2)</f>
        <v>1197</v>
      </c>
      <c r="AA6" s="230">
        <f>SUMIFS('YTD Personnel'!$G:$G,'YTD Personnel'!$B:$B,'Prop Budget Summary'!$A6,'YTD Personnel'!$C:$C,'Prop Budget Summary'!H$2)</f>
        <v>0</v>
      </c>
      <c r="AB6" s="230">
        <f>SUMIFS('YTD Personnel'!$G:$G,'YTD Personnel'!$B:$B,'Prop Budget Summary'!$A6,'YTD Personnel'!$C:$C,'Prop Budget Summary'!I$2)</f>
        <v>0</v>
      </c>
      <c r="AC6" s="230">
        <f>SUMIFS('YTD Personnel'!$G:$G,'YTD Personnel'!$B:$B,'Prop Budget Summary'!$A6,'YTD Personnel'!$C:$C,'Prop Budget Summary'!J$2)</f>
        <v>0</v>
      </c>
      <c r="AD6" s="230">
        <f>SUMIFS('YTD Personnel'!$G:$G,'YTD Personnel'!$B:$B,'Prop Budget Summary'!$A6,'YTD Personnel'!$C:$C,'Prop Budget Summary'!K$2)</f>
        <v>0</v>
      </c>
      <c r="AE6" s="228">
        <f t="shared" ref="AE6:AE25" si="23">SUBTOTAL(9,V6:AD6)</f>
        <v>177475</v>
      </c>
      <c r="AF6" s="230">
        <f>SUMIFS('YTD Personnel'!$G:$G,'YTD Personnel'!$B:$B,'Prop Budget Summary'!$A6,'YTD Personnel'!$C:$C,'Prop Budget Summary'!N$2)</f>
        <v>13670</v>
      </c>
      <c r="AG6" s="230">
        <f>SUMIFS('YTD Personnel'!$G:$G,'YTD Personnel'!$B:$B,'Prop Budget Summary'!$A6,'YTD Personnel'!$C:$C,'Prop Budget Summary'!O$2)</f>
        <v>31331</v>
      </c>
      <c r="AH6" s="230">
        <f>SUMIFS('YTD Personnel'!$G:$G,'YTD Personnel'!$B:$B,'Prop Budget Summary'!$A6,'YTD Personnel'!$C:$C,'Prop Budget Summary'!P$2)</f>
        <v>255</v>
      </c>
      <c r="AI6" s="230">
        <f>SUMIFS('YTD Personnel'!$G:$G,'YTD Personnel'!$B:$B,'Prop Budget Summary'!$A6,'YTD Personnel'!$C:$C,'Prop Budget Summary'!Q$2)</f>
        <v>29526</v>
      </c>
      <c r="AJ6" s="227">
        <f t="shared" ref="AJ6:AJ25" si="24">SUBTOTAL(9,AF6:AI6)</f>
        <v>74782</v>
      </c>
      <c r="AK6" s="230">
        <f t="shared" ref="AK6:AK25" si="25">SUBTOTAL(9,V6:AI6)</f>
        <v>252257</v>
      </c>
      <c r="AL6" s="91"/>
      <c r="AM6" s="235">
        <f t="shared" si="1"/>
        <v>-0.64772121308387887</v>
      </c>
      <c r="AN6" s="235">
        <f t="shared" si="2"/>
        <v>0</v>
      </c>
      <c r="AO6" s="235">
        <f t="shared" si="3"/>
        <v>0</v>
      </c>
      <c r="AP6" s="235">
        <f t="shared" si="4"/>
        <v>0</v>
      </c>
      <c r="AQ6" s="235">
        <f t="shared" si="5"/>
        <v>-0.50375939849624063</v>
      </c>
      <c r="AR6" s="235">
        <f t="shared" si="6"/>
        <v>0</v>
      </c>
      <c r="AS6" s="235">
        <f t="shared" si="7"/>
        <v>0</v>
      </c>
      <c r="AT6" s="235">
        <f t="shared" si="8"/>
        <v>0</v>
      </c>
      <c r="AU6" s="235">
        <f t="shared" si="9"/>
        <v>0</v>
      </c>
      <c r="AV6" s="235">
        <f t="shared" si="10"/>
        <v>-0.64675024651359347</v>
      </c>
      <c r="AW6" s="235">
        <f t="shared" si="11"/>
        <v>-0.64886613021214345</v>
      </c>
      <c r="AX6" s="235">
        <f t="shared" si="12"/>
        <v>-0.64792926673262907</v>
      </c>
      <c r="AY6" s="235">
        <f t="shared" si="13"/>
        <v>-0.66131028705882344</v>
      </c>
      <c r="AZ6" s="235">
        <f t="shared" si="14"/>
        <v>-0.64031043148411571</v>
      </c>
      <c r="BA6" s="235">
        <f t="shared" si="15"/>
        <v>-0.64513802491508643</v>
      </c>
      <c r="BB6" s="235">
        <f t="shared" si="16"/>
        <v>-0.64627230078531017</v>
      </c>
      <c r="BC6" s="86"/>
      <c r="BD6" s="86"/>
    </row>
    <row r="7" spans="1:56">
      <c r="A7" s="236" t="s">
        <v>762</v>
      </c>
      <c r="B7" s="519">
        <f t="shared" si="17"/>
        <v>-0.58449590886051506</v>
      </c>
      <c r="C7" s="227">
        <f>SUMIFS('Prop Budget Calc'!$AD:$AD,'Prop Budget Calc'!$G:$G,'Prop Budget Summary'!$A7,'Prop Budget Calc'!$I:$I,'Prop Budget Summary'!C$2)+SUMIFS('Prop Budget Calc'!$AH:$AH,'Prop Budget Calc'!$G:$G,'Prop Budget Summary'!$A7,'Prop Budget Calc'!$I:$I,'Prop Budget Summary'!C$2)</f>
        <v>68859</v>
      </c>
      <c r="D7" s="227">
        <f>SUMIFS('Prop Budget Calc'!$AD:$AD,'Prop Budget Calc'!$G:$G,'Prop Budget Summary'!$A7,'Prop Budget Calc'!$I:$I,'Prop Budget Summary'!D$2)+SUMIFS('Prop Budget Calc'!$AH:$AH,'Prop Budget Calc'!$G:$G,'Prop Budget Summary'!$A7,'Prop Budget Calc'!$I:$I,'Prop Budget Summary'!D$2)</f>
        <v>0</v>
      </c>
      <c r="E7" s="227">
        <f>SUMIFS('Prop Budget Calc'!$AD:$AD,'Prop Budget Calc'!$G:$G,'Prop Budget Summary'!$A7,'Prop Budget Calc'!$I:$I,'Prop Budget Summary'!E$2)</f>
        <v>0</v>
      </c>
      <c r="F7" s="227">
        <f>SUMIFS('Prop Budget Calc'!$AD:$AD,'Prop Budget Calc'!$G:$G,'Prop Budget Summary'!$A7,'Prop Budget Calc'!$I:$I,'Prop Budget Summary'!F$2)+SUMIFS('Prop Budget Calc'!$AH:$AH,'Prop Budget Calc'!$G:$G,'Prop Budget Summary'!$A7,'Prop Budget Calc'!$I:$I,'Prop Budget Summary'!F$2)</f>
        <v>0</v>
      </c>
      <c r="G7" s="227">
        <f>SUMIF('Prop Budget Calc'!$G:$G,'Prop Budget Summary'!$A7,'Prop Budget Calc'!$AG:$AG)</f>
        <v>105</v>
      </c>
      <c r="H7" s="227">
        <f>SUMIFS('Prop Budget Calc'!$AD:$AD,'Prop Budget Calc'!$G:$G,'Prop Budget Summary'!$A7,'Prop Budget Calc'!$I:$I,'Prop Budget Summary'!H$2)</f>
        <v>0</v>
      </c>
      <c r="I7" s="227">
        <f>SUMIF('Prop Budget Calc'!$G:$G,'Prop Budget Summary'!$A7,'Prop Budget Calc'!$AK:$AK)</f>
        <v>0</v>
      </c>
      <c r="J7" s="227">
        <f>SUMIF('Prop Budget Calc'!$G:$G,'Prop Budget Summary'!$A7,'Prop Budget Calc'!$AL:$AL)</f>
        <v>0</v>
      </c>
      <c r="L7" s="496">
        <f t="shared" si="0"/>
        <v>68964</v>
      </c>
      <c r="M7" s="491">
        <f t="shared" si="18"/>
        <v>-0.58593609279873193</v>
      </c>
      <c r="N7" s="227">
        <f>SUMIF('Prop Budget Calc'!$G:$G,'Prop Budget Summary'!$A7,'Prop Budget Calc'!$AU:$AU)</f>
        <v>5280</v>
      </c>
      <c r="O7" s="227">
        <f>SUMIF('Prop Budget Calc'!$G:$G,'Prop Budget Summary'!$A7,'Prop Budget Calc'!$BE:$BE)</f>
        <v>14876.531835485526</v>
      </c>
      <c r="P7" s="227">
        <f>SUMIF('Prop Budget Calc'!$G:$G,'Prop Budget Summary'!$A7,'Prop Budget Calc'!$AR:$AR)</f>
        <v>95.004806400000021</v>
      </c>
      <c r="Q7" s="227">
        <f>SUMIF('Prop Budget Calc'!$G:$G,'Prop Budget Summary'!$A7,'Prop Budget Calc'!$AQ:$AQ)</f>
        <v>11682.5016</v>
      </c>
      <c r="R7" s="254">
        <f t="shared" si="19"/>
        <v>31934.038241885526</v>
      </c>
      <c r="S7" s="426">
        <f t="shared" si="20"/>
        <v>-0.56640817051071934</v>
      </c>
      <c r="T7" s="259">
        <f t="shared" si="21"/>
        <v>100898.03824188553</v>
      </c>
      <c r="U7" s="235">
        <f t="shared" si="22"/>
        <v>-0.57994855105707843</v>
      </c>
      <c r="V7" s="230">
        <f>SUMIFS('YTD Personnel'!$G:$G,'YTD Personnel'!$B:$B,'Prop Budget Summary'!$A7,'YTD Personnel'!$C:$C,'Prop Budget Summary'!C$2)</f>
        <v>165724</v>
      </c>
      <c r="W7" s="230">
        <f>SUMIFS('YTD Personnel'!$G:$G,'YTD Personnel'!$B:$B,'Prop Budget Summary'!$A7,'YTD Personnel'!$C:$C,'Prop Budget Summary'!D$2)</f>
        <v>0</v>
      </c>
      <c r="X7" s="230">
        <f>SUMIFS('YTD Personnel'!$G:$G,'YTD Personnel'!$B:$B,'Prop Budget Summary'!$A7,'YTD Personnel'!$C:$C,'Prop Budget Summary'!E$2)</f>
        <v>0</v>
      </c>
      <c r="Y7" s="230">
        <f>SUMIFS('YTD Personnel'!$G:$G,'YTD Personnel'!$B:$B,'Prop Budget Summary'!$A7,'YTD Personnel'!$C:$C,'Prop Budget Summary'!F$2)</f>
        <v>0</v>
      </c>
      <c r="Z7" s="230">
        <f>SUMIFS('YTD Personnel'!$G:$G,'YTD Personnel'!$B:$B,'Prop Budget Summary'!$A7,'YTD Personnel'!$C:$C,'Prop Budget Summary'!G$2)</f>
        <v>830</v>
      </c>
      <c r="AA7" s="230">
        <f>SUMIFS('YTD Personnel'!$G:$G,'YTD Personnel'!$B:$B,'Prop Budget Summary'!$A7,'YTD Personnel'!$C:$C,'Prop Budget Summary'!H$2)</f>
        <v>0</v>
      </c>
      <c r="AB7" s="230">
        <f>SUMIFS('YTD Personnel'!$G:$G,'YTD Personnel'!$B:$B,'Prop Budget Summary'!$A7,'YTD Personnel'!$C:$C,'Prop Budget Summary'!I$2)</f>
        <v>0</v>
      </c>
      <c r="AC7" s="230">
        <f>SUMIFS('YTD Personnel'!$G:$G,'YTD Personnel'!$B:$B,'Prop Budget Summary'!$A7,'YTD Personnel'!$C:$C,'Prop Budget Summary'!J$2)</f>
        <v>0</v>
      </c>
      <c r="AD7" s="230">
        <f>SUMIFS('YTD Personnel'!$G:$G,'YTD Personnel'!$B:$B,'Prop Budget Summary'!$A7,'YTD Personnel'!$C:$C,'Prop Budget Summary'!K$2)</f>
        <v>0</v>
      </c>
      <c r="AE7" s="228">
        <f t="shared" si="23"/>
        <v>166554</v>
      </c>
      <c r="AF7" s="230">
        <f>SUMIFS('YTD Personnel'!$G:$G,'YTD Personnel'!$B:$B,'Prop Budget Summary'!$A7,'YTD Personnel'!$C:$C,'Prop Budget Summary'!N$2)</f>
        <v>12920</v>
      </c>
      <c r="AG7" s="230">
        <f>SUMIFS('YTD Personnel'!$G:$G,'YTD Personnel'!$B:$B,'Prop Budget Summary'!$A7,'YTD Personnel'!$C:$C,'Prop Budget Summary'!O$2)</f>
        <v>32569</v>
      </c>
      <c r="AH7" s="230">
        <f>SUMIFS('YTD Personnel'!$G:$G,'YTD Personnel'!$B:$B,'Prop Budget Summary'!$A7,'YTD Personnel'!$C:$C,'Prop Budget Summary'!P$2)</f>
        <v>241</v>
      </c>
      <c r="AI7" s="230">
        <f>SUMIFS('YTD Personnel'!$G:$G,'YTD Personnel'!$B:$B,'Prop Budget Summary'!$A7,'YTD Personnel'!$C:$C,'Prop Budget Summary'!Q$2)</f>
        <v>27920</v>
      </c>
      <c r="AJ7" s="227">
        <f t="shared" si="24"/>
        <v>73650</v>
      </c>
      <c r="AK7" s="230">
        <f t="shared" si="25"/>
        <v>240204</v>
      </c>
      <c r="AL7" s="91"/>
      <c r="AM7" s="235">
        <f t="shared" si="1"/>
        <v>-0.58449590886051506</v>
      </c>
      <c r="AN7" s="235">
        <f t="shared" si="2"/>
        <v>0</v>
      </c>
      <c r="AO7" s="235">
        <f t="shared" si="3"/>
        <v>0</v>
      </c>
      <c r="AP7" s="235">
        <f t="shared" si="4"/>
        <v>0</v>
      </c>
      <c r="AQ7" s="235">
        <f t="shared" si="5"/>
        <v>-0.87349397590361444</v>
      </c>
      <c r="AR7" s="235">
        <f t="shared" si="6"/>
        <v>0</v>
      </c>
      <c r="AS7" s="235">
        <f t="shared" si="7"/>
        <v>0</v>
      </c>
      <c r="AT7" s="235">
        <f t="shared" si="8"/>
        <v>0</v>
      </c>
      <c r="AU7" s="235">
        <f t="shared" si="9"/>
        <v>0</v>
      </c>
      <c r="AV7" s="235">
        <f t="shared" si="10"/>
        <v>-0.58593609279873193</v>
      </c>
      <c r="AW7" s="235">
        <f t="shared" si="11"/>
        <v>-0.59133126934984515</v>
      </c>
      <c r="AX7" s="235">
        <f t="shared" si="12"/>
        <v>-0.54323031608322259</v>
      </c>
      <c r="AY7" s="235">
        <f t="shared" si="13"/>
        <v>-0.60578918506224055</v>
      </c>
      <c r="AZ7" s="235">
        <f t="shared" si="14"/>
        <v>-0.5815722922636104</v>
      </c>
      <c r="BA7" s="235">
        <f t="shared" si="15"/>
        <v>-0.56640817051071934</v>
      </c>
      <c r="BB7" s="235">
        <f t="shared" si="16"/>
        <v>-0.57994855105707843</v>
      </c>
      <c r="BC7" s="86"/>
      <c r="BD7" s="86"/>
    </row>
    <row r="8" spans="1:56">
      <c r="A8" s="236" t="s">
        <v>765</v>
      </c>
      <c r="B8" s="519">
        <f t="shared" si="17"/>
        <v>-0.69983801881311969</v>
      </c>
      <c r="C8" s="227">
        <f>SUMIFS('Prop Budget Calc'!$AD:$AD,'Prop Budget Calc'!$G:$G,'Prop Budget Summary'!$A8,'Prop Budget Calc'!$I:$I,'Prop Budget Summary'!C$2)+SUMIFS('Prop Budget Calc'!$AH:$AH,'Prop Budget Calc'!$G:$G,'Prop Budget Summary'!$A8,'Prop Budget Calc'!$I:$I,'Prop Budget Summary'!C$2)</f>
        <v>135877</v>
      </c>
      <c r="D8" s="227">
        <f>SUMIFS('Prop Budget Calc'!$AD:$AD,'Prop Budget Calc'!$G:$G,'Prop Budget Summary'!$A8,'Prop Budget Calc'!$I:$I,'Prop Budget Summary'!D$2)+SUMIFS('Prop Budget Calc'!$AH:$AH,'Prop Budget Calc'!$G:$G,'Prop Budget Summary'!$A8,'Prop Budget Calc'!$I:$I,'Prop Budget Summary'!D$2)</f>
        <v>49615</v>
      </c>
      <c r="E8" s="227">
        <f>SUMIFS('Prop Budget Calc'!$AD:$AD,'Prop Budget Calc'!$G:$G,'Prop Budget Summary'!$A8,'Prop Budget Calc'!$I:$I,'Prop Budget Summary'!E$2)</f>
        <v>0</v>
      </c>
      <c r="F8" s="227">
        <f>SUMIFS('Prop Budget Calc'!$AD:$AD,'Prop Budget Calc'!$G:$G,'Prop Budget Summary'!$A8,'Prop Budget Calc'!$I:$I,'Prop Budget Summary'!F$2)+SUMIFS('Prop Budget Calc'!$AH:$AH,'Prop Budget Calc'!$G:$G,'Prop Budget Summary'!$A8,'Prop Budget Calc'!$I:$I,'Prop Budget Summary'!F$2)</f>
        <v>0</v>
      </c>
      <c r="G8" s="227">
        <f>SUMIF('Prop Budget Calc'!$G:$G,'Prop Budget Summary'!$A8,'Prop Budget Calc'!$AG:$AG)</f>
        <v>1877.6666666666665</v>
      </c>
      <c r="H8" s="227">
        <f>SUMIFS('Prop Budget Calc'!$AD:$AD,'Prop Budget Calc'!$G:$G,'Prop Budget Summary'!$A8,'Prop Budget Calc'!$I:$I,'Prop Budget Summary'!H$2)</f>
        <v>0</v>
      </c>
      <c r="I8" s="227">
        <f>SUMIF('Prop Budget Calc'!$G:$G,'Prop Budget Summary'!$A8,'Prop Budget Calc'!$AK:$AK)</f>
        <v>0</v>
      </c>
      <c r="J8" s="227">
        <f>SUMIF('Prop Budget Calc'!$G:$G,'Prop Budget Summary'!$A8,'Prop Budget Calc'!$AL:$AL)</f>
        <v>0</v>
      </c>
      <c r="L8" s="496">
        <f t="shared" si="0"/>
        <v>187369.66666666666</v>
      </c>
      <c r="M8" s="491">
        <f t="shared" si="18"/>
        <v>-0.70049462087147685</v>
      </c>
      <c r="N8" s="227">
        <f>SUMIF('Prop Budget Calc'!$G:$G,'Prop Budget Summary'!$A8,'Prop Budget Calc'!$AU:$AU)</f>
        <v>14350</v>
      </c>
      <c r="O8" s="227">
        <f>SUMIF('Prop Budget Calc'!$G:$G,'Prop Budget Summary'!$A8,'Prop Budget Calc'!$BE:$BE)</f>
        <v>57532.022951999999</v>
      </c>
      <c r="P8" s="227">
        <f>SUMIF('Prop Budget Calc'!$G:$G,'Prop Budget Summary'!$A8,'Prop Budget Calc'!$AR:$AR)</f>
        <v>258.12045280000007</v>
      </c>
      <c r="Q8" s="227">
        <f>SUMIF('Prop Budget Calc'!$G:$G,'Prop Budget Summary'!$A8,'Prop Budget Calc'!$AQ:$AQ)</f>
        <v>31740.421533333334</v>
      </c>
      <c r="R8" s="254">
        <f t="shared" si="19"/>
        <v>103880.56493813332</v>
      </c>
      <c r="S8" s="426">
        <f t="shared" si="20"/>
        <v>-0.60628035908289246</v>
      </c>
      <c r="T8" s="259">
        <f t="shared" si="21"/>
        <v>291250.23160479998</v>
      </c>
      <c r="U8" s="235">
        <f t="shared" si="22"/>
        <v>-0.67254687876452746</v>
      </c>
      <c r="V8" s="230">
        <f>SUMIFS('YTD Personnel'!$G:$G,'YTD Personnel'!$B:$B,'Prop Budget Summary'!$A8,'YTD Personnel'!$C:$C,'Prop Budget Summary'!C$2)</f>
        <v>570486</v>
      </c>
      <c r="W8" s="230">
        <f>SUMIFS('YTD Personnel'!$G:$G,'YTD Personnel'!$B:$B,'Prop Budget Summary'!$A8,'YTD Personnel'!$C:$C,'Prop Budget Summary'!D$2)</f>
        <v>47487</v>
      </c>
      <c r="X8" s="230">
        <f>SUMIFS('YTD Personnel'!$G:$G,'YTD Personnel'!$B:$B,'Prop Budget Summary'!$A8,'YTD Personnel'!$C:$C,'Prop Budget Summary'!E$2)</f>
        <v>3500</v>
      </c>
      <c r="Y8" s="230">
        <f>SUMIFS('YTD Personnel'!$G:$G,'YTD Personnel'!$B:$B,'Prop Budget Summary'!$A8,'YTD Personnel'!$C:$C,'Prop Budget Summary'!F$2)</f>
        <v>0</v>
      </c>
      <c r="Z8" s="230">
        <f>SUMIFS('YTD Personnel'!$G:$G,'YTD Personnel'!$B:$B,'Prop Budget Summary'!$A8,'YTD Personnel'!$C:$C,'Prop Budget Summary'!G$2)</f>
        <v>4124</v>
      </c>
      <c r="AA8" s="230">
        <f>SUMIFS('YTD Personnel'!$G:$G,'YTD Personnel'!$B:$B,'Prop Budget Summary'!$A8,'YTD Personnel'!$C:$C,'Prop Budget Summary'!H$2)</f>
        <v>0</v>
      </c>
      <c r="AB8" s="230">
        <f>SUMIFS('YTD Personnel'!$G:$G,'YTD Personnel'!$B:$B,'Prop Budget Summary'!$A8,'YTD Personnel'!$C:$C,'Prop Budget Summary'!I$2)</f>
        <v>0</v>
      </c>
      <c r="AC8" s="230">
        <f>SUMIFS('YTD Personnel'!$G:$G,'YTD Personnel'!$B:$B,'Prop Budget Summary'!$A8,'YTD Personnel'!$C:$C,'Prop Budget Summary'!J$2)</f>
        <v>0</v>
      </c>
      <c r="AD8" s="230">
        <f>SUMIFS('YTD Personnel'!$G:$G,'YTD Personnel'!$B:$B,'Prop Budget Summary'!$A8,'YTD Personnel'!$C:$C,'Prop Budget Summary'!K$2)</f>
        <v>0</v>
      </c>
      <c r="AE8" s="228">
        <f t="shared" si="23"/>
        <v>625597</v>
      </c>
      <c r="AF8" s="230">
        <f>SUMIFS('YTD Personnel'!$G:$G,'YTD Personnel'!$B:$B,'Prop Budget Summary'!$A8,'YTD Personnel'!$C:$C,'Prop Budget Summary'!N$2)</f>
        <v>46520</v>
      </c>
      <c r="AG8" s="230">
        <f>SUMIFS('YTD Personnel'!$G:$G,'YTD Personnel'!$B:$B,'Prop Budget Summary'!$A8,'YTD Personnel'!$C:$C,'Prop Budget Summary'!O$2)</f>
        <v>112611</v>
      </c>
      <c r="AH8" s="230">
        <f>SUMIFS('YTD Personnel'!$G:$G,'YTD Personnel'!$B:$B,'Prop Budget Summary'!$A8,'YTD Personnel'!$C:$C,'Prop Budget Summary'!P$2)</f>
        <v>897</v>
      </c>
      <c r="AI8" s="230">
        <f>SUMIFS('YTD Personnel'!$G:$G,'YTD Personnel'!$B:$B,'Prop Budget Summary'!$A8,'YTD Personnel'!$C:$C,'Prop Budget Summary'!Q$2)</f>
        <v>103816</v>
      </c>
      <c r="AJ8" s="227">
        <f t="shared" si="24"/>
        <v>263844</v>
      </c>
      <c r="AK8" s="230">
        <f t="shared" si="25"/>
        <v>889441</v>
      </c>
      <c r="AL8" s="91"/>
      <c r="AM8" s="235">
        <f t="shared" si="1"/>
        <v>-0.7618223760092272</v>
      </c>
      <c r="AN8" s="235">
        <f t="shared" si="2"/>
        <v>4.4812264409206826E-2</v>
      </c>
      <c r="AO8" s="235">
        <f t="shared" si="3"/>
        <v>0</v>
      </c>
      <c r="AP8" s="235">
        <f t="shared" si="4"/>
        <v>0</v>
      </c>
      <c r="AQ8" s="235">
        <f t="shared" si="5"/>
        <v>-0.54469770449401878</v>
      </c>
      <c r="AR8" s="235">
        <f t="shared" si="6"/>
        <v>0</v>
      </c>
      <c r="AS8" s="235">
        <f t="shared" si="7"/>
        <v>0</v>
      </c>
      <c r="AT8" s="235">
        <f t="shared" si="8"/>
        <v>0</v>
      </c>
      <c r="AU8" s="235">
        <f t="shared" si="9"/>
        <v>0</v>
      </c>
      <c r="AV8" s="235">
        <f t="shared" si="10"/>
        <v>-0.70049462087147685</v>
      </c>
      <c r="AW8" s="235">
        <f t="shared" si="11"/>
        <v>-0.69153052450558894</v>
      </c>
      <c r="AX8" s="235">
        <f t="shared" si="12"/>
        <v>-0.48910832021738548</v>
      </c>
      <c r="AY8" s="235">
        <f t="shared" si="13"/>
        <v>-0.7122402978818283</v>
      </c>
      <c r="AZ8" s="235">
        <f t="shared" si="14"/>
        <v>-0.69426271929824557</v>
      </c>
      <c r="BA8" s="235">
        <f t="shared" si="15"/>
        <v>-0.60628035908289246</v>
      </c>
      <c r="BB8" s="235">
        <f t="shared" si="16"/>
        <v>-0.67254687876452746</v>
      </c>
      <c r="BC8" s="86"/>
      <c r="BD8" s="86"/>
    </row>
    <row r="9" spans="1:56">
      <c r="A9" s="236" t="s">
        <v>767</v>
      </c>
      <c r="B9" s="519">
        <f t="shared" si="17"/>
        <v>-0.62965653717910486</v>
      </c>
      <c r="C9" s="227">
        <f>SUMIFS('Prop Budget Calc'!$AD:$AD,'Prop Budget Calc'!$G:$G,'Prop Budget Summary'!$A9,'Prop Budget Calc'!$I:$I,'Prop Budget Summary'!C$2)+SUMIFS('Prop Budget Calc'!$AH:$AH,'Prop Budget Calc'!$G:$G,'Prop Budget Summary'!$A9,'Prop Budget Calc'!$I:$I,'Prop Budget Summary'!C$2)</f>
        <v>68308</v>
      </c>
      <c r="D9" s="227">
        <f>SUMIFS('Prop Budget Calc'!$AD:$AD,'Prop Budget Calc'!$G:$G,'Prop Budget Summary'!$A9,'Prop Budget Calc'!$I:$I,'Prop Budget Summary'!D$2)+SUMIFS('Prop Budget Calc'!$AH:$AH,'Prop Budget Calc'!$G:$G,'Prop Budget Summary'!$A9,'Prop Budget Calc'!$I:$I,'Prop Budget Summary'!D$2)</f>
        <v>0</v>
      </c>
      <c r="E9" s="227">
        <f>SUMIFS('Prop Budget Calc'!$AD:$AD,'Prop Budget Calc'!$G:$G,'Prop Budget Summary'!$A9,'Prop Budget Calc'!$I:$I,'Prop Budget Summary'!E$2)</f>
        <v>0</v>
      </c>
      <c r="F9" s="227">
        <f>SUMIFS('Prop Budget Calc'!$AD:$AD,'Prop Budget Calc'!$G:$G,'Prop Budget Summary'!$A9,'Prop Budget Calc'!$I:$I,'Prop Budget Summary'!F$2)+SUMIFS('Prop Budget Calc'!$AH:$AH,'Prop Budget Calc'!$G:$G,'Prop Budget Summary'!$A9,'Prop Budget Calc'!$I:$I,'Prop Budget Summary'!F$2)</f>
        <v>12127</v>
      </c>
      <c r="G9" s="227">
        <f>SUMIF('Prop Budget Calc'!$G:$G,'Prop Budget Summary'!$A9,'Prop Budget Calc'!$AG:$AG)</f>
        <v>218.16666666666666</v>
      </c>
      <c r="H9" s="227">
        <f>SUMIFS('Prop Budget Calc'!$AD:$AD,'Prop Budget Calc'!$G:$G,'Prop Budget Summary'!$A9,'Prop Budget Calc'!$I:$I,'Prop Budget Summary'!H$2)</f>
        <v>0</v>
      </c>
      <c r="I9" s="227">
        <f>SUMIF('Prop Budget Calc'!$G:$G,'Prop Budget Summary'!$A9,'Prop Budget Calc'!$AK:$AK)</f>
        <v>0</v>
      </c>
      <c r="J9" s="227">
        <f>SUMIF('Prop Budget Calc'!$G:$G,'Prop Budget Summary'!$A9,'Prop Budget Calc'!$AL:$AL)</f>
        <v>0</v>
      </c>
      <c r="L9" s="496">
        <f t="shared" si="0"/>
        <v>80653.166666666672</v>
      </c>
      <c r="M9" s="491">
        <f t="shared" si="18"/>
        <v>-0.57508249521009713</v>
      </c>
      <c r="N9" s="227">
        <f>SUMIF('Prop Budget Calc'!$G:$G,'Prop Budget Summary'!$A9,'Prop Budget Calc'!$AU:$AU)</f>
        <v>6180</v>
      </c>
      <c r="O9" s="227">
        <f>SUMIF('Prop Budget Calc'!$G:$G,'Prop Budget Summary'!$A9,'Prop Budget Calc'!$BE:$BE)</f>
        <v>20318.661027999999</v>
      </c>
      <c r="P9" s="227">
        <f>SUMIF('Prop Budget Calc'!$G:$G,'Prop Budget Summary'!$A9,'Prop Budget Calc'!$AR:$AR)</f>
        <v>111.10780240000003</v>
      </c>
      <c r="Q9" s="227">
        <f>SUMIF('Prop Budget Calc'!$G:$G,'Prop Budget Summary'!$A9,'Prop Budget Calc'!$AQ:$AQ)</f>
        <v>11608.332633333333</v>
      </c>
      <c r="R9" s="254">
        <f t="shared" si="19"/>
        <v>38218.101463733336</v>
      </c>
      <c r="S9" s="426">
        <f t="shared" si="20"/>
        <v>-0.57891957577253328</v>
      </c>
      <c r="T9" s="259">
        <f t="shared" si="21"/>
        <v>118871.26813040001</v>
      </c>
      <c r="U9" s="235">
        <f t="shared" si="22"/>
        <v>-0.57632375359392096</v>
      </c>
      <c r="V9" s="230">
        <f>SUMIFS('YTD Personnel'!$G:$G,'YTD Personnel'!$B:$B,'Prop Budget Summary'!$A9,'YTD Personnel'!$C:$C,'Prop Budget Summary'!C$2)</f>
        <v>184445</v>
      </c>
      <c r="W9" s="230">
        <f>SUMIFS('YTD Personnel'!$G:$G,'YTD Personnel'!$B:$B,'Prop Budget Summary'!$A9,'YTD Personnel'!$C:$C,'Prop Budget Summary'!D$2)</f>
        <v>0</v>
      </c>
      <c r="X9" s="230">
        <f>SUMIFS('YTD Personnel'!$G:$G,'YTD Personnel'!$B:$B,'Prop Budget Summary'!$A9,'YTD Personnel'!$C:$C,'Prop Budget Summary'!E$2)</f>
        <v>0</v>
      </c>
      <c r="Y9" s="230">
        <f>SUMIFS('YTD Personnel'!$G:$G,'YTD Personnel'!$B:$B,'Prop Budget Summary'!$A9,'YTD Personnel'!$C:$C,'Prop Budget Summary'!F$2)</f>
        <v>0</v>
      </c>
      <c r="Z9" s="230">
        <f>SUMIFS('YTD Personnel'!$G:$G,'YTD Personnel'!$B:$B,'Prop Budget Summary'!$A9,'YTD Personnel'!$C:$C,'Prop Budget Summary'!G$2)</f>
        <v>564</v>
      </c>
      <c r="AA9" s="230">
        <f>SUMIFS('YTD Personnel'!$G:$G,'YTD Personnel'!$B:$B,'Prop Budget Summary'!$A9,'YTD Personnel'!$C:$C,'Prop Budget Summary'!H$2)</f>
        <v>0</v>
      </c>
      <c r="AB9" s="230">
        <f>SUMIFS('YTD Personnel'!$G:$G,'YTD Personnel'!$B:$B,'Prop Budget Summary'!$A9,'YTD Personnel'!$C:$C,'Prop Budget Summary'!I$2)</f>
        <v>0</v>
      </c>
      <c r="AC9" s="230">
        <f>SUMIFS('YTD Personnel'!$G:$G,'YTD Personnel'!$B:$B,'Prop Budget Summary'!$A9,'YTD Personnel'!$C:$C,'Prop Budget Summary'!J$2)</f>
        <v>4800</v>
      </c>
      <c r="AD9" s="230">
        <f>SUMIFS('YTD Personnel'!$G:$G,'YTD Personnel'!$B:$B,'Prop Budget Summary'!$A9,'YTD Personnel'!$C:$C,'Prop Budget Summary'!K$2)</f>
        <v>0</v>
      </c>
      <c r="AE9" s="228">
        <f>SUBTOTAL(9,V9:AD9)</f>
        <v>189809</v>
      </c>
      <c r="AF9" s="230">
        <f>SUMIFS('YTD Personnel'!$G:$G,'YTD Personnel'!$B:$B,'Prop Budget Summary'!$A9,'YTD Personnel'!$C:$C,'Prop Budget Summary'!N$2)</f>
        <v>15900</v>
      </c>
      <c r="AG9" s="230">
        <f>SUMIFS('YTD Personnel'!$G:$G,'YTD Personnel'!$B:$B,'Prop Budget Summary'!$A9,'YTD Personnel'!$C:$C,'Prop Budget Summary'!O$2)</f>
        <v>42798</v>
      </c>
      <c r="AH9" s="230">
        <f>SUMIFS('YTD Personnel'!$G:$G,'YTD Personnel'!$B:$B,'Prop Budget Summary'!$A9,'YTD Personnel'!$C:$C,'Prop Budget Summary'!P$2)</f>
        <v>297</v>
      </c>
      <c r="AI9" s="230">
        <f>SUMIFS('YTD Personnel'!$G:$G,'YTD Personnel'!$B:$B,'Prop Budget Summary'!$A9,'YTD Personnel'!$C:$C,'Prop Budget Summary'!Q$2)</f>
        <v>31767</v>
      </c>
      <c r="AJ9" s="227">
        <f>SUBTOTAL(9,AF9:AI9)</f>
        <v>90762</v>
      </c>
      <c r="AK9" s="230">
        <f>SUBTOTAL(9,V9:AI9)</f>
        <v>280571</v>
      </c>
      <c r="AL9" s="91"/>
      <c r="AM9" s="235">
        <f t="shared" si="1"/>
        <v>-0.62965653717910486</v>
      </c>
      <c r="AN9" s="235">
        <f t="shared" si="2"/>
        <v>0</v>
      </c>
      <c r="AO9" s="235">
        <f t="shared" si="3"/>
        <v>0</v>
      </c>
      <c r="AP9" s="235" t="e">
        <f t="shared" si="4"/>
        <v>#DIV/0!</v>
      </c>
      <c r="AQ9" s="235">
        <f t="shared" si="5"/>
        <v>-0.61317966903073295</v>
      </c>
      <c r="AR9" s="235">
        <f t="shared" si="6"/>
        <v>0</v>
      </c>
      <c r="AS9" s="235">
        <f t="shared" si="7"/>
        <v>0</v>
      </c>
      <c r="AT9" s="235">
        <f>IF(J9=0,0,J9/AC9-1)</f>
        <v>0</v>
      </c>
      <c r="AU9" s="235">
        <f>IF(K9=0,0,K9/AD9-1)</f>
        <v>0</v>
      </c>
      <c r="AV9" s="235">
        <f>IF(L9=0,0,L9/AE9-1)</f>
        <v>-0.57508249521009713</v>
      </c>
      <c r="AW9" s="235">
        <f>IF(N9=0,0,N9/AF9-1)</f>
        <v>-0.61132075471698111</v>
      </c>
      <c r="AX9" s="235">
        <f>IF(O9=0,0,O9/AG9-1)</f>
        <v>-0.52524274433384743</v>
      </c>
      <c r="AY9" s="235">
        <f>IF(P9=0,0,P9/AH9-1)</f>
        <v>-0.62589965521885516</v>
      </c>
      <c r="AZ9" s="235">
        <f>IF(Q9=0,0,Q9/AI9-1)</f>
        <v>-0.63457888269797791</v>
      </c>
      <c r="BA9" s="235">
        <f>IF(R9=0,0,R9/AJ9-1)</f>
        <v>-0.57891957577253328</v>
      </c>
      <c r="BB9" s="235">
        <f t="shared" ref="BB9" si="26">IF(T9=0,0,T9/AK9-1)</f>
        <v>-0.57632375359392096</v>
      </c>
      <c r="BC9" s="262"/>
      <c r="BD9" s="262"/>
    </row>
    <row r="10" spans="1:56">
      <c r="A10" s="236" t="s">
        <v>766</v>
      </c>
      <c r="B10" s="519">
        <f t="shared" si="17"/>
        <v>-0.87460292113172466</v>
      </c>
      <c r="C10" s="227">
        <f>SUMIFS('Prop Budget Calc'!$AD:$AD,'Prop Budget Calc'!$G:$G,'Prop Budget Summary'!$A10,'Prop Budget Calc'!$I:$I,'Prop Budget Summary'!C$2)+SUMIFS('Prop Budget Calc'!$AH:$AH,'Prop Budget Calc'!$G:$G,'Prop Budget Summary'!$A10,'Prop Budget Calc'!$I:$I,'Prop Budget Summary'!C$2)</f>
        <v>0</v>
      </c>
      <c r="D10" s="227">
        <f>SUMIFS('Prop Budget Calc'!$AD:$AD,'Prop Budget Calc'!$G:$G,'Prop Budget Summary'!$A10,'Prop Budget Calc'!$I:$I,'Prop Budget Summary'!D$2)+SUMIFS('Prop Budget Calc'!$AH:$AH,'Prop Budget Calc'!$G:$G,'Prop Budget Summary'!$A10,'Prop Budget Calc'!$I:$I,'Prop Budget Summary'!D$2)</f>
        <v>43975</v>
      </c>
      <c r="E10" s="227">
        <f>SUMIFS('Prop Budget Calc'!$AD:$AD,'Prop Budget Calc'!$G:$G,'Prop Budget Summary'!$A10,'Prop Budget Calc'!$I:$I,'Prop Budget Summary'!E$2)</f>
        <v>500</v>
      </c>
      <c r="F10" s="227">
        <f>SUMIFS('Prop Budget Calc'!$AD:$AD,'Prop Budget Calc'!$G:$G,'Prop Budget Summary'!$A10,'Prop Budget Calc'!$I:$I,'Prop Budget Summary'!F$2)+SUMIFS('Prop Budget Calc'!$AH:$AH,'Prop Budget Calc'!$G:$G,'Prop Budget Summary'!$A10,'Prop Budget Calc'!$I:$I,'Prop Budget Summary'!F$2)</f>
        <v>29276</v>
      </c>
      <c r="G10" s="227">
        <f>SUMIF('Prop Budget Calc'!$G:$G,'Prop Budget Summary'!$A10,'Prop Budget Calc'!$AG:$AG)</f>
        <v>131.66666666666666</v>
      </c>
      <c r="H10" s="227">
        <f>SUMIFS('Prop Budget Calc'!$AD:$AD,'Prop Budget Calc'!$G:$G,'Prop Budget Summary'!$A10,'Prop Budget Calc'!$I:$I,'Prop Budget Summary'!H$2)</f>
        <v>0</v>
      </c>
      <c r="I10" s="227">
        <f>SUMIF('Prop Budget Calc'!$G:$G,'Prop Budget Summary'!$A10,'Prop Budget Calc'!$AK:$AK)</f>
        <v>0</v>
      </c>
      <c r="J10" s="227">
        <f>SUMIF('Prop Budget Calc'!$G:$G,'Prop Budget Summary'!$A10,'Prop Budget Calc'!$AL:$AL)</f>
        <v>0</v>
      </c>
      <c r="L10" s="496">
        <f t="shared" si="0"/>
        <v>73882.666666666672</v>
      </c>
      <c r="M10" s="491">
        <f t="shared" si="18"/>
        <v>-0.7905208531213288</v>
      </c>
      <c r="N10" s="227">
        <f>SUMIF('Prop Budget Calc'!$G:$G,'Prop Budget Summary'!$A10,'Prop Budget Calc'!$AU:$AU)</f>
        <v>5660</v>
      </c>
      <c r="O10" s="227">
        <f>SUMIF('Prop Budget Calc'!$G:$G,'Prop Budget Summary'!$A10,'Prop Budget Calc'!$BE:$BE)</f>
        <v>23567.686408000005</v>
      </c>
      <c r="P10" s="227">
        <f>SUMIF('Prop Budget Calc'!$G:$G,'Prop Budget Summary'!$A10,'Prop Budget Calc'!$AR:$AR)</f>
        <v>101.78076160000002</v>
      </c>
      <c r="Q10" s="227">
        <f>SUMIF('Prop Budget Calc'!$G:$G,'Prop Budget Summary'!$A10,'Prop Budget Calc'!$AQ:$AQ)</f>
        <v>7556.3693333333322</v>
      </c>
      <c r="R10" s="254">
        <f t="shared" si="19"/>
        <v>36885.836502933336</v>
      </c>
      <c r="S10" s="426">
        <f t="shared" si="20"/>
        <v>-0.78076899095438757</v>
      </c>
      <c r="T10" s="259">
        <f t="shared" si="21"/>
        <v>110768.50316960001</v>
      </c>
      <c r="U10" s="235">
        <f t="shared" si="22"/>
        <v>-0.78737128625198671</v>
      </c>
      <c r="V10" s="230">
        <f>SUMIFS('YTD Personnel'!$G:$G,'YTD Personnel'!$B:$B,'Prop Budget Summary'!$A10,'YTD Personnel'!$C:$C,'Prop Budget Summary'!C$2)</f>
        <v>307483</v>
      </c>
      <c r="W10" s="230">
        <f>SUMIFS('YTD Personnel'!$G:$G,'YTD Personnel'!$B:$B,'Prop Budget Summary'!$A10,'YTD Personnel'!$C:$C,'Prop Budget Summary'!D$2)</f>
        <v>43203</v>
      </c>
      <c r="X10" s="230">
        <f>SUMIFS('YTD Personnel'!$G:$G,'YTD Personnel'!$B:$B,'Prop Budget Summary'!$A10,'YTD Personnel'!$C:$C,'Prop Budget Summary'!E$2)</f>
        <v>500</v>
      </c>
      <c r="Y10" s="230">
        <f>SUMIFS('YTD Personnel'!$G:$G,'YTD Personnel'!$B:$B,'Prop Budget Summary'!$A10,'YTD Personnel'!$C:$C,'Prop Budget Summary'!F$2)</f>
        <v>0</v>
      </c>
      <c r="Z10" s="230">
        <f>SUMIFS('YTD Personnel'!$G:$G,'YTD Personnel'!$B:$B,'Prop Budget Summary'!$A10,'YTD Personnel'!$C:$C,'Prop Budget Summary'!G$2)</f>
        <v>1511</v>
      </c>
      <c r="AA10" s="230">
        <f>SUMIFS('YTD Personnel'!$G:$G,'YTD Personnel'!$B:$B,'Prop Budget Summary'!$A10,'YTD Personnel'!$C:$C,'Prop Budget Summary'!H$2)</f>
        <v>0</v>
      </c>
      <c r="AB10" s="230">
        <f>SUMIFS('YTD Personnel'!$G:$G,'YTD Personnel'!$B:$B,'Prop Budget Summary'!$A10,'YTD Personnel'!$C:$C,'Prop Budget Summary'!I$2)</f>
        <v>0</v>
      </c>
      <c r="AC10" s="230">
        <f>SUMIFS('YTD Personnel'!$G:$G,'YTD Personnel'!$B:$B,'Prop Budget Summary'!$A10,'YTD Personnel'!$C:$C,'Prop Budget Summary'!J$2)</f>
        <v>0</v>
      </c>
      <c r="AD10" s="230">
        <f>SUMIFS('YTD Personnel'!$G:$G,'YTD Personnel'!$B:$B,'Prop Budget Summary'!$A10,'YTD Personnel'!$C:$C,'Prop Budget Summary'!K$2)</f>
        <v>0</v>
      </c>
      <c r="AE10" s="228">
        <f t="shared" si="23"/>
        <v>352697</v>
      </c>
      <c r="AF10" s="230">
        <f>SUMIFS('YTD Personnel'!$G:$G,'YTD Personnel'!$B:$B,'Prop Budget Summary'!$A10,'YTD Personnel'!$C:$C,'Prop Budget Summary'!N$2)</f>
        <v>29290</v>
      </c>
      <c r="AG10" s="230">
        <f>SUMIFS('YTD Personnel'!$G:$G,'YTD Personnel'!$B:$B,'Prop Budget Summary'!$A10,'YTD Personnel'!$C:$C,'Prop Budget Summary'!O$2)</f>
        <v>79672</v>
      </c>
      <c r="AH10" s="230">
        <f>SUMIFS('YTD Personnel'!$G:$G,'YTD Personnel'!$B:$B,'Prop Budget Summary'!$A10,'YTD Personnel'!$C:$C,'Prop Budget Summary'!P$2)</f>
        <v>548</v>
      </c>
      <c r="AI10" s="230">
        <f>SUMIFS('YTD Personnel'!$G:$G,'YTD Personnel'!$B:$B,'Prop Budget Summary'!$A10,'YTD Personnel'!$C:$C,'Prop Budget Summary'!Q$2)</f>
        <v>58741</v>
      </c>
      <c r="AJ10" s="227">
        <f t="shared" si="24"/>
        <v>168251</v>
      </c>
      <c r="AK10" s="230">
        <f t="shared" si="25"/>
        <v>520948</v>
      </c>
      <c r="AL10" s="91"/>
      <c r="AM10" s="235">
        <f t="shared" si="1"/>
        <v>0</v>
      </c>
      <c r="AN10" s="235">
        <f t="shared" si="2"/>
        <v>1.7869129458602417E-2</v>
      </c>
      <c r="AO10" s="235">
        <f t="shared" si="3"/>
        <v>0</v>
      </c>
      <c r="AP10" s="235" t="e">
        <f t="shared" si="4"/>
        <v>#DIV/0!</v>
      </c>
      <c r="AQ10" s="235">
        <f t="shared" si="5"/>
        <v>-0.91286123979704392</v>
      </c>
      <c r="AR10" s="235">
        <f t="shared" si="6"/>
        <v>0</v>
      </c>
      <c r="AS10" s="235">
        <f t="shared" si="7"/>
        <v>0</v>
      </c>
      <c r="AT10" s="235">
        <f t="shared" si="8"/>
        <v>0</v>
      </c>
      <c r="AU10" s="235">
        <f t="shared" si="9"/>
        <v>0</v>
      </c>
      <c r="AV10" s="235">
        <f t="shared" si="10"/>
        <v>-0.7905208531213288</v>
      </c>
      <c r="AW10" s="235">
        <f t="shared" si="11"/>
        <v>-0.80675998634346191</v>
      </c>
      <c r="AX10" s="235">
        <f t="shared" si="12"/>
        <v>-0.70419110342403846</v>
      </c>
      <c r="AY10" s="235">
        <f t="shared" si="13"/>
        <v>-0.81426868321167878</v>
      </c>
      <c r="AZ10" s="235">
        <f t="shared" si="14"/>
        <v>-0.87136124115467339</v>
      </c>
      <c r="BA10" s="235">
        <f t="shared" si="15"/>
        <v>-0.78076899095438757</v>
      </c>
      <c r="BB10" s="235">
        <f t="shared" si="16"/>
        <v>-0.78737128625198671</v>
      </c>
      <c r="BC10" s="262"/>
      <c r="BD10" s="262"/>
    </row>
    <row r="11" spans="1:56">
      <c r="A11" s="236" t="s">
        <v>768</v>
      </c>
      <c r="B11" s="519">
        <f t="shared" si="17"/>
        <v>-0.88323056610089345</v>
      </c>
      <c r="C11" s="227">
        <f>SUMIFS('Prop Budget Calc'!$AD:$AD,'Prop Budget Calc'!$G:$G,'Prop Budget Summary'!$A11,'Prop Budget Calc'!$I:$I,'Prop Budget Summary'!C$2)+SUMIFS('Prop Budget Calc'!$AH:$AH,'Prop Budget Calc'!$G:$G,'Prop Budget Summary'!$A11,'Prop Budget Calc'!$I:$I,'Prop Budget Summary'!C$2)</f>
        <v>0</v>
      </c>
      <c r="D11" s="227">
        <f>SUMIFS('Prop Budget Calc'!$AD:$AD,'Prop Budget Calc'!$G:$G,'Prop Budget Summary'!$A11,'Prop Budget Calc'!$I:$I,'Prop Budget Summary'!D$2)+SUMIFS('Prop Budget Calc'!$AH:$AH,'Prop Budget Calc'!$G:$G,'Prop Budget Summary'!$A11,'Prop Budget Calc'!$I:$I,'Prop Budget Summary'!D$2)</f>
        <v>43954</v>
      </c>
      <c r="E11" s="227">
        <f>SUMIFS('Prop Budget Calc'!$AD:$AD,'Prop Budget Calc'!$G:$G,'Prop Budget Summary'!$A11,'Prop Budget Calc'!$I:$I,'Prop Budget Summary'!E$2)</f>
        <v>0</v>
      </c>
      <c r="F11" s="227">
        <f>SUMIFS('Prop Budget Calc'!$AD:$AD,'Prop Budget Calc'!$G:$G,'Prop Budget Summary'!$A11,'Prop Budget Calc'!$I:$I,'Prop Budget Summary'!F$2)+SUMIFS('Prop Budget Calc'!$AH:$AH,'Prop Budget Calc'!$G:$G,'Prop Budget Summary'!$A11,'Prop Budget Calc'!$I:$I,'Prop Budget Summary'!F$2)</f>
        <v>0</v>
      </c>
      <c r="G11" s="227">
        <f>SUMIF('Prop Budget Calc'!$G:$G,'Prop Budget Summary'!$A11,'Prop Budget Calc'!$AG:$AG)</f>
        <v>70.166666666666671</v>
      </c>
      <c r="H11" s="227">
        <f>SUMIFS('Prop Budget Calc'!$AD:$AD,'Prop Budget Calc'!$G:$G,'Prop Budget Summary'!$A11,'Prop Budget Calc'!$I:$I,'Prop Budget Summary'!H$2)</f>
        <v>0</v>
      </c>
      <c r="I11" s="227">
        <f>SUMIF('Prop Budget Calc'!$G:$G,'Prop Budget Summary'!$A11,'Prop Budget Calc'!$AK:$AK)</f>
        <v>0</v>
      </c>
      <c r="J11" s="227">
        <f>SUMIF('Prop Budget Calc'!$G:$G,'Prop Budget Summary'!$A11,'Prop Budget Calc'!$AL:$AL)</f>
        <v>0</v>
      </c>
      <c r="L11" s="496">
        <f t="shared" si="0"/>
        <v>44024.166666666664</v>
      </c>
      <c r="M11" s="491">
        <f t="shared" si="18"/>
        <v>-0.88474051616630489</v>
      </c>
      <c r="N11" s="227">
        <f>SUMIF('Prop Budget Calc'!$G:$G,'Prop Budget Summary'!$A11,'Prop Budget Calc'!$AU:$AU)</f>
        <v>3370</v>
      </c>
      <c r="O11" s="227">
        <f>SUMIF('Prop Budget Calc'!$G:$G,'Prop Budget Summary'!$A11,'Prop Budget Calc'!$BE:$BE)</f>
        <v>10958.529219999999</v>
      </c>
      <c r="P11" s="227">
        <f>SUMIF('Prop Budget Calc'!$G:$G,'Prop Budget Summary'!$A11,'Prop Budget Calc'!$AR:$AR)</f>
        <v>60.647692000000013</v>
      </c>
      <c r="Q11" s="227">
        <f>SUMIF('Prop Budget Calc'!$G:$G,'Prop Budget Summary'!$A11,'Prop Budget Calc'!$AQ:$AQ)</f>
        <v>7457.6938333333328</v>
      </c>
      <c r="R11" s="254">
        <f t="shared" si="19"/>
        <v>21846.870745333334</v>
      </c>
      <c r="S11" s="426">
        <f t="shared" si="20"/>
        <v>-0.85487181887711605</v>
      </c>
      <c r="T11" s="259">
        <f t="shared" si="21"/>
        <v>65871.037412000005</v>
      </c>
      <c r="U11" s="235">
        <f t="shared" si="22"/>
        <v>-0.87629666283812713</v>
      </c>
      <c r="V11" s="230">
        <f>SUMIFS('YTD Personnel'!$G:$G,'YTD Personnel'!$B:$B,'Prop Budget Summary'!$A11,'YTD Personnel'!$C:$C,'Prop Budget Summary'!C$2)</f>
        <v>333214</v>
      </c>
      <c r="W11" s="230">
        <f>SUMIFS('YTD Personnel'!$G:$G,'YTD Personnel'!$B:$B,'Prop Budget Summary'!$A11,'YTD Personnel'!$C:$C,'Prop Budget Summary'!D$2)</f>
        <v>43203</v>
      </c>
      <c r="X11" s="230">
        <f>SUMIFS('YTD Personnel'!$G:$G,'YTD Personnel'!$B:$B,'Prop Budget Summary'!$A11,'YTD Personnel'!$C:$C,'Prop Budget Summary'!E$2)</f>
        <v>0</v>
      </c>
      <c r="Y11" s="230">
        <f>SUMIFS('YTD Personnel'!$G:$G,'YTD Personnel'!$B:$B,'Prop Budget Summary'!$A11,'YTD Personnel'!$C:$C,'Prop Budget Summary'!F$2)</f>
        <v>0</v>
      </c>
      <c r="Z11" s="230">
        <f>SUMIFS('YTD Personnel'!$G:$G,'YTD Personnel'!$B:$B,'Prop Budget Summary'!$A11,'YTD Personnel'!$C:$C,'Prop Budget Summary'!G$2)</f>
        <v>740</v>
      </c>
      <c r="AA11" s="230">
        <f>SUMIFS('YTD Personnel'!$G:$G,'YTD Personnel'!$B:$B,'Prop Budget Summary'!$A11,'YTD Personnel'!$C:$C,'Prop Budget Summary'!H$2)</f>
        <v>0</v>
      </c>
      <c r="AB11" s="230">
        <f>SUMIFS('YTD Personnel'!$G:$G,'YTD Personnel'!$B:$B,'Prop Budget Summary'!$A11,'YTD Personnel'!$C:$C,'Prop Budget Summary'!I$2)</f>
        <v>0</v>
      </c>
      <c r="AC11" s="230">
        <f>SUMIFS('YTD Personnel'!$G:$G,'YTD Personnel'!$B:$B,'Prop Budget Summary'!$A11,'YTD Personnel'!$C:$C,'Prop Budget Summary'!J$2)</f>
        <v>4800</v>
      </c>
      <c r="AD11" s="230">
        <f>SUMIFS('YTD Personnel'!$G:$G,'YTD Personnel'!$B:$B,'Prop Budget Summary'!$A11,'YTD Personnel'!$C:$C,'Prop Budget Summary'!K$2)</f>
        <v>0</v>
      </c>
      <c r="AE11" s="228">
        <f t="shared" si="23"/>
        <v>381957</v>
      </c>
      <c r="AF11" s="230">
        <f>SUMIFS('YTD Personnel'!$G:$G,'YTD Personnel'!$B:$B,'Prop Budget Summary'!$A11,'YTD Personnel'!$C:$C,'Prop Budget Summary'!N$2)</f>
        <v>29340</v>
      </c>
      <c r="AG11" s="230">
        <f>SUMIFS('YTD Personnel'!$G:$G,'YTD Personnel'!$B:$B,'Prop Budget Summary'!$A11,'YTD Personnel'!$C:$C,'Prop Budget Summary'!O$2)</f>
        <v>57301</v>
      </c>
      <c r="AH11" s="230">
        <f>SUMIFS('YTD Personnel'!$G:$G,'YTD Personnel'!$B:$B,'Prop Budget Summary'!$A11,'YTD Personnel'!$C:$C,'Prop Budget Summary'!P$2)</f>
        <v>547</v>
      </c>
      <c r="AI11" s="230">
        <f>SUMIFS('YTD Personnel'!$G:$G,'YTD Personnel'!$B:$B,'Prop Budget Summary'!$A11,'YTD Personnel'!$C:$C,'Prop Budget Summary'!Q$2)</f>
        <v>63347</v>
      </c>
      <c r="AJ11" s="227">
        <f t="shared" si="24"/>
        <v>150535</v>
      </c>
      <c r="AK11" s="230">
        <f t="shared" si="25"/>
        <v>532492</v>
      </c>
      <c r="AL11" s="91"/>
      <c r="AM11" s="235">
        <f t="shared" si="1"/>
        <v>0</v>
      </c>
      <c r="AN11" s="235">
        <f t="shared" si="2"/>
        <v>1.7383052102863283E-2</v>
      </c>
      <c r="AO11" s="235">
        <f t="shared" si="3"/>
        <v>0</v>
      </c>
      <c r="AP11" s="235">
        <f t="shared" si="4"/>
        <v>0</v>
      </c>
      <c r="AQ11" s="235">
        <f t="shared" si="5"/>
        <v>-0.9051801801801802</v>
      </c>
      <c r="AR11" s="235">
        <f t="shared" si="6"/>
        <v>0</v>
      </c>
      <c r="AS11" s="235">
        <f t="shared" si="7"/>
        <v>0</v>
      </c>
      <c r="AT11" s="235">
        <f t="shared" si="8"/>
        <v>0</v>
      </c>
      <c r="AU11" s="235">
        <f t="shared" si="9"/>
        <v>0</v>
      </c>
      <c r="AV11" s="235">
        <f t="shared" si="10"/>
        <v>-0.88474051616630489</v>
      </c>
      <c r="AW11" s="235">
        <f t="shared" si="11"/>
        <v>-0.88513974096796177</v>
      </c>
      <c r="AX11" s="235">
        <f t="shared" si="12"/>
        <v>-0.80875500916214382</v>
      </c>
      <c r="AY11" s="235">
        <f t="shared" si="13"/>
        <v>-0.88912670566727603</v>
      </c>
      <c r="AZ11" s="235">
        <f t="shared" si="14"/>
        <v>-0.8822723438626402</v>
      </c>
      <c r="BA11" s="235">
        <f t="shared" si="15"/>
        <v>-0.85487181887711605</v>
      </c>
      <c r="BB11" s="235">
        <f t="shared" si="16"/>
        <v>-0.87629666283812713</v>
      </c>
      <c r="BC11" s="262"/>
      <c r="BD11" s="262"/>
    </row>
    <row r="12" spans="1:56">
      <c r="A12" s="236" t="s">
        <v>770</v>
      </c>
      <c r="B12" s="519">
        <f t="shared" si="17"/>
        <v>-0.71987081332211478</v>
      </c>
      <c r="C12" s="227">
        <f>SUMIFS('Prop Budget Calc'!$AD:$AD,'Prop Budget Calc'!$G:$G,'Prop Budget Summary'!$A12,'Prop Budget Calc'!$I:$I,'Prop Budget Summary'!C$2)+SUMIFS('Prop Budget Calc'!$AH:$AH,'Prop Budget Calc'!$G:$G,'Prop Budget Summary'!$A12,'Prop Budget Calc'!$I:$I,'Prop Budget Summary'!C$2)</f>
        <v>0</v>
      </c>
      <c r="D12" s="227">
        <f>SUMIFS('Prop Budget Calc'!$AD:$AD,'Prop Budget Calc'!$G:$G,'Prop Budget Summary'!$A12,'Prop Budget Calc'!$I:$I,'Prop Budget Summary'!D$2)+SUMIFS('Prop Budget Calc'!$AH:$AH,'Prop Budget Calc'!$G:$G,'Prop Budget Summary'!$A12,'Prop Budget Calc'!$I:$I,'Prop Budget Summary'!D$2)</f>
        <v>53603</v>
      </c>
      <c r="E12" s="227">
        <f>SUMIFS('Prop Budget Calc'!$AD:$AD,'Prop Budget Calc'!$G:$G,'Prop Budget Summary'!$A12,'Prop Budget Calc'!$I:$I,'Prop Budget Summary'!E$2)</f>
        <v>0</v>
      </c>
      <c r="F12" s="227">
        <f>SUMIFS('Prop Budget Calc'!$AD:$AD,'Prop Budget Calc'!$G:$G,'Prop Budget Summary'!$A12,'Prop Budget Calc'!$I:$I,'Prop Budget Summary'!F$2)+SUMIFS('Prop Budget Calc'!$AH:$AH,'Prop Budget Calc'!$G:$G,'Prop Budget Summary'!$A12,'Prop Budget Calc'!$I:$I,'Prop Budget Summary'!F$2)</f>
        <v>0</v>
      </c>
      <c r="G12" s="227">
        <f>SUMIF('Prop Budget Calc'!$G:$G,'Prop Budget Summary'!$A12,'Prop Budget Calc'!$AG:$AG)</f>
        <v>596.33333333333337</v>
      </c>
      <c r="H12" s="227">
        <f>SUMIFS('Prop Budget Calc'!$AD:$AD,'Prop Budget Calc'!$G:$G,'Prop Budget Summary'!$A12,'Prop Budget Calc'!$I:$I,'Prop Budget Summary'!H$2)</f>
        <v>0</v>
      </c>
      <c r="I12" s="227">
        <f>SUMIF('Prop Budget Calc'!$G:$G,'Prop Budget Summary'!$A12,'Prop Budget Calc'!$AK:$AK)</f>
        <v>0</v>
      </c>
      <c r="J12" s="227">
        <f>SUMIF('Prop Budget Calc'!$G:$G,'Prop Budget Summary'!$A12,'Prop Budget Calc'!$AL:$AL)</f>
        <v>0</v>
      </c>
      <c r="L12" s="496">
        <f t="shared" si="0"/>
        <v>54199.333333333336</v>
      </c>
      <c r="M12" s="491">
        <f t="shared" si="18"/>
        <v>-0.73269086287990504</v>
      </c>
      <c r="N12" s="227">
        <f>SUMIF('Prop Budget Calc'!$G:$G,'Prop Budget Summary'!$A12,'Prop Budget Calc'!$AU:$AU)</f>
        <v>4200</v>
      </c>
      <c r="O12" s="227">
        <f>SUMIF('Prop Budget Calc'!$G:$G,'Prop Budget Summary'!$A12,'Prop Budget Calc'!$BE:$BE)</f>
        <v>10937.346544</v>
      </c>
      <c r="P12" s="227">
        <f>SUMIF('Prop Budget Calc'!$G:$G,'Prop Budget Summary'!$A12,'Prop Budget Calc'!$AR:$AR)</f>
        <v>160.23325919999999</v>
      </c>
      <c r="Q12" s="227">
        <f>SUMIF('Prop Budget Calc'!$G:$G,'Prop Budget Summary'!$A12,'Prop Budget Calc'!$AQ:$AQ)</f>
        <v>9285.5480666666663</v>
      </c>
      <c r="R12" s="254">
        <f t="shared" si="19"/>
        <v>24583.127869866665</v>
      </c>
      <c r="S12" s="426">
        <f t="shared" si="20"/>
        <v>-0.73950548505508396</v>
      </c>
      <c r="T12" s="259">
        <f t="shared" si="21"/>
        <v>78782.4612032</v>
      </c>
      <c r="U12" s="235">
        <f t="shared" si="22"/>
        <v>-0.73485524449500217</v>
      </c>
      <c r="V12" s="230">
        <f>SUMIFS('YTD Personnel'!$G:$G,'YTD Personnel'!$B:$B,'Prop Budget Summary'!$A12,'YTD Personnel'!$C:$C,'Prop Budget Summary'!C$2)</f>
        <v>81016</v>
      </c>
      <c r="W12" s="230">
        <f>SUMIFS('YTD Personnel'!$G:$G,'YTD Personnel'!$B:$B,'Prop Budget Summary'!$A12,'YTD Personnel'!$C:$C,'Prop Budget Summary'!D$2)</f>
        <v>110335</v>
      </c>
      <c r="X12" s="230">
        <f>SUMIFS('YTD Personnel'!$G:$G,'YTD Personnel'!$B:$B,'Prop Budget Summary'!$A12,'YTD Personnel'!$C:$C,'Prop Budget Summary'!E$2)</f>
        <v>8344</v>
      </c>
      <c r="Y12" s="230">
        <f>SUMIFS('YTD Personnel'!$G:$G,'YTD Personnel'!$B:$B,'Prop Budget Summary'!$A12,'YTD Personnel'!$C:$C,'Prop Budget Summary'!F$2)</f>
        <v>0</v>
      </c>
      <c r="Z12" s="230">
        <f>SUMIFS('YTD Personnel'!$G:$G,'YTD Personnel'!$B:$B,'Prop Budget Summary'!$A12,'YTD Personnel'!$C:$C,'Prop Budget Summary'!G$2)</f>
        <v>3064</v>
      </c>
      <c r="AA12" s="230">
        <f>SUMIFS('YTD Personnel'!$G:$G,'YTD Personnel'!$B:$B,'Prop Budget Summary'!$A12,'YTD Personnel'!$C:$C,'Prop Budget Summary'!H$2)</f>
        <v>0</v>
      </c>
      <c r="AB12" s="230">
        <f>SUMIFS('YTD Personnel'!$G:$G,'YTD Personnel'!$B:$B,'Prop Budget Summary'!$A12,'YTD Personnel'!$C:$C,'Prop Budget Summary'!I$2)</f>
        <v>0</v>
      </c>
      <c r="AC12" s="230">
        <f>SUMIFS('YTD Personnel'!$G:$G,'YTD Personnel'!$B:$B,'Prop Budget Summary'!$A12,'YTD Personnel'!$C:$C,'Prop Budget Summary'!J$2)</f>
        <v>0</v>
      </c>
      <c r="AD12" s="230">
        <f>SUMIFS('YTD Personnel'!$G:$G,'YTD Personnel'!$B:$B,'Prop Budget Summary'!$A12,'YTD Personnel'!$C:$C,'Prop Budget Summary'!K$2)</f>
        <v>0</v>
      </c>
      <c r="AE12" s="228">
        <f t="shared" ref="AE12" si="27">SUBTOTAL(9,V12:AD12)</f>
        <v>202759</v>
      </c>
      <c r="AF12" s="230">
        <f>SUMIFS('YTD Personnel'!$G:$G,'YTD Personnel'!$B:$B,'Prop Budget Summary'!$A12,'YTD Personnel'!$C:$C,'Prop Budget Summary'!N$2)</f>
        <v>15670</v>
      </c>
      <c r="AG12" s="230">
        <f>SUMIFS('YTD Personnel'!$G:$G,'YTD Personnel'!$B:$B,'Prop Budget Summary'!$A12,'YTD Personnel'!$C:$C,'Prop Budget Summary'!O$2)</f>
        <v>44238</v>
      </c>
      <c r="AH12" s="230">
        <f>SUMIFS('YTD Personnel'!$G:$G,'YTD Personnel'!$B:$B,'Prop Budget Summary'!$A12,'YTD Personnel'!$C:$C,'Prop Budget Summary'!P$2)</f>
        <v>621</v>
      </c>
      <c r="AI12" s="230">
        <f>SUMIFS('YTD Personnel'!$G:$G,'YTD Personnel'!$B:$B,'Prop Budget Summary'!$A12,'YTD Personnel'!$C:$C,'Prop Budget Summary'!Q$2)</f>
        <v>33842</v>
      </c>
      <c r="AJ12" s="227">
        <f t="shared" ref="AJ12" si="28">SUBTOTAL(9,AF12:AI12)</f>
        <v>94371</v>
      </c>
      <c r="AK12" s="230">
        <f t="shared" ref="AK12" si="29">SUBTOTAL(9,V12:AI12)</f>
        <v>297130</v>
      </c>
      <c r="AL12" s="91"/>
      <c r="AM12" s="235">
        <f t="shared" ref="AM12:AM26" si="30">IF(C12=0,0,C12/V12-1)</f>
        <v>0</v>
      </c>
      <c r="AN12" s="235">
        <f t="shared" ref="AN12:AN26" si="31">IF(D12=0,0,D12/W12-1)</f>
        <v>-0.51417954411564781</v>
      </c>
      <c r="AO12" s="235"/>
      <c r="AP12" s="235">
        <f t="shared" ref="AP12:AP18" si="32">IF(F12=0,0,F12/Y12-1)</f>
        <v>0</v>
      </c>
      <c r="AQ12" s="235">
        <f t="shared" ref="AQ12:AQ18" si="33">IF(G12=0,0,G12/Z12-1)</f>
        <v>-0.80537423846823319</v>
      </c>
      <c r="AR12" s="235">
        <f t="shared" ref="AR12:AR18" si="34">IF(H12=0,0,H12/AA12-1)</f>
        <v>0</v>
      </c>
      <c r="AS12" s="235">
        <f t="shared" ref="AS12:AS18" si="35">IF(I12=0,0,I12/AB12-1)</f>
        <v>0</v>
      </c>
      <c r="AT12" s="235">
        <f t="shared" ref="AT12" si="36">IF(J12=0,0,J12/AC12-1)</f>
        <v>0</v>
      </c>
      <c r="AU12" s="235">
        <f t="shared" ref="AU12" si="37">IF(K12=0,0,K12/AD12-1)</f>
        <v>0</v>
      </c>
      <c r="AV12" s="235">
        <f t="shared" ref="AV12" si="38">IF(L12=0,0,L12/AE12-1)</f>
        <v>-0.73269086287990504</v>
      </c>
      <c r="AW12" s="235">
        <f t="shared" ref="AW12" si="39">IF(N12=0,0,N12/AF12-1)</f>
        <v>-0.73197192086790053</v>
      </c>
      <c r="AX12" s="235">
        <f t="shared" ref="AX12" si="40">IF(O12=0,0,O12/AG12-1)</f>
        <v>-0.75276127890049283</v>
      </c>
      <c r="AY12" s="235">
        <f t="shared" ref="AY12" si="41">IF(P12=0,0,P12/AH12-1)</f>
        <v>-0.7419754280193237</v>
      </c>
      <c r="AZ12" s="235">
        <f t="shared" ref="AZ12" si="42">IF(Q12=0,0,Q12/AI12-1)</f>
        <v>-0.7256205878297185</v>
      </c>
      <c r="BA12" s="235">
        <f t="shared" ref="BA12" si="43">IF(R12=0,0,R12/AJ12-1)</f>
        <v>-0.73950548505508396</v>
      </c>
      <c r="BB12" s="235">
        <f t="shared" ref="BB12" si="44">IF(T12=0,0,T12/AK12-1)</f>
        <v>-0.73485524449500217</v>
      </c>
      <c r="BC12" s="262"/>
      <c r="BD12" s="262"/>
    </row>
    <row r="13" spans="1:56">
      <c r="A13" s="236" t="s">
        <v>772</v>
      </c>
      <c r="B13" s="519">
        <f t="shared" si="17"/>
        <v>-0.87540518925704336</v>
      </c>
      <c r="C13" s="227">
        <f>SUMIFS('Prop Budget Calc'!$AD:$AD,'Prop Budget Calc'!$G:$G,'Prop Budget Summary'!$A13,'Prop Budget Calc'!$I:$I,'Prop Budget Summary'!C$2)+SUMIFS('Prop Budget Calc'!$AH:$AH,'Prop Budget Calc'!$G:$G,'Prop Budget Summary'!$A13,'Prop Budget Calc'!$I:$I,'Prop Budget Summary'!C$2)</f>
        <v>0</v>
      </c>
      <c r="D13" s="227">
        <f>SUMIFS('Prop Budget Calc'!$AD:$AD,'Prop Budget Calc'!$G:$G,'Prop Budget Summary'!$A13,'Prop Budget Calc'!$I:$I,'Prop Budget Summary'!D$2)+SUMIFS('Prop Budget Calc'!$AH:$AH,'Prop Budget Calc'!$G:$G,'Prop Budget Summary'!$A13,'Prop Budget Calc'!$I:$I,'Prop Budget Summary'!D$2)</f>
        <v>553842</v>
      </c>
      <c r="E13" s="227">
        <f>SUMIFS('Prop Budget Calc'!$AD:$AD,'Prop Budget Calc'!$G:$G,'Prop Budget Summary'!$A13,'Prop Budget Calc'!$I:$I,'Prop Budget Summary'!E$2)</f>
        <v>196303</v>
      </c>
      <c r="F13" s="227">
        <f>SUMIFS('Prop Budget Calc'!$AD:$AD,'Prop Budget Calc'!$G:$G,'Prop Budget Summary'!$A13,'Prop Budget Calc'!$I:$I,'Prop Budget Summary'!F$2)+SUMIFS('Prop Budget Calc'!$AH:$AH,'Prop Budget Calc'!$G:$G,'Prop Budget Summary'!$A13,'Prop Budget Calc'!$I:$I,'Prop Budget Summary'!F$2)</f>
        <v>0</v>
      </c>
      <c r="G13" s="227">
        <f>SUMIF('Prop Budget Calc'!$G:$G,'Prop Budget Summary'!$A13,'Prop Budget Calc'!$AG:$AG)</f>
        <v>3747.5</v>
      </c>
      <c r="H13" s="227">
        <f>SUMIFS('Prop Budget Calc'!$AD:$AD,'Prop Budget Calc'!$G:$G,'Prop Budget Summary'!$A13,'Prop Budget Calc'!$I:$I,'Prop Budget Summary'!H$2)</f>
        <v>0</v>
      </c>
      <c r="I13" s="227">
        <f>SUMIF('Prop Budget Calc'!$G:$G,'Prop Budget Summary'!$A13,'Prop Budget Calc'!$AK:$AK)</f>
        <v>7500</v>
      </c>
      <c r="J13" s="227">
        <f>SUMIF('Prop Budget Calc'!$G:$G,'Prop Budget Summary'!$A13,'Prop Budget Calc'!$AL:$AL)</f>
        <v>0</v>
      </c>
      <c r="L13" s="496">
        <f t="shared" si="0"/>
        <v>761392.5</v>
      </c>
      <c r="M13" s="491">
        <f t="shared" si="18"/>
        <v>-0.83822374552051293</v>
      </c>
      <c r="N13" s="227">
        <f>SUMIF('Prop Budget Calc'!$G:$G,'Prop Budget Summary'!$A13,'Prop Budget Calc'!$AU:$AU)</f>
        <v>46110</v>
      </c>
      <c r="O13" s="227">
        <f>SUMIF('Prop Budget Calc'!$G:$G,'Prop Budget Summary'!$A13,'Prop Budget Calc'!$BE:$BE)</f>
        <v>96151.494564000022</v>
      </c>
      <c r="P13" s="227">
        <f>SUMIF('Prop Budget Calc'!$G:$G,'Prop Budget Summary'!$A13,'Prop Budget Calc'!$AR:$AR)</f>
        <v>11998.327571999998</v>
      </c>
      <c r="Q13" s="227">
        <f>SUMIF('Prop Budget Calc'!$G:$G,'Prop Budget Summary'!$A13,'Prop Budget Calc'!$AQ:$AQ)</f>
        <v>128979.88949999999</v>
      </c>
      <c r="R13" s="254">
        <f t="shared" si="19"/>
        <v>283239.71163600002</v>
      </c>
      <c r="S13" s="426">
        <f t="shared" si="20"/>
        <v>-0.85404513885101396</v>
      </c>
      <c r="T13" s="259">
        <f t="shared" si="21"/>
        <v>1044632.2116360001</v>
      </c>
      <c r="U13" s="235">
        <f t="shared" si="22"/>
        <v>-0.84284278028274784</v>
      </c>
      <c r="V13" s="230">
        <f>SUMIFS('YTD Personnel'!$G:$G,'YTD Personnel'!$B:$B,'Prop Budget Summary'!$A13,'YTD Personnel'!$C:$C,'Prop Budget Summary'!C$2)</f>
        <v>128378</v>
      </c>
      <c r="W13" s="230">
        <f>SUMIFS('YTD Personnel'!$G:$G,'YTD Personnel'!$B:$B,'Prop Budget Summary'!$A13,'YTD Personnel'!$C:$C,'Prop Budget Summary'!D$2)</f>
        <v>4316767</v>
      </c>
      <c r="X13" s="230">
        <f>SUMIFS('YTD Personnel'!$G:$G,'YTD Personnel'!$B:$B,'Prop Budget Summary'!$A13,'YTD Personnel'!$C:$C,'Prop Budget Summary'!E$2)</f>
        <v>198518</v>
      </c>
      <c r="Y13" s="230">
        <f>SUMIFS('YTD Personnel'!$G:$G,'YTD Personnel'!$B:$B,'Prop Budget Summary'!$A13,'YTD Personnel'!$C:$C,'Prop Budget Summary'!F$2)</f>
        <v>0</v>
      </c>
      <c r="Z13" s="230">
        <f>SUMIFS('YTD Personnel'!$G:$G,'YTD Personnel'!$B:$B,'Prop Budget Summary'!$A13,'YTD Personnel'!$C:$C,'Prop Budget Summary'!G$2)</f>
        <v>28591</v>
      </c>
      <c r="AA13" s="230">
        <f>SUMIFS('YTD Personnel'!$G:$G,'YTD Personnel'!$B:$B,'Prop Budget Summary'!$A13,'YTD Personnel'!$C:$C,'Prop Budget Summary'!H$2)</f>
        <v>0</v>
      </c>
      <c r="AB13" s="230">
        <f>SUMIFS('YTD Personnel'!$G:$G,'YTD Personnel'!$B:$B,'Prop Budget Summary'!$A13,'YTD Personnel'!$C:$C,'Prop Budget Summary'!I$2)</f>
        <v>34200</v>
      </c>
      <c r="AC13" s="230">
        <f>SUMIFS('YTD Personnel'!$G:$G,'YTD Personnel'!$B:$B,'Prop Budget Summary'!$A13,'YTD Personnel'!$C:$C,'Prop Budget Summary'!J$2)</f>
        <v>0</v>
      </c>
      <c r="AD13" s="230">
        <f>SUMIFS('YTD Personnel'!$G:$G,'YTD Personnel'!$B:$B,'Prop Budget Summary'!$A13,'YTD Personnel'!$C:$C,'Prop Budget Summary'!K$2)</f>
        <v>0</v>
      </c>
      <c r="AE13" s="228">
        <f t="shared" si="23"/>
        <v>4706454</v>
      </c>
      <c r="AF13" s="230">
        <f>SUMIFS('YTD Personnel'!$G:$G,'YTD Personnel'!$B:$B,'Prop Budget Summary'!$A13,'YTD Personnel'!$C:$C,'Prop Budget Summary'!N$2)</f>
        <v>348570</v>
      </c>
      <c r="AG13" s="230">
        <f>SUMIFS('YTD Personnel'!$G:$G,'YTD Personnel'!$B:$B,'Prop Budget Summary'!$A13,'YTD Personnel'!$C:$C,'Prop Budget Summary'!O$2)</f>
        <v>738721</v>
      </c>
      <c r="AH13" s="230">
        <f>SUMIFS('YTD Personnel'!$G:$G,'YTD Personnel'!$B:$B,'Prop Budget Summary'!$A13,'YTD Personnel'!$C:$C,'Prop Budget Summary'!P$2)</f>
        <v>73460</v>
      </c>
      <c r="AI13" s="230">
        <f>SUMIFS('YTD Personnel'!$G:$G,'YTD Personnel'!$B:$B,'Prop Budget Summary'!$A13,'YTD Personnel'!$C:$C,'Prop Budget Summary'!Q$2)</f>
        <v>779847</v>
      </c>
      <c r="AJ13" s="227">
        <f t="shared" si="24"/>
        <v>1940598</v>
      </c>
      <c r="AK13" s="230">
        <f t="shared" si="25"/>
        <v>6647052</v>
      </c>
      <c r="AL13" s="91"/>
      <c r="AM13" s="235">
        <f t="shared" si="30"/>
        <v>0</v>
      </c>
      <c r="AN13" s="235">
        <f t="shared" si="31"/>
        <v>-0.87169981608921676</v>
      </c>
      <c r="AO13" s="235">
        <f t="shared" ref="AO13:AO26" si="45">IF(E13=0,0,E13/X13-1)</f>
        <v>-1.1157678396921167E-2</v>
      </c>
      <c r="AP13" s="235">
        <f t="shared" si="32"/>
        <v>0</v>
      </c>
      <c r="AQ13" s="235">
        <f t="shared" si="33"/>
        <v>-0.86892728480990522</v>
      </c>
      <c r="AR13" s="235">
        <f t="shared" si="34"/>
        <v>0</v>
      </c>
      <c r="AS13" s="235">
        <f t="shared" si="35"/>
        <v>-0.7807017543859649</v>
      </c>
      <c r="AT13" s="235">
        <f t="shared" si="8"/>
        <v>0</v>
      </c>
      <c r="AU13" s="235">
        <f t="shared" si="9"/>
        <v>0</v>
      </c>
      <c r="AV13" s="235">
        <f t="shared" si="10"/>
        <v>-0.83822374552051293</v>
      </c>
      <c r="AW13" s="235">
        <f t="shared" si="11"/>
        <v>-0.86771667096996297</v>
      </c>
      <c r="AX13" s="235">
        <f t="shared" si="12"/>
        <v>-0.86984058316468593</v>
      </c>
      <c r="AY13" s="235">
        <f t="shared" si="13"/>
        <v>-0.83666856014157365</v>
      </c>
      <c r="AZ13" s="235">
        <f t="shared" si="14"/>
        <v>-0.83460872517301476</v>
      </c>
      <c r="BA13" s="235">
        <f t="shared" si="15"/>
        <v>-0.85404513885101396</v>
      </c>
      <c r="BB13" s="235">
        <f t="shared" si="16"/>
        <v>-0.84284278028274784</v>
      </c>
      <c r="BC13" s="262"/>
      <c r="BD13" s="262"/>
    </row>
    <row r="14" spans="1:56">
      <c r="A14" s="236" t="s">
        <v>773</v>
      </c>
      <c r="B14" s="519">
        <f t="shared" si="17"/>
        <v>-0.90507989097076935</v>
      </c>
      <c r="C14" s="227">
        <f>SUMIFS('Prop Budget Calc'!$AD:$AD,'Prop Budget Calc'!$G:$G,'Prop Budget Summary'!$A14,'Prop Budget Calc'!$I:$I,'Prop Budget Summary'!C$2)+SUMIFS('Prop Budget Calc'!$AH:$AH,'Prop Budget Calc'!$G:$G,'Prop Budget Summary'!$A14,'Prop Budget Calc'!$I:$I,'Prop Budget Summary'!C$2)</f>
        <v>0</v>
      </c>
      <c r="D14" s="227">
        <f>SUMIFS('Prop Budget Calc'!$AD:$AD,'Prop Budget Calc'!$G:$G,'Prop Budget Summary'!$A14,'Prop Budget Calc'!$I:$I,'Prop Budget Summary'!D$2)+SUMIFS('Prop Budget Calc'!$AH:$AH,'Prop Budget Calc'!$G:$G,'Prop Budget Summary'!$A14,'Prop Budget Calc'!$I:$I,'Prop Budget Summary'!D$2)</f>
        <v>143822</v>
      </c>
      <c r="E14" s="227">
        <f>SUMIFS('Prop Budget Calc'!$AD:$AD,'Prop Budget Calc'!$G:$G,'Prop Budget Summary'!$A14,'Prop Budget Calc'!$I:$I,'Prop Budget Summary'!E$2)</f>
        <v>101648</v>
      </c>
      <c r="F14" s="227">
        <f>SUMIFS('Prop Budget Calc'!$AD:$AD,'Prop Budget Calc'!$G:$G,'Prop Budget Summary'!$A14,'Prop Budget Calc'!$I:$I,'Prop Budget Summary'!F$2)+SUMIFS('Prop Budget Calc'!$AH:$AH,'Prop Budget Calc'!$G:$G,'Prop Budget Summary'!$A14,'Prop Budget Calc'!$I:$I,'Prop Budget Summary'!F$2)</f>
        <v>0</v>
      </c>
      <c r="G14" s="227">
        <f>SUMIF('Prop Budget Calc'!$G:$G,'Prop Budget Summary'!$A14,'Prop Budget Calc'!$AG:$AG)</f>
        <v>181</v>
      </c>
      <c r="H14" s="227">
        <f>SUMIFS('Prop Budget Calc'!$AD:$AD,'Prop Budget Calc'!$G:$G,'Prop Budget Summary'!$A14,'Prop Budget Calc'!$I:$I,'Prop Budget Summary'!H$2)</f>
        <v>0</v>
      </c>
      <c r="I14" s="227">
        <f>SUMIF('Prop Budget Calc'!$G:$G,'Prop Budget Summary'!$A14,'Prop Budget Calc'!$AK:$AK)</f>
        <v>21100.080000000002</v>
      </c>
      <c r="J14" s="227">
        <f>SUMIF('Prop Budget Calc'!$G:$G,'Prop Budget Summary'!$A14,'Prop Budget Calc'!$AL:$AL)</f>
        <v>0</v>
      </c>
      <c r="L14" s="496">
        <f t="shared" si="0"/>
        <v>266751.08</v>
      </c>
      <c r="M14" s="491">
        <f t="shared" si="18"/>
        <v>-0.8455725198352394</v>
      </c>
      <c r="N14" s="227">
        <f>SUMIF('Prop Budget Calc'!$G:$G,'Prop Budget Summary'!$A14,'Prop Budget Calc'!$AU:$AU)</f>
        <v>20450</v>
      </c>
      <c r="O14" s="227">
        <f>SUMIF('Prop Budget Calc'!$G:$G,'Prop Budget Summary'!$A14,'Prop Budget Calc'!$BE:$BE)</f>
        <v>25992.029323485527</v>
      </c>
      <c r="P14" s="227">
        <f>SUMIF('Prop Budget Calc'!$G:$G,'Prop Budget Summary'!$A14,'Prop Budget Calc'!$AR:$AR)</f>
        <v>409.60060780800006</v>
      </c>
      <c r="Q14" s="227">
        <f>SUMIF('Prop Budget Calc'!$G:$G,'Prop Budget Summary'!$A14,'Prop Budget Calc'!$AQ:$AQ)</f>
        <v>45187.632952</v>
      </c>
      <c r="R14" s="254">
        <f t="shared" si="19"/>
        <v>92039.26288329353</v>
      </c>
      <c r="S14" s="426">
        <f t="shared" si="20"/>
        <v>-0.87039388677357399</v>
      </c>
      <c r="T14" s="259">
        <f t="shared" si="21"/>
        <v>358790.34288329352</v>
      </c>
      <c r="U14" s="235">
        <f t="shared" si="22"/>
        <v>-0.85280402228212682</v>
      </c>
      <c r="V14" s="230">
        <f>SUMIFS('YTD Personnel'!$G:$G,'YTD Personnel'!$B:$B,'Prop Budget Summary'!$A14,'YTD Personnel'!$C:$C,'Prop Budget Summary'!C$2)</f>
        <v>171476</v>
      </c>
      <c r="W14" s="230">
        <f>SUMIFS('YTD Personnel'!$G:$G,'YTD Personnel'!$B:$B,'Prop Budget Summary'!$A14,'YTD Personnel'!$C:$C,'Prop Budget Summary'!D$2)</f>
        <v>1343714</v>
      </c>
      <c r="X14" s="230">
        <f>SUMIFS('YTD Personnel'!$G:$G,'YTD Personnel'!$B:$B,'Prop Budget Summary'!$A14,'YTD Personnel'!$C:$C,'Prop Budget Summary'!E$2)</f>
        <v>101942</v>
      </c>
      <c r="Y14" s="230">
        <f>SUMIFS('YTD Personnel'!$G:$G,'YTD Personnel'!$B:$B,'Prop Budget Summary'!$A14,'YTD Personnel'!$C:$C,'Prop Budget Summary'!F$2)</f>
        <v>0</v>
      </c>
      <c r="Z14" s="230">
        <f>SUMIFS('YTD Personnel'!$G:$G,'YTD Personnel'!$B:$B,'Prop Budget Summary'!$A14,'YTD Personnel'!$C:$C,'Prop Budget Summary'!G$2)</f>
        <v>12621</v>
      </c>
      <c r="AA14" s="230">
        <f>SUMIFS('YTD Personnel'!$G:$G,'YTD Personnel'!$B:$B,'Prop Budget Summary'!$A14,'YTD Personnel'!$C:$C,'Prop Budget Summary'!H$2)</f>
        <v>0</v>
      </c>
      <c r="AB14" s="230">
        <f>SUMIFS('YTD Personnel'!$G:$G,'YTD Personnel'!$B:$B,'Prop Budget Summary'!$A14,'YTD Personnel'!$C:$C,'Prop Budget Summary'!I$2)</f>
        <v>97602</v>
      </c>
      <c r="AC14" s="230">
        <f>SUMIFS('YTD Personnel'!$G:$G,'YTD Personnel'!$B:$B,'Prop Budget Summary'!$A14,'YTD Personnel'!$C:$C,'Prop Budget Summary'!J$2)</f>
        <v>0</v>
      </c>
      <c r="AD14" s="230">
        <f>SUMIFS('YTD Personnel'!$G:$G,'YTD Personnel'!$B:$B,'Prop Budget Summary'!$A14,'YTD Personnel'!$C:$C,'Prop Budget Summary'!K$2)</f>
        <v>0</v>
      </c>
      <c r="AE14" s="228">
        <f t="shared" si="23"/>
        <v>1727355</v>
      </c>
      <c r="AF14" s="230">
        <f>SUMIFS('YTD Personnel'!$G:$G,'YTD Personnel'!$B:$B,'Prop Budget Summary'!$A14,'YTD Personnel'!$C:$C,'Prop Budget Summary'!N$2)</f>
        <v>132360</v>
      </c>
      <c r="AG14" s="230">
        <f>SUMIFS('YTD Personnel'!$G:$G,'YTD Personnel'!$B:$B,'Prop Budget Summary'!$A14,'YTD Personnel'!$C:$C,'Prop Budget Summary'!O$2)</f>
        <v>285654</v>
      </c>
      <c r="AH14" s="230">
        <f>SUMIFS('YTD Personnel'!$G:$G,'YTD Personnel'!$B:$B,'Prop Budget Summary'!$A14,'YTD Personnel'!$C:$C,'Prop Budget Summary'!P$2)</f>
        <v>6256</v>
      </c>
      <c r="AI14" s="230">
        <f>SUMIFS('YTD Personnel'!$G:$G,'YTD Personnel'!$B:$B,'Prop Budget Summary'!$A14,'YTD Personnel'!$C:$C,'Prop Budget Summary'!Q$2)</f>
        <v>285876</v>
      </c>
      <c r="AJ14" s="227">
        <f t="shared" si="24"/>
        <v>710146</v>
      </c>
      <c r="AK14" s="230">
        <f t="shared" si="25"/>
        <v>2437501</v>
      </c>
      <c r="AL14" s="91"/>
      <c r="AM14" s="235">
        <f t="shared" si="30"/>
        <v>0</v>
      </c>
      <c r="AN14" s="235">
        <f t="shared" si="31"/>
        <v>-0.89296680692468788</v>
      </c>
      <c r="AO14" s="235">
        <f t="shared" si="45"/>
        <v>-2.8839928586843477E-3</v>
      </c>
      <c r="AP14" s="235">
        <f t="shared" si="32"/>
        <v>0</v>
      </c>
      <c r="AQ14" s="235">
        <f t="shared" si="33"/>
        <v>-0.98565882259725857</v>
      </c>
      <c r="AR14" s="235">
        <f t="shared" si="34"/>
        <v>0</v>
      </c>
      <c r="AS14" s="235">
        <f t="shared" si="35"/>
        <v>-0.78381508575643943</v>
      </c>
      <c r="AT14" s="235">
        <f t="shared" ref="AT14:AT26" si="46">IF(J14=0,0,J14/AC14-1)</f>
        <v>0</v>
      </c>
      <c r="AU14" s="235">
        <f t="shared" ref="AU14:AU26" si="47">IF(K14=0,0,K14/AD14-1)</f>
        <v>0</v>
      </c>
      <c r="AV14" s="235">
        <f t="shared" ref="AV14:AV26" si="48">IF(L14=0,0,L14/AE14-1)</f>
        <v>-0.8455725198352394</v>
      </c>
      <c r="AW14" s="235">
        <f t="shared" ref="AW14:AW26" si="49">IF(N14=0,0,N14/AF14-1)</f>
        <v>-0.84549712904200669</v>
      </c>
      <c r="AX14" s="235">
        <f t="shared" ref="AX14:AX26" si="50">IF(O14=0,0,O14/AG14-1)</f>
        <v>-0.90900869820312147</v>
      </c>
      <c r="AY14" s="235">
        <f t="shared" ref="AY14:AY26" si="51">IF(P14=0,0,P14/AH14-1)</f>
        <v>-0.93452675706393862</v>
      </c>
      <c r="AZ14" s="235">
        <f t="shared" ref="AZ14:AZ26" si="52">IF(Q14=0,0,Q14/AI14-1)</f>
        <v>-0.8419327507310862</v>
      </c>
      <c r="BA14" s="235">
        <f t="shared" ref="BA14:BA26" si="53">IF(R14=0,0,R14/AJ14-1)</f>
        <v>-0.87039388677357399</v>
      </c>
      <c r="BB14" s="235">
        <f t="shared" ref="BB14:BB27" si="54">IF(T14=0,0,T14/AK14-1)</f>
        <v>-0.85280402228212682</v>
      </c>
      <c r="BC14" s="262"/>
      <c r="BD14" s="262"/>
    </row>
    <row r="15" spans="1:56">
      <c r="A15" s="236" t="s">
        <v>774</v>
      </c>
      <c r="B15" s="519">
        <f t="shared" si="17"/>
        <v>-0.74387956047029213</v>
      </c>
      <c r="C15" s="227">
        <f>SUMIFS('Prop Budget Calc'!$AD:$AD,'Prop Budget Calc'!$G:$G,'Prop Budget Summary'!$A15,'Prop Budget Calc'!$I:$I,'Prop Budget Summary'!C$2)+SUMIFS('Prop Budget Calc'!$AH:$AH,'Prop Budget Calc'!$G:$G,'Prop Budget Summary'!$A15,'Prop Budget Calc'!$I:$I,'Prop Budget Summary'!C$2)</f>
        <v>0</v>
      </c>
      <c r="D15" s="227">
        <f>SUMIFS('Prop Budget Calc'!$AD:$AD,'Prop Budget Calc'!$G:$G,'Prop Budget Summary'!$A15,'Prop Budget Calc'!$I:$I,'Prop Budget Summary'!D$2)+SUMIFS('Prop Budget Calc'!$AH:$AH,'Prop Budget Calc'!$G:$G,'Prop Budget Summary'!$A15,'Prop Budget Calc'!$I:$I,'Prop Budget Summary'!D$2)</f>
        <v>43960</v>
      </c>
      <c r="E15" s="227">
        <f>SUMIFS('Prop Budget Calc'!$AD:$AD,'Prop Budget Calc'!$G:$G,'Prop Budget Summary'!$A15,'Prop Budget Calc'!$I:$I,'Prop Budget Summary'!E$2)</f>
        <v>11714</v>
      </c>
      <c r="F15" s="227">
        <f>SUMIFS('Prop Budget Calc'!$AD:$AD,'Prop Budget Calc'!$G:$G,'Prop Budget Summary'!$A15,'Prop Budget Calc'!$I:$I,'Prop Budget Summary'!F$2)+SUMIFS('Prop Budget Calc'!$AH:$AH,'Prop Budget Calc'!$G:$G,'Prop Budget Summary'!$A15,'Prop Budget Calc'!$I:$I,'Prop Budget Summary'!F$2)</f>
        <v>0</v>
      </c>
      <c r="G15" s="227">
        <f>SUMIF('Prop Budget Calc'!$G:$G,'Prop Budget Summary'!$A15,'Prop Budget Calc'!$AG:$AG)</f>
        <v>88.833333333333329</v>
      </c>
      <c r="H15" s="227">
        <f>SUMIFS('Prop Budget Calc'!$AD:$AD,'Prop Budget Calc'!$G:$G,'Prop Budget Summary'!$A15,'Prop Budget Calc'!$I:$I,'Prop Budget Summary'!H$2)</f>
        <v>0</v>
      </c>
      <c r="I15" s="227">
        <f>SUMIF('Prop Budget Calc'!$G:$G,'Prop Budget Summary'!$A15,'Prop Budget Calc'!$AK:$AK)</f>
        <v>4000.08</v>
      </c>
      <c r="J15" s="227">
        <f>SUMIF('Prop Budget Calc'!$G:$G,'Prop Budget Summary'!$A15,'Prop Budget Calc'!$AL:$AL)</f>
        <v>0</v>
      </c>
      <c r="L15" s="496">
        <f t="shared" si="0"/>
        <v>59762.913333333338</v>
      </c>
      <c r="M15" s="491">
        <f t="shared" si="18"/>
        <v>-0.70679157835518225</v>
      </c>
      <c r="N15" s="227">
        <f>SUMIF('Prop Budget Calc'!$G:$G,'Prop Budget Summary'!$A15,'Prop Budget Calc'!$AU:$AU)</f>
        <v>4580</v>
      </c>
      <c r="O15" s="227">
        <f>SUMIF('Prop Budget Calc'!$G:$G,'Prop Budget Summary'!$A15,'Prop Budget Calc'!$BE:$BE)</f>
        <v>10986.858963999997</v>
      </c>
      <c r="P15" s="227">
        <f>SUMIF('Prop Budget Calc'!$G:$G,'Prop Budget Summary'!$A15,'Prop Budget Calc'!$AR:$AR)</f>
        <v>1281.1256205440002</v>
      </c>
      <c r="Q15" s="227">
        <f>SUMIF('Prop Budget Calc'!$G:$G,'Prop Budget Summary'!$A15,'Prop Budget Calc'!$AQ:$AQ)</f>
        <v>10123.837518666667</v>
      </c>
      <c r="R15" s="254">
        <f t="shared" si="19"/>
        <v>26971.822103210663</v>
      </c>
      <c r="S15" s="426">
        <f t="shared" si="20"/>
        <v>-0.75191937139483578</v>
      </c>
      <c r="T15" s="259">
        <f t="shared" si="21"/>
        <v>86734.735436543997</v>
      </c>
      <c r="U15" s="235">
        <f t="shared" si="22"/>
        <v>-0.72248969611979041</v>
      </c>
      <c r="V15" s="230">
        <f>SUMIFS('YTD Personnel'!$G:$G,'YTD Personnel'!$B:$B,'Prop Budget Summary'!$A15,'YTD Personnel'!$C:$C,'Prop Budget Summary'!C$2)</f>
        <v>0</v>
      </c>
      <c r="W15" s="230">
        <f>SUMIFS('YTD Personnel'!$G:$G,'YTD Personnel'!$B:$B,'Prop Budget Summary'!$A15,'YTD Personnel'!$C:$C,'Prop Budget Summary'!D$2)</f>
        <v>171638</v>
      </c>
      <c r="X15" s="230">
        <f>SUMIFS('YTD Personnel'!$G:$G,'YTD Personnel'!$B:$B,'Prop Budget Summary'!$A15,'YTD Personnel'!$C:$C,'Prop Budget Summary'!E$2)</f>
        <v>10511</v>
      </c>
      <c r="Y15" s="230">
        <f>SUMIFS('YTD Personnel'!$G:$G,'YTD Personnel'!$B:$B,'Prop Budget Summary'!$A15,'YTD Personnel'!$C:$C,'Prop Budget Summary'!F$2)</f>
        <v>0</v>
      </c>
      <c r="Z15" s="230">
        <f>SUMIFS('YTD Personnel'!$G:$G,'YTD Personnel'!$B:$B,'Prop Budget Summary'!$A15,'YTD Personnel'!$C:$C,'Prop Budget Summary'!G$2)</f>
        <v>475</v>
      </c>
      <c r="AA15" s="230">
        <f>SUMIFS('YTD Personnel'!$G:$G,'YTD Personnel'!$B:$B,'Prop Budget Summary'!$A15,'YTD Personnel'!$C:$C,'Prop Budget Summary'!H$2)</f>
        <v>0</v>
      </c>
      <c r="AB15" s="230">
        <f>SUMIFS('YTD Personnel'!$G:$G,'YTD Personnel'!$B:$B,'Prop Budget Summary'!$A15,'YTD Personnel'!$C:$C,'Prop Budget Summary'!I$2)</f>
        <v>21200</v>
      </c>
      <c r="AC15" s="230">
        <f>SUMIFS('YTD Personnel'!$G:$G,'YTD Personnel'!$B:$B,'Prop Budget Summary'!$A15,'YTD Personnel'!$C:$C,'Prop Budget Summary'!J$2)</f>
        <v>0</v>
      </c>
      <c r="AD15" s="230">
        <f>SUMIFS('YTD Personnel'!$G:$G,'YTD Personnel'!$B:$B,'Prop Budget Summary'!$A15,'YTD Personnel'!$C:$C,'Prop Budget Summary'!K$2)</f>
        <v>0</v>
      </c>
      <c r="AE15" s="228">
        <f t="shared" si="23"/>
        <v>203824</v>
      </c>
      <c r="AF15" s="230">
        <f>SUMIFS('YTD Personnel'!$G:$G,'YTD Personnel'!$B:$B,'Prop Budget Summary'!$A15,'YTD Personnel'!$C:$C,'Prop Budget Summary'!N$2)</f>
        <v>15610</v>
      </c>
      <c r="AG15" s="230">
        <f>SUMIFS('YTD Personnel'!$G:$G,'YTD Personnel'!$B:$B,'Prop Budget Summary'!$A15,'YTD Personnel'!$C:$C,'Prop Budget Summary'!O$2)</f>
        <v>54959</v>
      </c>
      <c r="AH15" s="230">
        <f>SUMIFS('YTD Personnel'!$G:$G,'YTD Personnel'!$B:$B,'Prop Budget Summary'!$A15,'YTD Personnel'!$C:$C,'Prop Budget Summary'!P$2)</f>
        <v>4441</v>
      </c>
      <c r="AI15" s="230">
        <f>SUMIFS('YTD Personnel'!$G:$G,'YTD Personnel'!$B:$B,'Prop Budget Summary'!$A15,'YTD Personnel'!$C:$C,'Prop Budget Summary'!Q$2)</f>
        <v>33712</v>
      </c>
      <c r="AJ15" s="227">
        <f t="shared" si="24"/>
        <v>108722</v>
      </c>
      <c r="AK15" s="230">
        <f t="shared" si="25"/>
        <v>312546</v>
      </c>
      <c r="AL15" s="91"/>
      <c r="AM15" s="235">
        <f t="shared" si="30"/>
        <v>0</v>
      </c>
      <c r="AN15" s="235">
        <f t="shared" si="31"/>
        <v>-0.74387956047029213</v>
      </c>
      <c r="AO15" s="235">
        <f t="shared" si="45"/>
        <v>0.11445152697174388</v>
      </c>
      <c r="AP15" s="235">
        <f t="shared" si="32"/>
        <v>0</v>
      </c>
      <c r="AQ15" s="235">
        <f t="shared" si="33"/>
        <v>-0.81298245614035092</v>
      </c>
      <c r="AR15" s="235">
        <f t="shared" si="34"/>
        <v>0</v>
      </c>
      <c r="AS15" s="235">
        <f t="shared" si="35"/>
        <v>-0.81131698113207551</v>
      </c>
      <c r="AT15" s="235">
        <f t="shared" si="46"/>
        <v>0</v>
      </c>
      <c r="AU15" s="235">
        <f t="shared" si="47"/>
        <v>0</v>
      </c>
      <c r="AV15" s="235">
        <f t="shared" si="48"/>
        <v>-0.70679157835518225</v>
      </c>
      <c r="AW15" s="235">
        <f t="shared" si="49"/>
        <v>-0.70659833440102493</v>
      </c>
      <c r="AX15" s="235">
        <f t="shared" si="50"/>
        <v>-0.80008990403755531</v>
      </c>
      <c r="AY15" s="235">
        <f t="shared" si="51"/>
        <v>-0.71152316583111908</v>
      </c>
      <c r="AZ15" s="235">
        <f t="shared" si="52"/>
        <v>-0.69969632419712069</v>
      </c>
      <c r="BA15" s="235">
        <f t="shared" si="53"/>
        <v>-0.75191937139483578</v>
      </c>
      <c r="BB15" s="235">
        <f t="shared" si="54"/>
        <v>-0.72248969611979041</v>
      </c>
      <c r="BC15" s="262"/>
      <c r="BD15" s="262"/>
    </row>
    <row r="16" spans="1:56">
      <c r="A16" s="236" t="s">
        <v>775</v>
      </c>
      <c r="B16" s="519">
        <f t="shared" si="17"/>
        <v>-0.90750420176326629</v>
      </c>
      <c r="C16" s="227">
        <f>SUMIFS('Prop Budget Calc'!$AD:$AD,'Prop Budget Calc'!$G:$G,'Prop Budget Summary'!$A16,'Prop Budget Calc'!$I:$I,'Prop Budget Summary'!C$2)+SUMIFS('Prop Budget Calc'!$AH:$AH,'Prop Budget Calc'!$G:$G,'Prop Budget Summary'!$A16,'Prop Budget Calc'!$I:$I,'Prop Budget Summary'!C$2)</f>
        <v>0</v>
      </c>
      <c r="D16" s="227">
        <f>SUMIFS('Prop Budget Calc'!$AD:$AD,'Prop Budget Calc'!$G:$G,'Prop Budget Summary'!$A16,'Prop Budget Calc'!$I:$I,'Prop Budget Summary'!D$2)+SUMIFS('Prop Budget Calc'!$AH:$AH,'Prop Budget Calc'!$G:$G,'Prop Budget Summary'!$A16,'Prop Budget Calc'!$I:$I,'Prop Budget Summary'!D$2)</f>
        <v>47054</v>
      </c>
      <c r="E16" s="227">
        <f>SUMIFS('Prop Budget Calc'!$AD:$AD,'Prop Budget Calc'!$G:$G,'Prop Budget Summary'!$A16,'Prop Budget Calc'!$I:$I,'Prop Budget Summary'!E$2)</f>
        <v>12457</v>
      </c>
      <c r="F16" s="227">
        <f>SUMIFS('Prop Budget Calc'!$AD:$AD,'Prop Budget Calc'!$G:$G,'Prop Budget Summary'!$A16,'Prop Budget Calc'!$I:$I,'Prop Budget Summary'!F$2)+SUMIFS('Prop Budget Calc'!$AH:$AH,'Prop Budget Calc'!$G:$G,'Prop Budget Summary'!$A16,'Prop Budget Calc'!$I:$I,'Prop Budget Summary'!F$2)</f>
        <v>0</v>
      </c>
      <c r="G16" s="227">
        <f>SUMIF('Prop Budget Calc'!$G:$G,'Prop Budget Summary'!$A16,'Prop Budget Calc'!$AG:$AG)</f>
        <v>76</v>
      </c>
      <c r="H16" s="227">
        <f>SUMIFS('Prop Budget Calc'!$AD:$AD,'Prop Budget Calc'!$G:$G,'Prop Budget Summary'!$A16,'Prop Budget Calc'!$I:$I,'Prop Budget Summary'!H$2)</f>
        <v>0</v>
      </c>
      <c r="I16" s="227">
        <f>SUMIF('Prop Budget Calc'!$G:$G,'Prop Budget Summary'!$A16,'Prop Budget Calc'!$AK:$AK)</f>
        <v>8000.08</v>
      </c>
      <c r="J16" s="227">
        <f>SUMIF('Prop Budget Calc'!$G:$G,'Prop Budget Summary'!$A16,'Prop Budget Calc'!$AL:$AL)</f>
        <v>0</v>
      </c>
      <c r="L16" s="496">
        <f t="shared" si="0"/>
        <v>67587.08</v>
      </c>
      <c r="M16" s="491">
        <f t="shared" si="18"/>
        <v>-0.88179323853997238</v>
      </c>
      <c r="N16" s="227">
        <f>SUMIF('Prop Budget Calc'!$G:$G,'Prop Budget Summary'!$A16,'Prop Budget Calc'!$AU:$AU)</f>
        <v>5190</v>
      </c>
      <c r="O16" s="227">
        <f>SUMIF('Prop Budget Calc'!$G:$G,'Prop Budget Summary'!$A16,'Prop Budget Calc'!$BE:$BE)</f>
        <v>11000.942464</v>
      </c>
      <c r="P16" s="227">
        <f>SUMIF('Prop Budget Calc'!$G:$G,'Prop Budget Summary'!$A16,'Prop Budget Calc'!$AR:$AR)</f>
        <v>1065.0642414719998</v>
      </c>
      <c r="Q16" s="227">
        <f>SUMIF('Prop Budget Calc'!$G:$G,'Prop Budget Summary'!$A16,'Prop Budget Calc'!$AQ:$AQ)</f>
        <v>11449.251351999999</v>
      </c>
      <c r="R16" s="254">
        <f t="shared" si="19"/>
        <v>28705.258057471998</v>
      </c>
      <c r="S16" s="426">
        <f t="shared" si="20"/>
        <v>-0.90065459723174046</v>
      </c>
      <c r="T16" s="259">
        <f t="shared" si="21"/>
        <v>96292.338057471992</v>
      </c>
      <c r="U16" s="235">
        <f t="shared" si="22"/>
        <v>-0.88812504727764163</v>
      </c>
      <c r="V16" s="230">
        <f>SUMIFS('YTD Personnel'!$G:$G,'YTD Personnel'!$B:$B,'Prop Budget Summary'!$A16,'YTD Personnel'!$C:$C,'Prop Budget Summary'!C$2)</f>
        <v>12687</v>
      </c>
      <c r="W16" s="230">
        <f>SUMIFS('YTD Personnel'!$G:$G,'YTD Personnel'!$B:$B,'Prop Budget Summary'!$A16,'YTD Personnel'!$C:$C,'Prop Budget Summary'!D$2)</f>
        <v>496028</v>
      </c>
      <c r="X16" s="230">
        <f>SUMIFS('YTD Personnel'!$G:$G,'YTD Personnel'!$B:$B,'Prop Budget Summary'!$A16,'YTD Personnel'!$C:$C,'Prop Budget Summary'!E$2)</f>
        <v>12214</v>
      </c>
      <c r="Y16" s="230">
        <f>SUMIFS('YTD Personnel'!$G:$G,'YTD Personnel'!$B:$B,'Prop Budget Summary'!$A16,'YTD Personnel'!$C:$C,'Prop Budget Summary'!F$2)</f>
        <v>0</v>
      </c>
      <c r="Z16" s="230">
        <f>SUMIFS('YTD Personnel'!$G:$G,'YTD Personnel'!$B:$B,'Prop Budget Summary'!$A16,'YTD Personnel'!$C:$C,'Prop Budget Summary'!G$2)</f>
        <v>1520</v>
      </c>
      <c r="AA16" s="230">
        <f>SUMIFS('YTD Personnel'!$G:$G,'YTD Personnel'!$B:$B,'Prop Budget Summary'!$A16,'YTD Personnel'!$C:$C,'Prop Budget Summary'!H$2)</f>
        <v>0</v>
      </c>
      <c r="AB16" s="230">
        <f>SUMIFS('YTD Personnel'!$G:$G,'YTD Personnel'!$B:$B,'Prop Budget Summary'!$A16,'YTD Personnel'!$C:$C,'Prop Budget Summary'!I$2)</f>
        <v>49321</v>
      </c>
      <c r="AC16" s="230">
        <f>SUMIFS('YTD Personnel'!$G:$G,'YTD Personnel'!$B:$B,'Prop Budget Summary'!$A16,'YTD Personnel'!$C:$C,'Prop Budget Summary'!J$2)</f>
        <v>0</v>
      </c>
      <c r="AD16" s="230">
        <f>SUMIFS('YTD Personnel'!$G:$G,'YTD Personnel'!$B:$B,'Prop Budget Summary'!$A16,'YTD Personnel'!$C:$C,'Prop Budget Summary'!K$2)</f>
        <v>0</v>
      </c>
      <c r="AE16" s="228">
        <f t="shared" si="23"/>
        <v>571770</v>
      </c>
      <c r="AF16" s="230">
        <f>SUMIFS('YTD Personnel'!$G:$G,'YTD Personnel'!$B:$B,'Prop Budget Summary'!$A16,'YTD Personnel'!$C:$C,'Prop Budget Summary'!N$2)</f>
        <v>43892</v>
      </c>
      <c r="AG16" s="230">
        <f>SUMIFS('YTD Personnel'!$G:$G,'YTD Personnel'!$B:$B,'Prop Budget Summary'!$A16,'YTD Personnel'!$C:$C,'Prop Budget Summary'!O$2)</f>
        <v>141602</v>
      </c>
      <c r="AH16" s="230">
        <f>SUMIFS('YTD Personnel'!$G:$G,'YTD Personnel'!$B:$B,'Prop Budget Summary'!$A16,'YTD Personnel'!$C:$C,'Prop Budget Summary'!P$2)</f>
        <v>8688</v>
      </c>
      <c r="AI16" s="230">
        <f>SUMIFS('YTD Personnel'!$G:$G,'YTD Personnel'!$B:$B,'Prop Budget Summary'!$A16,'YTD Personnel'!$C:$C,'Prop Budget Summary'!Q$2)</f>
        <v>94762</v>
      </c>
      <c r="AJ16" s="227">
        <f t="shared" si="24"/>
        <v>288944</v>
      </c>
      <c r="AK16" s="230">
        <f t="shared" si="25"/>
        <v>860714</v>
      </c>
      <c r="AL16" s="91"/>
      <c r="AM16" s="235">
        <f t="shared" si="30"/>
        <v>0</v>
      </c>
      <c r="AN16" s="235">
        <f t="shared" si="31"/>
        <v>-0.90513841960534491</v>
      </c>
      <c r="AO16" s="235">
        <f t="shared" si="45"/>
        <v>1.9895202226952735E-2</v>
      </c>
      <c r="AP16" s="235">
        <f t="shared" si="32"/>
        <v>0</v>
      </c>
      <c r="AQ16" s="235">
        <f t="shared" si="33"/>
        <v>-0.95</v>
      </c>
      <c r="AR16" s="235">
        <f t="shared" si="34"/>
        <v>0</v>
      </c>
      <c r="AS16" s="235">
        <f t="shared" si="35"/>
        <v>-0.83779566513249937</v>
      </c>
      <c r="AT16" s="235">
        <f t="shared" si="46"/>
        <v>0</v>
      </c>
      <c r="AU16" s="235">
        <f t="shared" si="47"/>
        <v>0</v>
      </c>
      <c r="AV16" s="235">
        <f t="shared" si="48"/>
        <v>-0.88179323853997238</v>
      </c>
      <c r="AW16" s="235">
        <f t="shared" si="49"/>
        <v>-0.88175521735168139</v>
      </c>
      <c r="AX16" s="235">
        <f t="shared" si="50"/>
        <v>-0.92231082566630418</v>
      </c>
      <c r="AY16" s="235">
        <f t="shared" si="51"/>
        <v>-0.8774097327955801</v>
      </c>
      <c r="AZ16" s="235">
        <f t="shared" si="52"/>
        <v>-0.87917887600514977</v>
      </c>
      <c r="BA16" s="235">
        <f t="shared" si="53"/>
        <v>-0.90065459723174046</v>
      </c>
      <c r="BB16" s="235">
        <f t="shared" si="54"/>
        <v>-0.88812504727764163</v>
      </c>
      <c r="BC16" s="262"/>
      <c r="BD16" s="262"/>
    </row>
    <row r="17" spans="1:56">
      <c r="A17" s="236" t="s">
        <v>776</v>
      </c>
      <c r="B17" s="519">
        <f t="shared" si="17"/>
        <v>-1</v>
      </c>
      <c r="C17" s="227">
        <f>SUMIFS('Prop Budget Calc'!$AD:$AD,'Prop Budget Calc'!$G:$G,'Prop Budget Summary'!$A17,'Prop Budget Calc'!$I:$I,'Prop Budget Summary'!C$2)+SUMIFS('Prop Budget Calc'!$AH:$AH,'Prop Budget Calc'!$G:$G,'Prop Budget Summary'!$A17,'Prop Budget Calc'!$I:$I,'Prop Budget Summary'!C$2)</f>
        <v>0</v>
      </c>
      <c r="D17" s="227">
        <f>SUMIFS('Prop Budget Calc'!$AD:$AD,'Prop Budget Calc'!$G:$G,'Prop Budget Summary'!$A17,'Prop Budget Calc'!$I:$I,'Prop Budget Summary'!D$2)+SUMIFS('Prop Budget Calc'!$AH:$AH,'Prop Budget Calc'!$G:$G,'Prop Budget Summary'!$A17,'Prop Budget Calc'!$I:$I,'Prop Budget Summary'!D$2)</f>
        <v>0</v>
      </c>
      <c r="E17" s="227">
        <f>SUMIFS('Prop Budget Calc'!$AD:$AD,'Prop Budget Calc'!$G:$G,'Prop Budget Summary'!$A17,'Prop Budget Calc'!$I:$I,'Prop Budget Summary'!E$2)</f>
        <v>9000</v>
      </c>
      <c r="F17" s="227">
        <f>SUMIFS('Prop Budget Calc'!$AD:$AD,'Prop Budget Calc'!$G:$G,'Prop Budget Summary'!$A17,'Prop Budget Calc'!$I:$I,'Prop Budget Summary'!F$2)+SUMIFS('Prop Budget Calc'!$AH:$AH,'Prop Budget Calc'!$G:$G,'Prop Budget Summary'!$A17,'Prop Budget Calc'!$I:$I,'Prop Budget Summary'!F$2)</f>
        <v>0</v>
      </c>
      <c r="G17" s="227">
        <f>SUMIF('Prop Budget Calc'!$G:$G,'Prop Budget Summary'!$A17,'Prop Budget Calc'!$AG:$AG)</f>
        <v>0</v>
      </c>
      <c r="H17" s="227">
        <f>SUMIFS('Prop Budget Calc'!$AD:$AD,'Prop Budget Calc'!$G:$G,'Prop Budget Summary'!$A17,'Prop Budget Calc'!$I:$I,'Prop Budget Summary'!H$2)</f>
        <v>0</v>
      </c>
      <c r="I17" s="227">
        <f>SUMIF('Prop Budget Calc'!$G:$G,'Prop Budget Summary'!$A17,'Prop Budget Calc'!$AK:$AK)</f>
        <v>0</v>
      </c>
      <c r="J17" s="227">
        <f>SUMIF('Prop Budget Calc'!$G:$G,'Prop Budget Summary'!$A17,'Prop Budget Calc'!$AL:$AL)</f>
        <v>0</v>
      </c>
      <c r="L17" s="496">
        <f t="shared" si="0"/>
        <v>9000</v>
      </c>
      <c r="M17" s="491">
        <f t="shared" si="18"/>
        <v>-0.987809602240866</v>
      </c>
      <c r="N17" s="227">
        <f>SUMIF('Prop Budget Calc'!$G:$G,'Prop Budget Summary'!$A17,'Prop Budget Calc'!$AU:$AU)</f>
        <v>690</v>
      </c>
      <c r="O17" s="227">
        <f>SUMIF('Prop Budget Calc'!$G:$G,'Prop Budget Summary'!$A17,'Prop Budget Calc'!$BE:$BE)</f>
        <v>16.2</v>
      </c>
      <c r="P17" s="227">
        <f>SUMIF('Prop Budget Calc'!$G:$G,'Prop Budget Summary'!$A17,'Prop Budget Calc'!$AR:$AR)</f>
        <v>160.27200000000002</v>
      </c>
      <c r="Q17" s="227">
        <f>SUMIF('Prop Budget Calc'!$G:$G,'Prop Budget Summary'!$A17,'Prop Budget Calc'!$AQ:$AQ)</f>
        <v>1524.6</v>
      </c>
      <c r="R17" s="254">
        <f t="shared" si="19"/>
        <v>2391.0720000000001</v>
      </c>
      <c r="S17" s="426">
        <f t="shared" si="20"/>
        <v>-0.99026226343632784</v>
      </c>
      <c r="T17" s="259">
        <f t="shared" si="21"/>
        <v>11391.072</v>
      </c>
      <c r="U17" s="235">
        <f t="shared" si="22"/>
        <v>-0.9884217423078917</v>
      </c>
      <c r="V17" s="230">
        <f>SUMIFS('YTD Personnel'!$G:$G,'YTD Personnel'!$B:$B,'Prop Budget Summary'!$A17,'YTD Personnel'!$C:$C,'Prop Budget Summary'!C$2)</f>
        <v>304846</v>
      </c>
      <c r="W17" s="230">
        <f>SUMIFS('YTD Personnel'!$G:$G,'YTD Personnel'!$B:$B,'Prop Budget Summary'!$A17,'YTD Personnel'!$C:$C,'Prop Budget Summary'!D$2)</f>
        <v>414741</v>
      </c>
      <c r="X17" s="230">
        <f>SUMIFS('YTD Personnel'!$G:$G,'YTD Personnel'!$B:$B,'Prop Budget Summary'!$A17,'YTD Personnel'!$C:$C,'Prop Budget Summary'!E$2)</f>
        <v>9000</v>
      </c>
      <c r="Y17" s="230">
        <f>SUMIFS('YTD Personnel'!$G:$G,'YTD Personnel'!$B:$B,'Prop Budget Summary'!$A17,'YTD Personnel'!$C:$C,'Prop Budget Summary'!F$2)</f>
        <v>0</v>
      </c>
      <c r="Z17" s="230">
        <f>SUMIFS('YTD Personnel'!$G:$G,'YTD Personnel'!$B:$B,'Prop Budget Summary'!$A17,'YTD Personnel'!$C:$C,'Prop Budget Summary'!G$2)</f>
        <v>4899</v>
      </c>
      <c r="AA17" s="230">
        <f>SUMIFS('YTD Personnel'!$G:$G,'YTD Personnel'!$B:$B,'Prop Budget Summary'!$A17,'YTD Personnel'!$C:$C,'Prop Budget Summary'!H$2)</f>
        <v>0</v>
      </c>
      <c r="AB17" s="230">
        <f>SUMIFS('YTD Personnel'!$G:$G,'YTD Personnel'!$B:$B,'Prop Budget Summary'!$A17,'YTD Personnel'!$C:$C,'Prop Budget Summary'!I$2)</f>
        <v>4800</v>
      </c>
      <c r="AC17" s="230">
        <f>SUMIFS('YTD Personnel'!$G:$G,'YTD Personnel'!$B:$B,'Prop Budget Summary'!$A17,'YTD Personnel'!$C:$C,'Prop Budget Summary'!J$2)</f>
        <v>0</v>
      </c>
      <c r="AD17" s="230">
        <f>SUMIFS('YTD Personnel'!$G:$G,'YTD Personnel'!$B:$B,'Prop Budget Summary'!$A17,'YTD Personnel'!$C:$C,'Prop Budget Summary'!K$2)</f>
        <v>0</v>
      </c>
      <c r="AE17" s="228">
        <f t="shared" si="23"/>
        <v>738286</v>
      </c>
      <c r="AF17" s="230">
        <f>SUMIFS('YTD Personnel'!$G:$G,'YTD Personnel'!$B:$B,'Prop Budget Summary'!$A17,'YTD Personnel'!$C:$C,'Prop Budget Summary'!N$2)</f>
        <v>53070</v>
      </c>
      <c r="AG17" s="230">
        <f>SUMIFS('YTD Personnel'!$G:$G,'YTD Personnel'!$B:$B,'Prop Budget Summary'!$A17,'YTD Personnel'!$C:$C,'Prop Budget Summary'!O$2)</f>
        <v>57581</v>
      </c>
      <c r="AH17" s="230">
        <f>SUMIFS('YTD Personnel'!$G:$G,'YTD Personnel'!$B:$B,'Prop Budget Summary'!$A17,'YTD Personnel'!$C:$C,'Prop Budget Summary'!P$2)</f>
        <v>11937</v>
      </c>
      <c r="AI17" s="230">
        <f>SUMIFS('YTD Personnel'!$G:$G,'YTD Personnel'!$B:$B,'Prop Budget Summary'!$A17,'YTD Personnel'!$C:$C,'Prop Budget Summary'!Q$2)</f>
        <v>122959</v>
      </c>
      <c r="AJ17" s="227">
        <f t="shared" si="24"/>
        <v>245547</v>
      </c>
      <c r="AK17" s="230">
        <f t="shared" si="25"/>
        <v>983833</v>
      </c>
      <c r="AL17" s="91"/>
      <c r="AM17" s="235">
        <f t="shared" si="30"/>
        <v>0</v>
      </c>
      <c r="AN17" s="235">
        <f t="shared" si="31"/>
        <v>0</v>
      </c>
      <c r="AO17" s="235">
        <f t="shared" si="45"/>
        <v>0</v>
      </c>
      <c r="AP17" s="235">
        <f t="shared" si="32"/>
        <v>0</v>
      </c>
      <c r="AQ17" s="235">
        <f t="shared" si="33"/>
        <v>0</v>
      </c>
      <c r="AR17" s="235">
        <f t="shared" si="34"/>
        <v>0</v>
      </c>
      <c r="AS17" s="235">
        <f t="shared" si="35"/>
        <v>0</v>
      </c>
      <c r="AT17" s="235">
        <f t="shared" si="46"/>
        <v>0</v>
      </c>
      <c r="AU17" s="235">
        <f t="shared" si="47"/>
        <v>0</v>
      </c>
      <c r="AV17" s="235">
        <f t="shared" si="48"/>
        <v>-0.987809602240866</v>
      </c>
      <c r="AW17" s="235">
        <f t="shared" si="49"/>
        <v>-0.98699830412662526</v>
      </c>
      <c r="AX17" s="235">
        <f t="shared" si="50"/>
        <v>-0.9997186571959501</v>
      </c>
      <c r="AY17" s="235">
        <f t="shared" si="51"/>
        <v>-0.98657351093239509</v>
      </c>
      <c r="AZ17" s="235">
        <f t="shared" si="52"/>
        <v>-0.98760074496376837</v>
      </c>
      <c r="BA17" s="235">
        <f t="shared" si="53"/>
        <v>-0.99026226343632784</v>
      </c>
      <c r="BB17" s="235">
        <f t="shared" si="54"/>
        <v>-0.9884217423078917</v>
      </c>
      <c r="BC17" s="262"/>
      <c r="BD17" s="262"/>
    </row>
    <row r="18" spans="1:56">
      <c r="A18" s="236" t="s">
        <v>777</v>
      </c>
      <c r="B18" s="519">
        <f t="shared" si="17"/>
        <v>-0.8779333067181746</v>
      </c>
      <c r="C18" s="227">
        <f>SUMIFS('Prop Budget Calc'!$AD:$AD,'Prop Budget Calc'!$G:$G,'Prop Budget Summary'!$A18,'Prop Budget Calc'!$I:$I,'Prop Budget Summary'!C$2)+SUMIFS('Prop Budget Calc'!$AH:$AH,'Prop Budget Calc'!$G:$G,'Prop Budget Summary'!$A18,'Prop Budget Calc'!$I:$I,'Prop Budget Summary'!C$2)</f>
        <v>0</v>
      </c>
      <c r="D18" s="227">
        <f>SUMIFS('Prop Budget Calc'!$AD:$AD,'Prop Budget Calc'!$G:$G,'Prop Budget Summary'!$A18,'Prop Budget Calc'!$I:$I,'Prop Budget Summary'!D$2)+SUMIFS('Prop Budget Calc'!$AH:$AH,'Prop Budget Calc'!$G:$G,'Prop Budget Summary'!$A18,'Prop Budget Calc'!$I:$I,'Prop Budget Summary'!D$2)</f>
        <v>574518</v>
      </c>
      <c r="E18" s="227">
        <f>SUMIFS('Prop Budget Calc'!$AD:$AD,'Prop Budget Calc'!$G:$G,'Prop Budget Summary'!$A18,'Prop Budget Calc'!$I:$I,'Prop Budget Summary'!E$2)</f>
        <v>586825</v>
      </c>
      <c r="F18" s="227">
        <f>SUMIFS('Prop Budget Calc'!$AD:$AD,'Prop Budget Calc'!$G:$G,'Prop Budget Summary'!$A18,'Prop Budget Calc'!$I:$I,'Prop Budget Summary'!F$2)+SUMIFS('Prop Budget Calc'!$AH:$AH,'Prop Budget Calc'!$G:$G,'Prop Budget Summary'!$A18,'Prop Budget Calc'!$I:$I,'Prop Budget Summary'!F$2)</f>
        <v>0</v>
      </c>
      <c r="G18" s="227">
        <f>SUMIF('Prop Budget Calc'!$G:$G,'Prop Budget Summary'!$A18,'Prop Budget Calc'!$AG:$AG)</f>
        <v>4099.5</v>
      </c>
      <c r="H18" s="227">
        <f>SUMIFS('Prop Budget Calc'!$AD:$AD,'Prop Budget Calc'!$G:$G,'Prop Budget Summary'!$A18,'Prop Budget Calc'!$I:$I,'Prop Budget Summary'!H$2)</f>
        <v>0</v>
      </c>
      <c r="I18" s="227">
        <f>SUMIF('Prop Budget Calc'!$G:$G,'Prop Budget Summary'!$A18,'Prop Budget Calc'!$AK:$AK)</f>
        <v>3300</v>
      </c>
      <c r="J18" s="227">
        <f>SUMIF('Prop Budget Calc'!$G:$G,'Prop Budget Summary'!$A18,'Prop Budget Calc'!$AL:$AL)</f>
        <v>0</v>
      </c>
      <c r="L18" s="496">
        <f t="shared" si="0"/>
        <v>1168742.5</v>
      </c>
      <c r="M18" s="491">
        <f t="shared" si="18"/>
        <v>-0.78227428381518638</v>
      </c>
      <c r="N18" s="227">
        <f>SUMIF('Prop Budget Calc'!$G:$G,'Prop Budget Summary'!$A18,'Prop Budget Calc'!$AU:$AU)</f>
        <v>52770</v>
      </c>
      <c r="O18" s="227">
        <f>SUMIF('Prop Budget Calc'!$G:$G,'Prop Budget Summary'!$A18,'Prop Budget Calc'!$BE:$BE)</f>
        <v>106703.315324</v>
      </c>
      <c r="P18" s="227">
        <f>SUMIF('Prop Budget Calc'!$G:$G,'Prop Budget Summary'!$A18,'Prop Budget Calc'!$AR:$AR)</f>
        <v>19801.364251200001</v>
      </c>
      <c r="Q18" s="227">
        <f>SUMIF('Prop Budget Calc'!$G:$G,'Prop Budget Summary'!$A18,'Prop Budget Calc'!$AQ:$AQ)</f>
        <v>198173.0135</v>
      </c>
      <c r="R18" s="254">
        <f t="shared" si="19"/>
        <v>377447.69307519996</v>
      </c>
      <c r="S18" s="426">
        <f t="shared" si="20"/>
        <v>-0.8234540296763686</v>
      </c>
      <c r="T18" s="259">
        <f t="shared" si="21"/>
        <v>1546190.1930752001</v>
      </c>
      <c r="U18" s="235">
        <f t="shared" si="22"/>
        <v>-0.79400376995007271</v>
      </c>
      <c r="V18" s="230">
        <f>SUMIFS('YTD Personnel'!$G:$G,'YTD Personnel'!$B:$B,'Prop Budget Summary'!$A18,'YTD Personnel'!$C:$C,'Prop Budget Summary'!C$2)</f>
        <v>0</v>
      </c>
      <c r="W18" s="230">
        <f>SUMIFS('YTD Personnel'!$G:$G,'YTD Personnel'!$B:$B,'Prop Budget Summary'!$A18,'YTD Personnel'!$C:$C,'Prop Budget Summary'!D$2)</f>
        <v>4706591</v>
      </c>
      <c r="X18" s="230">
        <f>SUMIFS('YTD Personnel'!$G:$G,'YTD Personnel'!$B:$B,'Prop Budget Summary'!$A18,'YTD Personnel'!$C:$C,'Prop Budget Summary'!E$2)</f>
        <v>595020</v>
      </c>
      <c r="Y18" s="230">
        <f>SUMIFS('YTD Personnel'!$G:$G,'YTD Personnel'!$B:$B,'Prop Budget Summary'!$A18,'YTD Personnel'!$C:$C,'Prop Budget Summary'!F$2)</f>
        <v>0</v>
      </c>
      <c r="Z18" s="230">
        <f>SUMIFS('YTD Personnel'!$G:$G,'YTD Personnel'!$B:$B,'Prop Budget Summary'!$A18,'YTD Personnel'!$C:$C,'Prop Budget Summary'!G$2)</f>
        <v>33647</v>
      </c>
      <c r="AA18" s="230">
        <f>SUMIFS('YTD Personnel'!$G:$G,'YTD Personnel'!$B:$B,'Prop Budget Summary'!$A18,'YTD Personnel'!$C:$C,'Prop Budget Summary'!H$2)</f>
        <v>0</v>
      </c>
      <c r="AB18" s="230">
        <f>SUMIFS('YTD Personnel'!$G:$G,'YTD Personnel'!$B:$B,'Prop Budget Summary'!$A18,'YTD Personnel'!$C:$C,'Prop Budget Summary'!I$2)</f>
        <v>32700</v>
      </c>
      <c r="AC18" s="230">
        <f>SUMIFS('YTD Personnel'!$G:$G,'YTD Personnel'!$B:$B,'Prop Budget Summary'!$A18,'YTD Personnel'!$C:$C,'Prop Budget Summary'!J$2)</f>
        <v>0</v>
      </c>
      <c r="AD18" s="230">
        <f>SUMIFS('YTD Personnel'!$G:$G,'YTD Personnel'!$B:$B,'Prop Budget Summary'!$A18,'YTD Personnel'!$C:$C,'Prop Budget Summary'!K$2)</f>
        <v>0</v>
      </c>
      <c r="AE18" s="228">
        <f t="shared" si="23"/>
        <v>5367958</v>
      </c>
      <c r="AF18" s="230">
        <f>SUMIFS('YTD Personnel'!$G:$G,'YTD Personnel'!$B:$B,'Prop Budget Summary'!$A18,'YTD Personnel'!$C:$C,'Prop Budget Summary'!N$2)</f>
        <v>373810</v>
      </c>
      <c r="AG18" s="230">
        <f>SUMIFS('YTD Personnel'!$G:$G,'YTD Personnel'!$B:$B,'Prop Budget Summary'!$A18,'YTD Personnel'!$C:$C,'Prop Budget Summary'!O$2)</f>
        <v>784832</v>
      </c>
      <c r="AH18" s="230">
        <f>SUMIFS('YTD Personnel'!$G:$G,'YTD Personnel'!$B:$B,'Prop Budget Summary'!$A18,'YTD Personnel'!$C:$C,'Prop Budget Summary'!P$2)</f>
        <v>91097</v>
      </c>
      <c r="AI18" s="230">
        <f>SUMIFS('YTD Personnel'!$G:$G,'YTD Personnel'!$B:$B,'Prop Budget Summary'!$A18,'YTD Personnel'!$C:$C,'Prop Budget Summary'!Q$2)</f>
        <v>888218</v>
      </c>
      <c r="AJ18" s="227">
        <f t="shared" si="24"/>
        <v>2137957</v>
      </c>
      <c r="AK18" s="230">
        <f t="shared" si="25"/>
        <v>7505915</v>
      </c>
      <c r="AL18" s="91"/>
      <c r="AM18" s="235">
        <f t="shared" si="30"/>
        <v>0</v>
      </c>
      <c r="AN18" s="235">
        <f t="shared" si="31"/>
        <v>-0.8779333067181746</v>
      </c>
      <c r="AO18" s="235">
        <f t="shared" si="45"/>
        <v>-1.3772646297603441E-2</v>
      </c>
      <c r="AP18" s="235">
        <f t="shared" si="32"/>
        <v>0</v>
      </c>
      <c r="AQ18" s="235">
        <f t="shared" si="33"/>
        <v>-0.87816150028234319</v>
      </c>
      <c r="AR18" s="235">
        <f t="shared" si="34"/>
        <v>0</v>
      </c>
      <c r="AS18" s="235">
        <f t="shared" si="35"/>
        <v>-0.89908256880733939</v>
      </c>
      <c r="AT18" s="235">
        <f t="shared" si="46"/>
        <v>0</v>
      </c>
      <c r="AU18" s="235">
        <f t="shared" si="47"/>
        <v>0</v>
      </c>
      <c r="AV18" s="235">
        <f t="shared" si="48"/>
        <v>-0.78227428381518638</v>
      </c>
      <c r="AW18" s="235">
        <f t="shared" si="49"/>
        <v>-0.85883202696557071</v>
      </c>
      <c r="AX18" s="235">
        <f t="shared" si="50"/>
        <v>-0.86404311327264938</v>
      </c>
      <c r="AY18" s="235">
        <f t="shared" si="51"/>
        <v>-0.78263428816316671</v>
      </c>
      <c r="AZ18" s="235">
        <f t="shared" si="52"/>
        <v>-0.77688696524952205</v>
      </c>
      <c r="BA18" s="235">
        <f t="shared" si="53"/>
        <v>-0.8234540296763686</v>
      </c>
      <c r="BB18" s="235">
        <f t="shared" si="54"/>
        <v>-0.79400376995007271</v>
      </c>
      <c r="BC18" s="262"/>
      <c r="BD18" s="262"/>
    </row>
    <row r="19" spans="1:56">
      <c r="A19" s="236" t="s">
        <v>779</v>
      </c>
      <c r="B19" s="519">
        <f t="shared" si="17"/>
        <v>-0.4915537170463643</v>
      </c>
      <c r="C19" s="227">
        <f>SUMIFS('Prop Budget Calc'!$AD:$AD,'Prop Budget Calc'!$G:$G,'Prop Budget Summary'!$A19,'Prop Budget Calc'!$I:$I,'Prop Budget Summary'!C$2)+SUMIFS('Prop Budget Calc'!$AH:$AH,'Prop Budget Calc'!$G:$G,'Prop Budget Summary'!$A19,'Prop Budget Calc'!$I:$I,'Prop Budget Summary'!C$2)</f>
        <v>97511</v>
      </c>
      <c r="D19" s="227">
        <f>SUMIFS('Prop Budget Calc'!$AD:$AD,'Prop Budget Calc'!$G:$G,'Prop Budget Summary'!$A19,'Prop Budget Calc'!$I:$I,'Prop Budget Summary'!D$2)+SUMIFS('Prop Budget Calc'!$AH:$AH,'Prop Budget Calc'!$G:$G,'Prop Budget Summary'!$A19,'Prop Budget Calc'!$I:$I,'Prop Budget Summary'!D$2)</f>
        <v>103820</v>
      </c>
      <c r="E19" s="227">
        <f>SUMIFS('Prop Budget Calc'!$AD:$AD,'Prop Budget Calc'!$G:$G,'Prop Budget Summary'!$A19,'Prop Budget Calc'!$I:$I,'Prop Budget Summary'!E$2)</f>
        <v>16000</v>
      </c>
      <c r="F19" s="227">
        <f>SUMIFS('Prop Budget Calc'!$AD:$AD,'Prop Budget Calc'!$G:$G,'Prop Budget Summary'!$A19,'Prop Budget Calc'!$I:$I,'Prop Budget Summary'!F$2)+SUMIFS('Prop Budget Calc'!$AH:$AH,'Prop Budget Calc'!$G:$G,'Prop Budget Summary'!$A19,'Prop Budget Calc'!$I:$I,'Prop Budget Summary'!F$2)</f>
        <v>0</v>
      </c>
      <c r="G19" s="227">
        <f>SUMIF('Prop Budget Calc'!$G:$G,'Prop Budget Summary'!$A19,'Prop Budget Calc'!$AG:$AG)</f>
        <v>414.33333333333331</v>
      </c>
      <c r="H19" s="227">
        <f>SUMIFS('Prop Budget Calc'!$AD:$AD,'Prop Budget Calc'!$G:$G,'Prop Budget Summary'!$A19,'Prop Budget Calc'!$I:$I,'Prop Budget Summary'!H$2)</f>
        <v>0</v>
      </c>
      <c r="I19" s="227">
        <f>SUMIF('Prop Budget Calc'!$G:$G,'Prop Budget Summary'!$A19,'Prop Budget Calc'!$AK:$AK)</f>
        <v>0</v>
      </c>
      <c r="J19" s="227">
        <f>SUMIF('Prop Budget Calc'!$G:$G,'Prop Budget Summary'!$A19,'Prop Budget Calc'!$AL:$AL)</f>
        <v>0</v>
      </c>
      <c r="L19" s="496">
        <f t="shared" si="0"/>
        <v>217745.33333333334</v>
      </c>
      <c r="M19" s="491">
        <f t="shared" si="18"/>
        <v>-0.47987699912255977</v>
      </c>
      <c r="N19" s="227">
        <f>SUMIF('Prop Budget Calc'!$G:$G,'Prop Budget Summary'!$A19,'Prop Budget Calc'!$AU:$AU)</f>
        <v>16760</v>
      </c>
      <c r="O19" s="227">
        <f>SUMIF('Prop Budget Calc'!$G:$G,'Prop Budget Summary'!$A19,'Prop Budget Calc'!$BE:$BE)</f>
        <v>36793.168355485526</v>
      </c>
      <c r="P19" s="227">
        <f>SUMIF('Prop Budget Calc'!$G:$G,'Prop Budget Summary'!$A19,'Prop Budget Calc'!$AR:$AR)</f>
        <v>468.94757280000005</v>
      </c>
      <c r="Q19" s="227">
        <f>SUMIF('Prop Budget Calc'!$G:$G,'Prop Budget Summary'!$A19,'Prop Budget Calc'!$AQ:$AQ)</f>
        <v>37061.388466666664</v>
      </c>
      <c r="R19" s="254">
        <f t="shared" si="19"/>
        <v>91083.504394952193</v>
      </c>
      <c r="S19" s="426">
        <f t="shared" si="20"/>
        <v>-0.45245535353412292</v>
      </c>
      <c r="T19" s="259">
        <f t="shared" si="21"/>
        <v>308828.83772828552</v>
      </c>
      <c r="U19" s="235">
        <f t="shared" si="22"/>
        <v>-0.47207933501834132</v>
      </c>
      <c r="V19" s="230">
        <f>SUMIFS('YTD Personnel'!$G:$G,'YTD Personnel'!$B:$B,'Prop Budget Summary'!$A19,'YTD Personnel'!$C:$C,'Prop Budget Summary'!C$2)</f>
        <v>275540</v>
      </c>
      <c r="W19" s="230">
        <f>SUMIFS('YTD Personnel'!$G:$G,'YTD Personnel'!$B:$B,'Prop Budget Summary'!$A19,'YTD Personnel'!$C:$C,'Prop Budget Summary'!D$2)</f>
        <v>120433</v>
      </c>
      <c r="X19" s="230">
        <f>SUMIFS('YTD Personnel'!$G:$G,'YTD Personnel'!$B:$B,'Prop Budget Summary'!$A19,'YTD Personnel'!$C:$C,'Prop Budget Summary'!E$2)</f>
        <v>16000</v>
      </c>
      <c r="Y19" s="230">
        <f>SUMIFS('YTD Personnel'!$G:$G,'YTD Personnel'!$B:$B,'Prop Budget Summary'!$A19,'YTD Personnel'!$C:$C,'Prop Budget Summary'!F$2)</f>
        <v>0</v>
      </c>
      <c r="Z19" s="230">
        <f>SUMIFS('YTD Personnel'!$G:$G,'YTD Personnel'!$B:$B,'Prop Budget Summary'!$A19,'YTD Personnel'!$C:$C,'Prop Budget Summary'!G$2)</f>
        <v>2469</v>
      </c>
      <c r="AA19" s="230">
        <f>SUMIFS('YTD Personnel'!$G:$G,'YTD Personnel'!$B:$B,'Prop Budget Summary'!$A19,'YTD Personnel'!$C:$C,'Prop Budget Summary'!H$2)</f>
        <v>0</v>
      </c>
      <c r="AB19" s="230">
        <f>SUMIFS('YTD Personnel'!$G:$G,'YTD Personnel'!$B:$B,'Prop Budget Summary'!$A19,'YTD Personnel'!$C:$C,'Prop Budget Summary'!I$2)</f>
        <v>0</v>
      </c>
      <c r="AC19" s="230">
        <f>SUMIFS('YTD Personnel'!$G:$G,'YTD Personnel'!$B:$B,'Prop Budget Summary'!$A19,'YTD Personnel'!$C:$C,'Prop Budget Summary'!J$2)</f>
        <v>4200</v>
      </c>
      <c r="AD19" s="230">
        <f>SUMIFS('YTD Personnel'!$G:$G,'YTD Personnel'!$B:$B,'Prop Budget Summary'!$A19,'YTD Personnel'!$C:$C,'Prop Budget Summary'!K$2)</f>
        <v>0</v>
      </c>
      <c r="AE19" s="228">
        <f t="shared" si="23"/>
        <v>418642</v>
      </c>
      <c r="AF19" s="230">
        <f>SUMIFS('YTD Personnel'!$G:$G,'YTD Personnel'!$B:$B,'Prop Budget Summary'!$A19,'YTD Personnel'!$C:$C,'Prop Budget Summary'!N$2)</f>
        <v>31380</v>
      </c>
      <c r="AG19" s="230">
        <f>SUMIFS('YTD Personnel'!$G:$G,'YTD Personnel'!$B:$B,'Prop Budget Summary'!$A19,'YTD Personnel'!$C:$C,'Prop Budget Summary'!O$2)</f>
        <v>64125</v>
      </c>
      <c r="AH19" s="230">
        <f>SUMIFS('YTD Personnel'!$G:$G,'YTD Personnel'!$B:$B,'Prop Budget Summary'!$A19,'YTD Personnel'!$C:$C,'Prop Budget Summary'!P$2)</f>
        <v>1087</v>
      </c>
      <c r="AI19" s="230">
        <f>SUMIFS('YTD Personnel'!$G:$G,'YTD Personnel'!$B:$B,'Prop Budget Summary'!$A19,'YTD Personnel'!$C:$C,'Prop Budget Summary'!Q$2)</f>
        <v>69757</v>
      </c>
      <c r="AJ19" s="227">
        <f t="shared" si="24"/>
        <v>166349</v>
      </c>
      <c r="AK19" s="230">
        <f t="shared" si="25"/>
        <v>584991</v>
      </c>
      <c r="AL19" s="91"/>
      <c r="AM19" s="235">
        <f t="shared" si="30"/>
        <v>-0.64610945779197215</v>
      </c>
      <c r="AN19" s="235">
        <f t="shared" si="31"/>
        <v>-0.13794391902551628</v>
      </c>
      <c r="AO19" s="235">
        <f t="shared" si="45"/>
        <v>0</v>
      </c>
      <c r="AP19" s="235">
        <f t="shared" ref="AP19:AP26" si="55">IF(F19=0,0,F19/Y19-1)</f>
        <v>0</v>
      </c>
      <c r="AQ19" s="235">
        <f t="shared" ref="AQ19:AQ26" si="56">IF(G19=0,0,G19/Z19-1)</f>
        <v>-0.83218577021736195</v>
      </c>
      <c r="AR19" s="235">
        <f t="shared" ref="AR19:AR26" si="57">IF(H19=0,0,H19/AA19-1)</f>
        <v>0</v>
      </c>
      <c r="AS19" s="235"/>
      <c r="AT19" s="235">
        <f t="shared" si="46"/>
        <v>0</v>
      </c>
      <c r="AU19" s="235">
        <f t="shared" si="47"/>
        <v>0</v>
      </c>
      <c r="AV19" s="235">
        <f t="shared" si="48"/>
        <v>-0.47987699912255977</v>
      </c>
      <c r="AW19" s="235">
        <f t="shared" si="49"/>
        <v>-0.4659018483110261</v>
      </c>
      <c r="AX19" s="235">
        <f t="shared" si="50"/>
        <v>-0.42622739406650256</v>
      </c>
      <c r="AY19" s="235">
        <f t="shared" si="51"/>
        <v>-0.56858548960441579</v>
      </c>
      <c r="AZ19" s="235">
        <f t="shared" si="52"/>
        <v>-0.46870724849596934</v>
      </c>
      <c r="BA19" s="235">
        <f t="shared" si="53"/>
        <v>-0.45245535353412292</v>
      </c>
      <c r="BB19" s="235">
        <f t="shared" si="54"/>
        <v>-0.47207933501834132</v>
      </c>
      <c r="BC19" s="262"/>
      <c r="BD19" s="262"/>
    </row>
    <row r="20" spans="1:56">
      <c r="A20" s="236" t="s">
        <v>780</v>
      </c>
      <c r="B20" s="519">
        <f t="shared" si="17"/>
        <v>-0.73036794348516509</v>
      </c>
      <c r="C20" s="227">
        <f>SUMIFS('Prop Budget Calc'!$AD:$AD,'Prop Budget Calc'!$G:$G,'Prop Budget Summary'!$A20,'Prop Budget Calc'!$I:$I,'Prop Budget Summary'!C$2)+SUMIFS('Prop Budget Calc'!$AH:$AH,'Prop Budget Calc'!$G:$G,'Prop Budget Summary'!$A20,'Prop Budget Calc'!$I:$I,'Prop Budget Summary'!C$2)</f>
        <v>0</v>
      </c>
      <c r="D20" s="227">
        <f>SUMIFS('Prop Budget Calc'!$AD:$AD,'Prop Budget Calc'!$G:$G,'Prop Budget Summary'!$A20,'Prop Budget Calc'!$I:$I,'Prop Budget Summary'!D$2)+SUMIFS('Prop Budget Calc'!$AH:$AH,'Prop Budget Calc'!$G:$G,'Prop Budget Summary'!$A20,'Prop Budget Calc'!$I:$I,'Prop Budget Summary'!D$2)</f>
        <v>107481</v>
      </c>
      <c r="E20" s="227">
        <f>SUMIFS('Prop Budget Calc'!$AD:$AD,'Prop Budget Calc'!$G:$G,'Prop Budget Summary'!$A20,'Prop Budget Calc'!$I:$I,'Prop Budget Summary'!E$2)</f>
        <v>30883</v>
      </c>
      <c r="F20" s="227">
        <f>SUMIFS('Prop Budget Calc'!$AD:$AD,'Prop Budget Calc'!$G:$G,'Prop Budget Summary'!$A20,'Prop Budget Calc'!$I:$I,'Prop Budget Summary'!F$2)+SUMIFS('Prop Budget Calc'!$AH:$AH,'Prop Budget Calc'!$G:$G,'Prop Budget Summary'!$A20,'Prop Budget Calc'!$I:$I,'Prop Budget Summary'!F$2)</f>
        <v>0</v>
      </c>
      <c r="G20" s="227">
        <f>SUMIF('Prop Budget Calc'!$G:$G,'Prop Budget Summary'!$A20,'Prop Budget Calc'!$AG:$AG)</f>
        <v>199.66666666666669</v>
      </c>
      <c r="H20" s="227">
        <f>SUMIFS('Prop Budget Calc'!$AD:$AD,'Prop Budget Calc'!$G:$G,'Prop Budget Summary'!$A20,'Prop Budget Calc'!$I:$I,'Prop Budget Summary'!H$2)</f>
        <v>0</v>
      </c>
      <c r="I20" s="227">
        <f>SUMIF('Prop Budget Calc'!$G:$G,'Prop Budget Summary'!$A20,'Prop Budget Calc'!$AK:$AK)</f>
        <v>0</v>
      </c>
      <c r="J20" s="227">
        <f>SUMIF('Prop Budget Calc'!$G:$G,'Prop Budget Summary'!$A20,'Prop Budget Calc'!$AL:$AL)</f>
        <v>0</v>
      </c>
      <c r="L20" s="496">
        <f t="shared" si="0"/>
        <v>138563.66666666666</v>
      </c>
      <c r="M20" s="491">
        <f t="shared" si="18"/>
        <v>-0.67823183909540707</v>
      </c>
      <c r="N20" s="227">
        <f>SUMIF('Prop Budget Calc'!$G:$G,'Prop Budget Summary'!$A20,'Prop Budget Calc'!$AU:$AU)</f>
        <v>10700</v>
      </c>
      <c r="O20" s="227">
        <f>SUMIF('Prop Budget Calc'!$G:$G,'Prop Budget Summary'!$A20,'Prop Budget Calc'!$BE:$BE)</f>
        <v>34290.007099485527</v>
      </c>
      <c r="P20" s="227">
        <f>SUMIF('Prop Budget Calc'!$G:$G,'Prop Budget Summary'!$A20,'Prop Budget Calc'!$AR:$AR)</f>
        <v>3395.9330048000011</v>
      </c>
      <c r="Q20" s="227">
        <f>SUMIF('Prop Budget Calc'!$G:$G,'Prop Budget Summary'!$A20,'Prop Budget Calc'!$AQ:$AQ)</f>
        <v>23648.014133333334</v>
      </c>
      <c r="R20" s="254">
        <f t="shared" si="19"/>
        <v>72033.954237618862</v>
      </c>
      <c r="S20" s="426">
        <f t="shared" si="20"/>
        <v>-0.71121499435683866</v>
      </c>
      <c r="T20" s="259">
        <f t="shared" si="21"/>
        <v>210597.62090428552</v>
      </c>
      <c r="U20" s="235">
        <f t="shared" si="22"/>
        <v>-0.69032949416341616</v>
      </c>
      <c r="V20" s="230">
        <f>SUMIFS('YTD Personnel'!$G:$G,'YTD Personnel'!$B:$B,'Prop Budget Summary'!$A20,'YTD Personnel'!$C:$C,'Prop Budget Summary'!C$2)</f>
        <v>52801</v>
      </c>
      <c r="W20" s="230">
        <f>SUMIFS('YTD Personnel'!$G:$G,'YTD Personnel'!$B:$B,'Prop Budget Summary'!$A20,'YTD Personnel'!$C:$C,'Prop Budget Summary'!D$2)</f>
        <v>345820</v>
      </c>
      <c r="X20" s="230">
        <f>SUMIFS('YTD Personnel'!$G:$G,'YTD Personnel'!$B:$B,'Prop Budget Summary'!$A20,'YTD Personnel'!$C:$C,'Prop Budget Summary'!E$2)</f>
        <v>31051</v>
      </c>
      <c r="Y20" s="230">
        <f>SUMIFS('YTD Personnel'!$G:$G,'YTD Personnel'!$B:$B,'Prop Budget Summary'!$A20,'YTD Personnel'!$C:$C,'Prop Budget Summary'!F$2)</f>
        <v>0</v>
      </c>
      <c r="Z20" s="230">
        <f>SUMIFS('YTD Personnel'!$G:$G,'YTD Personnel'!$B:$B,'Prop Budget Summary'!$A20,'YTD Personnel'!$C:$C,'Prop Budget Summary'!G$2)</f>
        <v>960</v>
      </c>
      <c r="AA20" s="230">
        <f>SUMIFS('YTD Personnel'!$G:$G,'YTD Personnel'!$B:$B,'Prop Budget Summary'!$A20,'YTD Personnel'!$C:$C,'Prop Budget Summary'!H$2)</f>
        <v>0</v>
      </c>
      <c r="AB20" s="230">
        <f>SUMIFS('YTD Personnel'!$G:$G,'YTD Personnel'!$B:$B,'Prop Budget Summary'!$A20,'YTD Personnel'!$C:$C,'Prop Budget Summary'!I$2)</f>
        <v>0</v>
      </c>
      <c r="AC20" s="230">
        <f>SUMIFS('YTD Personnel'!$G:$G,'YTD Personnel'!$B:$B,'Prop Budget Summary'!$A20,'YTD Personnel'!$C:$C,'Prop Budget Summary'!J$2)</f>
        <v>0</v>
      </c>
      <c r="AD20" s="230">
        <f>SUMIFS('YTD Personnel'!$G:$G,'YTD Personnel'!$B:$B,'Prop Budget Summary'!$A20,'YTD Personnel'!$C:$C,'Prop Budget Summary'!K$2)</f>
        <v>0</v>
      </c>
      <c r="AE20" s="228">
        <f t="shared" si="23"/>
        <v>430632</v>
      </c>
      <c r="AF20" s="230">
        <f>SUMIFS('YTD Personnel'!$G:$G,'YTD Personnel'!$B:$B,'Prop Budget Summary'!$A20,'YTD Personnel'!$C:$C,'Prop Budget Summary'!N$2)</f>
        <v>32980</v>
      </c>
      <c r="AG20" s="230">
        <f>SUMIFS('YTD Personnel'!$G:$G,'YTD Personnel'!$B:$B,'Prop Budget Summary'!$A20,'YTD Personnel'!$C:$C,'Prop Budget Summary'!O$2)</f>
        <v>133793</v>
      </c>
      <c r="AH20" s="230">
        <f>SUMIFS('YTD Personnel'!$G:$G,'YTD Personnel'!$B:$B,'Prop Budget Summary'!$A20,'YTD Personnel'!$C:$C,'Prop Budget Summary'!P$2)</f>
        <v>11439</v>
      </c>
      <c r="AI20" s="230">
        <f>SUMIFS('YTD Personnel'!$G:$G,'YTD Personnel'!$B:$B,'Prop Budget Summary'!$A20,'YTD Personnel'!$C:$C,'Prop Budget Summary'!Q$2)</f>
        <v>71226</v>
      </c>
      <c r="AJ20" s="227">
        <f t="shared" si="24"/>
        <v>249438</v>
      </c>
      <c r="AK20" s="230">
        <f t="shared" si="25"/>
        <v>680070</v>
      </c>
      <c r="AL20" s="91"/>
      <c r="AM20" s="235">
        <f t="shared" si="30"/>
        <v>0</v>
      </c>
      <c r="AN20" s="235">
        <f t="shared" si="31"/>
        <v>-0.68919958359840372</v>
      </c>
      <c r="AO20" s="235">
        <f t="shared" si="45"/>
        <v>-5.4104537696048061E-3</v>
      </c>
      <c r="AP20" s="235">
        <f t="shared" si="55"/>
        <v>0</v>
      </c>
      <c r="AQ20" s="235">
        <f t="shared" si="56"/>
        <v>-0.79201388888888891</v>
      </c>
      <c r="AR20" s="235">
        <f t="shared" si="57"/>
        <v>0</v>
      </c>
      <c r="AS20" s="235">
        <f t="shared" ref="AS20:AS26" si="58">IF(I20=0,0,I20/AB20-1)</f>
        <v>0</v>
      </c>
      <c r="AT20" s="235">
        <f t="shared" si="46"/>
        <v>0</v>
      </c>
      <c r="AU20" s="235">
        <f t="shared" si="47"/>
        <v>0</v>
      </c>
      <c r="AV20" s="235">
        <f t="shared" si="48"/>
        <v>-0.67823183909540707</v>
      </c>
      <c r="AW20" s="235">
        <f t="shared" si="49"/>
        <v>-0.67556094602789574</v>
      </c>
      <c r="AX20" s="235">
        <f t="shared" si="50"/>
        <v>-0.74370851165991103</v>
      </c>
      <c r="AY20" s="235">
        <f t="shared" si="51"/>
        <v>-0.70312675891249232</v>
      </c>
      <c r="AZ20" s="235">
        <f t="shared" si="52"/>
        <v>-0.6679862110278082</v>
      </c>
      <c r="BA20" s="235">
        <f t="shared" si="53"/>
        <v>-0.71121499435683866</v>
      </c>
      <c r="BB20" s="235">
        <f t="shared" si="54"/>
        <v>-0.69032949416341616</v>
      </c>
      <c r="BC20" s="262"/>
      <c r="BD20" s="262"/>
    </row>
    <row r="21" spans="1:56">
      <c r="A21" s="236" t="s">
        <v>781</v>
      </c>
      <c r="B21" s="519">
        <f t="shared" si="17"/>
        <v>-0.83308682330093142</v>
      </c>
      <c r="C21" s="227">
        <f>SUMIFS('Prop Budget Calc'!$AD:$AD,'Prop Budget Calc'!$G:$G,'Prop Budget Summary'!$A21,'Prop Budget Calc'!$I:$I,'Prop Budget Summary'!C$2)+SUMIFS('Prop Budget Calc'!$AH:$AH,'Prop Budget Calc'!$G:$G,'Prop Budget Summary'!$A21,'Prop Budget Calc'!$I:$I,'Prop Budget Summary'!C$2)</f>
        <v>72020</v>
      </c>
      <c r="D21" s="227">
        <f>SUMIFS('Prop Budget Calc'!$AD:$AD,'Prop Budget Calc'!$G:$G,'Prop Budget Summary'!$A21,'Prop Budget Calc'!$I:$I,'Prop Budget Summary'!D$2)+SUMIFS('Prop Budget Calc'!$AH:$AH,'Prop Budget Calc'!$G:$G,'Prop Budget Summary'!$A21,'Prop Budget Calc'!$I:$I,'Prop Budget Summary'!D$2)</f>
        <v>42975</v>
      </c>
      <c r="E21" s="227">
        <f>SUMIFS('Prop Budget Calc'!$AD:$AD,'Prop Budget Calc'!$G:$G,'Prop Budget Summary'!$A21,'Prop Budget Calc'!$I:$I,'Prop Budget Summary'!E$2)</f>
        <v>250</v>
      </c>
      <c r="F21" s="227">
        <f>SUMIFS('Prop Budget Calc'!$AD:$AD,'Prop Budget Calc'!$G:$G,'Prop Budget Summary'!$A21,'Prop Budget Calc'!$I:$I,'Prop Budget Summary'!F$2)+SUMIFS('Prop Budget Calc'!$AH:$AH,'Prop Budget Calc'!$G:$G,'Prop Budget Summary'!$A21,'Prop Budget Calc'!$I:$I,'Prop Budget Summary'!F$2)</f>
        <v>0</v>
      </c>
      <c r="G21" s="227">
        <f>SUMIF('Prop Budget Calc'!$G:$G,'Prop Budget Summary'!$A21,'Prop Budget Calc'!$AG:$AG)</f>
        <v>288</v>
      </c>
      <c r="H21" s="227">
        <f>SUMIFS('Prop Budget Calc'!$AD:$AD,'Prop Budget Calc'!$G:$G,'Prop Budget Summary'!$A21,'Prop Budget Calc'!$I:$I,'Prop Budget Summary'!H$2)</f>
        <v>0</v>
      </c>
      <c r="I21" s="227">
        <f>SUMIF('Prop Budget Calc'!$G:$G,'Prop Budget Summary'!$A21,'Prop Budget Calc'!$AK:$AK)</f>
        <v>0</v>
      </c>
      <c r="J21" s="227">
        <f>SUMIF('Prop Budget Calc'!$G:$G,'Prop Budget Summary'!$A21,'Prop Budget Calc'!$AL:$AL)</f>
        <v>0</v>
      </c>
      <c r="L21" s="496">
        <f t="shared" si="0"/>
        <v>115533</v>
      </c>
      <c r="M21" s="491">
        <f t="shared" si="18"/>
        <v>-0.83369822906815561</v>
      </c>
      <c r="N21" s="227">
        <f>SUMIF('Prop Budget Calc'!$G:$G,'Prop Budget Summary'!$A21,'Prop Budget Calc'!$AU:$AU)</f>
        <v>8900</v>
      </c>
      <c r="O21" s="227">
        <f>SUMIF('Prop Budget Calc'!$G:$G,'Prop Budget Summary'!$A21,'Prop Budget Calc'!$BE:$BE)</f>
        <v>29664.352207999993</v>
      </c>
      <c r="P21" s="227">
        <f>SUMIF('Prop Budget Calc'!$G:$G,'Prop Budget Summary'!$A21,'Prop Budget Calc'!$AR:$AR)</f>
        <v>214.641504</v>
      </c>
      <c r="Q21" s="227">
        <f>SUMIF('Prop Budget Calc'!$G:$G,'Prop Budget Summary'!$A21,'Prop Budget Calc'!$AQ:$AQ)</f>
        <v>19675.4712</v>
      </c>
      <c r="R21" s="254">
        <f t="shared" si="19"/>
        <v>58454.464911999996</v>
      </c>
      <c r="S21" s="426">
        <f t="shared" si="20"/>
        <v>-0.80458508035970988</v>
      </c>
      <c r="T21" s="259">
        <f t="shared" si="21"/>
        <v>173987.464912</v>
      </c>
      <c r="U21" s="235">
        <f t="shared" si="22"/>
        <v>-0.82493571466892857</v>
      </c>
      <c r="V21" s="230">
        <f>SUMIFS('YTD Personnel'!$G:$G,'YTD Personnel'!$B:$B,'Prop Budget Summary'!$A21,'YTD Personnel'!$C:$C,'Prop Budget Summary'!C$2)</f>
        <v>379921</v>
      </c>
      <c r="W21" s="230">
        <f>SUMIFS('YTD Personnel'!$G:$G,'YTD Personnel'!$B:$B,'Prop Budget Summary'!$A21,'YTD Personnel'!$C:$C,'Prop Budget Summary'!D$2)</f>
        <v>309030</v>
      </c>
      <c r="X21" s="230">
        <f>SUMIFS('YTD Personnel'!$G:$G,'YTD Personnel'!$B:$B,'Prop Budget Summary'!$A21,'YTD Personnel'!$C:$C,'Prop Budget Summary'!E$2)</f>
        <v>250</v>
      </c>
      <c r="Y21" s="230">
        <f>SUMIFS('YTD Personnel'!$G:$G,'YTD Personnel'!$B:$B,'Prop Budget Summary'!$A21,'YTD Personnel'!$C:$C,'Prop Budget Summary'!F$2)</f>
        <v>0</v>
      </c>
      <c r="Z21" s="230">
        <f>SUMIFS('YTD Personnel'!$G:$G,'YTD Personnel'!$B:$B,'Prop Budget Summary'!$A21,'YTD Personnel'!$C:$C,'Prop Budget Summary'!G$2)</f>
        <v>5518</v>
      </c>
      <c r="AA21" s="230">
        <f>SUMIFS('YTD Personnel'!$G:$G,'YTD Personnel'!$B:$B,'Prop Budget Summary'!$A21,'YTD Personnel'!$C:$C,'Prop Budget Summary'!H$2)</f>
        <v>0</v>
      </c>
      <c r="AB21" s="230">
        <f>SUMIFS('YTD Personnel'!$G:$G,'YTD Personnel'!$B:$B,'Prop Budget Summary'!$A21,'YTD Personnel'!$C:$C,'Prop Budget Summary'!I$2)</f>
        <v>0</v>
      </c>
      <c r="AC21" s="230">
        <f>SUMIFS('YTD Personnel'!$G:$G,'YTD Personnel'!$B:$B,'Prop Budget Summary'!$A21,'YTD Personnel'!$C:$C,'Prop Budget Summary'!J$2)</f>
        <v>0</v>
      </c>
      <c r="AD21" s="230">
        <f>SUMIFS('YTD Personnel'!$G:$G,'YTD Personnel'!$B:$B,'Prop Budget Summary'!$A21,'YTD Personnel'!$C:$C,'Prop Budget Summary'!K$2)</f>
        <v>0</v>
      </c>
      <c r="AE21" s="228">
        <f t="shared" si="23"/>
        <v>694719</v>
      </c>
      <c r="AF21" s="230">
        <f>SUMIFS('YTD Personnel'!$G:$G,'YTD Personnel'!$B:$B,'Prop Budget Summary'!$A21,'YTD Personnel'!$C:$C,'Prop Budget Summary'!N$2)</f>
        <v>63640</v>
      </c>
      <c r="AG21" s="230">
        <f>SUMIFS('YTD Personnel'!$G:$G,'YTD Personnel'!$B:$B,'Prop Budget Summary'!$A21,'YTD Personnel'!$C:$C,'Prop Budget Summary'!O$2)</f>
        <v>118648</v>
      </c>
      <c r="AH21" s="230">
        <f>SUMIFS('YTD Personnel'!$G:$G,'YTD Personnel'!$B:$B,'Prop Budget Summary'!$A21,'YTD Personnel'!$C:$C,'Prop Budget Summary'!P$2)</f>
        <v>1561</v>
      </c>
      <c r="AI21" s="230">
        <f>SUMIFS('YTD Personnel'!$G:$G,'YTD Personnel'!$B:$B,'Prop Budget Summary'!$A21,'YTD Personnel'!$C:$C,'Prop Budget Summary'!Q$2)</f>
        <v>115281</v>
      </c>
      <c r="AJ21" s="227">
        <f t="shared" si="24"/>
        <v>299130</v>
      </c>
      <c r="AK21" s="230">
        <f t="shared" si="25"/>
        <v>993849</v>
      </c>
      <c r="AL21" s="91"/>
      <c r="AM21" s="235">
        <f t="shared" si="30"/>
        <v>-0.81043427449390792</v>
      </c>
      <c r="AN21" s="235">
        <f t="shared" si="31"/>
        <v>-0.8609358314726725</v>
      </c>
      <c r="AO21" s="235">
        <f t="shared" si="45"/>
        <v>0</v>
      </c>
      <c r="AP21" s="235">
        <f t="shared" si="55"/>
        <v>0</v>
      </c>
      <c r="AQ21" s="235">
        <f t="shared" si="56"/>
        <v>-0.94780717651322943</v>
      </c>
      <c r="AR21" s="235">
        <f t="shared" si="57"/>
        <v>0</v>
      </c>
      <c r="AS21" s="235">
        <f t="shared" si="58"/>
        <v>0</v>
      </c>
      <c r="AT21" s="235">
        <f t="shared" si="46"/>
        <v>0</v>
      </c>
      <c r="AU21" s="235">
        <f t="shared" si="47"/>
        <v>0</v>
      </c>
      <c r="AV21" s="235">
        <f t="shared" si="48"/>
        <v>-0.83369822906815561</v>
      </c>
      <c r="AW21" s="235">
        <f t="shared" si="49"/>
        <v>-0.86015084852294155</v>
      </c>
      <c r="AX21" s="235">
        <f t="shared" si="50"/>
        <v>-0.74998017490391755</v>
      </c>
      <c r="AY21" s="235">
        <f t="shared" si="51"/>
        <v>-0.86249743497757847</v>
      </c>
      <c r="AZ21" s="235">
        <f t="shared" si="52"/>
        <v>-0.8293259843339319</v>
      </c>
      <c r="BA21" s="235">
        <f t="shared" si="53"/>
        <v>-0.80458508035970988</v>
      </c>
      <c r="BB21" s="235">
        <f t="shared" si="54"/>
        <v>-0.82493571466892857</v>
      </c>
      <c r="BC21" s="262"/>
      <c r="BD21" s="262"/>
    </row>
    <row r="22" spans="1:56">
      <c r="A22" s="236" t="s">
        <v>783</v>
      </c>
      <c r="B22" s="519">
        <f t="shared" si="17"/>
        <v>-0.8809108847789584</v>
      </c>
      <c r="C22" s="227">
        <f>SUMIFS('Prop Budget Calc'!$AD:$AD,'Prop Budget Calc'!$G:$G,'Prop Budget Summary'!$A22,'Prop Budget Calc'!$I:$I,'Prop Budget Summary'!C$2)+SUMIFS('Prop Budget Calc'!$AH:$AH,'Prop Budget Calc'!$G:$G,'Prop Budget Summary'!$A22,'Prop Budget Calc'!$I:$I,'Prop Budget Summary'!C$2)</f>
        <v>0</v>
      </c>
      <c r="D22" s="227">
        <f>SUMIFS('Prop Budget Calc'!$AD:$AD,'Prop Budget Calc'!$G:$G,'Prop Budget Summary'!$A22,'Prop Budget Calc'!$I:$I,'Prop Budget Summary'!D$2)+SUMIFS('Prop Budget Calc'!$AH:$AH,'Prop Budget Calc'!$G:$G,'Prop Budget Summary'!$A22,'Prop Budget Calc'!$I:$I,'Prop Budget Summary'!D$2)</f>
        <v>48583</v>
      </c>
      <c r="E22" s="227">
        <f>SUMIFS('Prop Budget Calc'!$AD:$AD,'Prop Budget Calc'!$G:$G,'Prop Budget Summary'!$A22,'Prop Budget Calc'!$I:$I,'Prop Budget Summary'!E$2)</f>
        <v>19000</v>
      </c>
      <c r="F22" s="227">
        <f>SUMIFS('Prop Budget Calc'!$AD:$AD,'Prop Budget Calc'!$G:$G,'Prop Budget Summary'!$A22,'Prop Budget Calc'!$I:$I,'Prop Budget Summary'!F$2)+SUMIFS('Prop Budget Calc'!$AH:$AH,'Prop Budget Calc'!$G:$G,'Prop Budget Summary'!$A22,'Prop Budget Calc'!$I:$I,'Prop Budget Summary'!F$2)</f>
        <v>0</v>
      </c>
      <c r="G22" s="227">
        <f>SUMIF('Prop Budget Calc'!$G:$G,'Prop Budget Summary'!$A22,'Prop Budget Calc'!$AG:$AG)</f>
        <v>1082.8333333333333</v>
      </c>
      <c r="H22" s="227">
        <f>SUMIFS('Prop Budget Calc'!$AD:$AD,'Prop Budget Calc'!$G:$G,'Prop Budget Summary'!$A22,'Prop Budget Calc'!$I:$I,'Prop Budget Summary'!H$2)</f>
        <v>0</v>
      </c>
      <c r="I22" s="227">
        <f>SUMIF('Prop Budget Calc'!$G:$G,'Prop Budget Summary'!$A22,'Prop Budget Calc'!$AK:$AK)</f>
        <v>0</v>
      </c>
      <c r="J22" s="227">
        <f>SUMIF('Prop Budget Calc'!$G:$G,'Prop Budget Summary'!$A22,'Prop Budget Calc'!$AL:$AL)</f>
        <v>0</v>
      </c>
      <c r="L22" s="496">
        <f t="shared" si="0"/>
        <v>68665.833333333328</v>
      </c>
      <c r="M22" s="491">
        <f t="shared" si="18"/>
        <v>-0.84156000679915799</v>
      </c>
      <c r="N22" s="227">
        <f>SUMIF('Prop Budget Calc'!$G:$G,'Prop Budget Summary'!$A22,'Prop Budget Calc'!$AU:$AU)</f>
        <v>5270</v>
      </c>
      <c r="O22" s="227">
        <f>SUMIF('Prop Budget Calc'!$G:$G,'Prop Budget Summary'!$A22,'Prop Budget Calc'!$BE:$BE)</f>
        <v>11002.88422</v>
      </c>
      <c r="P22" s="227">
        <f>SUMIF('Prop Budget Calc'!$G:$G,'Prop Budget Summary'!$A22,'Prop Budget Calc'!$AR:$AR)</f>
        <v>789.0528240000001</v>
      </c>
      <c r="Q22" s="227">
        <f>SUMIF('Prop Budget Calc'!$G:$G,'Prop Budget Summary'!$A22,'Prop Budget Calc'!$AQ:$AQ)</f>
        <v>11631.992166666667</v>
      </c>
      <c r="R22" s="254">
        <f t="shared" si="19"/>
        <v>28693.929210666665</v>
      </c>
      <c r="S22" s="426">
        <f t="shared" si="20"/>
        <v>-0.85025999107284189</v>
      </c>
      <c r="T22" s="259">
        <f t="shared" si="21"/>
        <v>97359.762543999997</v>
      </c>
      <c r="U22" s="235">
        <f t="shared" si="22"/>
        <v>-0.84422737076408128</v>
      </c>
      <c r="V22" s="230">
        <f>SUMIFS('YTD Personnel'!$G:$G,'YTD Personnel'!$B:$B,'Prop Budget Summary'!$A22,'YTD Personnel'!$C:$C,'Prop Budget Summary'!C$2)</f>
        <v>0</v>
      </c>
      <c r="W22" s="230">
        <f>SUMIFS('YTD Personnel'!$G:$G,'YTD Personnel'!$B:$B,'Prop Budget Summary'!$A22,'YTD Personnel'!$C:$C,'Prop Budget Summary'!D$2)</f>
        <v>407955</v>
      </c>
      <c r="X22" s="230">
        <f>SUMIFS('YTD Personnel'!$G:$G,'YTD Personnel'!$B:$B,'Prop Budget Summary'!$A22,'YTD Personnel'!$C:$C,'Prop Budget Summary'!E$2)</f>
        <v>19000</v>
      </c>
      <c r="Y22" s="230">
        <f>SUMIFS('YTD Personnel'!$G:$G,'YTD Personnel'!$B:$B,'Prop Budget Summary'!$A22,'YTD Personnel'!$C:$C,'Prop Budget Summary'!F$2)</f>
        <v>0</v>
      </c>
      <c r="Z22" s="230">
        <f>SUMIFS('YTD Personnel'!$G:$G,'YTD Personnel'!$B:$B,'Prop Budget Summary'!$A22,'YTD Personnel'!$C:$C,'Prop Budget Summary'!G$2)</f>
        <v>6432</v>
      </c>
      <c r="AA22" s="230">
        <f>SUMIFS('YTD Personnel'!$G:$G,'YTD Personnel'!$B:$B,'Prop Budget Summary'!$A22,'YTD Personnel'!$C:$C,'Prop Budget Summary'!H$2)</f>
        <v>0</v>
      </c>
      <c r="AB22" s="230">
        <f>SUMIFS('YTD Personnel'!$G:$G,'YTD Personnel'!$B:$B,'Prop Budget Summary'!$A22,'YTD Personnel'!$C:$C,'Prop Budget Summary'!I$2)</f>
        <v>0</v>
      </c>
      <c r="AC22" s="230">
        <f>SUMIFS('YTD Personnel'!$G:$G,'YTD Personnel'!$B:$B,'Prop Budget Summary'!$A22,'YTD Personnel'!$C:$C,'Prop Budget Summary'!J$2)</f>
        <v>0</v>
      </c>
      <c r="AD22" s="230">
        <f>SUMIFS('YTD Personnel'!$G:$G,'YTD Personnel'!$B:$B,'Prop Budget Summary'!$A22,'YTD Personnel'!$C:$C,'Prop Budget Summary'!K$2)</f>
        <v>0</v>
      </c>
      <c r="AE22" s="228">
        <f t="shared" si="23"/>
        <v>433387</v>
      </c>
      <c r="AF22" s="230">
        <f>SUMIFS('YTD Personnel'!$G:$G,'YTD Personnel'!$B:$B,'Prop Budget Summary'!$A22,'YTD Personnel'!$C:$C,'Prop Budget Summary'!N$2)</f>
        <v>33395</v>
      </c>
      <c r="AG22" s="230">
        <f>SUMIFS('YTD Personnel'!$G:$G,'YTD Personnel'!$B:$B,'Prop Budget Summary'!$A22,'YTD Personnel'!$C:$C,'Prop Budget Summary'!O$2)</f>
        <v>80706</v>
      </c>
      <c r="AH22" s="230">
        <f>SUMIFS('YTD Personnel'!$G:$G,'YTD Personnel'!$B:$B,'Prop Budget Summary'!$A22,'YTD Personnel'!$C:$C,'Prop Budget Summary'!P$2)</f>
        <v>5467</v>
      </c>
      <c r="AI22" s="230">
        <f>SUMIFS('YTD Personnel'!$G:$G,'YTD Personnel'!$B:$B,'Prop Budget Summary'!$A22,'YTD Personnel'!$C:$C,'Prop Budget Summary'!Q$2)</f>
        <v>72057</v>
      </c>
      <c r="AJ22" s="227">
        <f t="shared" si="24"/>
        <v>191625</v>
      </c>
      <c r="AK22" s="230">
        <f t="shared" si="25"/>
        <v>625012</v>
      </c>
      <c r="AL22" s="91"/>
      <c r="AM22" s="235">
        <f t="shared" si="30"/>
        <v>0</v>
      </c>
      <c r="AN22" s="235">
        <f t="shared" si="31"/>
        <v>-0.8809108847789584</v>
      </c>
      <c r="AO22" s="235">
        <f t="shared" si="45"/>
        <v>0</v>
      </c>
      <c r="AP22" s="235">
        <f t="shared" si="55"/>
        <v>0</v>
      </c>
      <c r="AQ22" s="235">
        <f t="shared" si="56"/>
        <v>-0.83164904643449422</v>
      </c>
      <c r="AR22" s="235">
        <f t="shared" si="57"/>
        <v>0</v>
      </c>
      <c r="AS22" s="235">
        <f t="shared" si="58"/>
        <v>0</v>
      </c>
      <c r="AT22" s="235">
        <f t="shared" si="46"/>
        <v>0</v>
      </c>
      <c r="AU22" s="235">
        <f t="shared" si="47"/>
        <v>0</v>
      </c>
      <c r="AV22" s="235">
        <f t="shared" si="48"/>
        <v>-0.84156000679915799</v>
      </c>
      <c r="AW22" s="235">
        <f t="shared" si="49"/>
        <v>-0.84219194490193139</v>
      </c>
      <c r="AX22" s="235">
        <f t="shared" si="50"/>
        <v>-0.8636670852229078</v>
      </c>
      <c r="AY22" s="235">
        <f t="shared" si="51"/>
        <v>-0.85566986939820744</v>
      </c>
      <c r="AZ22" s="235">
        <f t="shared" si="52"/>
        <v>-0.83857235013022091</v>
      </c>
      <c r="BA22" s="235">
        <f t="shared" si="53"/>
        <v>-0.85025999107284189</v>
      </c>
      <c r="BB22" s="235">
        <f t="shared" si="54"/>
        <v>-0.84422737076408128</v>
      </c>
      <c r="BC22" s="262"/>
      <c r="BD22" s="262"/>
    </row>
    <row r="23" spans="1:56">
      <c r="A23" s="236" t="s">
        <v>784</v>
      </c>
      <c r="B23" s="519">
        <f t="shared" si="17"/>
        <v>4.002253909123632E-2</v>
      </c>
      <c r="C23" s="227">
        <f>SUMIFS('Prop Budget Calc'!$AD:$AD,'Prop Budget Calc'!$G:$G,'Prop Budget Summary'!$A23,'Prop Budget Calc'!$I:$I,'Prop Budget Summary'!C$2)+SUMIFS('Prop Budget Calc'!$AH:$AH,'Prop Budget Calc'!$G:$G,'Prop Budget Summary'!$A23,'Prop Budget Calc'!$I:$I,'Prop Budget Summary'!C$2)</f>
        <v>66446</v>
      </c>
      <c r="D23" s="227">
        <f>SUMIFS('Prop Budget Calc'!$AD:$AD,'Prop Budget Calc'!$G:$G,'Prop Budget Summary'!$A23,'Prop Budget Calc'!$I:$I,'Prop Budget Summary'!D$2)+SUMIFS('Prop Budget Calc'!$AH:$AH,'Prop Budget Calc'!$G:$G,'Prop Budget Summary'!$A23,'Prop Budget Calc'!$I:$I,'Prop Budget Summary'!D$2)</f>
        <v>0</v>
      </c>
      <c r="E23" s="227">
        <f>SUMIFS('Prop Budget Calc'!$AD:$AD,'Prop Budget Calc'!$G:$G,'Prop Budget Summary'!$A23,'Prop Budget Calc'!$I:$I,'Prop Budget Summary'!E$2)</f>
        <v>0</v>
      </c>
      <c r="F23" s="227">
        <f>SUMIFS('Prop Budget Calc'!$AD:$AD,'Prop Budget Calc'!$G:$G,'Prop Budget Summary'!$A23,'Prop Budget Calc'!$I:$I,'Prop Budget Summary'!F$2)+SUMIFS('Prop Budget Calc'!$AH:$AH,'Prop Budget Calc'!$G:$G,'Prop Budget Summary'!$A23,'Prop Budget Calc'!$I:$I,'Prop Budget Summary'!F$2)</f>
        <v>0</v>
      </c>
      <c r="G23" s="227">
        <f>SUMIF('Prop Budget Calc'!$G:$G,'Prop Budget Summary'!$A23,'Prop Budget Calc'!$AG:$AG)</f>
        <v>564.83333333333337</v>
      </c>
      <c r="H23" s="227">
        <f>SUMIFS('Prop Budget Calc'!$AD:$AD,'Prop Budget Calc'!$G:$G,'Prop Budget Summary'!$A23,'Prop Budget Calc'!$I:$I,'Prop Budget Summary'!H$2)</f>
        <v>0</v>
      </c>
      <c r="I23" s="227">
        <f>SUMIF('Prop Budget Calc'!$G:$G,'Prop Budget Summary'!$A23,'Prop Budget Calc'!$AK:$AK)</f>
        <v>0</v>
      </c>
      <c r="J23" s="227">
        <f>SUMIF('Prop Budget Calc'!$G:$G,'Prop Budget Summary'!$A23,'Prop Budget Calc'!$AL:$AL)</f>
        <v>0</v>
      </c>
      <c r="L23" s="496">
        <f t="shared" si="0"/>
        <v>67010.833333333328</v>
      </c>
      <c r="M23" s="491">
        <f t="shared" si="18"/>
        <v>4.0654004834894009E-2</v>
      </c>
      <c r="N23" s="227">
        <f>SUMIF('Prop Budget Calc'!$G:$G,'Prop Budget Summary'!$A23,'Prop Budget Calc'!$AU:$AU)</f>
        <v>5210</v>
      </c>
      <c r="O23" s="227">
        <f>SUMIF('Prop Budget Calc'!$G:$G,'Prop Budget Summary'!$A23,'Prop Budget Calc'!$BE:$BE)</f>
        <v>11040.363244</v>
      </c>
      <c r="P23" s="227">
        <f>SUMIF('Prop Budget Calc'!$G:$G,'Prop Budget Summary'!$A23,'Prop Budget Calc'!$AR:$AR)</f>
        <v>93.739940000000018</v>
      </c>
      <c r="Q23" s="227">
        <f>SUMIF('Prop Budget Calc'!$G:$G,'Prop Budget Summary'!$A23,'Prop Budget Calc'!$AQ:$AQ)</f>
        <v>11526.964166666665</v>
      </c>
      <c r="R23" s="254">
        <f t="shared" si="19"/>
        <v>27871.067350666664</v>
      </c>
      <c r="S23" s="426">
        <f t="shared" si="20"/>
        <v>3.214707072053713E-2</v>
      </c>
      <c r="T23" s="259">
        <f t="shared" si="21"/>
        <v>94881.900683999993</v>
      </c>
      <c r="U23" s="235">
        <f t="shared" si="22"/>
        <v>3.8140626329379756E-2</v>
      </c>
      <c r="V23" s="230">
        <f>SUMIFS('YTD Personnel'!$G:$G,'YTD Personnel'!$B:$B,'Prop Budget Summary'!$A23,'YTD Personnel'!$C:$C,'Prop Budget Summary'!C$2)</f>
        <v>63889</v>
      </c>
      <c r="W23" s="230">
        <f>SUMIFS('YTD Personnel'!$G:$G,'YTD Personnel'!$B:$B,'Prop Budget Summary'!$A23,'YTD Personnel'!$C:$C,'Prop Budget Summary'!D$2)</f>
        <v>0</v>
      </c>
      <c r="X23" s="230">
        <f>SUMIFS('YTD Personnel'!$G:$G,'YTD Personnel'!$B:$B,'Prop Budget Summary'!$A23,'YTD Personnel'!$C:$C,'Prop Budget Summary'!E$2)</f>
        <v>0</v>
      </c>
      <c r="Y23" s="230">
        <f>SUMIFS('YTD Personnel'!$G:$G,'YTD Personnel'!$B:$B,'Prop Budget Summary'!$A23,'YTD Personnel'!$C:$C,'Prop Budget Summary'!F$2)</f>
        <v>0</v>
      </c>
      <c r="Z23" s="230">
        <f>SUMIFS('YTD Personnel'!$G:$G,'YTD Personnel'!$B:$B,'Prop Budget Summary'!$A23,'YTD Personnel'!$C:$C,'Prop Budget Summary'!G$2)</f>
        <v>504</v>
      </c>
      <c r="AA23" s="230">
        <f>SUMIFS('YTD Personnel'!$G:$G,'YTD Personnel'!$B:$B,'Prop Budget Summary'!$A23,'YTD Personnel'!$C:$C,'Prop Budget Summary'!H$2)</f>
        <v>0</v>
      </c>
      <c r="AB23" s="230">
        <f>SUMIFS('YTD Personnel'!$G:$G,'YTD Personnel'!$B:$B,'Prop Budget Summary'!$A23,'YTD Personnel'!$C:$C,'Prop Budget Summary'!I$2)</f>
        <v>0</v>
      </c>
      <c r="AC23" s="230">
        <f>SUMIFS('YTD Personnel'!$G:$G,'YTD Personnel'!$B:$B,'Prop Budget Summary'!$A23,'YTD Personnel'!$C:$C,'Prop Budget Summary'!J$2)</f>
        <v>0</v>
      </c>
      <c r="AD23" s="230">
        <f>SUMIFS('YTD Personnel'!$G:$G,'YTD Personnel'!$B:$B,'Prop Budget Summary'!$A23,'YTD Personnel'!$C:$C,'Prop Budget Summary'!K$2)</f>
        <v>0</v>
      </c>
      <c r="AE23" s="228">
        <f t="shared" si="23"/>
        <v>64393</v>
      </c>
      <c r="AF23" s="230">
        <f>SUMIFS('YTD Personnel'!$G:$G,'YTD Personnel'!$B:$B,'Prop Budget Summary'!$A23,'YTD Personnel'!$C:$C,'Prop Budget Summary'!N$2)</f>
        <v>5010</v>
      </c>
      <c r="AG23" s="230">
        <f>SUMIFS('YTD Personnel'!$G:$G,'YTD Personnel'!$B:$B,'Prop Budget Summary'!$A23,'YTD Personnel'!$C:$C,'Prop Budget Summary'!O$2)</f>
        <v>11077</v>
      </c>
      <c r="AH23" s="230">
        <f>SUMIFS('YTD Personnel'!$G:$G,'YTD Personnel'!$B:$B,'Prop Budget Summary'!$A23,'YTD Personnel'!$C:$C,'Prop Budget Summary'!P$2)</f>
        <v>94</v>
      </c>
      <c r="AI23" s="230">
        <f>SUMIFS('YTD Personnel'!$G:$G,'YTD Personnel'!$B:$B,'Prop Budget Summary'!$A23,'YTD Personnel'!$C:$C,'Prop Budget Summary'!Q$2)</f>
        <v>10822</v>
      </c>
      <c r="AJ23" s="227">
        <f t="shared" si="24"/>
        <v>27003</v>
      </c>
      <c r="AK23" s="230">
        <f t="shared" si="25"/>
        <v>91396</v>
      </c>
      <c r="AL23" s="91"/>
      <c r="AM23" s="235">
        <f t="shared" si="30"/>
        <v>4.002253909123632E-2</v>
      </c>
      <c r="AN23" s="235">
        <f t="shared" si="31"/>
        <v>0</v>
      </c>
      <c r="AO23" s="235">
        <f t="shared" si="45"/>
        <v>0</v>
      </c>
      <c r="AP23" s="235">
        <f t="shared" si="55"/>
        <v>0</v>
      </c>
      <c r="AQ23" s="235">
        <f t="shared" si="56"/>
        <v>0.12070105820105836</v>
      </c>
      <c r="AR23" s="235">
        <f t="shared" si="57"/>
        <v>0</v>
      </c>
      <c r="AS23" s="235">
        <f t="shared" si="58"/>
        <v>0</v>
      </c>
      <c r="AT23" s="235">
        <f t="shared" si="46"/>
        <v>0</v>
      </c>
      <c r="AU23" s="235">
        <f t="shared" si="47"/>
        <v>0</v>
      </c>
      <c r="AV23" s="235">
        <f t="shared" si="48"/>
        <v>4.0654004834894009E-2</v>
      </c>
      <c r="AW23" s="235">
        <f t="shared" si="49"/>
        <v>3.9920159680638667E-2</v>
      </c>
      <c r="AX23" s="235">
        <f t="shared" si="50"/>
        <v>-3.3074619481808787E-3</v>
      </c>
      <c r="AY23" s="235">
        <f t="shared" si="51"/>
        <v>-2.7665957446806333E-3</v>
      </c>
      <c r="AZ23" s="235">
        <f t="shared" si="52"/>
        <v>6.5141763691246135E-2</v>
      </c>
      <c r="BA23" s="235">
        <f t="shared" si="53"/>
        <v>3.214707072053713E-2</v>
      </c>
      <c r="BB23" s="235">
        <f t="shared" si="54"/>
        <v>3.8140626329379756E-2</v>
      </c>
      <c r="BC23" s="262"/>
      <c r="BD23" s="262"/>
    </row>
    <row r="24" spans="1:56">
      <c r="A24" s="236" t="s">
        <v>785</v>
      </c>
      <c r="B24" s="519">
        <f t="shared" si="17"/>
        <v>-0.64396190291544486</v>
      </c>
      <c r="C24" s="227">
        <f>SUMIFS('Prop Budget Calc'!$AD:$AD,'Prop Budget Calc'!$G:$G,'Prop Budget Summary'!$A24,'Prop Budget Calc'!$I:$I,'Prop Budget Summary'!C$2)+SUMIFS('Prop Budget Calc'!$AH:$AH,'Prop Budget Calc'!$G:$G,'Prop Budget Summary'!$A24,'Prop Budget Calc'!$I:$I,'Prop Budget Summary'!C$2)</f>
        <v>73456</v>
      </c>
      <c r="D24" s="227">
        <f>SUMIFS('Prop Budget Calc'!$AD:$AD,'Prop Budget Calc'!$G:$G,'Prop Budget Summary'!$A24,'Prop Budget Calc'!$I:$I,'Prop Budget Summary'!D$2)+SUMIFS('Prop Budget Calc'!$AH:$AH,'Prop Budget Calc'!$G:$G,'Prop Budget Summary'!$A24,'Prop Budget Calc'!$I:$I,'Prop Budget Summary'!D$2)</f>
        <v>0</v>
      </c>
      <c r="E24" s="227">
        <f>SUMIFS('Prop Budget Calc'!$AD:$AD,'Prop Budget Calc'!$G:$G,'Prop Budget Summary'!$A24,'Prop Budget Calc'!$I:$I,'Prop Budget Summary'!E$2)</f>
        <v>500</v>
      </c>
      <c r="F24" s="227">
        <f>SUMIFS('Prop Budget Calc'!$AD:$AD,'Prop Budget Calc'!$G:$G,'Prop Budget Summary'!$A24,'Prop Budget Calc'!$I:$I,'Prop Budget Summary'!F$2)+SUMIFS('Prop Budget Calc'!$AH:$AH,'Prop Budget Calc'!$G:$G,'Prop Budget Summary'!$A24,'Prop Budget Calc'!$I:$I,'Prop Budget Summary'!F$2)</f>
        <v>0</v>
      </c>
      <c r="G24" s="227">
        <f>SUMIF('Prop Budget Calc'!$G:$G,'Prop Budget Summary'!$A24,'Prop Budget Calc'!$AG:$AG)</f>
        <v>539.83333333333337</v>
      </c>
      <c r="H24" s="227">
        <f>SUMIFS('Prop Budget Calc'!$AD:$AD,'Prop Budget Calc'!$G:$G,'Prop Budget Summary'!$A24,'Prop Budget Calc'!$I:$I,'Prop Budget Summary'!H$2)</f>
        <v>0</v>
      </c>
      <c r="I24" s="227">
        <f>SUMIF('Prop Budget Calc'!$G:$G,'Prop Budget Summary'!$A24,'Prop Budget Calc'!$AK:$AK)</f>
        <v>0</v>
      </c>
      <c r="J24" s="227">
        <f>SUMIF('Prop Budget Calc'!$G:$G,'Prop Budget Summary'!$A24,'Prop Budget Calc'!$AL:$AL)</f>
        <v>0</v>
      </c>
      <c r="L24" s="496">
        <f t="shared" si="0"/>
        <v>74495.833333333328</v>
      </c>
      <c r="M24" s="491">
        <f t="shared" si="18"/>
        <v>-0.64247434389972724</v>
      </c>
      <c r="N24" s="227">
        <f>SUMIF('Prop Budget Calc'!$G:$G,'Prop Budget Summary'!$A24,'Prop Budget Calc'!$AU:$AU)</f>
        <v>5780</v>
      </c>
      <c r="O24" s="227">
        <f>SUMIF('Prop Budget Calc'!$G:$G,'Prop Budget Summary'!$A24,'Prop Budget Calc'!$BE:$BE)</f>
        <v>18303.235588</v>
      </c>
      <c r="P24" s="227">
        <f>SUMIF('Prop Budget Calc'!$G:$G,'Prop Budget Summary'!$A24,'Prop Budget Calc'!$AR:$AR)</f>
        <v>109.10807600000001</v>
      </c>
      <c r="Q24" s="227">
        <f>SUMIF('Prop Budget Calc'!$G:$G,'Prop Budget Summary'!$A24,'Prop Budget Calc'!$AQ:$AQ)</f>
        <v>12794.923166666666</v>
      </c>
      <c r="R24" s="254">
        <f t="shared" si="19"/>
        <v>36987.266830666667</v>
      </c>
      <c r="S24" s="426">
        <f t="shared" si="20"/>
        <v>-0.67287590803174491</v>
      </c>
      <c r="T24" s="259">
        <f t="shared" si="21"/>
        <v>111483.100164</v>
      </c>
      <c r="U24" s="235">
        <f t="shared" si="22"/>
        <v>-0.65316846694645547</v>
      </c>
      <c r="V24" s="230">
        <f>SUMIFS('YTD Personnel'!$G:$G,'YTD Personnel'!$B:$B,'Prop Budget Summary'!$A24,'YTD Personnel'!$C:$C,'Prop Budget Summary'!C$2)</f>
        <v>130925</v>
      </c>
      <c r="W24" s="230">
        <f>SUMIFS('YTD Personnel'!$G:$G,'YTD Personnel'!$B:$B,'Prop Budget Summary'!$A24,'YTD Personnel'!$C:$C,'Prop Budget Summary'!D$2)</f>
        <v>75390</v>
      </c>
      <c r="X24" s="230">
        <f>SUMIFS('YTD Personnel'!$G:$G,'YTD Personnel'!$B:$B,'Prop Budget Summary'!$A24,'YTD Personnel'!$C:$C,'Prop Budget Summary'!E$2)</f>
        <v>500</v>
      </c>
      <c r="Y24" s="230">
        <f>SUMIFS('YTD Personnel'!$G:$G,'YTD Personnel'!$B:$B,'Prop Budget Summary'!$A24,'YTD Personnel'!$C:$C,'Prop Budget Summary'!F$2)</f>
        <v>0</v>
      </c>
      <c r="Z24" s="230">
        <f>SUMIFS('YTD Personnel'!$G:$G,'YTD Personnel'!$B:$B,'Prop Budget Summary'!$A24,'YTD Personnel'!$C:$C,'Prop Budget Summary'!G$2)</f>
        <v>1550</v>
      </c>
      <c r="AA24" s="230">
        <f>SUMIFS('YTD Personnel'!$G:$G,'YTD Personnel'!$B:$B,'Prop Budget Summary'!$A24,'YTD Personnel'!$C:$C,'Prop Budget Summary'!H$2)</f>
        <v>0</v>
      </c>
      <c r="AB24" s="230">
        <f>SUMIFS('YTD Personnel'!$G:$G,'YTD Personnel'!$B:$B,'Prop Budget Summary'!$A24,'YTD Personnel'!$C:$C,'Prop Budget Summary'!I$2)</f>
        <v>0</v>
      </c>
      <c r="AC24" s="230">
        <f>SUMIFS('YTD Personnel'!$G:$G,'YTD Personnel'!$B:$B,'Prop Budget Summary'!$A24,'YTD Personnel'!$C:$C,'Prop Budget Summary'!J$2)</f>
        <v>0</v>
      </c>
      <c r="AD24" s="230">
        <f>SUMIFS('YTD Personnel'!$G:$G,'YTD Personnel'!$B:$B,'Prop Budget Summary'!$A24,'YTD Personnel'!$C:$C,'Prop Budget Summary'!K$2)</f>
        <v>0</v>
      </c>
      <c r="AE24" s="228">
        <f t="shared" si="23"/>
        <v>208365</v>
      </c>
      <c r="AF24" s="230">
        <f>SUMIFS('YTD Personnel'!$G:$G,'YTD Personnel'!$B:$B,'Prop Budget Summary'!$A24,'YTD Personnel'!$C:$C,'Prop Budget Summary'!N$2)</f>
        <v>18670</v>
      </c>
      <c r="AG24" s="230">
        <f>SUMIFS('YTD Personnel'!$G:$G,'YTD Personnel'!$B:$B,'Prop Budget Summary'!$A24,'YTD Personnel'!$C:$C,'Prop Budget Summary'!O$2)</f>
        <v>59307</v>
      </c>
      <c r="AH24" s="230">
        <f>SUMIFS('YTD Personnel'!$G:$G,'YTD Personnel'!$B:$B,'Prop Budget Summary'!$A24,'YTD Personnel'!$C:$C,'Prop Budget Summary'!P$2)</f>
        <v>354</v>
      </c>
      <c r="AI24" s="230">
        <f>SUMIFS('YTD Personnel'!$G:$G,'YTD Personnel'!$B:$B,'Prop Budget Summary'!$A24,'YTD Personnel'!$C:$C,'Prop Budget Summary'!Q$2)</f>
        <v>34737</v>
      </c>
      <c r="AJ24" s="227">
        <f t="shared" si="24"/>
        <v>113068</v>
      </c>
      <c r="AK24" s="230">
        <f t="shared" si="25"/>
        <v>321433</v>
      </c>
      <c r="AL24" s="91"/>
      <c r="AM24" s="235">
        <f t="shared" si="30"/>
        <v>-0.43894596142829867</v>
      </c>
      <c r="AN24" s="235">
        <f t="shared" si="31"/>
        <v>0</v>
      </c>
      <c r="AO24" s="235">
        <f t="shared" si="45"/>
        <v>0</v>
      </c>
      <c r="AP24" s="235">
        <f t="shared" si="55"/>
        <v>0</v>
      </c>
      <c r="AQ24" s="235">
        <f t="shared" si="56"/>
        <v>-0.65172043010752678</v>
      </c>
      <c r="AR24" s="235">
        <f t="shared" si="57"/>
        <v>0</v>
      </c>
      <c r="AS24" s="235">
        <f t="shared" si="58"/>
        <v>0</v>
      </c>
      <c r="AT24" s="235">
        <f t="shared" si="46"/>
        <v>0</v>
      </c>
      <c r="AU24" s="235">
        <f t="shared" si="47"/>
        <v>0</v>
      </c>
      <c r="AV24" s="235">
        <f t="shared" si="48"/>
        <v>-0.64247434389972724</v>
      </c>
      <c r="AW24" s="235">
        <f t="shared" si="49"/>
        <v>-0.69041242635243705</v>
      </c>
      <c r="AX24" s="235">
        <f t="shared" si="50"/>
        <v>-0.69138153020722681</v>
      </c>
      <c r="AY24" s="235">
        <f t="shared" si="51"/>
        <v>-0.69178509604519767</v>
      </c>
      <c r="AZ24" s="235">
        <f t="shared" si="52"/>
        <v>-0.63166297703697305</v>
      </c>
      <c r="BA24" s="235">
        <f t="shared" si="53"/>
        <v>-0.67287590803174491</v>
      </c>
      <c r="BB24" s="235">
        <f t="shared" si="54"/>
        <v>-0.65316846694645547</v>
      </c>
      <c r="BC24" s="262"/>
      <c r="BD24" s="262"/>
    </row>
    <row r="25" spans="1:56">
      <c r="A25" s="236" t="s">
        <v>786</v>
      </c>
      <c r="B25" s="519">
        <f t="shared" si="17"/>
        <v>-1</v>
      </c>
      <c r="C25" s="227">
        <f>SUMIFS('Prop Budget Calc'!$AD:$AD,'Prop Budget Calc'!$G:$G,'Prop Budget Summary'!$A25,'Prop Budget Calc'!$I:$I,'Prop Budget Summary'!C$2)+SUMIFS('Prop Budget Calc'!$AH:$AH,'Prop Budget Calc'!$G:$G,'Prop Budget Summary'!$A25,'Prop Budget Calc'!$I:$I,'Prop Budget Summary'!C$2)</f>
        <v>0</v>
      </c>
      <c r="D25" s="227">
        <f>SUMIFS('Prop Budget Calc'!$AD:$AD,'Prop Budget Calc'!$G:$G,'Prop Budget Summary'!$A25,'Prop Budget Calc'!$I:$I,'Prop Budget Summary'!D$2)+SUMIFS('Prop Budget Calc'!$AH:$AH,'Prop Budget Calc'!$G:$G,'Prop Budget Summary'!$A25,'Prop Budget Calc'!$I:$I,'Prop Budget Summary'!D$2)</f>
        <v>0</v>
      </c>
      <c r="E25" s="227">
        <f>SUMIFS('Prop Budget Calc'!$AD:$AD,'Prop Budget Calc'!$G:$G,'Prop Budget Summary'!$A25,'Prop Budget Calc'!$I:$I,'Prop Budget Summary'!E$2)</f>
        <v>5000</v>
      </c>
      <c r="F25" s="227">
        <f>SUMIFS('Prop Budget Calc'!$AD:$AD,'Prop Budget Calc'!$G:$G,'Prop Budget Summary'!$A25,'Prop Budget Calc'!$I:$I,'Prop Budget Summary'!F$2)+SUMIFS('Prop Budget Calc'!$AH:$AH,'Prop Budget Calc'!$G:$G,'Prop Budget Summary'!$A25,'Prop Budget Calc'!$I:$I,'Prop Budget Summary'!F$2)</f>
        <v>0</v>
      </c>
      <c r="G25" s="227">
        <f>SUMIF('Prop Budget Calc'!$G:$G,'Prop Budget Summary'!$A25,'Prop Budget Calc'!$AG:$AG)</f>
        <v>0</v>
      </c>
      <c r="H25" s="227">
        <f>SUMIFS('Prop Budget Calc'!$AD:$AD,'Prop Budget Calc'!$G:$G,'Prop Budget Summary'!$A25,'Prop Budget Calc'!$I:$I,'Prop Budget Summary'!H$2)</f>
        <v>0</v>
      </c>
      <c r="I25" s="227">
        <f>SUMIF('Prop Budget Calc'!$G:$G,'Prop Budget Summary'!$A25,'Prop Budget Calc'!$AK:$AK)</f>
        <v>0</v>
      </c>
      <c r="J25" s="227">
        <f>SUMIF('Prop Budget Calc'!$G:$G,'Prop Budget Summary'!$A25,'Prop Budget Calc'!$AL:$AL)</f>
        <v>0</v>
      </c>
      <c r="L25" s="496">
        <f t="shared" si="0"/>
        <v>5000</v>
      </c>
      <c r="M25" s="491">
        <f t="shared" si="18"/>
        <v>-0.97603872142617532</v>
      </c>
      <c r="N25" s="227">
        <f>SUMIF('Prop Budget Calc'!$G:$G,'Prop Budget Summary'!$A25,'Prop Budget Calc'!$AU:$AU)</f>
        <v>390</v>
      </c>
      <c r="O25" s="227">
        <f>SUMIF('Prop Budget Calc'!$G:$G,'Prop Budget Summary'!$A25,'Prop Budget Calc'!$BE:$BE)</f>
        <v>9</v>
      </c>
      <c r="P25" s="227">
        <f>SUMIF('Prop Budget Calc'!$G:$G,'Prop Budget Summary'!$A25,'Prop Budget Calc'!$AR:$AR)</f>
        <v>57.45600000000001</v>
      </c>
      <c r="Q25" s="227">
        <f>SUMIF('Prop Budget Calc'!$G:$G,'Prop Budget Summary'!$A25,'Prop Budget Calc'!$AQ:$AQ)</f>
        <v>847</v>
      </c>
      <c r="R25" s="254">
        <f t="shared" si="19"/>
        <v>1303.4560000000001</v>
      </c>
      <c r="S25" s="426">
        <f t="shared" si="20"/>
        <v>-0.98793163342777257</v>
      </c>
      <c r="T25" s="259">
        <f t="shared" si="21"/>
        <v>6303.4560000000001</v>
      </c>
      <c r="U25" s="235">
        <f t="shared" si="22"/>
        <v>-0.98009493614925036</v>
      </c>
      <c r="V25" s="230">
        <f>SUMIFS('YTD Personnel'!$G:$G,'YTD Personnel'!$B:$B,'Prop Budget Summary'!$A25,'YTD Personnel'!$C:$C,'Prop Budget Summary'!C$2)</f>
        <v>0</v>
      </c>
      <c r="W25" s="230">
        <f>SUMIFS('YTD Personnel'!$G:$G,'YTD Personnel'!$B:$B,'Prop Budget Summary'!$A25,'YTD Personnel'!$C:$C,'Prop Budget Summary'!D$2)</f>
        <v>201948</v>
      </c>
      <c r="X25" s="230">
        <f>SUMIFS('YTD Personnel'!$G:$G,'YTD Personnel'!$B:$B,'Prop Budget Summary'!$A25,'YTD Personnel'!$C:$C,'Prop Budget Summary'!E$2)</f>
        <v>5000</v>
      </c>
      <c r="Y25" s="230">
        <f>SUMIFS('YTD Personnel'!$G:$G,'YTD Personnel'!$B:$B,'Prop Budget Summary'!$A25,'YTD Personnel'!$C:$C,'Prop Budget Summary'!F$2)</f>
        <v>0</v>
      </c>
      <c r="Z25" s="230">
        <f>SUMIFS('YTD Personnel'!$G:$G,'YTD Personnel'!$B:$B,'Prop Budget Summary'!$A25,'YTD Personnel'!$C:$C,'Prop Budget Summary'!G$2)</f>
        <v>1722</v>
      </c>
      <c r="AA25" s="230">
        <f>SUMIFS('YTD Personnel'!$G:$G,'YTD Personnel'!$B:$B,'Prop Budget Summary'!$A25,'YTD Personnel'!$C:$C,'Prop Budget Summary'!H$2)</f>
        <v>0</v>
      </c>
      <c r="AB25" s="230">
        <f>SUMIFS('YTD Personnel'!$G:$G,'YTD Personnel'!$B:$B,'Prop Budget Summary'!$A25,'YTD Personnel'!$C:$C,'Prop Budget Summary'!I$2)</f>
        <v>0</v>
      </c>
      <c r="AC25" s="230">
        <f>SUMIFS('YTD Personnel'!$G:$G,'YTD Personnel'!$B:$B,'Prop Budget Summary'!$A25,'YTD Personnel'!$C:$C,'Prop Budget Summary'!J$2)</f>
        <v>0</v>
      </c>
      <c r="AD25" s="230">
        <f>SUMIFS('YTD Personnel'!$G:$G,'YTD Personnel'!$B:$B,'Prop Budget Summary'!$A25,'YTD Personnel'!$C:$C,'Prop Budget Summary'!K$2)</f>
        <v>0</v>
      </c>
      <c r="AE25" s="228">
        <f t="shared" si="23"/>
        <v>208670</v>
      </c>
      <c r="AF25" s="230">
        <f>SUMIFS('YTD Personnel'!$G:$G,'YTD Personnel'!$B:$B,'Prop Budget Summary'!$A25,'YTD Personnel'!$C:$C,'Prop Budget Summary'!N$2)</f>
        <v>16080</v>
      </c>
      <c r="AG25" s="230">
        <f>SUMIFS('YTD Personnel'!$G:$G,'YTD Personnel'!$B:$B,'Prop Budget Summary'!$A25,'YTD Personnel'!$C:$C,'Prop Budget Summary'!O$2)</f>
        <v>54588</v>
      </c>
      <c r="AH25" s="230">
        <f>SUMIFS('YTD Personnel'!$G:$G,'YTD Personnel'!$B:$B,'Prop Budget Summary'!$A25,'YTD Personnel'!$C:$C,'Prop Budget Summary'!P$2)</f>
        <v>2633</v>
      </c>
      <c r="AI25" s="230">
        <f>SUMIFS('YTD Personnel'!$G:$G,'YTD Personnel'!$B:$B,'Prop Budget Summary'!$A25,'YTD Personnel'!$C:$C,'Prop Budget Summary'!Q$2)</f>
        <v>34705</v>
      </c>
      <c r="AJ25" s="227">
        <f t="shared" si="24"/>
        <v>108006</v>
      </c>
      <c r="AK25" s="230">
        <f t="shared" si="25"/>
        <v>316676</v>
      </c>
      <c r="AL25" s="91"/>
      <c r="AM25" s="235">
        <f t="shared" si="30"/>
        <v>0</v>
      </c>
      <c r="AN25" s="235">
        <f t="shared" si="31"/>
        <v>0</v>
      </c>
      <c r="AO25" s="235">
        <f t="shared" si="45"/>
        <v>0</v>
      </c>
      <c r="AP25" s="235">
        <f t="shared" si="55"/>
        <v>0</v>
      </c>
      <c r="AQ25" s="235">
        <f t="shared" si="56"/>
        <v>0</v>
      </c>
      <c r="AR25" s="235">
        <f t="shared" si="57"/>
        <v>0</v>
      </c>
      <c r="AS25" s="235">
        <f t="shared" si="58"/>
        <v>0</v>
      </c>
      <c r="AT25" s="235">
        <f t="shared" si="46"/>
        <v>0</v>
      </c>
      <c r="AU25" s="235">
        <f t="shared" si="47"/>
        <v>0</v>
      </c>
      <c r="AV25" s="235">
        <f t="shared" si="48"/>
        <v>-0.97603872142617532</v>
      </c>
      <c r="AW25" s="235">
        <f t="shared" si="49"/>
        <v>-0.97574626865671643</v>
      </c>
      <c r="AX25" s="235">
        <f t="shared" si="50"/>
        <v>-0.99983512859969226</v>
      </c>
      <c r="AY25" s="235">
        <f t="shared" si="51"/>
        <v>-0.9781785036080517</v>
      </c>
      <c r="AZ25" s="235">
        <f t="shared" si="52"/>
        <v>-0.97559429477020598</v>
      </c>
      <c r="BA25" s="235">
        <f t="shared" si="53"/>
        <v>-0.98793163342777257</v>
      </c>
      <c r="BB25" s="235">
        <f t="shared" si="54"/>
        <v>-0.98009493614925036</v>
      </c>
      <c r="BC25" s="262"/>
      <c r="BD25" s="262"/>
    </row>
    <row r="26" spans="1:56">
      <c r="A26" s="500"/>
      <c r="B26" s="425">
        <f>SUM(C26:D26)/SUM(V26:W26)-1</f>
        <v>-0.84395840851549919</v>
      </c>
      <c r="C26" s="238">
        <f t="shared" ref="C26:J26" si="59">SUBTOTAL(9,C5:C25)</f>
        <v>727891</v>
      </c>
      <c r="D26" s="238">
        <f t="shared" si="59"/>
        <v>1908011</v>
      </c>
      <c r="E26" s="238">
        <f t="shared" si="59"/>
        <v>990080</v>
      </c>
      <c r="F26" s="238">
        <f t="shared" si="59"/>
        <v>41403</v>
      </c>
      <c r="G26" s="238">
        <f t="shared" si="59"/>
        <v>16231.166666666668</v>
      </c>
      <c r="H26" s="238">
        <f t="shared" si="59"/>
        <v>0</v>
      </c>
      <c r="I26" s="238">
        <f t="shared" si="59"/>
        <v>43900.240000000005</v>
      </c>
      <c r="J26" s="238">
        <f t="shared" si="59"/>
        <v>0</v>
      </c>
      <c r="K26" s="239"/>
      <c r="L26" s="497">
        <f>SUM(C26:K26)</f>
        <v>3727516.4066666667</v>
      </c>
      <c r="M26" s="518">
        <f>L26/AE26-1</f>
        <v>-0.79612513072455593</v>
      </c>
      <c r="N26" s="238">
        <f>SUBTOTAL(9,N5:N25)</f>
        <v>237100</v>
      </c>
      <c r="O26" s="238">
        <f>SUBTOTAL(9,O5:O25)</f>
        <v>572310.7229619422</v>
      </c>
      <c r="P26" s="238">
        <f>SUBTOTAL(9,P5:P25)</f>
        <v>40905.956700223993</v>
      </c>
      <c r="Q26" s="238">
        <f>SUBTOTAL(9,Q5:Q25)</f>
        <v>625700.65208933328</v>
      </c>
      <c r="R26" s="256">
        <f>SUM(N26:Q26)</f>
        <v>1476017.3317514993</v>
      </c>
      <c r="S26" s="523">
        <f t="shared" si="20"/>
        <v>-0.80670496311244577</v>
      </c>
      <c r="T26" s="256">
        <f>SUM(T5:T25)</f>
        <v>5203533.7384181656</v>
      </c>
      <c r="U26" s="501">
        <f t="shared" si="22"/>
        <v>-0.79924203844002317</v>
      </c>
      <c r="V26" s="238">
        <f t="shared" ref="V26:AC26" si="60">SUBTOTAL(9,V5:V25)</f>
        <v>3689371</v>
      </c>
      <c r="W26" s="238">
        <f t="shared" si="60"/>
        <v>13202933</v>
      </c>
      <c r="X26" s="238">
        <f t="shared" si="60"/>
        <v>1014850</v>
      </c>
      <c r="Y26" s="238">
        <f t="shared" si="60"/>
        <v>0</v>
      </c>
      <c r="Z26" s="238">
        <f t="shared" si="60"/>
        <v>115377</v>
      </c>
      <c r="AA26" s="238">
        <f t="shared" si="60"/>
        <v>0</v>
      </c>
      <c r="AB26" s="238">
        <f t="shared" si="60"/>
        <v>239823</v>
      </c>
      <c r="AC26" s="238">
        <f t="shared" si="60"/>
        <v>21000</v>
      </c>
      <c r="AD26" s="239"/>
      <c r="AE26" s="238">
        <f>SUM(V26:AD26)</f>
        <v>18283354</v>
      </c>
      <c r="AF26" s="238">
        <f>SUBTOTAL(9,AF5:AF25)</f>
        <v>1354157</v>
      </c>
      <c r="AG26" s="238">
        <f>SUBTOTAL(9,AG5:AG25)</f>
        <v>3027973</v>
      </c>
      <c r="AH26" s="238">
        <f>SUBTOTAL(9,AH5:AH25)</f>
        <v>222512</v>
      </c>
      <c r="AI26" s="238">
        <f>SUBTOTAL(9,AI5:AI25)</f>
        <v>3031443</v>
      </c>
      <c r="AJ26" s="238">
        <f>SUM(AF26:AI26)</f>
        <v>7636085</v>
      </c>
      <c r="AK26" s="238">
        <f>SUM(AK5:AK25)</f>
        <v>25919439</v>
      </c>
      <c r="AL26" s="272"/>
      <c r="AM26" s="241">
        <f t="shared" si="30"/>
        <v>-0.80270593551041625</v>
      </c>
      <c r="AN26" s="241">
        <f t="shared" si="31"/>
        <v>-0.85548582273347895</v>
      </c>
      <c r="AO26" s="241">
        <f t="shared" si="45"/>
        <v>-2.4407547913484762E-2</v>
      </c>
      <c r="AP26" s="241" t="e">
        <f t="shared" si="55"/>
        <v>#DIV/0!</v>
      </c>
      <c r="AQ26" s="241">
        <f t="shared" si="56"/>
        <v>-0.8593206040487561</v>
      </c>
      <c r="AR26" s="241">
        <f t="shared" si="57"/>
        <v>0</v>
      </c>
      <c r="AS26" s="241">
        <f t="shared" si="58"/>
        <v>-0.81694733199067637</v>
      </c>
      <c r="AT26" s="241">
        <f t="shared" si="46"/>
        <v>0</v>
      </c>
      <c r="AU26" s="241">
        <f t="shared" si="47"/>
        <v>0</v>
      </c>
      <c r="AV26" s="241">
        <f t="shared" si="48"/>
        <v>-0.79612513072455593</v>
      </c>
      <c r="AW26" s="241">
        <f t="shared" si="49"/>
        <v>-0.82490951935410739</v>
      </c>
      <c r="AX26" s="241">
        <f t="shared" si="50"/>
        <v>-0.81099213138230031</v>
      </c>
      <c r="AY26" s="241">
        <f t="shared" si="51"/>
        <v>-0.81616291840339406</v>
      </c>
      <c r="AZ26" s="241">
        <f t="shared" si="52"/>
        <v>-0.79359643176885286</v>
      </c>
      <c r="BA26" s="241">
        <f t="shared" si="53"/>
        <v>-0.80670496311244577</v>
      </c>
      <c r="BB26" s="241">
        <f t="shared" si="54"/>
        <v>-0.79924203844002317</v>
      </c>
      <c r="BC26" s="86"/>
      <c r="BD26" s="86"/>
    </row>
    <row r="27" spans="1:56">
      <c r="A27" s="236"/>
      <c r="B27" s="521"/>
      <c r="C27" s="416">
        <f>C26/V26-1</f>
        <v>-0.80270593551041625</v>
      </c>
      <c r="D27" s="416">
        <f t="shared" ref="D27:J27" si="61">D26/W26-1</f>
        <v>-0.85548582273347895</v>
      </c>
      <c r="E27" s="416">
        <f t="shared" si="61"/>
        <v>-2.4407547913484762E-2</v>
      </c>
      <c r="F27" s="416"/>
      <c r="G27" s="416">
        <f t="shared" si="61"/>
        <v>-0.8593206040487561</v>
      </c>
      <c r="H27" s="416"/>
      <c r="I27" s="416">
        <f t="shared" si="61"/>
        <v>-0.81694733199067637</v>
      </c>
      <c r="J27" s="416">
        <f t="shared" si="61"/>
        <v>-1</v>
      </c>
      <c r="K27" s="416"/>
      <c r="L27" s="416">
        <f>L26/AE26-1</f>
        <v>-0.79612513072455593</v>
      </c>
      <c r="M27" s="498"/>
      <c r="N27" s="416">
        <f>N26/AF26-1</f>
        <v>-0.82490951935410739</v>
      </c>
      <c r="O27" s="416">
        <f>O26/AG26-1</f>
        <v>-0.81099213138230031</v>
      </c>
      <c r="P27" s="416">
        <f>P26/AH26-1</f>
        <v>-0.81616291840339406</v>
      </c>
      <c r="Q27" s="416">
        <f>Q26/AI26-1</f>
        <v>-0.79359643176885286</v>
      </c>
      <c r="R27" s="416">
        <f>R26/AJ26-1</f>
        <v>-0.80670496311244577</v>
      </c>
      <c r="S27" s="416"/>
      <c r="T27" s="260">
        <f>T26-AK26</f>
        <v>-20715905.261581834</v>
      </c>
      <c r="U27" s="415">
        <f t="shared" si="22"/>
        <v>-1.7685019600384837</v>
      </c>
      <c r="X27" s="235"/>
      <c r="AK27" s="231">
        <f>AK26*1.04</f>
        <v>26956216.560000002</v>
      </c>
      <c r="AL27" s="86"/>
      <c r="BB27" s="233">
        <f t="shared" si="54"/>
        <v>-1.7685019600384837</v>
      </c>
    </row>
    <row r="28" spans="1:56">
      <c r="A28" s="236"/>
      <c r="B28" s="521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98"/>
      <c r="N28" s="416"/>
      <c r="O28" s="416"/>
      <c r="P28" s="416"/>
      <c r="Q28" s="416"/>
      <c r="R28" s="416"/>
      <c r="S28" s="533">
        <f>T26-AK27</f>
        <v>-21752682.821581837</v>
      </c>
      <c r="T28" s="415"/>
      <c r="U28" s="415"/>
      <c r="X28" s="235"/>
      <c r="AK28" s="231"/>
      <c r="AL28" s="86"/>
    </row>
    <row r="29" spans="1:56">
      <c r="A29" s="236"/>
      <c r="B29" s="521"/>
      <c r="C29" s="533"/>
      <c r="D29" s="533"/>
      <c r="E29" s="533"/>
      <c r="F29" s="533"/>
      <c r="G29" s="533"/>
      <c r="H29" s="416"/>
      <c r="I29" s="533"/>
      <c r="J29" s="533"/>
      <c r="K29" s="416"/>
      <c r="L29" s="416"/>
      <c r="M29" s="533"/>
      <c r="N29" s="533"/>
      <c r="O29" s="533"/>
      <c r="P29" s="533"/>
      <c r="Q29" s="533"/>
      <c r="R29" s="416"/>
      <c r="S29" s="416"/>
      <c r="U29" s="415" t="s">
        <v>2420</v>
      </c>
      <c r="X29" s="235"/>
      <c r="AK29" s="231"/>
      <c r="AL29" s="86"/>
    </row>
    <row r="30" spans="1:56">
      <c r="A30" s="236"/>
      <c r="B30" s="521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98"/>
      <c r="N30" s="416"/>
      <c r="O30" s="416"/>
      <c r="P30" s="416"/>
      <c r="Q30" s="416"/>
      <c r="R30" s="416"/>
      <c r="S30" s="416"/>
      <c r="T30" s="228">
        <f>T27-T29</f>
        <v>-20715905.261581834</v>
      </c>
      <c r="U30" s="415">
        <f>T28-T29</f>
        <v>0</v>
      </c>
      <c r="X30" s="235"/>
      <c r="AK30" s="231"/>
      <c r="AL30" s="86"/>
    </row>
    <row r="31" spans="1:56">
      <c r="A31" s="236"/>
      <c r="B31" s="521"/>
      <c r="C31" s="416"/>
      <c r="D31" s="416"/>
      <c r="E31" s="416"/>
      <c r="F31" s="416"/>
      <c r="G31" s="416"/>
      <c r="H31" s="416"/>
      <c r="I31" s="416"/>
      <c r="J31"/>
      <c r="K31" s="416"/>
      <c r="L31" s="557"/>
      <c r="M31" s="498"/>
      <c r="N31" s="416"/>
      <c r="O31" s="416"/>
      <c r="P31" s="416"/>
      <c r="Q31" s="416"/>
      <c r="R31" s="557"/>
      <c r="S31" s="416"/>
      <c r="T31" s="235">
        <f>T30/AK26</f>
        <v>-0.79924203844002317</v>
      </c>
      <c r="U31" s="415"/>
      <c r="X31" s="235"/>
      <c r="AK31" s="231"/>
      <c r="AL31" s="86"/>
    </row>
    <row r="32" spans="1:56">
      <c r="A32" s="236"/>
      <c r="B32" s="521"/>
      <c r="C32" s="416"/>
      <c r="D32" s="416"/>
      <c r="E32" s="416"/>
      <c r="F32" s="416"/>
      <c r="G32" s="416"/>
      <c r="H32" s="416"/>
      <c r="I32" s="416"/>
      <c r="J32" s="416"/>
      <c r="K32" s="416"/>
      <c r="L32" s="534"/>
      <c r="M32" s="498"/>
      <c r="N32" s="416"/>
      <c r="O32" s="416"/>
      <c r="P32" s="416"/>
      <c r="Q32" s="416"/>
      <c r="R32" s="416"/>
      <c r="S32" s="416"/>
      <c r="T32" s="260"/>
      <c r="U32" s="534">
        <f>482695+724502</f>
        <v>1207197</v>
      </c>
      <c r="X32" s="235"/>
      <c r="AK32" s="231"/>
      <c r="AL32" s="86"/>
    </row>
    <row r="33" spans="1:54">
      <c r="A33" s="236"/>
      <c r="B33" s="521"/>
      <c r="C33" s="416"/>
      <c r="D33" s="416"/>
      <c r="E33" s="416"/>
      <c r="F33" s="416"/>
      <c r="G33" s="416"/>
      <c r="H33" s="416"/>
      <c r="I33" s="416"/>
      <c r="J33" s="416"/>
      <c r="K33" s="416"/>
      <c r="L33" s="416"/>
      <c r="M33" s="498"/>
      <c r="N33" s="416"/>
      <c r="O33" s="416"/>
      <c r="P33" s="416"/>
      <c r="Q33" s="416"/>
      <c r="R33" s="416"/>
      <c r="S33" s="416"/>
      <c r="T33" s="260"/>
      <c r="U33" s="415"/>
      <c r="X33" s="235"/>
      <c r="AK33" s="231"/>
      <c r="AL33" s="86"/>
    </row>
    <row r="34" spans="1:54">
      <c r="A34" s="236"/>
      <c r="B34" s="521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98"/>
      <c r="N34" s="416"/>
      <c r="O34" s="416"/>
      <c r="P34" s="416"/>
      <c r="Q34" s="416"/>
      <c r="R34" s="416"/>
      <c r="S34" s="416"/>
      <c r="T34" s="260"/>
      <c r="U34" s="415"/>
      <c r="X34" s="235"/>
      <c r="AK34" s="231"/>
      <c r="AL34" s="86"/>
    </row>
    <row r="35" spans="1:54">
      <c r="A35" s="236" t="s">
        <v>790</v>
      </c>
      <c r="B35" s="519">
        <f t="shared" ref="B35:B36" si="62">SUM(C35:D35)/SUM(V35:W35)-1</f>
        <v>-0.64822238195289172</v>
      </c>
      <c r="C35" s="227">
        <f>SUMIFS('Prop Budget Calc'!$AD:$AD,'Prop Budget Calc'!$G:$G,'Prop Budget Summary'!$A35,'Prop Budget Calc'!$I:$I,'Prop Budget Summary'!C$2)</f>
        <v>93642</v>
      </c>
      <c r="D35" s="227">
        <f>SUMIFS('Prop Budget Calc'!$AD:$AD,'Prop Budget Calc'!$G:$G,'Prop Budget Summary'!$A35,'Prop Budget Calc'!$I:$I,'Prop Budget Summary'!D$2)</f>
        <v>59052</v>
      </c>
      <c r="E35" s="227">
        <f>SUMIFS('Prop Budget Calc'!$AD:$AD,'Prop Budget Calc'!$G:$G,'Prop Budget Summary'!$A35,'Prop Budget Calc'!$I:$I,'Prop Budget Summary'!E$2)</f>
        <v>3000</v>
      </c>
      <c r="F35" s="227">
        <f>SUMIFS('Prop Budget Calc'!$AD:$AD,'Prop Budget Calc'!$G:$G,'Prop Budget Summary'!$A35,'Prop Budget Calc'!$I:$I,'Prop Budget Summary'!F$2)</f>
        <v>0</v>
      </c>
      <c r="G35" s="227">
        <f>SUMIF('Prop Budget Calc'!$G:$G,'Prop Budget Summary'!$A35,'Prop Budget Calc'!$AG:$AG)</f>
        <v>1437.6666666666667</v>
      </c>
      <c r="H35" s="227">
        <f>SUMIFS('Prop Budget Calc'!$AD:$AD,'Prop Budget Calc'!$G:$G,'Prop Budget Summary'!$A35,'Prop Budget Calc'!$I:$I,'Prop Budget Summary'!H$2)</f>
        <v>0</v>
      </c>
      <c r="I35" s="227">
        <f>SUMIF('Prop Budget Calc'!$G:$G,'Prop Budget Summary'!$A35,'Prop Budget Calc'!$AK:$AK)</f>
        <v>3000</v>
      </c>
      <c r="J35" s="227">
        <f>SUMIF('Prop Budget Calc'!$G:$G,'Prop Budget Summary'!$A35,'Prop Budget Calc'!$AL:$AL)</f>
        <v>0</v>
      </c>
      <c r="K35" s="227">
        <f>SUMIFS('Prop Budget Calc'!$AD:$AD,'Prop Budget Calc'!$G:$G,'Prop Budget Summary'!$A35,'Prop Budget Calc'!$I:$I,'Prop Budget Summary'!K$2)</f>
        <v>27615</v>
      </c>
      <c r="L35" s="496">
        <f>SUBTOTAL(9,C35:K35)</f>
        <v>187746.66666666666</v>
      </c>
      <c r="M35" s="491">
        <f t="shared" ref="M35:M36" si="63">L35/AE35-1</f>
        <v>-0.64783281249804614</v>
      </c>
      <c r="N35" s="227">
        <f>SUMIF('Prop Budget Calc'!$G:$G,'Prop Budget Summary'!$A35,'Prop Budget Calc'!$AU:$AU)</f>
        <v>14540</v>
      </c>
      <c r="O35" s="227">
        <f>SUMIF('Prop Budget Calc'!$G:$G,'Prop Budget Summary'!$A35,'Prop Budget Calc'!$BE:$BE)</f>
        <v>32872.129736000003</v>
      </c>
      <c r="P35" s="227">
        <f>SUMIF('Prop Budget Calc'!$G:$G,'Prop Budget Summary'!$A35,'Prop Budget Calc'!$AR:$AR)</f>
        <v>261.49144000000007</v>
      </c>
      <c r="Q35" s="227">
        <f>SUMIF('Prop Budget Calc'!$G:$G,'Prop Budget Summary'!$A35,'Prop Budget Calc'!$AQ:$AQ)</f>
        <v>32154.943333333333</v>
      </c>
      <c r="R35" s="254">
        <f t="shared" ref="R35:R36" si="64">SUBTOTAL(9,N35:Q35)</f>
        <v>79828.56450933333</v>
      </c>
      <c r="S35" s="426">
        <f t="shared" ref="S35:S36" si="65">R35/AJ35-1</f>
        <v>-0.60833215821382258</v>
      </c>
      <c r="T35" s="259">
        <f t="shared" ref="T35:T36" si="66">L35+R35</f>
        <v>267575.23117599997</v>
      </c>
      <c r="V35" s="230">
        <f>SUMIFS('YTD Personnel'!$G:$G,'YTD Personnel'!$B:$B,'Prop Budget Summary'!$A35,'YTD Personnel'!$C:$C,'Prop Budget Summary'!C$2)</f>
        <v>382461</v>
      </c>
      <c r="W35" s="230">
        <f>SUMIFS('YTD Personnel'!$G:$G,'YTD Personnel'!$B:$B,'Prop Budget Summary'!$A35,'YTD Personnel'!$C:$C,'Prop Budget Summary'!D$2)</f>
        <v>51603</v>
      </c>
      <c r="X35" s="230">
        <f>SUMIFS('YTD Personnel'!$G:$G,'YTD Personnel'!$B:$B,'Prop Budget Summary'!$A35,'YTD Personnel'!$C:$C,'Prop Budget Summary'!E$2)</f>
        <v>3000</v>
      </c>
      <c r="Y35" s="230">
        <f>SUMIFS('YTD Personnel'!$G:$G,'YTD Personnel'!$B:$B,'Prop Budget Summary'!$A35,'YTD Personnel'!$C:$C,'Prop Budget Summary'!F$2)</f>
        <v>0</v>
      </c>
      <c r="Z35" s="230">
        <f>SUMIFS('YTD Personnel'!$G:$G,'YTD Personnel'!$B:$B,'Prop Budget Summary'!$A35,'YTD Personnel'!$C:$C,'Prop Budget Summary'!G$2)</f>
        <v>4534</v>
      </c>
      <c r="AA35" s="230">
        <f>SUMIFS('YTD Personnel'!$G:$G,'YTD Personnel'!$B:$B,'Prop Budget Summary'!$A35,'YTD Personnel'!$C:$C,'Prop Budget Summary'!H$2)</f>
        <v>0</v>
      </c>
      <c r="AB35" s="230">
        <f>SUMIFS('YTD Personnel'!$G:$G,'YTD Personnel'!$B:$B,'Prop Budget Summary'!$A35,'YTD Personnel'!$C:$C,'Prop Budget Summary'!I$2)</f>
        <v>7500</v>
      </c>
      <c r="AC35" s="230">
        <f>SUMIFS('YTD Personnel'!$G:$G,'YTD Personnel'!$B:$B,'Prop Budget Summary'!$A35,'YTD Personnel'!$C:$C,'Prop Budget Summary'!J$2)</f>
        <v>0</v>
      </c>
      <c r="AD35" s="230">
        <f>SUMIFS('YTD Personnel'!$G:$G,'YTD Personnel'!$B:$B,'Prop Budget Summary'!$A35,'YTD Personnel'!$C:$C,'Prop Budget Summary'!K$2)</f>
        <v>84020</v>
      </c>
      <c r="AE35" s="228">
        <f t="shared" ref="AE35:AE36" si="67">SUBTOTAL(9,V35:AD35)</f>
        <v>533118</v>
      </c>
      <c r="AF35" s="230">
        <f>SUMIFS('YTD Personnel'!$G:$G,'YTD Personnel'!$B:$B,'Prop Budget Summary'!$A35,'YTD Personnel'!$C:$C,'Prop Budget Summary'!N$2)</f>
        <v>41000</v>
      </c>
      <c r="AG35" s="230">
        <f>SUMIFS('YTD Personnel'!$G:$G,'YTD Personnel'!$B:$B,'Prop Budget Summary'!$A35,'YTD Personnel'!$C:$C,'Prop Budget Summary'!O$2)</f>
        <v>72984</v>
      </c>
      <c r="AH35" s="230">
        <f>SUMIFS('YTD Personnel'!$G:$G,'YTD Personnel'!$B:$B,'Prop Budget Summary'!$A35,'YTD Personnel'!$C:$C,'Prop Budget Summary'!P$2)</f>
        <v>770</v>
      </c>
      <c r="AI35" s="230">
        <f>SUMIFS('YTD Personnel'!$G:$G,'YTD Personnel'!$B:$B,'Prop Budget Summary'!$A35,'YTD Personnel'!$C:$C,'Prop Budget Summary'!Q$2)</f>
        <v>89063</v>
      </c>
      <c r="AJ35" s="227">
        <f t="shared" ref="AJ35:AJ36" si="68">SUBTOTAL(9,AF35:AI35)</f>
        <v>203817</v>
      </c>
      <c r="AK35" s="230">
        <f t="shared" ref="AK35:AK36" si="69">SUBTOTAL(9,V35:AI35)</f>
        <v>736935</v>
      </c>
      <c r="AM35" s="234">
        <f t="shared" ref="AM35:AV37" si="70">IF(C35=0,0,C35/V35-1)</f>
        <v>-0.7551593495807416</v>
      </c>
      <c r="AN35" s="234">
        <f t="shared" si="70"/>
        <v>0.14435207255392135</v>
      </c>
      <c r="AO35" s="234">
        <f t="shared" si="70"/>
        <v>0</v>
      </c>
      <c r="AP35" s="234">
        <f t="shared" si="70"/>
        <v>0</v>
      </c>
      <c r="AQ35" s="234">
        <f t="shared" si="70"/>
        <v>-0.68291427731215992</v>
      </c>
      <c r="AR35" s="234">
        <f t="shared" si="70"/>
        <v>0</v>
      </c>
      <c r="AS35" s="234">
        <f t="shared" si="70"/>
        <v>-0.6</v>
      </c>
      <c r="AT35" s="234">
        <f t="shared" si="70"/>
        <v>0</v>
      </c>
      <c r="AU35" s="234">
        <f t="shared" si="70"/>
        <v>-0.67132825517733874</v>
      </c>
      <c r="AV35" s="234">
        <f t="shared" si="70"/>
        <v>-0.64783281249804614</v>
      </c>
      <c r="AW35" s="234">
        <f t="shared" ref="AW35:BA37" si="71">IF(N35=0,0,N35/AF35-1)</f>
        <v>-0.6453658536585366</v>
      </c>
      <c r="AX35" s="234">
        <f t="shared" si="71"/>
        <v>-0.54959813471445795</v>
      </c>
      <c r="AY35" s="234">
        <f t="shared" si="71"/>
        <v>-0.66040072727272725</v>
      </c>
      <c r="AZ35" s="234">
        <f t="shared" si="71"/>
        <v>-0.6389640666344798</v>
      </c>
      <c r="BA35" s="234">
        <f t="shared" si="71"/>
        <v>-0.60833215821382258</v>
      </c>
      <c r="BB35" s="234">
        <f t="shared" ref="BB35:BB37" si="72">IF(T35=0,0,T35/AK35-1)</f>
        <v>-0.63690796179310261</v>
      </c>
    </row>
    <row r="36" spans="1:54">
      <c r="A36" s="236" t="s">
        <v>791</v>
      </c>
      <c r="B36" s="519">
        <f t="shared" si="62"/>
        <v>-0.31639602603631378</v>
      </c>
      <c r="C36" s="227">
        <f>SUMIFS('Prop Budget Calc'!$AD:$AD,'Prop Budget Calc'!$G:$G,'Prop Budget Summary'!$A36,'Prop Budget Calc'!$I:$I,'Prop Budget Summary'!C$2)</f>
        <v>99772</v>
      </c>
      <c r="D36" s="227">
        <f>SUMIFS('Prop Budget Calc'!$AD:$AD,'Prop Budget Calc'!$G:$G,'Prop Budget Summary'!$A36,'Prop Budget Calc'!$I:$I,'Prop Budget Summary'!D$2)</f>
        <v>0</v>
      </c>
      <c r="E36" s="227">
        <f>SUMIFS('Prop Budget Calc'!$AD:$AD,'Prop Budget Calc'!$G:$G,'Prop Budget Summary'!$A36,'Prop Budget Calc'!$I:$I,'Prop Budget Summary'!E$2)</f>
        <v>1500</v>
      </c>
      <c r="F36" s="227">
        <f>SUMIFS('Prop Budget Calc'!$AD:$AD,'Prop Budget Calc'!$G:$G,'Prop Budget Summary'!$A36,'Prop Budget Calc'!$I:$I,'Prop Budget Summary'!F$2)</f>
        <v>0</v>
      </c>
      <c r="G36" s="227">
        <f>SUMIF('Prop Budget Calc'!$G:$G,'Prop Budget Summary'!$A36,'Prop Budget Calc'!$AG:$AG)</f>
        <v>1197.1666666666667</v>
      </c>
      <c r="H36" s="227">
        <f>SUMIFS('Prop Budget Calc'!$AD:$AD,'Prop Budget Calc'!$G:$G,'Prop Budget Summary'!$A36,'Prop Budget Calc'!$I:$I,'Prop Budget Summary'!H$2)</f>
        <v>0</v>
      </c>
      <c r="I36" s="227">
        <f>SUMIF('Prop Budget Calc'!$G:$G,'Prop Budget Summary'!$A36,'Prop Budget Calc'!$AK:$AK)</f>
        <v>1500</v>
      </c>
      <c r="J36" s="227">
        <f>SUMIF('Prop Budget Calc'!$G:$G,'Prop Budget Summary'!$A36,'Prop Budget Calc'!$AL:$AL)</f>
        <v>0</v>
      </c>
      <c r="L36" s="496">
        <f>SUBTOTAL(9,C36:K36)</f>
        <v>103969.16666666667</v>
      </c>
      <c r="M36" s="491">
        <f t="shared" si="63"/>
        <v>-0.31551498632818498</v>
      </c>
      <c r="N36" s="227">
        <f>SUMIF('Prop Budget Calc'!$G:$G,'Prop Budget Summary'!$A36,'Prop Budget Calc'!$AU:$AU)</f>
        <v>8040</v>
      </c>
      <c r="O36" s="227">
        <f>SUMIF('Prop Budget Calc'!$G:$G,'Prop Budget Summary'!$A36,'Prop Budget Calc'!$BE:$BE)</f>
        <v>11035.8889</v>
      </c>
      <c r="P36" s="227">
        <f>SUMIF('Prop Budget Calc'!$G:$G,'Prop Budget Summary'!$A36,'Prop Budget Calc'!$AR:$AR)</f>
        <v>144.65374000000003</v>
      </c>
      <c r="Q36" s="227">
        <f>SUMIF('Prop Budget Calc'!$G:$G,'Prop Budget Summary'!$A36,'Prop Budget Calc'!$AQ:$AQ)</f>
        <v>17787.705833333333</v>
      </c>
      <c r="R36" s="254">
        <f t="shared" si="64"/>
        <v>37008.248473333333</v>
      </c>
      <c r="S36" s="426">
        <f t="shared" si="65"/>
        <v>-0.37759420663751542</v>
      </c>
      <c r="T36" s="259">
        <f t="shared" si="66"/>
        <v>140977.41514</v>
      </c>
      <c r="V36" s="230">
        <f>SUMIFS('YTD Personnel'!$G:$G,'YTD Personnel'!$B:$B,'Prop Budget Summary'!$A36,'YTD Personnel'!$C:$C,'Prop Budget Summary'!C$2)</f>
        <v>94536</v>
      </c>
      <c r="W36" s="230">
        <f>SUMIFS('YTD Personnel'!$G:$G,'YTD Personnel'!$B:$B,'Prop Budget Summary'!$A36,'YTD Personnel'!$C:$C,'Prop Budget Summary'!D$2)</f>
        <v>51414</v>
      </c>
      <c r="X36" s="230">
        <f>SUMIFS('YTD Personnel'!$G:$G,'YTD Personnel'!$B:$B,'Prop Budget Summary'!$A36,'YTD Personnel'!$C:$C,'Prop Budget Summary'!E$2)</f>
        <v>1500</v>
      </c>
      <c r="Y36" s="230">
        <f>SUMIFS('YTD Personnel'!$G:$G,'YTD Personnel'!$B:$B,'Prop Budget Summary'!$A36,'YTD Personnel'!$C:$C,'Prop Budget Summary'!F$2)</f>
        <v>0</v>
      </c>
      <c r="Z36" s="230">
        <f>SUMIFS('YTD Personnel'!$G:$G,'YTD Personnel'!$B:$B,'Prop Budget Summary'!$A36,'YTD Personnel'!$C:$C,'Prop Budget Summary'!G$2)</f>
        <v>1444</v>
      </c>
      <c r="AA36" s="230">
        <f>SUMIFS('YTD Personnel'!$G:$G,'YTD Personnel'!$B:$B,'Prop Budget Summary'!$A36,'YTD Personnel'!$C:$C,'Prop Budget Summary'!H$2)</f>
        <v>0</v>
      </c>
      <c r="AB36" s="230">
        <f>SUMIFS('YTD Personnel'!$G:$G,'YTD Personnel'!$B:$B,'Prop Budget Summary'!$A36,'YTD Personnel'!$C:$C,'Prop Budget Summary'!I$2)</f>
        <v>3000</v>
      </c>
      <c r="AC36" s="230">
        <f>SUMIFS('YTD Personnel'!$G:$G,'YTD Personnel'!$B:$B,'Prop Budget Summary'!$A36,'YTD Personnel'!$C:$C,'Prop Budget Summary'!J$2)</f>
        <v>0</v>
      </c>
      <c r="AD36" s="230">
        <f>SUMIFS('YTD Personnel'!$G:$G,'YTD Personnel'!$B:$B,'Prop Budget Summary'!$A36,'YTD Personnel'!$C:$C,'Prop Budget Summary'!K$2)</f>
        <v>0</v>
      </c>
      <c r="AE36" s="228">
        <f t="shared" si="67"/>
        <v>151894</v>
      </c>
      <c r="AF36" s="230">
        <f>SUMIFS('YTD Personnel'!$G:$G,'YTD Personnel'!$B:$B,'Prop Budget Summary'!$A36,'YTD Personnel'!$C:$C,'Prop Budget Summary'!N$2)</f>
        <v>11760</v>
      </c>
      <c r="AG36" s="230">
        <f>SUMIFS('YTD Personnel'!$G:$G,'YTD Personnel'!$B:$B,'Prop Budget Summary'!$A36,'YTD Personnel'!$C:$C,'Prop Budget Summary'!O$2)</f>
        <v>22085</v>
      </c>
      <c r="AH36" s="230">
        <f>SUMIFS('YTD Personnel'!$G:$G,'YTD Personnel'!$B:$B,'Prop Budget Summary'!$A36,'YTD Personnel'!$C:$C,'Prop Budget Summary'!P$2)</f>
        <v>219</v>
      </c>
      <c r="AI36" s="230">
        <f>SUMIFS('YTD Personnel'!$G:$G,'YTD Personnel'!$B:$B,'Prop Budget Summary'!$A36,'YTD Personnel'!$C:$C,'Prop Budget Summary'!Q$2)</f>
        <v>25396</v>
      </c>
      <c r="AJ36" s="227">
        <f t="shared" si="68"/>
        <v>59460</v>
      </c>
      <c r="AK36" s="230">
        <f t="shared" si="69"/>
        <v>211354</v>
      </c>
      <c r="AM36" s="234">
        <f t="shared" si="70"/>
        <v>5.5386307861555295E-2</v>
      </c>
      <c r="AN36" s="234">
        <f t="shared" si="70"/>
        <v>0</v>
      </c>
      <c r="AO36" s="234">
        <f t="shared" si="70"/>
        <v>0</v>
      </c>
      <c r="AP36" s="234">
        <f t="shared" si="70"/>
        <v>0</v>
      </c>
      <c r="AQ36" s="234">
        <f t="shared" si="70"/>
        <v>-0.17093721144967677</v>
      </c>
      <c r="AR36" s="234">
        <f t="shared" si="70"/>
        <v>0</v>
      </c>
      <c r="AS36" s="234">
        <f t="shared" si="70"/>
        <v>-0.5</v>
      </c>
      <c r="AT36" s="234">
        <f t="shared" si="70"/>
        <v>0</v>
      </c>
      <c r="AU36" s="234">
        <f t="shared" si="70"/>
        <v>0</v>
      </c>
      <c r="AV36" s="234">
        <f t="shared" si="70"/>
        <v>-0.31551498632818498</v>
      </c>
      <c r="AW36" s="234">
        <f t="shared" si="71"/>
        <v>-0.31632653061224492</v>
      </c>
      <c r="AX36" s="234">
        <f t="shared" si="71"/>
        <v>-0.50029934797373787</v>
      </c>
      <c r="AY36" s="234">
        <f t="shared" si="71"/>
        <v>-0.3394806392694063</v>
      </c>
      <c r="AZ36" s="234">
        <f t="shared" si="71"/>
        <v>-0.29958631936787949</v>
      </c>
      <c r="BA36" s="234">
        <f t="shared" si="71"/>
        <v>-0.37759420663751542</v>
      </c>
      <c r="BB36" s="234">
        <f t="shared" si="72"/>
        <v>-0.33297966851822058</v>
      </c>
    </row>
    <row r="37" spans="1:54">
      <c r="A37" s="500"/>
      <c r="B37" s="520">
        <f t="shared" ref="B37:B42" si="73">SUM(C37:D37)/SUM(V37:W37)-1</f>
        <v>-0.56472429975828176</v>
      </c>
      <c r="C37" s="238">
        <f>SUBTOTAL(9,C35:C36)</f>
        <v>193414</v>
      </c>
      <c r="D37" s="238">
        <f t="shared" ref="D37:H37" si="74">SUBTOTAL(9,D35:D36)</f>
        <v>59052</v>
      </c>
      <c r="E37" s="238">
        <f t="shared" si="74"/>
        <v>4500</v>
      </c>
      <c r="F37" s="238">
        <f t="shared" si="74"/>
        <v>0</v>
      </c>
      <c r="G37" s="238">
        <f t="shared" si="74"/>
        <v>2634.8333333333335</v>
      </c>
      <c r="H37" s="238">
        <f t="shared" si="74"/>
        <v>0</v>
      </c>
      <c r="I37" s="238">
        <f t="shared" ref="I37:K37" si="75">SUBTOTAL(9,I35:I36)</f>
        <v>4500</v>
      </c>
      <c r="J37" s="238">
        <f t="shared" si="75"/>
        <v>0</v>
      </c>
      <c r="K37" s="238">
        <f t="shared" si="75"/>
        <v>27615</v>
      </c>
      <c r="L37" s="497">
        <f>SUM(C37:K37)</f>
        <v>291715.83333333337</v>
      </c>
      <c r="M37" s="491">
        <f>L37/AE37-1</f>
        <v>-0.57414492982118071</v>
      </c>
      <c r="N37" s="238">
        <f t="shared" ref="N37:Q37" si="76">SUBTOTAL(9,N35:N36)</f>
        <v>22580</v>
      </c>
      <c r="O37" s="238">
        <f t="shared" si="76"/>
        <v>43908.018636000001</v>
      </c>
      <c r="P37" s="238">
        <f t="shared" si="76"/>
        <v>406.1451800000001</v>
      </c>
      <c r="Q37" s="238">
        <f t="shared" si="76"/>
        <v>49942.64916666667</v>
      </c>
      <c r="R37" s="256">
        <f>SUM(N37:Q37)</f>
        <v>116836.81298266667</v>
      </c>
      <c r="S37" s="256"/>
      <c r="T37" s="257">
        <f>SUM(T35:T36)</f>
        <v>408552.64631599997</v>
      </c>
      <c r="U37" s="501">
        <f t="shared" ref="U37" si="77">T37/AK37-1</f>
        <v>-0.5691686328577048</v>
      </c>
      <c r="V37" s="238">
        <f>SUBTOTAL(9,V35:V36)</f>
        <v>476997</v>
      </c>
      <c r="W37" s="238">
        <f t="shared" ref="W37:AA37" si="78">SUBTOTAL(9,W35:W36)</f>
        <v>103017</v>
      </c>
      <c r="X37" s="238">
        <f t="shared" si="78"/>
        <v>4500</v>
      </c>
      <c r="Y37" s="238">
        <f t="shared" si="78"/>
        <v>0</v>
      </c>
      <c r="Z37" s="238">
        <f t="shared" si="78"/>
        <v>5978</v>
      </c>
      <c r="AA37" s="238">
        <f t="shared" si="78"/>
        <v>0</v>
      </c>
      <c r="AB37" s="238">
        <f t="shared" ref="AB37:AI37" si="79">SUBTOTAL(9,AB35:AB36)</f>
        <v>10500</v>
      </c>
      <c r="AC37" s="238">
        <f t="shared" si="79"/>
        <v>0</v>
      </c>
      <c r="AD37" s="238">
        <f t="shared" si="79"/>
        <v>84020</v>
      </c>
      <c r="AE37" s="238">
        <f>SUM(V37:AD37)</f>
        <v>685012</v>
      </c>
      <c r="AF37" s="238">
        <f t="shared" si="79"/>
        <v>52760</v>
      </c>
      <c r="AG37" s="238">
        <f t="shared" si="79"/>
        <v>95069</v>
      </c>
      <c r="AH37" s="238">
        <f t="shared" si="79"/>
        <v>989</v>
      </c>
      <c r="AI37" s="238">
        <f t="shared" si="79"/>
        <v>114459</v>
      </c>
      <c r="AJ37" s="238">
        <f>SUM(AF37:AI37)</f>
        <v>263277</v>
      </c>
      <c r="AK37" s="232">
        <f>SUM(AK35:AK36)</f>
        <v>948289</v>
      </c>
      <c r="AL37" s="272"/>
      <c r="AM37" s="241">
        <f t="shared" si="70"/>
        <v>-0.59451736593731197</v>
      </c>
      <c r="AN37" s="241">
        <f t="shared" si="70"/>
        <v>-0.42677422173039403</v>
      </c>
      <c r="AO37" s="241">
        <f t="shared" si="70"/>
        <v>0</v>
      </c>
      <c r="AP37" s="241">
        <f t="shared" si="70"/>
        <v>0</v>
      </c>
      <c r="AQ37" s="241">
        <f t="shared" si="70"/>
        <v>-0.55924500947920142</v>
      </c>
      <c r="AR37" s="241">
        <f t="shared" si="70"/>
        <v>0</v>
      </c>
      <c r="AS37" s="241">
        <f t="shared" si="70"/>
        <v>-0.5714285714285714</v>
      </c>
      <c r="AT37" s="241">
        <f t="shared" si="70"/>
        <v>0</v>
      </c>
      <c r="AU37" s="241">
        <f t="shared" si="70"/>
        <v>-0.67132825517733874</v>
      </c>
      <c r="AV37" s="241">
        <f t="shared" si="70"/>
        <v>-0.57414492982118071</v>
      </c>
      <c r="AW37" s="241">
        <f t="shared" si="71"/>
        <v>-0.57202426080363911</v>
      </c>
      <c r="AX37" s="241">
        <f t="shared" si="71"/>
        <v>-0.53814578215822184</v>
      </c>
      <c r="AY37" s="241">
        <f t="shared" si="71"/>
        <v>-0.58933753286147617</v>
      </c>
      <c r="AZ37" s="241">
        <f t="shared" si="71"/>
        <v>-0.56366341513846296</v>
      </c>
      <c r="BA37" s="241">
        <f t="shared" si="71"/>
        <v>-0.55622096505708174</v>
      </c>
      <c r="BB37" s="241">
        <f t="shared" si="72"/>
        <v>-0.5691686328577048</v>
      </c>
    </row>
    <row r="38" spans="1:54">
      <c r="A38" s="236"/>
      <c r="B38" s="89"/>
      <c r="C38" s="416">
        <f>C37/V37-1</f>
        <v>-0.59451736593731197</v>
      </c>
      <c r="D38" s="416">
        <f>D37/W37-1</f>
        <v>-0.42677422173039403</v>
      </c>
      <c r="E38" s="227"/>
      <c r="F38" s="227"/>
      <c r="G38" s="227"/>
      <c r="H38" s="227"/>
      <c r="I38" s="227"/>
      <c r="J38" s="227"/>
      <c r="N38" s="227"/>
      <c r="O38" s="227"/>
      <c r="P38" s="227"/>
      <c r="Q38" s="227"/>
      <c r="R38" s="254"/>
      <c r="S38" s="254"/>
      <c r="T38" s="260"/>
      <c r="AJ38" s="227"/>
      <c r="AK38" s="230"/>
    </row>
    <row r="39" spans="1:54">
      <c r="A39" s="236" t="s">
        <v>793</v>
      </c>
      <c r="B39" s="519">
        <f t="shared" si="73"/>
        <v>2.9699812855092711E-2</v>
      </c>
      <c r="C39" s="227">
        <f>SUMIFS('Prop Budget Calc'!$AD:$AD,'Prop Budget Calc'!$G:$G,'Prop Budget Summary'!$A39,'Prop Budget Calc'!$I:$I,'Prop Budget Summary'!C$2)</f>
        <v>122698</v>
      </c>
      <c r="D39" s="227">
        <f>SUMIFS('Prop Budget Calc'!$AD:$AD,'Prop Budget Calc'!$G:$G,'Prop Budget Summary'!$A39,'Prop Budget Calc'!$I:$I,'Prop Budget Summary'!D$2)</f>
        <v>0</v>
      </c>
      <c r="E39" s="227">
        <f>SUMIFS('Prop Budget Calc'!$AD:$AD,'Prop Budget Calc'!$G:$G,'Prop Budget Summary'!$A39,'Prop Budget Calc'!$I:$I,'Prop Budget Summary'!E$2)</f>
        <v>600</v>
      </c>
      <c r="F39" s="227">
        <f>SUMIFS('Prop Budget Calc'!$AD:$AD,'Prop Budget Calc'!$G:$G,'Prop Budget Summary'!$A39,'Prop Budget Calc'!$I:$I,'Prop Budget Summary'!F$2)</f>
        <v>288133</v>
      </c>
      <c r="G39" s="227">
        <f>SUMIF('Prop Budget Calc'!$G:$G,'Prop Budget Summary'!$A39,'Prop Budget Calc'!$AG:$AG)</f>
        <v>468.5</v>
      </c>
      <c r="H39" s="227">
        <f>SUMIFS('Prop Budget Calc'!$AD:$AD,'Prop Budget Calc'!$G:$G,'Prop Budget Summary'!$A39,'Prop Budget Calc'!$I:$I,'Prop Budget Summary'!H$2)</f>
        <v>0</v>
      </c>
      <c r="I39" s="227">
        <f>SUMIF('Prop Budget Calc'!$G:$G,'Prop Budget Summary'!$A39,'Prop Budget Calc'!$AK:$AK)</f>
        <v>0</v>
      </c>
      <c r="J39" s="227">
        <f>SUMIF('Prop Budget Calc'!$G:$G,'Prop Budget Summary'!$A39,'Prop Budget Calc'!$AL:$AL)</f>
        <v>0</v>
      </c>
      <c r="L39" s="496">
        <f t="shared" ref="L39:L41" si="80">SUBTOTAL(9,C39:K39)</f>
        <v>411899.5</v>
      </c>
      <c r="M39" s="491">
        <f t="shared" ref="M39:M41" si="81">L39/AE39-1</f>
        <v>2.4273262828566913</v>
      </c>
      <c r="N39" s="227">
        <f>SUMIF('Prop Budget Calc'!$G:$G,'Prop Budget Summary'!$A39,'Prop Budget Calc'!$AU:$AU)</f>
        <v>25360</v>
      </c>
      <c r="O39" s="227">
        <f>SUMIF('Prop Budget Calc'!$G:$G,'Prop Budget Summary'!$A39,'Prop Budget Calc'!$BE:$BE)</f>
        <v>19505.237188000003</v>
      </c>
      <c r="P39" s="227">
        <f>SUMIF('Prop Budget Calc'!$G:$G,'Prop Budget Summary'!$A39,'Prop Budget Calc'!$AR:$AR)</f>
        <v>4743.3539664000009</v>
      </c>
      <c r="Q39" s="227">
        <f>SUMIF('Prop Budget Calc'!$G:$G,'Prop Budget Summary'!$A39,'Prop Budget Calc'!$AQ:$AQ)</f>
        <v>21204.899099999999</v>
      </c>
      <c r="R39" s="254">
        <f t="shared" ref="R39:R41" si="82">SUBTOTAL(9,N39:Q39)</f>
        <v>70813.490254399992</v>
      </c>
      <c r="S39" s="426">
        <f t="shared" ref="S39:S41" si="83">R39/AJ39-1</f>
        <v>3.7332311644327154E-2</v>
      </c>
      <c r="T39" s="259">
        <f t="shared" ref="T39:T41" si="84">L39+R39</f>
        <v>482712.99025440001</v>
      </c>
      <c r="U39" s="522">
        <f t="shared" ref="U39:U41" si="85">T39/AK39-1</f>
        <v>1.5615454308098871</v>
      </c>
      <c r="V39" s="230">
        <f>SUMIFS('YTD Personnel'!$G:$G,'YTD Personnel'!$B:$B,'Prop Budget Summary'!$A39,'YTD Personnel'!$C:$C,'Prop Budget Summary'!C$2)</f>
        <v>119159</v>
      </c>
      <c r="W39" s="230">
        <f>SUMIFS('YTD Personnel'!$G:$G,'YTD Personnel'!$B:$B,'Prop Budget Summary'!$A39,'YTD Personnel'!$C:$C,'Prop Budget Summary'!D$2)</f>
        <v>0</v>
      </c>
      <c r="X39" s="230">
        <f>SUMIFS('YTD Personnel'!$G:$G,'YTD Personnel'!$B:$B,'Prop Budget Summary'!$A39,'YTD Personnel'!$C:$C,'Prop Budget Summary'!E$2)</f>
        <v>600</v>
      </c>
      <c r="Y39" s="230">
        <f>SUMIFS('YTD Personnel'!$G:$G,'YTD Personnel'!$B:$B,'Prop Budget Summary'!$A39,'YTD Personnel'!$C:$C,'Prop Budget Summary'!F$2)</f>
        <v>0</v>
      </c>
      <c r="Z39" s="230">
        <f>SUMIFS('YTD Personnel'!$G:$G,'YTD Personnel'!$B:$B,'Prop Budget Summary'!$A39,'YTD Personnel'!$C:$C,'Prop Budget Summary'!G$2)</f>
        <v>422</v>
      </c>
      <c r="AA39" s="230">
        <f>SUMIFS('YTD Personnel'!$G:$G,'YTD Personnel'!$B:$B,'Prop Budget Summary'!$A39,'YTD Personnel'!$C:$C,'Prop Budget Summary'!H$2)</f>
        <v>0</v>
      </c>
      <c r="AB39" s="230">
        <f>SUMIFS('YTD Personnel'!$G:$G,'YTD Personnel'!$B:$B,'Prop Budget Summary'!$A39,'YTD Personnel'!$C:$C,'Prop Budget Summary'!I$2)</f>
        <v>0</v>
      </c>
      <c r="AC39" s="230">
        <f>SUMIFS('YTD Personnel'!$G:$G,'YTD Personnel'!$B:$B,'Prop Budget Summary'!$A39,'YTD Personnel'!$C:$C,'Prop Budget Summary'!J$2)</f>
        <v>0</v>
      </c>
      <c r="AD39" s="230">
        <f>SUMIFS('YTD Personnel'!$G:$G,'YTD Personnel'!$B:$B,'Prop Budget Summary'!$A39,'YTD Personnel'!$C:$C,'Prop Budget Summary'!K$2)</f>
        <v>0</v>
      </c>
      <c r="AE39" s="228">
        <f t="shared" ref="AE39:AE41" si="86">SUBTOTAL(9,V39:AD39)</f>
        <v>120181</v>
      </c>
      <c r="AF39" s="230">
        <f>SUMIFS('YTD Personnel'!$G:$G,'YTD Personnel'!$B:$B,'Prop Budget Summary'!$A39,'YTD Personnel'!$C:$C,'Prop Budget Summary'!N$2)</f>
        <v>31370</v>
      </c>
      <c r="AG39" s="230">
        <f>SUMIFS('YTD Personnel'!$G:$G,'YTD Personnel'!$B:$B,'Prop Budget Summary'!$A39,'YTD Personnel'!$C:$C,'Prop Budget Summary'!O$2)</f>
        <v>11649</v>
      </c>
      <c r="AH39" s="230">
        <f>SUMIFS('YTD Personnel'!$G:$G,'YTD Personnel'!$B:$B,'Prop Budget Summary'!$A39,'YTD Personnel'!$C:$C,'Prop Budget Summary'!P$2)</f>
        <v>5135</v>
      </c>
      <c r="AI39" s="230">
        <f>SUMIFS('YTD Personnel'!$G:$G,'YTD Personnel'!$B:$B,'Prop Budget Summary'!$A39,'YTD Personnel'!$C:$C,'Prop Budget Summary'!Q$2)</f>
        <v>20111</v>
      </c>
      <c r="AJ39" s="227">
        <f t="shared" ref="AJ39:AJ41" si="87">SUBTOTAL(9,AF39:AI39)</f>
        <v>68265</v>
      </c>
      <c r="AK39" s="230">
        <f t="shared" ref="AK39:AK41" si="88">SUBTOTAL(9,V39:AI39)</f>
        <v>188446</v>
      </c>
      <c r="AM39" s="234">
        <f t="shared" ref="AM39:AV42" si="89">IF(C39=0,0,C39/V39-1)</f>
        <v>2.9699812855092711E-2</v>
      </c>
      <c r="AN39" s="234">
        <f t="shared" si="89"/>
        <v>0</v>
      </c>
      <c r="AO39" s="234">
        <f t="shared" si="89"/>
        <v>0</v>
      </c>
      <c r="AP39" s="234" t="e">
        <f t="shared" si="89"/>
        <v>#DIV/0!</v>
      </c>
      <c r="AQ39" s="234">
        <f t="shared" si="89"/>
        <v>0.11018957345971558</v>
      </c>
      <c r="AR39" s="234">
        <f t="shared" si="89"/>
        <v>0</v>
      </c>
      <c r="AS39" s="234">
        <f t="shared" si="89"/>
        <v>0</v>
      </c>
      <c r="AT39" s="234">
        <f t="shared" si="89"/>
        <v>0</v>
      </c>
      <c r="AU39" s="234">
        <f t="shared" si="89"/>
        <v>0</v>
      </c>
      <c r="AV39" s="234">
        <f t="shared" si="89"/>
        <v>2.4273262828566913</v>
      </c>
      <c r="AW39" s="234">
        <f t="shared" ref="AW39:BA42" si="90">IF(N39=0,0,N39/AF39-1)</f>
        <v>-0.19158431622569339</v>
      </c>
      <c r="AX39" s="234">
        <f t="shared" si="90"/>
        <v>0.67441301296248635</v>
      </c>
      <c r="AY39" s="234">
        <f t="shared" si="90"/>
        <v>-7.6269918909444789E-2</v>
      </c>
      <c r="AZ39" s="234">
        <f t="shared" si="90"/>
        <v>5.4393073442394746E-2</v>
      </c>
      <c r="BA39" s="234">
        <f t="shared" si="90"/>
        <v>3.7332311644327154E-2</v>
      </c>
      <c r="BB39" s="234">
        <f t="shared" ref="BB39:BB42" si="91">IF(T39=0,0,T39/AK39-1)</f>
        <v>1.5615454308098871</v>
      </c>
    </row>
    <row r="40" spans="1:54">
      <c r="A40" s="236" t="s">
        <v>795</v>
      </c>
      <c r="B40" s="519">
        <f t="shared" si="73"/>
        <v>-1</v>
      </c>
      <c r="C40" s="227">
        <f>SUMIFS('Prop Budget Calc'!$AD:$AD,'Prop Budget Calc'!$G:$G,'Prop Budget Summary'!$A40,'Prop Budget Calc'!$I:$I,'Prop Budget Summary'!C$2)</f>
        <v>0</v>
      </c>
      <c r="D40" s="227">
        <f>SUMIFS('Prop Budget Calc'!$AD:$AD,'Prop Budget Calc'!$G:$G,'Prop Budget Summary'!$A40,'Prop Budget Calc'!$I:$I,'Prop Budget Summary'!D$2)</f>
        <v>0</v>
      </c>
      <c r="E40" s="227">
        <f>SUMIFS('Prop Budget Calc'!$AD:$AD,'Prop Budget Calc'!$G:$G,'Prop Budget Summary'!$A40,'Prop Budget Calc'!$I:$I,'Prop Budget Summary'!E$2)</f>
        <v>800</v>
      </c>
      <c r="F40" s="227">
        <f>SUMIFS('Prop Budget Calc'!$AD:$AD,'Prop Budget Calc'!$G:$G,'Prop Budget Summary'!$A40,'Prop Budget Calc'!$I:$I,'Prop Budget Summary'!F$2)</f>
        <v>0</v>
      </c>
      <c r="G40" s="227">
        <f>SUMIF('Prop Budget Calc'!$G:$G,'Prop Budget Summary'!$A40,'Prop Budget Calc'!$AG:$AG)</f>
        <v>0</v>
      </c>
      <c r="H40" s="227">
        <f>SUMIFS('Prop Budget Calc'!$AD:$AD,'Prop Budget Calc'!$G:$G,'Prop Budget Summary'!$A40,'Prop Budget Calc'!$I:$I,'Prop Budget Summary'!H$2)</f>
        <v>0</v>
      </c>
      <c r="I40" s="227">
        <f>SUMIF('Prop Budget Calc'!$G:$G,'Prop Budget Summary'!$A40,'Prop Budget Calc'!$AK:$AK)</f>
        <v>0</v>
      </c>
      <c r="J40" s="227">
        <f>SUMIF('Prop Budget Calc'!$G:$G,'Prop Budget Summary'!$A40,'Prop Budget Calc'!$AL:$AL)</f>
        <v>0</v>
      </c>
      <c r="L40" s="496">
        <f t="shared" si="80"/>
        <v>800</v>
      </c>
      <c r="M40" s="491">
        <f t="shared" si="81"/>
        <v>-0.99339857739342829</v>
      </c>
      <c r="N40" s="227">
        <f>SUMIF('Prop Budget Calc'!$G:$G,'Prop Budget Summary'!$A40,'Prop Budget Calc'!$AU:$AU)</f>
        <v>70</v>
      </c>
      <c r="O40" s="227">
        <f>SUMIF('Prop Budget Calc'!$G:$G,'Prop Budget Summary'!$A40,'Prop Budget Calc'!$BE:$BE)</f>
        <v>1.44</v>
      </c>
      <c r="P40" s="227">
        <f>SUMIF('Prop Budget Calc'!$G:$G,'Prop Budget Summary'!$A40,'Prop Budget Calc'!$AR:$AR)</f>
        <v>1.1020800000000002</v>
      </c>
      <c r="Q40" s="227">
        <f>SUMIF('Prop Budget Calc'!$G:$G,'Prop Budget Summary'!$A40,'Prop Budget Calc'!$AQ:$AQ)</f>
        <v>135.51999999999998</v>
      </c>
      <c r="R40" s="254">
        <f t="shared" si="82"/>
        <v>208.06207999999998</v>
      </c>
      <c r="S40" s="426">
        <f t="shared" si="83"/>
        <v>-0.99703602604099895</v>
      </c>
      <c r="T40" s="259">
        <f t="shared" si="84"/>
        <v>1008.0620799999999</v>
      </c>
      <c r="U40" s="522">
        <f t="shared" si="85"/>
        <v>-0.99473275013977203</v>
      </c>
      <c r="V40" s="230">
        <f>SUMIFS('YTD Personnel'!$G:$G,'YTD Personnel'!$B:$B,'Prop Budget Summary'!$A40,'YTD Personnel'!$C:$C,'Prop Budget Summary'!C$2)</f>
        <v>120097</v>
      </c>
      <c r="W40" s="230">
        <f>SUMIFS('YTD Personnel'!$G:$G,'YTD Personnel'!$B:$B,'Prop Budget Summary'!$A40,'YTD Personnel'!$C:$C,'Prop Budget Summary'!D$2)</f>
        <v>0</v>
      </c>
      <c r="X40" s="230">
        <f>SUMIFS('YTD Personnel'!$G:$G,'YTD Personnel'!$B:$B,'Prop Budget Summary'!$A40,'YTD Personnel'!$C:$C,'Prop Budget Summary'!E$2)</f>
        <v>800</v>
      </c>
      <c r="Y40" s="230">
        <f>SUMIFS('YTD Personnel'!$G:$G,'YTD Personnel'!$B:$B,'Prop Budget Summary'!$A40,'YTD Personnel'!$C:$C,'Prop Budget Summary'!F$2)</f>
        <v>0</v>
      </c>
      <c r="Z40" s="230">
        <f>SUMIFS('YTD Personnel'!$G:$G,'YTD Personnel'!$B:$B,'Prop Budget Summary'!$A40,'YTD Personnel'!$C:$C,'Prop Budget Summary'!G$2)</f>
        <v>289</v>
      </c>
      <c r="AA40" s="230">
        <f>SUMIFS('YTD Personnel'!$G:$G,'YTD Personnel'!$B:$B,'Prop Budget Summary'!$A40,'YTD Personnel'!$C:$C,'Prop Budget Summary'!H$2)</f>
        <v>0</v>
      </c>
      <c r="AB40" s="230">
        <f>SUMIFS('YTD Personnel'!$G:$G,'YTD Personnel'!$B:$B,'Prop Budget Summary'!$A40,'YTD Personnel'!$C:$C,'Prop Budget Summary'!I$2)</f>
        <v>0</v>
      </c>
      <c r="AC40" s="230">
        <f>SUMIFS('YTD Personnel'!$G:$G,'YTD Personnel'!$B:$B,'Prop Budget Summary'!$A40,'YTD Personnel'!$C:$C,'Prop Budget Summary'!J$2)</f>
        <v>0</v>
      </c>
      <c r="AD40" s="230">
        <f>SUMIFS('YTD Personnel'!$G:$G,'YTD Personnel'!$B:$B,'Prop Budget Summary'!$A40,'YTD Personnel'!$C:$C,'Prop Budget Summary'!K$2)</f>
        <v>0</v>
      </c>
      <c r="AE40" s="228">
        <f t="shared" si="86"/>
        <v>121186</v>
      </c>
      <c r="AF40" s="230">
        <f>SUMIFS('YTD Personnel'!$G:$G,'YTD Personnel'!$B:$B,'Prop Budget Summary'!$A40,'YTD Personnel'!$C:$C,'Prop Budget Summary'!N$2)</f>
        <v>25960</v>
      </c>
      <c r="AG40" s="230">
        <f>SUMIFS('YTD Personnel'!$G:$G,'YTD Personnel'!$B:$B,'Prop Budget Summary'!$A40,'YTD Personnel'!$C:$C,'Prop Budget Summary'!O$2)</f>
        <v>19715</v>
      </c>
      <c r="AH40" s="230">
        <f>SUMIFS('YTD Personnel'!$G:$G,'YTD Personnel'!$B:$B,'Prop Budget Summary'!$A40,'YTD Personnel'!$C:$C,'Prop Budget Summary'!P$2)</f>
        <v>4245</v>
      </c>
      <c r="AI40" s="230">
        <f>SUMIFS('YTD Personnel'!$G:$G,'YTD Personnel'!$B:$B,'Prop Budget Summary'!$A40,'YTD Personnel'!$C:$C,'Prop Budget Summary'!Q$2)</f>
        <v>20277</v>
      </c>
      <c r="AJ40" s="227">
        <f t="shared" si="87"/>
        <v>70197</v>
      </c>
      <c r="AK40" s="230">
        <f t="shared" si="88"/>
        <v>191383</v>
      </c>
      <c r="AM40" s="234">
        <f t="shared" si="89"/>
        <v>0</v>
      </c>
      <c r="AN40" s="234">
        <f t="shared" si="89"/>
        <v>0</v>
      </c>
      <c r="AO40" s="234">
        <f t="shared" si="89"/>
        <v>0</v>
      </c>
      <c r="AP40" s="234">
        <f t="shared" si="89"/>
        <v>0</v>
      </c>
      <c r="AQ40" s="234">
        <f t="shared" si="89"/>
        <v>0</v>
      </c>
      <c r="AR40" s="234">
        <f t="shared" si="89"/>
        <v>0</v>
      </c>
      <c r="AS40" s="234">
        <f t="shared" si="89"/>
        <v>0</v>
      </c>
      <c r="AT40" s="234">
        <f t="shared" si="89"/>
        <v>0</v>
      </c>
      <c r="AU40" s="234">
        <f t="shared" si="89"/>
        <v>0</v>
      </c>
      <c r="AV40" s="234">
        <f t="shared" si="89"/>
        <v>-0.99339857739342829</v>
      </c>
      <c r="AW40" s="234">
        <f t="shared" si="90"/>
        <v>-0.99730354391371345</v>
      </c>
      <c r="AX40" s="234">
        <f t="shared" si="90"/>
        <v>-0.99992695916814611</v>
      </c>
      <c r="AY40" s="234">
        <f t="shared" si="90"/>
        <v>-0.99974038162544165</v>
      </c>
      <c r="AZ40" s="234">
        <f t="shared" si="90"/>
        <v>-0.99331656556689851</v>
      </c>
      <c r="BA40" s="234">
        <f t="shared" si="90"/>
        <v>-0.99703602604099895</v>
      </c>
      <c r="BB40" s="234">
        <f t="shared" si="91"/>
        <v>-0.99473275013977203</v>
      </c>
    </row>
    <row r="41" spans="1:54">
      <c r="A41" s="236" t="s">
        <v>797</v>
      </c>
      <c r="B41" s="519">
        <f t="shared" si="73"/>
        <v>-1</v>
      </c>
      <c r="C41" s="227">
        <f>SUMIFS('Prop Budget Calc'!$AD:$AD,'Prop Budget Calc'!$G:$G,'Prop Budget Summary'!$A41,'Prop Budget Calc'!$I:$I,'Prop Budget Summary'!C$2)</f>
        <v>0</v>
      </c>
      <c r="D41" s="227">
        <f>SUMIFS('Prop Budget Calc'!$AD:$AD,'Prop Budget Calc'!$G:$G,'Prop Budget Summary'!$A41,'Prop Budget Calc'!$I:$I,'Prop Budget Summary'!D$2)</f>
        <v>0</v>
      </c>
      <c r="E41" s="227">
        <f>SUMIFS('Prop Budget Calc'!$AD:$AD,'Prop Budget Calc'!$G:$G,'Prop Budget Summary'!$A41,'Prop Budget Calc'!$I:$I,'Prop Budget Summary'!E$2)</f>
        <v>800</v>
      </c>
      <c r="F41" s="227">
        <f>SUMIFS('Prop Budget Calc'!$AD:$AD,'Prop Budget Calc'!$G:$G,'Prop Budget Summary'!$A41,'Prop Budget Calc'!$I:$I,'Prop Budget Summary'!F$2)</f>
        <v>46353</v>
      </c>
      <c r="G41" s="227">
        <f>SUMIF('Prop Budget Calc'!$G:$G,'Prop Budget Summary'!$A41,'Prop Budget Calc'!$AG:$AG)</f>
        <v>0</v>
      </c>
      <c r="H41" s="227">
        <f>SUMIFS('Prop Budget Calc'!$AD:$AD,'Prop Budget Calc'!$G:$G,'Prop Budget Summary'!$A41,'Prop Budget Calc'!$I:$I,'Prop Budget Summary'!H$2)</f>
        <v>0</v>
      </c>
      <c r="I41" s="227">
        <f>SUMIF('Prop Budget Calc'!$G:$G,'Prop Budget Summary'!$A41,'Prop Budget Calc'!$AK:$AK)</f>
        <v>0</v>
      </c>
      <c r="J41" s="227">
        <f>SUMIF('Prop Budget Calc'!$G:$G,'Prop Budget Summary'!$A41,'Prop Budget Calc'!$AL:$AL)</f>
        <v>0</v>
      </c>
      <c r="L41" s="496">
        <f t="shared" si="80"/>
        <v>47153</v>
      </c>
      <c r="M41" s="491">
        <f t="shared" si="81"/>
        <v>-0.26941014239010863</v>
      </c>
      <c r="N41" s="227">
        <f>SUMIF('Prop Budget Calc'!$G:$G,'Prop Budget Summary'!$A41,'Prop Budget Calc'!$AU:$AU)</f>
        <v>3620</v>
      </c>
      <c r="O41" s="227">
        <f>SUMIF('Prop Budget Calc'!$G:$G,'Prop Budget Summary'!$A41,'Prop Budget Calc'!$BE:$BE)</f>
        <v>84.875399999999999</v>
      </c>
      <c r="P41" s="227">
        <f>SUMIF('Prop Budget Calc'!$G:$G,'Prop Budget Summary'!$A41,'Prop Budget Calc'!$AR:$AR)</f>
        <v>533.75367360000007</v>
      </c>
      <c r="Q41" s="227">
        <f>SUMIF('Prop Budget Calc'!$G:$G,'Prop Budget Summary'!$A41,'Prop Budget Calc'!$AQ:$AQ)</f>
        <v>135.51999999999998</v>
      </c>
      <c r="R41" s="254">
        <f t="shared" si="82"/>
        <v>4374.1490735999996</v>
      </c>
      <c r="S41" s="426">
        <f t="shared" si="83"/>
        <v>-0.87278163413314724</v>
      </c>
      <c r="T41" s="259">
        <f t="shared" si="84"/>
        <v>51527.149073599998</v>
      </c>
      <c r="U41" s="522">
        <f t="shared" si="85"/>
        <v>-0.47912388223686875</v>
      </c>
      <c r="V41" s="230">
        <f>SUMIFS('YTD Personnel'!$G:$G,'YTD Personnel'!$B:$B,'Prop Budget Summary'!$A41,'YTD Personnel'!$C:$C,'Prop Budget Summary'!C$2)</f>
        <v>63307</v>
      </c>
      <c r="W41" s="230">
        <f>SUMIFS('YTD Personnel'!$G:$G,'YTD Personnel'!$B:$B,'Prop Budget Summary'!$A41,'YTD Personnel'!$C:$C,'Prop Budget Summary'!D$2)</f>
        <v>0</v>
      </c>
      <c r="X41" s="230">
        <f>SUMIFS('YTD Personnel'!$G:$G,'YTD Personnel'!$B:$B,'Prop Budget Summary'!$A41,'YTD Personnel'!$C:$C,'Prop Budget Summary'!E$2)</f>
        <v>800</v>
      </c>
      <c r="Y41" s="230">
        <f>SUMIFS('YTD Personnel'!$G:$G,'YTD Personnel'!$B:$B,'Prop Budget Summary'!$A41,'YTD Personnel'!$C:$C,'Prop Budget Summary'!F$2)</f>
        <v>0</v>
      </c>
      <c r="Z41" s="230">
        <f>SUMIFS('YTD Personnel'!$G:$G,'YTD Personnel'!$B:$B,'Prop Budget Summary'!$A41,'YTD Personnel'!$C:$C,'Prop Budget Summary'!G$2)</f>
        <v>434</v>
      </c>
      <c r="AA41" s="230">
        <f>SUMIFS('YTD Personnel'!$G:$G,'YTD Personnel'!$B:$B,'Prop Budget Summary'!$A41,'YTD Personnel'!$C:$C,'Prop Budget Summary'!H$2)</f>
        <v>0</v>
      </c>
      <c r="AB41" s="230">
        <f>SUMIFS('YTD Personnel'!$G:$G,'YTD Personnel'!$B:$B,'Prop Budget Summary'!$A41,'YTD Personnel'!$C:$C,'Prop Budget Summary'!I$2)</f>
        <v>0</v>
      </c>
      <c r="AC41" s="230">
        <f>SUMIFS('YTD Personnel'!$G:$G,'YTD Personnel'!$B:$B,'Prop Budget Summary'!$A41,'YTD Personnel'!$C:$C,'Prop Budget Summary'!J$2)</f>
        <v>0</v>
      </c>
      <c r="AD41" s="230">
        <f>SUMIFS('YTD Personnel'!$G:$G,'YTD Personnel'!$B:$B,'Prop Budget Summary'!$A41,'YTD Personnel'!$C:$C,'Prop Budget Summary'!K$2)</f>
        <v>0</v>
      </c>
      <c r="AE41" s="228">
        <f t="shared" si="86"/>
        <v>64541</v>
      </c>
      <c r="AF41" s="230">
        <f>SUMIFS('YTD Personnel'!$G:$G,'YTD Personnel'!$B:$B,'Prop Budget Summary'!$A41,'YTD Personnel'!$C:$C,'Prop Budget Summary'!N$2)</f>
        <v>19600</v>
      </c>
      <c r="AG41" s="230">
        <f>SUMIFS('YTD Personnel'!$G:$G,'YTD Personnel'!$B:$B,'Prop Budget Summary'!$A41,'YTD Personnel'!$C:$C,'Prop Budget Summary'!O$2)</f>
        <v>1490</v>
      </c>
      <c r="AH41" s="230">
        <f>SUMIFS('YTD Personnel'!$G:$G,'YTD Personnel'!$B:$B,'Prop Budget Summary'!$A41,'YTD Personnel'!$C:$C,'Prop Budget Summary'!P$2)</f>
        <v>2486</v>
      </c>
      <c r="AI41" s="230">
        <f>SUMIFS('YTD Personnel'!$G:$G,'YTD Personnel'!$B:$B,'Prop Budget Summary'!$A41,'YTD Personnel'!$C:$C,'Prop Budget Summary'!Q$2)</f>
        <v>10807</v>
      </c>
      <c r="AJ41" s="227">
        <f t="shared" si="87"/>
        <v>34383</v>
      </c>
      <c r="AK41" s="230">
        <f t="shared" si="88"/>
        <v>98924</v>
      </c>
      <c r="AM41" s="234">
        <f t="shared" si="89"/>
        <v>0</v>
      </c>
      <c r="AN41" s="234">
        <f t="shared" si="89"/>
        <v>0</v>
      </c>
      <c r="AO41" s="234">
        <f t="shared" si="89"/>
        <v>0</v>
      </c>
      <c r="AP41" s="234" t="e">
        <f t="shared" si="89"/>
        <v>#DIV/0!</v>
      </c>
      <c r="AQ41" s="234">
        <f t="shared" si="89"/>
        <v>0</v>
      </c>
      <c r="AR41" s="234">
        <f t="shared" si="89"/>
        <v>0</v>
      </c>
      <c r="AS41" s="234">
        <f t="shared" si="89"/>
        <v>0</v>
      </c>
      <c r="AT41" s="234">
        <f t="shared" si="89"/>
        <v>0</v>
      </c>
      <c r="AU41" s="234">
        <f t="shared" si="89"/>
        <v>0</v>
      </c>
      <c r="AV41" s="234">
        <f t="shared" si="89"/>
        <v>-0.26941014239010863</v>
      </c>
      <c r="AW41" s="234">
        <f t="shared" si="90"/>
        <v>-0.8153061224489796</v>
      </c>
      <c r="AX41" s="234">
        <f t="shared" si="90"/>
        <v>-0.94303664429530198</v>
      </c>
      <c r="AY41" s="234">
        <f t="shared" si="90"/>
        <v>-0.78529618921962996</v>
      </c>
      <c r="AZ41" s="234">
        <f t="shared" si="90"/>
        <v>-0.98745997964282406</v>
      </c>
      <c r="BA41" s="234">
        <f t="shared" si="90"/>
        <v>-0.87278163413314724</v>
      </c>
      <c r="BB41" s="234">
        <f t="shared" si="91"/>
        <v>-0.47912388223686875</v>
      </c>
    </row>
    <row r="42" spans="1:54">
      <c r="A42" s="500"/>
      <c r="B42" s="520">
        <f t="shared" si="73"/>
        <v>-0.59447123409009039</v>
      </c>
      <c r="C42" s="238">
        <f t="shared" ref="C42:J42" si="92">SUBTOTAL(9,C39:C41)</f>
        <v>122698</v>
      </c>
      <c r="D42" s="238">
        <f t="shared" si="92"/>
        <v>0</v>
      </c>
      <c r="E42" s="238">
        <f t="shared" si="92"/>
        <v>2200</v>
      </c>
      <c r="F42" s="238">
        <f t="shared" si="92"/>
        <v>334486</v>
      </c>
      <c r="G42" s="238">
        <f t="shared" si="92"/>
        <v>468.5</v>
      </c>
      <c r="H42" s="238">
        <f t="shared" si="92"/>
        <v>0</v>
      </c>
      <c r="I42" s="238">
        <f t="shared" si="92"/>
        <v>0</v>
      </c>
      <c r="J42" s="238">
        <f t="shared" si="92"/>
        <v>0</v>
      </c>
      <c r="K42" s="239"/>
      <c r="L42" s="497">
        <f>SUM(C42:K42)</f>
        <v>459852.5</v>
      </c>
      <c r="M42" s="491">
        <f>L42/AE42-1</f>
        <v>0.5032379015913282</v>
      </c>
      <c r="N42" s="238">
        <f>SUBTOTAL(9,N39:N41)</f>
        <v>29050</v>
      </c>
      <c r="O42" s="238">
        <f>SUBTOTAL(9,O39:O41)</f>
        <v>19591.552588000002</v>
      </c>
      <c r="P42" s="238">
        <f>SUBTOTAL(9,P39:P41)</f>
        <v>5278.2097200000007</v>
      </c>
      <c r="Q42" s="238">
        <f>SUBTOTAL(9,Q39:Q41)</f>
        <v>21475.9391</v>
      </c>
      <c r="R42" s="256">
        <f>SUM(N42:Q42)</f>
        <v>75395.701408000008</v>
      </c>
      <c r="S42" s="256"/>
      <c r="T42" s="261">
        <f>SUM(T39:T41)</f>
        <v>535248.20140799996</v>
      </c>
      <c r="U42" s="501">
        <f t="shared" ref="U42:U50" si="93">T42/AK42-1</f>
        <v>0.11800490317136392</v>
      </c>
      <c r="V42" s="238">
        <f t="shared" ref="V42:AC42" si="94">SUBTOTAL(9,V39:V41)</f>
        <v>302563</v>
      </c>
      <c r="W42" s="238">
        <f t="shared" si="94"/>
        <v>0</v>
      </c>
      <c r="X42" s="238">
        <f t="shared" si="94"/>
        <v>2200</v>
      </c>
      <c r="Y42" s="238">
        <f t="shared" si="94"/>
        <v>0</v>
      </c>
      <c r="Z42" s="238">
        <f t="shared" si="94"/>
        <v>1145</v>
      </c>
      <c r="AA42" s="238">
        <f t="shared" si="94"/>
        <v>0</v>
      </c>
      <c r="AB42" s="238">
        <f t="shared" si="94"/>
        <v>0</v>
      </c>
      <c r="AC42" s="238">
        <f t="shared" si="94"/>
        <v>0</v>
      </c>
      <c r="AD42" s="239"/>
      <c r="AE42" s="238">
        <f>SUM(V42:AA42)</f>
        <v>305908</v>
      </c>
      <c r="AF42" s="238">
        <f>SUBTOTAL(9,AF39:AF41)</f>
        <v>76930</v>
      </c>
      <c r="AG42" s="238">
        <f>SUBTOTAL(9,AG39:AG41)</f>
        <v>32854</v>
      </c>
      <c r="AH42" s="238">
        <f>SUBTOTAL(9,AH39:AH41)</f>
        <v>11866</v>
      </c>
      <c r="AI42" s="238">
        <f>SUBTOTAL(9,AI39:AI41)</f>
        <v>51195</v>
      </c>
      <c r="AJ42" s="238">
        <f>SUM(AF42:AI42)</f>
        <v>172845</v>
      </c>
      <c r="AK42" s="239">
        <f>SUM(AK39:AK41)</f>
        <v>478753</v>
      </c>
      <c r="AL42" s="240"/>
      <c r="AM42" s="241">
        <f t="shared" si="89"/>
        <v>-0.59447123409009039</v>
      </c>
      <c r="AN42" s="241">
        <f t="shared" si="89"/>
        <v>0</v>
      </c>
      <c r="AO42" s="241">
        <f t="shared" si="89"/>
        <v>0</v>
      </c>
      <c r="AP42" s="241" t="e">
        <f t="shared" si="89"/>
        <v>#DIV/0!</v>
      </c>
      <c r="AQ42" s="241">
        <f t="shared" si="89"/>
        <v>-0.59082969432314414</v>
      </c>
      <c r="AR42" s="241">
        <f t="shared" si="89"/>
        <v>0</v>
      </c>
      <c r="AS42" s="241">
        <f t="shared" si="89"/>
        <v>0</v>
      </c>
      <c r="AT42" s="241">
        <f t="shared" si="89"/>
        <v>0</v>
      </c>
      <c r="AU42" s="241">
        <f t="shared" si="89"/>
        <v>0</v>
      </c>
      <c r="AV42" s="241">
        <f t="shared" si="89"/>
        <v>0.5032379015913282</v>
      </c>
      <c r="AW42" s="241">
        <f t="shared" si="90"/>
        <v>-0.62238398544131024</v>
      </c>
      <c r="AX42" s="241">
        <f t="shared" si="90"/>
        <v>-0.40367831655201791</v>
      </c>
      <c r="AY42" s="241">
        <f t="shared" si="90"/>
        <v>-0.55518205629529738</v>
      </c>
      <c r="AZ42" s="241">
        <f t="shared" si="90"/>
        <v>-0.58050709834944825</v>
      </c>
      <c r="BA42" s="241">
        <f t="shared" si="90"/>
        <v>-0.56379587834186695</v>
      </c>
      <c r="BB42" s="241">
        <f t="shared" si="91"/>
        <v>0.11800490317136392</v>
      </c>
    </row>
    <row r="43" spans="1:54">
      <c r="A43" s="236"/>
      <c r="B43" s="89"/>
      <c r="C43" s="416"/>
      <c r="D43" s="416"/>
      <c r="E43" s="416"/>
      <c r="F43" s="416"/>
      <c r="G43" s="416"/>
      <c r="H43" s="416"/>
      <c r="I43" s="416"/>
      <c r="J43" s="416"/>
      <c r="K43" s="416"/>
      <c r="R43" s="255"/>
      <c r="S43" s="255"/>
      <c r="T43" s="260"/>
    </row>
    <row r="44" spans="1:54">
      <c r="A44" s="236" t="s">
        <v>799</v>
      </c>
      <c r="B44" s="519">
        <f t="shared" ref="B44:B51" si="95">SUM(C44:D44)/SUM(V44:W44)-1</f>
        <v>-0.66527740148328962</v>
      </c>
      <c r="C44" s="227">
        <f>SUMIFS('Prop Budget Calc'!$AD:$AD,'Prop Budget Calc'!$G:$G,'Prop Budget Summary'!$A44,'Prop Budget Calc'!$I:$I,'Prop Budget Summary'!C$2)</f>
        <v>83720</v>
      </c>
      <c r="D44" s="227">
        <f>SUMIFS('Prop Budget Calc'!$AD:$AD,'Prop Budget Calc'!$G:$G,'Prop Budget Summary'!$A44,'Prop Budget Calc'!$I:$I,'Prop Budget Summary'!D$2)</f>
        <v>48473</v>
      </c>
      <c r="E44" s="227">
        <f>SUMIFS('Prop Budget Calc'!$AD:$AD,'Prop Budget Calc'!$G:$G,'Prop Budget Summary'!$A44,'Prop Budget Calc'!$I:$I,'Prop Budget Summary'!E$2)</f>
        <v>40000</v>
      </c>
      <c r="F44" s="227">
        <f>SUMIFS('Prop Budget Calc'!$AD:$AD,'Prop Budget Calc'!$G:$G,'Prop Budget Summary'!$A44,'Prop Budget Calc'!$I:$I,'Prop Budget Summary'!F$2)</f>
        <v>0</v>
      </c>
      <c r="G44" s="227">
        <f>SUMIF('Prop Budget Calc'!$G:$G,'Prop Budget Summary'!$A44,'Prop Budget Calc'!$AG:$AG)</f>
        <v>835.5</v>
      </c>
      <c r="H44" s="227">
        <f>SUMIFS('Prop Budget Calc'!$AD:$AD,'Prop Budget Calc'!$G:$G,'Prop Budget Summary'!$A44,'Prop Budget Calc'!$I:$I,'Prop Budget Summary'!H$2)</f>
        <v>0</v>
      </c>
      <c r="I44" s="227">
        <f>SUMIF('Prop Budget Calc'!$G:$G,'Prop Budget Summary'!$A44,'Prop Budget Calc'!$AK:$AK)</f>
        <v>0</v>
      </c>
      <c r="J44" s="227">
        <f>SUMIF('Prop Budget Calc'!$G:$G,'Prop Budget Summary'!$A44,'Prop Budget Calc'!$AL:$AL)</f>
        <v>0</v>
      </c>
      <c r="L44" s="496">
        <f t="shared" ref="L44:L50" si="96">SUBTOTAL(9,C44:K44)</f>
        <v>173028.5</v>
      </c>
      <c r="M44" s="491">
        <f t="shared" ref="M44:M50" si="97">L44/AE44-1</f>
        <v>-0.60615548150373755</v>
      </c>
      <c r="N44" s="227">
        <f>SUMIF('Prop Budget Calc'!$G:$G,'Prop Budget Summary'!$A44,'Prop Budget Calc'!$AU:$AU)</f>
        <v>13380</v>
      </c>
      <c r="O44" s="227">
        <f>SUMIF('Prop Budget Calc'!$G:$G,'Prop Budget Summary'!$A44,'Prop Budget Calc'!$BE:$BE)</f>
        <v>22040.58842</v>
      </c>
      <c r="P44" s="227">
        <f>SUMIF('Prop Budget Calc'!$G:$G,'Prop Budget Summary'!$A44,'Prop Budget Calc'!$AR:$AR)</f>
        <v>921.94406640000011</v>
      </c>
      <c r="Q44" s="227">
        <f>SUMIF('Prop Budget Calc'!$G:$G,'Prop Budget Summary'!$A44,'Prop Budget Calc'!$AQ:$AQ)</f>
        <v>29590.537899999999</v>
      </c>
      <c r="R44" s="254">
        <f t="shared" ref="R44:R50" si="98">SUBTOTAL(9,N44:Q44)</f>
        <v>65933.070386399995</v>
      </c>
      <c r="S44" s="426">
        <f t="shared" ref="S44:S50" si="99">R44/AJ44-1</f>
        <v>-0.68194216862406476</v>
      </c>
      <c r="T44" s="259">
        <f t="shared" ref="T44:T50" si="100">L44+R44</f>
        <v>238961.57038639998</v>
      </c>
      <c r="U44" s="522">
        <f t="shared" si="93"/>
        <v>-0.63045141605274102</v>
      </c>
      <c r="V44" s="230">
        <f>SUMIFS('YTD Personnel'!$G:$G,'YTD Personnel'!$B:$B,'Prop Budget Summary'!$A44,'YTD Personnel'!$C:$C,'Prop Budget Summary'!C$2)</f>
        <v>171465</v>
      </c>
      <c r="W44" s="230">
        <f>SUMIFS('YTD Personnel'!$G:$G,'YTD Personnel'!$B:$B,'Prop Budget Summary'!$A44,'YTD Personnel'!$C:$C,'Prop Budget Summary'!D$2)</f>
        <v>223468</v>
      </c>
      <c r="X44" s="230">
        <f>SUMIFS('YTD Personnel'!$G:$G,'YTD Personnel'!$B:$B,'Prop Budget Summary'!$A44,'YTD Personnel'!$C:$C,'Prop Budget Summary'!E$2)</f>
        <v>40000</v>
      </c>
      <c r="Y44" s="230">
        <f>SUMIFS('YTD Personnel'!$G:$G,'YTD Personnel'!$B:$B,'Prop Budget Summary'!$A44,'YTD Personnel'!$C:$C,'Prop Budget Summary'!F$2)</f>
        <v>0</v>
      </c>
      <c r="Z44" s="230">
        <f>SUMIFS('YTD Personnel'!$G:$G,'YTD Personnel'!$B:$B,'Prop Budget Summary'!$A44,'YTD Personnel'!$C:$C,'Prop Budget Summary'!G$2)</f>
        <v>3799</v>
      </c>
      <c r="AA44" s="230">
        <f>SUMIFS('YTD Personnel'!$G:$G,'YTD Personnel'!$B:$B,'Prop Budget Summary'!$A44,'YTD Personnel'!$C:$C,'Prop Budget Summary'!H$2)</f>
        <v>0</v>
      </c>
      <c r="AB44" s="230">
        <f>SUMIFS('YTD Personnel'!$G:$G,'YTD Personnel'!$B:$B,'Prop Budget Summary'!$A44,'YTD Personnel'!$C:$C,'Prop Budget Summary'!I$2)</f>
        <v>600</v>
      </c>
      <c r="AC44" s="230">
        <f>SUMIFS('YTD Personnel'!$G:$G,'YTD Personnel'!$B:$B,'Prop Budget Summary'!$A44,'YTD Personnel'!$C:$C,'Prop Budget Summary'!J$2)</f>
        <v>0</v>
      </c>
      <c r="AD44" s="230">
        <f>SUMIFS('YTD Personnel'!$G:$G,'YTD Personnel'!$B:$B,'Prop Budget Summary'!$A44,'YTD Personnel'!$C:$C,'Prop Budget Summary'!K$2)</f>
        <v>0</v>
      </c>
      <c r="AE44" s="228">
        <f t="shared" ref="AE44:AE50" si="101">SUBTOTAL(9,V44:AD44)</f>
        <v>439332</v>
      </c>
      <c r="AF44" s="230">
        <f>SUMIFS('YTD Personnel'!$G:$G,'YTD Personnel'!$B:$B,'Prop Budget Summary'!$A44,'YTD Personnel'!$C:$C,'Prop Budget Summary'!N$2)</f>
        <v>35120</v>
      </c>
      <c r="AG44" s="230">
        <f>SUMIFS('YTD Personnel'!$G:$G,'YTD Personnel'!$B:$B,'Prop Budget Summary'!$A44,'YTD Personnel'!$C:$C,'Prop Budget Summary'!O$2)</f>
        <v>97445</v>
      </c>
      <c r="AH44" s="230">
        <f>SUMIFS('YTD Personnel'!$G:$G,'YTD Personnel'!$B:$B,'Prop Budget Summary'!$A44,'YTD Personnel'!$C:$C,'Prop Budget Summary'!P$2)</f>
        <v>1624</v>
      </c>
      <c r="AI44" s="230">
        <f>SUMIFS('YTD Personnel'!$G:$G,'YTD Personnel'!$B:$B,'Prop Budget Summary'!$A44,'YTD Personnel'!$C:$C,'Prop Budget Summary'!Q$2)</f>
        <v>73110</v>
      </c>
      <c r="AJ44" s="227">
        <f t="shared" ref="AJ44:AJ50" si="102">SUBTOTAL(9,AF44:AI44)</f>
        <v>207299</v>
      </c>
      <c r="AK44" s="230">
        <f t="shared" ref="AK44:AK50" si="103">SUBTOTAL(9,V44:AI44)</f>
        <v>646631</v>
      </c>
      <c r="AM44" s="234">
        <f t="shared" ref="AM44:AV51" si="104">IF(C44=0,0,C44/V44-1)</f>
        <v>-0.51173708920187799</v>
      </c>
      <c r="AN44" s="234">
        <f t="shared" si="104"/>
        <v>-0.78308751141102984</v>
      </c>
      <c r="AO44" s="234">
        <f t="shared" si="104"/>
        <v>0</v>
      </c>
      <c r="AP44" s="234">
        <f t="shared" si="104"/>
        <v>0</v>
      </c>
      <c r="AQ44" s="234">
        <f t="shared" si="104"/>
        <v>-0.7800737036062122</v>
      </c>
      <c r="AR44" s="234">
        <f t="shared" si="104"/>
        <v>0</v>
      </c>
      <c r="AS44" s="234">
        <f t="shared" si="104"/>
        <v>0</v>
      </c>
      <c r="AT44" s="234">
        <f t="shared" si="104"/>
        <v>0</v>
      </c>
      <c r="AU44" s="234">
        <f t="shared" si="104"/>
        <v>0</v>
      </c>
      <c r="AV44" s="234">
        <f t="shared" si="104"/>
        <v>-0.60615548150373755</v>
      </c>
      <c r="AW44" s="234">
        <f t="shared" ref="AW44:BA51" si="105">IF(N44=0,0,N44/AF44-1)</f>
        <v>-0.61902050113895224</v>
      </c>
      <c r="AX44" s="234">
        <f t="shared" si="105"/>
        <v>-0.7738150913848838</v>
      </c>
      <c r="AY44" s="234">
        <f t="shared" si="105"/>
        <v>-0.43230045172413789</v>
      </c>
      <c r="AZ44" s="234">
        <f t="shared" si="105"/>
        <v>-0.59526004787306797</v>
      </c>
      <c r="BA44" s="234">
        <f t="shared" si="105"/>
        <v>-0.68194216862406476</v>
      </c>
      <c r="BB44" s="234">
        <f t="shared" ref="BB44:BB51" si="106">IF(T44=0,0,T44/AK44-1)</f>
        <v>-0.63045141605274102</v>
      </c>
    </row>
    <row r="45" spans="1:54">
      <c r="A45" s="236" t="s">
        <v>800</v>
      </c>
      <c r="B45" s="519">
        <f t="shared" si="95"/>
        <v>-0.71168022259038399</v>
      </c>
      <c r="C45" s="227">
        <f>SUMIFS('Prop Budget Calc'!$AD:$AD,'Prop Budget Calc'!$G:$G,'Prop Budget Summary'!$A45,'Prop Budget Calc'!$I:$I,'Prop Budget Summary'!C$2)</f>
        <v>57571</v>
      </c>
      <c r="D45" s="227">
        <f>SUMIFS('Prop Budget Calc'!$AD:$AD,'Prop Budget Calc'!$G:$G,'Prop Budget Summary'!$A45,'Prop Budget Calc'!$I:$I,'Prop Budget Summary'!D$2)</f>
        <v>42322</v>
      </c>
      <c r="E45" s="227">
        <f>SUMIFS('Prop Budget Calc'!$AD:$AD,'Prop Budget Calc'!$G:$G,'Prop Budget Summary'!$A45,'Prop Budget Calc'!$I:$I,'Prop Budget Summary'!E$2)</f>
        <v>1000</v>
      </c>
      <c r="F45" s="227">
        <f>SUMIFS('Prop Budget Calc'!$AD:$AD,'Prop Budget Calc'!$G:$G,'Prop Budget Summary'!$A45,'Prop Budget Calc'!$I:$I,'Prop Budget Summary'!F$2)</f>
        <v>0</v>
      </c>
      <c r="G45" s="227">
        <f>SUMIF('Prop Budget Calc'!$G:$G,'Prop Budget Summary'!$A45,'Prop Budget Calc'!$AG:$AG)</f>
        <v>608.16666666666663</v>
      </c>
      <c r="H45" s="227">
        <f>SUMIFS('Prop Budget Calc'!$AD:$AD,'Prop Budget Calc'!$G:$G,'Prop Budget Summary'!$A45,'Prop Budget Calc'!$I:$I,'Prop Budget Summary'!H$2)</f>
        <v>0</v>
      </c>
      <c r="I45" s="227">
        <f>SUMIF('Prop Budget Calc'!$G:$G,'Prop Budget Summary'!$A45,'Prop Budget Calc'!$AK:$AK)</f>
        <v>0</v>
      </c>
      <c r="J45" s="227">
        <f>SUMIF('Prop Budget Calc'!$G:$G,'Prop Budget Summary'!$A45,'Prop Budget Calc'!$AL:$AL)</f>
        <v>0</v>
      </c>
      <c r="L45" s="496">
        <f t="shared" si="96"/>
        <v>101501.16666666667</v>
      </c>
      <c r="M45" s="491">
        <f t="shared" si="97"/>
        <v>-0.71006956346213901</v>
      </c>
      <c r="N45" s="227">
        <f>SUMIF('Prop Budget Calc'!$G:$G,'Prop Budget Summary'!$A45,'Prop Budget Calc'!$AU:$AU)</f>
        <v>7780</v>
      </c>
      <c r="O45" s="227">
        <f>SUMIF('Prop Budget Calc'!$G:$G,'Prop Budget Summary'!$A45,'Prop Budget Calc'!$BE:$BE)</f>
        <v>37424.037811999995</v>
      </c>
      <c r="P45" s="227">
        <f>SUMIF('Prop Budget Calc'!$G:$G,'Prop Budget Summary'!$A45,'Prop Budget Calc'!$AR:$AR)</f>
        <v>139.82800720000003</v>
      </c>
      <c r="Q45" s="227">
        <f>SUMIF('Prop Budget Calc'!$G:$G,'Prop Budget Summary'!$A45,'Prop Budget Calc'!$AQ:$AQ)</f>
        <v>17194.297633333335</v>
      </c>
      <c r="R45" s="254">
        <f t="shared" si="98"/>
        <v>62538.163452533328</v>
      </c>
      <c r="S45" s="426">
        <f t="shared" si="99"/>
        <v>-0.59669190295213348</v>
      </c>
      <c r="T45" s="259">
        <f t="shared" si="100"/>
        <v>164039.33011919999</v>
      </c>
      <c r="U45" s="522">
        <f t="shared" si="93"/>
        <v>-0.67526674178770307</v>
      </c>
      <c r="V45" s="230">
        <f>SUMIFS('YTD Personnel'!$G:$G,'YTD Personnel'!$B:$B,'Prop Budget Summary'!$A45,'YTD Personnel'!$C:$C,'Prop Budget Summary'!C$2)</f>
        <v>225455</v>
      </c>
      <c r="W45" s="230">
        <f>SUMIFS('YTD Personnel'!$G:$G,'YTD Personnel'!$B:$B,'Prop Budget Summary'!$A45,'YTD Personnel'!$C:$C,'Prop Budget Summary'!D$2)</f>
        <v>121011</v>
      </c>
      <c r="X45" s="230">
        <f>SUMIFS('YTD Personnel'!$G:$G,'YTD Personnel'!$B:$B,'Prop Budget Summary'!$A45,'YTD Personnel'!$C:$C,'Prop Budget Summary'!E$2)</f>
        <v>1000</v>
      </c>
      <c r="Y45" s="230">
        <f>SUMIFS('YTD Personnel'!$G:$G,'YTD Personnel'!$B:$B,'Prop Budget Summary'!$A45,'YTD Personnel'!$C:$C,'Prop Budget Summary'!F$2)</f>
        <v>0</v>
      </c>
      <c r="Z45" s="230">
        <f>SUMIFS('YTD Personnel'!$G:$G,'YTD Personnel'!$B:$B,'Prop Budget Summary'!$A45,'YTD Personnel'!$C:$C,'Prop Budget Summary'!G$2)</f>
        <v>2622</v>
      </c>
      <c r="AA45" s="230">
        <f>SUMIFS('YTD Personnel'!$G:$G,'YTD Personnel'!$B:$B,'Prop Budget Summary'!$A45,'YTD Personnel'!$C:$C,'Prop Budget Summary'!H$2)</f>
        <v>0</v>
      </c>
      <c r="AB45" s="230">
        <f>SUMIFS('YTD Personnel'!$G:$G,'YTD Personnel'!$B:$B,'Prop Budget Summary'!$A45,'YTD Personnel'!$C:$C,'Prop Budget Summary'!I$2)</f>
        <v>0</v>
      </c>
      <c r="AC45" s="230">
        <f>SUMIFS('YTD Personnel'!$G:$G,'YTD Personnel'!$B:$B,'Prop Budget Summary'!$A45,'YTD Personnel'!$C:$C,'Prop Budget Summary'!J$2)</f>
        <v>0</v>
      </c>
      <c r="AD45" s="230">
        <f>SUMIFS('YTD Personnel'!$G:$G,'YTD Personnel'!$B:$B,'Prop Budget Summary'!$A45,'YTD Personnel'!$C:$C,'Prop Budget Summary'!K$2)</f>
        <v>0</v>
      </c>
      <c r="AE45" s="228">
        <f t="shared" si="101"/>
        <v>350088</v>
      </c>
      <c r="AF45" s="230">
        <f>SUMIFS('YTD Personnel'!$G:$G,'YTD Personnel'!$B:$B,'Prop Budget Summary'!$A45,'YTD Personnel'!$C:$C,'Prop Budget Summary'!N$2)</f>
        <v>26810</v>
      </c>
      <c r="AG45" s="230">
        <f>SUMIFS('YTD Personnel'!$G:$G,'YTD Personnel'!$B:$B,'Prop Budget Summary'!$A45,'YTD Personnel'!$C:$C,'Prop Budget Summary'!O$2)</f>
        <v>69849</v>
      </c>
      <c r="AH45" s="230">
        <f>SUMIFS('YTD Personnel'!$G:$G,'YTD Personnel'!$B:$B,'Prop Budget Summary'!$A45,'YTD Personnel'!$C:$C,'Prop Budget Summary'!P$2)</f>
        <v>500</v>
      </c>
      <c r="AI45" s="230">
        <f>SUMIFS('YTD Personnel'!$G:$G,'YTD Personnel'!$B:$B,'Prop Budget Summary'!$A45,'YTD Personnel'!$C:$C,'Prop Budget Summary'!Q$2)</f>
        <v>57904</v>
      </c>
      <c r="AJ45" s="227">
        <f t="shared" si="102"/>
        <v>155063</v>
      </c>
      <c r="AK45" s="230">
        <f t="shared" si="103"/>
        <v>505151</v>
      </c>
      <c r="AM45" s="234">
        <f t="shared" si="104"/>
        <v>-0.74464527289259497</v>
      </c>
      <c r="AN45" s="234">
        <f t="shared" si="104"/>
        <v>-0.65026319921329467</v>
      </c>
      <c r="AO45" s="234">
        <f t="shared" si="104"/>
        <v>0</v>
      </c>
      <c r="AP45" s="234">
        <f t="shared" si="104"/>
        <v>0</v>
      </c>
      <c r="AQ45" s="234">
        <f t="shared" si="104"/>
        <v>-0.76805237732011189</v>
      </c>
      <c r="AR45" s="234">
        <f t="shared" si="104"/>
        <v>0</v>
      </c>
      <c r="AS45" s="234">
        <f t="shared" si="104"/>
        <v>0</v>
      </c>
      <c r="AT45" s="234">
        <f t="shared" si="104"/>
        <v>0</v>
      </c>
      <c r="AU45" s="234">
        <f t="shared" si="104"/>
        <v>0</v>
      </c>
      <c r="AV45" s="234">
        <f t="shared" si="104"/>
        <v>-0.71006956346213901</v>
      </c>
      <c r="AW45" s="234">
        <f t="shared" si="105"/>
        <v>-0.70980977247295785</v>
      </c>
      <c r="AX45" s="234">
        <f t="shared" si="105"/>
        <v>-0.46421512388151587</v>
      </c>
      <c r="AY45" s="234">
        <f t="shared" si="105"/>
        <v>-0.72034398560000001</v>
      </c>
      <c r="AZ45" s="234">
        <f t="shared" si="105"/>
        <v>-0.70305509751773054</v>
      </c>
      <c r="BA45" s="234">
        <f t="shared" si="105"/>
        <v>-0.59669190295213348</v>
      </c>
      <c r="BB45" s="234">
        <f t="shared" si="106"/>
        <v>-0.67526674178770307</v>
      </c>
    </row>
    <row r="46" spans="1:54">
      <c r="A46" s="236" t="s">
        <v>801</v>
      </c>
      <c r="B46" s="519">
        <f t="shared" si="95"/>
        <v>-0.68518090898361539</v>
      </c>
      <c r="C46" s="227">
        <f>SUMIFS('Prop Budget Calc'!$AD:$AD,'Prop Budget Calc'!$G:$G,'Prop Budget Summary'!$A46,'Prop Budget Calc'!$I:$I,'Prop Budget Summary'!C$2)</f>
        <v>0</v>
      </c>
      <c r="D46" s="227">
        <f>SUMIFS('Prop Budget Calc'!$AD:$AD,'Prop Budget Calc'!$G:$G,'Prop Budget Summary'!$A46,'Prop Budget Calc'!$I:$I,'Prop Budget Summary'!D$2)</f>
        <v>61351</v>
      </c>
      <c r="E46" s="227">
        <f>SUMIFS('Prop Budget Calc'!$AD:$AD,'Prop Budget Calc'!$G:$G,'Prop Budget Summary'!$A46,'Prop Budget Calc'!$I:$I,'Prop Budget Summary'!E$2)</f>
        <v>2000</v>
      </c>
      <c r="F46" s="227">
        <f>SUMIFS('Prop Budget Calc'!$AD:$AD,'Prop Budget Calc'!$G:$G,'Prop Budget Summary'!$A46,'Prop Budget Calc'!$I:$I,'Prop Budget Summary'!F$2)</f>
        <v>0</v>
      </c>
      <c r="G46" s="227">
        <f>SUMIF('Prop Budget Calc'!$G:$G,'Prop Budget Summary'!$A46,'Prop Budget Calc'!$AG:$AG)</f>
        <v>1500</v>
      </c>
      <c r="H46" s="227">
        <f>SUMIFS('Prop Budget Calc'!$AD:$AD,'Prop Budget Calc'!$G:$G,'Prop Budget Summary'!$A46,'Prop Budget Calc'!$I:$I,'Prop Budget Summary'!H$2)</f>
        <v>0</v>
      </c>
      <c r="I46" s="227">
        <f>SUMIF('Prop Budget Calc'!$G:$G,'Prop Budget Summary'!$A46,'Prop Budget Calc'!$AK:$AK)</f>
        <v>900</v>
      </c>
      <c r="J46" s="227">
        <f>SUMIF('Prop Budget Calc'!$G:$G,'Prop Budget Summary'!$A46,'Prop Budget Calc'!$AL:$AL)</f>
        <v>0</v>
      </c>
      <c r="L46" s="496">
        <f t="shared" si="96"/>
        <v>65751</v>
      </c>
      <c r="M46" s="491">
        <f t="shared" si="97"/>
        <v>-0.67100318734269693</v>
      </c>
      <c r="N46" s="227">
        <f>SUMIF('Prop Budget Calc'!$G:$G,'Prop Budget Summary'!$A46,'Prop Budget Calc'!$AU:$AU)</f>
        <v>5050</v>
      </c>
      <c r="O46" s="227">
        <f>SUMIF('Prop Budget Calc'!$G:$G,'Prop Budget Summary'!$A46,'Prop Budget Calc'!$BE:$BE)</f>
        <v>19483.884664000001</v>
      </c>
      <c r="P46" s="227">
        <f>SUMIF('Prop Budget Calc'!$G:$G,'Prop Budget Summary'!$A46,'Prop Budget Calc'!$AR:$AR)</f>
        <v>994.1551199999999</v>
      </c>
      <c r="Q46" s="227">
        <f>SUMIF('Prop Budget Calc'!$G:$G,'Prop Budget Summary'!$A46,'Prop Budget Calc'!$AQ:$AQ)</f>
        <v>11138.219399999998</v>
      </c>
      <c r="R46" s="254">
        <f t="shared" si="98"/>
        <v>36666.259183999995</v>
      </c>
      <c r="S46" s="426">
        <f t="shared" si="99"/>
        <v>-0.7283819842361029</v>
      </c>
      <c r="T46" s="259">
        <f t="shared" si="100"/>
        <v>102417.259184</v>
      </c>
      <c r="U46" s="522">
        <f t="shared" si="93"/>
        <v>-0.69413531877734469</v>
      </c>
      <c r="V46" s="230">
        <f>SUMIFS('YTD Personnel'!$G:$G,'YTD Personnel'!$B:$B,'Prop Budget Summary'!$A46,'YTD Personnel'!$C:$C,'Prop Budget Summary'!C$2)</f>
        <v>0</v>
      </c>
      <c r="W46" s="230">
        <f>SUMIFS('YTD Personnel'!$G:$G,'YTD Personnel'!$B:$B,'Prop Budget Summary'!$A46,'YTD Personnel'!$C:$C,'Prop Budget Summary'!D$2)</f>
        <v>194877</v>
      </c>
      <c r="X46" s="230">
        <f>SUMIFS('YTD Personnel'!$G:$G,'YTD Personnel'!$B:$B,'Prop Budget Summary'!$A46,'YTD Personnel'!$C:$C,'Prop Budget Summary'!E$2)</f>
        <v>2000</v>
      </c>
      <c r="Y46" s="230">
        <f>SUMIFS('YTD Personnel'!$G:$G,'YTD Personnel'!$B:$B,'Prop Budget Summary'!$A46,'YTD Personnel'!$C:$C,'Prop Budget Summary'!F$2)</f>
        <v>0</v>
      </c>
      <c r="Z46" s="230">
        <f>SUMIFS('YTD Personnel'!$G:$G,'YTD Personnel'!$B:$B,'Prop Budget Summary'!$A46,'YTD Personnel'!$C:$C,'Prop Budget Summary'!G$2)</f>
        <v>2076</v>
      </c>
      <c r="AA46" s="230">
        <f>SUMIFS('YTD Personnel'!$G:$G,'YTD Personnel'!$B:$B,'Prop Budget Summary'!$A46,'YTD Personnel'!$C:$C,'Prop Budget Summary'!H$2)</f>
        <v>0</v>
      </c>
      <c r="AB46" s="230">
        <f>SUMIFS('YTD Personnel'!$G:$G,'YTD Personnel'!$B:$B,'Prop Budget Summary'!$A46,'YTD Personnel'!$C:$C,'Prop Budget Summary'!I$2)</f>
        <v>900</v>
      </c>
      <c r="AC46" s="230">
        <f>SUMIFS('YTD Personnel'!$G:$G,'YTD Personnel'!$B:$B,'Prop Budget Summary'!$A46,'YTD Personnel'!$C:$C,'Prop Budget Summary'!J$2)</f>
        <v>0</v>
      </c>
      <c r="AD46" s="230">
        <f>SUMIFS('YTD Personnel'!$G:$G,'YTD Personnel'!$B:$B,'Prop Budget Summary'!$A46,'YTD Personnel'!$C:$C,'Prop Budget Summary'!K$2)</f>
        <v>0</v>
      </c>
      <c r="AE46" s="228">
        <f t="shared" si="101"/>
        <v>199853</v>
      </c>
      <c r="AF46" s="230">
        <f>SUMIFS('YTD Personnel'!$G:$G,'YTD Personnel'!$B:$B,'Prop Budget Summary'!$A46,'YTD Personnel'!$C:$C,'Prop Budget Summary'!N$2)</f>
        <v>15330</v>
      </c>
      <c r="AG46" s="230">
        <f>SUMIFS('YTD Personnel'!$G:$G,'YTD Personnel'!$B:$B,'Prop Budget Summary'!$A46,'YTD Personnel'!$C:$C,'Prop Budget Summary'!O$2)</f>
        <v>83394</v>
      </c>
      <c r="AH46" s="230">
        <f>SUMIFS('YTD Personnel'!$G:$G,'YTD Personnel'!$B:$B,'Prop Budget Summary'!$A46,'YTD Personnel'!$C:$C,'Prop Budget Summary'!P$2)</f>
        <v>3212</v>
      </c>
      <c r="AI46" s="230">
        <f>SUMIFS('YTD Personnel'!$G:$G,'YTD Personnel'!$B:$B,'Prop Budget Summary'!$A46,'YTD Personnel'!$C:$C,'Prop Budget Summary'!Q$2)</f>
        <v>33056</v>
      </c>
      <c r="AJ46" s="227">
        <f t="shared" si="102"/>
        <v>134992</v>
      </c>
      <c r="AK46" s="230">
        <f t="shared" si="103"/>
        <v>334845</v>
      </c>
      <c r="AM46" s="234">
        <f t="shared" si="104"/>
        <v>0</v>
      </c>
      <c r="AN46" s="234">
        <f t="shared" si="104"/>
        <v>-0.68518090898361539</v>
      </c>
      <c r="AO46" s="234">
        <f t="shared" si="104"/>
        <v>0</v>
      </c>
      <c r="AP46" s="234">
        <f t="shared" si="104"/>
        <v>0</v>
      </c>
      <c r="AQ46" s="234">
        <f t="shared" si="104"/>
        <v>-0.2774566473988439</v>
      </c>
      <c r="AR46" s="234">
        <f t="shared" si="104"/>
        <v>0</v>
      </c>
      <c r="AS46" s="234">
        <f t="shared" si="104"/>
        <v>0</v>
      </c>
      <c r="AT46" s="234">
        <f t="shared" si="104"/>
        <v>0</v>
      </c>
      <c r="AU46" s="234">
        <f t="shared" si="104"/>
        <v>0</v>
      </c>
      <c r="AV46" s="234">
        <f t="shared" si="104"/>
        <v>-0.67100318734269693</v>
      </c>
      <c r="AW46" s="234">
        <f t="shared" si="105"/>
        <v>-0.67058056099151986</v>
      </c>
      <c r="AX46" s="234">
        <f t="shared" si="105"/>
        <v>-0.76636347142480277</v>
      </c>
      <c r="AY46" s="234">
        <f t="shared" si="105"/>
        <v>-0.69048719800747205</v>
      </c>
      <c r="AZ46" s="234">
        <f t="shared" si="105"/>
        <v>-0.66304999394966124</v>
      </c>
      <c r="BA46" s="234">
        <f t="shared" si="105"/>
        <v>-0.7283819842361029</v>
      </c>
      <c r="BB46" s="234">
        <f t="shared" si="106"/>
        <v>-0.69413531877734469</v>
      </c>
    </row>
    <row r="47" spans="1:54">
      <c r="A47" s="236" t="s">
        <v>802</v>
      </c>
      <c r="B47" s="519">
        <f t="shared" si="95"/>
        <v>-0.33905678267140305</v>
      </c>
      <c r="C47" s="227">
        <f>SUMIFS('Prop Budget Calc'!$AD:$AD,'Prop Budget Calc'!$G:$G,'Prop Budget Summary'!$A47,'Prop Budget Calc'!$I:$I,'Prop Budget Summary'!C$2)</f>
        <v>0</v>
      </c>
      <c r="D47" s="227">
        <f>SUMIFS('Prop Budget Calc'!$AD:$AD,'Prop Budget Calc'!$G:$G,'Prop Budget Summary'!$A47,'Prop Budget Calc'!$I:$I,'Prop Budget Summary'!D$2)</f>
        <v>197971</v>
      </c>
      <c r="E47" s="227">
        <f>SUMIFS('Prop Budget Calc'!$AD:$AD,'Prop Budget Calc'!$G:$G,'Prop Budget Summary'!$A47,'Prop Budget Calc'!$I:$I,'Prop Budget Summary'!E$2)</f>
        <v>22889</v>
      </c>
      <c r="F47" s="227">
        <f>SUMIFS('Prop Budget Calc'!$AD:$AD,'Prop Budget Calc'!$G:$G,'Prop Budget Summary'!$A47,'Prop Budget Calc'!$I:$I,'Prop Budget Summary'!F$2)</f>
        <v>0</v>
      </c>
      <c r="G47" s="227">
        <f>SUMIF('Prop Budget Calc'!$G:$G,'Prop Budget Summary'!$A47,'Prop Budget Calc'!$AG:$AG)</f>
        <v>3890.166666666667</v>
      </c>
      <c r="H47" s="227">
        <f>SUMIFS('Prop Budget Calc'!$AD:$AD,'Prop Budget Calc'!$G:$G,'Prop Budget Summary'!$A47,'Prop Budget Calc'!$I:$I,'Prop Budget Summary'!H$2)</f>
        <v>0</v>
      </c>
      <c r="I47" s="227">
        <f>SUMIF('Prop Budget Calc'!$G:$G,'Prop Budget Summary'!$A47,'Prop Budget Calc'!$AK:$AK)</f>
        <v>3300</v>
      </c>
      <c r="J47" s="227">
        <f>SUMIF('Prop Budget Calc'!$G:$G,'Prop Budget Summary'!$A47,'Prop Budget Calc'!$AL:$AL)</f>
        <v>0</v>
      </c>
      <c r="L47" s="496">
        <f t="shared" si="96"/>
        <v>228050.16666666666</v>
      </c>
      <c r="M47" s="491">
        <f t="shared" si="97"/>
        <v>-0.31087470449172583</v>
      </c>
      <c r="N47" s="227">
        <f>SUMIF('Prop Budget Calc'!$G:$G,'Prop Budget Summary'!$A47,'Prop Budget Calc'!$AU:$AU)</f>
        <v>17550</v>
      </c>
      <c r="O47" s="227">
        <f>SUMIF('Prop Budget Calc'!$G:$G,'Prop Budget Summary'!$A47,'Prop Budget Calc'!$BE:$BE)</f>
        <v>55564.452875999988</v>
      </c>
      <c r="P47" s="227">
        <f>SUMIF('Prop Budget Calc'!$G:$G,'Prop Budget Summary'!$A47,'Prop Budget Calc'!$AR:$AR)</f>
        <v>3463.7677199999998</v>
      </c>
      <c r="Q47" s="227">
        <f>SUMIF('Prop Budget Calc'!$G:$G,'Prop Budget Summary'!$A47,'Prop Budget Calc'!$AQ:$AQ)</f>
        <v>38807.027233333334</v>
      </c>
      <c r="R47" s="254">
        <f t="shared" si="98"/>
        <v>115385.24782933333</v>
      </c>
      <c r="S47" s="426">
        <f t="shared" si="99"/>
        <v>-0.32870670605734453</v>
      </c>
      <c r="T47" s="259">
        <f t="shared" si="100"/>
        <v>343435.41449599998</v>
      </c>
      <c r="U47" s="522">
        <f t="shared" si="93"/>
        <v>-0.31697052875428589</v>
      </c>
      <c r="V47" s="230">
        <f>SUMIFS('YTD Personnel'!$G:$G,'YTD Personnel'!$B:$B,'Prop Budget Summary'!$A47,'YTD Personnel'!$C:$C,'Prop Budget Summary'!C$2)</f>
        <v>0</v>
      </c>
      <c r="W47" s="230">
        <f>SUMIFS('YTD Personnel'!$G:$G,'YTD Personnel'!$B:$B,'Prop Budget Summary'!$A47,'YTD Personnel'!$C:$C,'Prop Budget Summary'!D$2)</f>
        <v>299528</v>
      </c>
      <c r="X47" s="230">
        <f>SUMIFS('YTD Personnel'!$G:$G,'YTD Personnel'!$B:$B,'Prop Budget Summary'!$A47,'YTD Personnel'!$C:$C,'Prop Budget Summary'!E$2)</f>
        <v>22937</v>
      </c>
      <c r="Y47" s="230">
        <f>SUMIFS('YTD Personnel'!$G:$G,'YTD Personnel'!$B:$B,'Prop Budget Summary'!$A47,'YTD Personnel'!$C:$C,'Prop Budget Summary'!F$2)</f>
        <v>0</v>
      </c>
      <c r="Z47" s="230">
        <f>SUMIFS('YTD Personnel'!$G:$G,'YTD Personnel'!$B:$B,'Prop Budget Summary'!$A47,'YTD Personnel'!$C:$C,'Prop Budget Summary'!G$2)</f>
        <v>6062</v>
      </c>
      <c r="AA47" s="230">
        <f>SUMIFS('YTD Personnel'!$G:$G,'YTD Personnel'!$B:$B,'Prop Budget Summary'!$A47,'YTD Personnel'!$C:$C,'Prop Budget Summary'!H$2)</f>
        <v>0</v>
      </c>
      <c r="AB47" s="230">
        <f>SUMIFS('YTD Personnel'!$G:$G,'YTD Personnel'!$B:$B,'Prop Budget Summary'!$A47,'YTD Personnel'!$C:$C,'Prop Budget Summary'!I$2)</f>
        <v>2400</v>
      </c>
      <c r="AC47" s="230">
        <f>SUMIFS('YTD Personnel'!$G:$G,'YTD Personnel'!$B:$B,'Prop Budget Summary'!$A47,'YTD Personnel'!$C:$C,'Prop Budget Summary'!J$2)</f>
        <v>0</v>
      </c>
      <c r="AD47" s="230">
        <f>SUMIFS('YTD Personnel'!$G:$G,'YTD Personnel'!$B:$B,'Prop Budget Summary'!$A47,'YTD Personnel'!$C:$C,'Prop Budget Summary'!K$2)</f>
        <v>0</v>
      </c>
      <c r="AE47" s="228">
        <f t="shared" si="101"/>
        <v>330927</v>
      </c>
      <c r="AF47" s="230">
        <f>SUMIFS('YTD Personnel'!$G:$G,'YTD Personnel'!$B:$B,'Prop Budget Summary'!$A47,'YTD Personnel'!$C:$C,'Prop Budget Summary'!N$2)</f>
        <v>25420</v>
      </c>
      <c r="AG47" s="230">
        <f>SUMIFS('YTD Personnel'!$G:$G,'YTD Personnel'!$B:$B,'Prop Budget Summary'!$A47,'YTD Personnel'!$C:$C,'Prop Budget Summary'!O$2)</f>
        <v>86223</v>
      </c>
      <c r="AH47" s="230">
        <f>SUMIFS('YTD Personnel'!$G:$G,'YTD Personnel'!$B:$B,'Prop Budget Summary'!$A47,'YTD Personnel'!$C:$C,'Prop Budget Summary'!P$2)</f>
        <v>5335</v>
      </c>
      <c r="AI47" s="230">
        <f>SUMIFS('YTD Personnel'!$G:$G,'YTD Personnel'!$B:$B,'Prop Budget Summary'!$A47,'YTD Personnel'!$C:$C,'Prop Budget Summary'!Q$2)</f>
        <v>54907</v>
      </c>
      <c r="AJ47" s="227">
        <f t="shared" si="102"/>
        <v>171885</v>
      </c>
      <c r="AK47" s="230">
        <f t="shared" si="103"/>
        <v>502812</v>
      </c>
      <c r="AM47" s="234">
        <f t="shared" si="104"/>
        <v>0</v>
      </c>
      <c r="AN47" s="234">
        <f t="shared" si="104"/>
        <v>-0.33905678267140305</v>
      </c>
      <c r="AO47" s="234">
        <f t="shared" si="104"/>
        <v>-2.0926886689628388E-3</v>
      </c>
      <c r="AP47" s="234">
        <f t="shared" si="104"/>
        <v>0</v>
      </c>
      <c r="AQ47" s="234">
        <f t="shared" si="104"/>
        <v>-0.35827009787748809</v>
      </c>
      <c r="AR47" s="234">
        <f t="shared" si="104"/>
        <v>0</v>
      </c>
      <c r="AS47" s="234">
        <f t="shared" si="104"/>
        <v>0.375</v>
      </c>
      <c r="AT47" s="234">
        <f t="shared" si="104"/>
        <v>0</v>
      </c>
      <c r="AU47" s="234">
        <f t="shared" si="104"/>
        <v>0</v>
      </c>
      <c r="AV47" s="234">
        <f t="shared" si="104"/>
        <v>-0.31087470449172583</v>
      </c>
      <c r="AW47" s="234">
        <f t="shared" si="105"/>
        <v>-0.30959874114870178</v>
      </c>
      <c r="AX47" s="234">
        <f t="shared" si="105"/>
        <v>-0.35557272565324816</v>
      </c>
      <c r="AY47" s="234">
        <f t="shared" si="105"/>
        <v>-0.35074644423617618</v>
      </c>
      <c r="AZ47" s="234">
        <f t="shared" si="105"/>
        <v>-0.29322259031938858</v>
      </c>
      <c r="BA47" s="234">
        <f t="shared" si="105"/>
        <v>-0.32870670605734453</v>
      </c>
      <c r="BB47" s="234">
        <f t="shared" si="106"/>
        <v>-0.31697052875428589</v>
      </c>
    </row>
    <row r="48" spans="1:54">
      <c r="A48" s="236" t="s">
        <v>803</v>
      </c>
      <c r="B48" s="519">
        <f t="shared" si="95"/>
        <v>-0.45316830565193289</v>
      </c>
      <c r="C48" s="227">
        <f>SUMIFS('Prop Budget Calc'!$AD:$AD,'Prop Budget Calc'!$G:$G,'Prop Budget Summary'!$A48,'Prop Budget Calc'!$I:$I,'Prop Budget Summary'!C$2)</f>
        <v>0</v>
      </c>
      <c r="D48" s="227">
        <f>SUMIFS('Prop Budget Calc'!$AD:$AD,'Prop Budget Calc'!$G:$G,'Prop Budget Summary'!$A48,'Prop Budget Calc'!$I:$I,'Prop Budget Summary'!D$2)</f>
        <v>213085</v>
      </c>
      <c r="E48" s="227">
        <f>SUMIFS('Prop Budget Calc'!$AD:$AD,'Prop Budget Calc'!$G:$G,'Prop Budget Summary'!$A48,'Prop Budget Calc'!$I:$I,'Prop Budget Summary'!E$2)</f>
        <v>34845</v>
      </c>
      <c r="F48" s="227">
        <f>SUMIFS('Prop Budget Calc'!$AD:$AD,'Prop Budget Calc'!$G:$G,'Prop Budget Summary'!$A48,'Prop Budget Calc'!$I:$I,'Prop Budget Summary'!F$2)</f>
        <v>0</v>
      </c>
      <c r="G48" s="227">
        <f>SUMIF('Prop Budget Calc'!$G:$G,'Prop Budget Summary'!$A48,'Prop Budget Calc'!$AG:$AG)</f>
        <v>1371.1666666666667</v>
      </c>
      <c r="H48" s="227">
        <f>SUMIFS('Prop Budget Calc'!$AD:$AD,'Prop Budget Calc'!$G:$G,'Prop Budget Summary'!$A48,'Prop Budget Calc'!$I:$I,'Prop Budget Summary'!H$2)</f>
        <v>0</v>
      </c>
      <c r="I48" s="227">
        <f>SUMIF('Prop Budget Calc'!$G:$G,'Prop Budget Summary'!$A48,'Prop Budget Calc'!$AK:$AK)</f>
        <v>1850</v>
      </c>
      <c r="J48" s="227">
        <f>SUMIF('Prop Budget Calc'!$G:$G,'Prop Budget Summary'!$A48,'Prop Budget Calc'!$AL:$AL)</f>
        <v>0</v>
      </c>
      <c r="L48" s="496">
        <f t="shared" si="96"/>
        <v>251151.16666666666</v>
      </c>
      <c r="M48" s="491">
        <f t="shared" si="97"/>
        <v>-0.4161691981768787</v>
      </c>
      <c r="N48" s="227">
        <f>SUMIF('Prop Budget Calc'!$G:$G,'Prop Budget Summary'!$A48,'Prop Budget Calc'!$AU:$AU)</f>
        <v>19330</v>
      </c>
      <c r="O48" s="227">
        <f>SUMIF('Prop Budget Calc'!$G:$G,'Prop Budget Summary'!$A48,'Prop Budget Calc'!$BE:$BE)</f>
        <v>70318.936287485529</v>
      </c>
      <c r="P48" s="227">
        <f>SUMIF('Prop Budget Calc'!$G:$G,'Prop Budget Summary'!$A48,'Prop Budget Calc'!$AR:$AR)</f>
        <v>3813.0548400000002</v>
      </c>
      <c r="Q48" s="227">
        <f>SUMIF('Prop Budget Calc'!$G:$G,'Prop Budget Summary'!$A48,'Prop Budget Calc'!$AQ:$AQ)</f>
        <v>42720.336633333332</v>
      </c>
      <c r="R48" s="254">
        <f t="shared" si="98"/>
        <v>136182.32776081885</v>
      </c>
      <c r="S48" s="426">
        <f t="shared" si="99"/>
        <v>-0.39016739990050264</v>
      </c>
      <c r="T48" s="259">
        <f t="shared" si="100"/>
        <v>387333.49442748551</v>
      </c>
      <c r="U48" s="522">
        <f t="shared" si="93"/>
        <v>-0.40728383426884684</v>
      </c>
      <c r="V48" s="230">
        <f>SUMIFS('YTD Personnel'!$G:$G,'YTD Personnel'!$B:$B,'Prop Budget Summary'!$A48,'YTD Personnel'!$C:$C,'Prop Budget Summary'!C$2)</f>
        <v>0</v>
      </c>
      <c r="W48" s="230">
        <f>SUMIFS('YTD Personnel'!$G:$G,'YTD Personnel'!$B:$B,'Prop Budget Summary'!$A48,'YTD Personnel'!$C:$C,'Prop Budget Summary'!D$2)</f>
        <v>389672</v>
      </c>
      <c r="X48" s="230">
        <f>SUMIFS('YTD Personnel'!$G:$G,'YTD Personnel'!$B:$B,'Prop Budget Summary'!$A48,'YTD Personnel'!$C:$C,'Prop Budget Summary'!E$2)</f>
        <v>34957</v>
      </c>
      <c r="Y48" s="230">
        <f>SUMIFS('YTD Personnel'!$G:$G,'YTD Personnel'!$B:$B,'Prop Budget Summary'!$A48,'YTD Personnel'!$C:$C,'Prop Budget Summary'!F$2)</f>
        <v>0</v>
      </c>
      <c r="Z48" s="230">
        <f>SUMIFS('YTD Personnel'!$G:$G,'YTD Personnel'!$B:$B,'Prop Budget Summary'!$A48,'YTD Personnel'!$C:$C,'Prop Budget Summary'!G$2)</f>
        <v>2799</v>
      </c>
      <c r="AA48" s="230">
        <f>SUMIFS('YTD Personnel'!$G:$G,'YTD Personnel'!$B:$B,'Prop Budget Summary'!$A48,'YTD Personnel'!$C:$C,'Prop Budget Summary'!H$2)</f>
        <v>0</v>
      </c>
      <c r="AB48" s="230">
        <f>SUMIFS('YTD Personnel'!$G:$G,'YTD Personnel'!$B:$B,'Prop Budget Summary'!$A48,'YTD Personnel'!$C:$C,'Prop Budget Summary'!I$2)</f>
        <v>2750</v>
      </c>
      <c r="AC48" s="230">
        <f>SUMIFS('YTD Personnel'!$G:$G,'YTD Personnel'!$B:$B,'Prop Budget Summary'!$A48,'YTD Personnel'!$C:$C,'Prop Budget Summary'!J$2)</f>
        <v>0</v>
      </c>
      <c r="AD48" s="230">
        <f>SUMIFS('YTD Personnel'!$G:$G,'YTD Personnel'!$B:$B,'Prop Budget Summary'!$A48,'YTD Personnel'!$C:$C,'Prop Budget Summary'!K$2)</f>
        <v>0</v>
      </c>
      <c r="AE48" s="228">
        <f t="shared" si="101"/>
        <v>430178</v>
      </c>
      <c r="AF48" s="230">
        <f>SUMIFS('YTD Personnel'!$G:$G,'YTD Personnel'!$B:$B,'Prop Budget Summary'!$A48,'YTD Personnel'!$C:$C,'Prop Budget Summary'!N$2)</f>
        <v>33090</v>
      </c>
      <c r="AG48" s="230">
        <f>SUMIFS('YTD Personnel'!$G:$G,'YTD Personnel'!$B:$B,'Prop Budget Summary'!$A48,'YTD Personnel'!$C:$C,'Prop Budget Summary'!O$2)</f>
        <v>111039</v>
      </c>
      <c r="AH48" s="230">
        <f>SUMIFS('YTD Personnel'!$G:$G,'YTD Personnel'!$B:$B,'Prop Budget Summary'!$A48,'YTD Personnel'!$C:$C,'Prop Budget Summary'!P$2)</f>
        <v>7758</v>
      </c>
      <c r="AI48" s="230">
        <f>SUMIFS('YTD Personnel'!$G:$G,'YTD Personnel'!$B:$B,'Prop Budget Summary'!$A48,'YTD Personnel'!$C:$C,'Prop Budget Summary'!Q$2)</f>
        <v>71424</v>
      </c>
      <c r="AJ48" s="227">
        <f t="shared" si="102"/>
        <v>223311</v>
      </c>
      <c r="AK48" s="230">
        <f t="shared" si="103"/>
        <v>653489</v>
      </c>
      <c r="AM48" s="234">
        <f t="shared" si="104"/>
        <v>0</v>
      </c>
      <c r="AN48" s="234">
        <f t="shared" si="104"/>
        <v>-0.45316830565193289</v>
      </c>
      <c r="AO48" s="234">
        <f t="shared" si="104"/>
        <v>-3.2039362645536196E-3</v>
      </c>
      <c r="AP48" s="234">
        <f t="shared" si="104"/>
        <v>0</v>
      </c>
      <c r="AQ48" s="234">
        <f t="shared" si="104"/>
        <v>-0.51012266285578178</v>
      </c>
      <c r="AR48" s="234">
        <f t="shared" si="104"/>
        <v>0</v>
      </c>
      <c r="AS48" s="234">
        <f t="shared" si="104"/>
        <v>-0.32727272727272727</v>
      </c>
      <c r="AT48" s="234">
        <f t="shared" si="104"/>
        <v>0</v>
      </c>
      <c r="AU48" s="234">
        <f t="shared" si="104"/>
        <v>0</v>
      </c>
      <c r="AV48" s="234">
        <f t="shared" si="104"/>
        <v>-0.4161691981768787</v>
      </c>
      <c r="AW48" s="234">
        <f t="shared" si="105"/>
        <v>-0.41583559987911756</v>
      </c>
      <c r="AX48" s="234">
        <f t="shared" si="105"/>
        <v>-0.36671857376700501</v>
      </c>
      <c r="AY48" s="234">
        <f t="shared" si="105"/>
        <v>-0.50850027842227374</v>
      </c>
      <c r="AZ48" s="234">
        <f t="shared" si="105"/>
        <v>-0.40187700726179809</v>
      </c>
      <c r="BA48" s="234">
        <f t="shared" si="105"/>
        <v>-0.39016739990050264</v>
      </c>
      <c r="BB48" s="234">
        <f t="shared" si="106"/>
        <v>-0.40728383426884684</v>
      </c>
    </row>
    <row r="49" spans="1:54">
      <c r="A49" s="236" t="s">
        <v>804</v>
      </c>
      <c r="B49" s="519">
        <f t="shared" si="95"/>
        <v>-0.43060193005198311</v>
      </c>
      <c r="C49" s="227">
        <f>SUMIFS('Prop Budget Calc'!$AD:$AD,'Prop Budget Calc'!$G:$G,'Prop Budget Summary'!$A49,'Prop Budget Calc'!$I:$I,'Prop Budget Summary'!C$2)</f>
        <v>0</v>
      </c>
      <c r="D49" s="227">
        <f>SUMIFS('Prop Budget Calc'!$AD:$AD,'Prop Budget Calc'!$G:$G,'Prop Budget Summary'!$A49,'Prop Budget Calc'!$I:$I,'Prop Budget Summary'!D$2)</f>
        <v>260913</v>
      </c>
      <c r="E49" s="227">
        <f>SUMIFS('Prop Budget Calc'!$AD:$AD,'Prop Budget Calc'!$G:$G,'Prop Budget Summary'!$A49,'Prop Budget Calc'!$I:$I,'Prop Budget Summary'!E$2)</f>
        <v>26158</v>
      </c>
      <c r="F49" s="227">
        <f>SUMIFS('Prop Budget Calc'!$AD:$AD,'Prop Budget Calc'!$G:$G,'Prop Budget Summary'!$A49,'Prop Budget Calc'!$I:$I,'Prop Budget Summary'!F$2)</f>
        <v>0</v>
      </c>
      <c r="G49" s="227">
        <f>SUMIF('Prop Budget Calc'!$G:$G,'Prop Budget Summary'!$A49,'Prop Budget Calc'!$AG:$AG)</f>
        <v>2774.8333333333335</v>
      </c>
      <c r="H49" s="227">
        <f>SUMIFS('Prop Budget Calc'!$AD:$AD,'Prop Budget Calc'!$G:$G,'Prop Budget Summary'!$A49,'Prop Budget Calc'!$I:$I,'Prop Budget Summary'!H$2)</f>
        <v>0</v>
      </c>
      <c r="I49" s="227">
        <f>SUMIF('Prop Budget Calc'!$G:$G,'Prop Budget Summary'!$A49,'Prop Budget Calc'!$AK:$AK)</f>
        <v>1400</v>
      </c>
      <c r="J49" s="227">
        <f>SUMIF('Prop Budget Calc'!$G:$G,'Prop Budget Summary'!$A49,'Prop Budget Calc'!$AL:$AL)</f>
        <v>0</v>
      </c>
      <c r="L49" s="496">
        <f t="shared" si="96"/>
        <v>291245.83333333331</v>
      </c>
      <c r="M49" s="491">
        <f t="shared" si="97"/>
        <v>-0.40524811803858063</v>
      </c>
      <c r="N49" s="227">
        <f>SUMIF('Prop Budget Calc'!$G:$G,'Prop Budget Summary'!$A49,'Prop Budget Calc'!$AU:$AU)</f>
        <v>22390</v>
      </c>
      <c r="O49" s="227">
        <f>SUMIF('Prop Budget Calc'!$G:$G,'Prop Budget Summary'!$A49,'Prop Budget Calc'!$BE:$BE)</f>
        <v>119139.99718800001</v>
      </c>
      <c r="P49" s="227">
        <f>SUMIF('Prop Budget Calc'!$G:$G,'Prop Budget Summary'!$A49,'Prop Budget Calc'!$AR:$AR)</f>
        <v>4419.2861999999996</v>
      </c>
      <c r="Q49" s="227">
        <f>SUMIF('Prop Budget Calc'!$G:$G,'Prop Budget Summary'!$A49,'Prop Budget Calc'!$AQ:$AQ)</f>
        <v>49512.373166666672</v>
      </c>
      <c r="R49" s="254">
        <f t="shared" si="98"/>
        <v>195461.6565546667</v>
      </c>
      <c r="S49" s="426">
        <f t="shared" si="99"/>
        <v>-0.32929462076380467</v>
      </c>
      <c r="T49" s="259">
        <f t="shared" si="100"/>
        <v>486707.48988800001</v>
      </c>
      <c r="U49" s="522">
        <f t="shared" si="93"/>
        <v>-0.37691073088897986</v>
      </c>
      <c r="V49" s="230">
        <f>SUMIFS('YTD Personnel'!$G:$G,'YTD Personnel'!$B:$B,'Prop Budget Summary'!$A49,'YTD Personnel'!$C:$C,'Prop Budget Summary'!C$2)</f>
        <v>0</v>
      </c>
      <c r="W49" s="230">
        <f>SUMIFS('YTD Personnel'!$G:$G,'YTD Personnel'!$B:$B,'Prop Budget Summary'!$A49,'YTD Personnel'!$C:$C,'Prop Budget Summary'!D$2)</f>
        <v>458226</v>
      </c>
      <c r="X49" s="230">
        <f>SUMIFS('YTD Personnel'!$G:$G,'YTD Personnel'!$B:$B,'Prop Budget Summary'!$A49,'YTD Personnel'!$C:$C,'Prop Budget Summary'!E$2)</f>
        <v>26277</v>
      </c>
      <c r="Y49" s="230">
        <f>SUMIFS('YTD Personnel'!$G:$G,'YTD Personnel'!$B:$B,'Prop Budget Summary'!$A49,'YTD Personnel'!$C:$C,'Prop Budget Summary'!F$2)</f>
        <v>0</v>
      </c>
      <c r="Z49" s="230">
        <f>SUMIFS('YTD Personnel'!$G:$G,'YTD Personnel'!$B:$B,'Prop Budget Summary'!$A49,'YTD Personnel'!$C:$C,'Prop Budget Summary'!G$2)</f>
        <v>2890</v>
      </c>
      <c r="AA49" s="230">
        <f>SUMIFS('YTD Personnel'!$G:$G,'YTD Personnel'!$B:$B,'Prop Budget Summary'!$A49,'YTD Personnel'!$C:$C,'Prop Budget Summary'!H$2)</f>
        <v>0</v>
      </c>
      <c r="AB49" s="230">
        <f>SUMIFS('YTD Personnel'!$G:$G,'YTD Personnel'!$B:$B,'Prop Budget Summary'!$A49,'YTD Personnel'!$C:$C,'Prop Budget Summary'!I$2)</f>
        <v>2300</v>
      </c>
      <c r="AC49" s="230">
        <f>SUMIFS('YTD Personnel'!$G:$G,'YTD Personnel'!$B:$B,'Prop Budget Summary'!$A49,'YTD Personnel'!$C:$C,'Prop Budget Summary'!J$2)</f>
        <v>0</v>
      </c>
      <c r="AD49" s="230">
        <f>SUMIFS('YTD Personnel'!$G:$G,'YTD Personnel'!$B:$B,'Prop Budget Summary'!$A49,'YTD Personnel'!$C:$C,'Prop Budget Summary'!K$2)</f>
        <v>0</v>
      </c>
      <c r="AE49" s="228">
        <f t="shared" si="101"/>
        <v>489693</v>
      </c>
      <c r="AF49" s="230">
        <f>SUMIFS('YTD Personnel'!$G:$G,'YTD Personnel'!$B:$B,'Prop Budget Summary'!$A49,'YTD Personnel'!$C:$C,'Prop Budget Summary'!N$2)</f>
        <v>37510</v>
      </c>
      <c r="AG49" s="230">
        <f>SUMIFS('YTD Personnel'!$G:$G,'YTD Personnel'!$B:$B,'Prop Budget Summary'!$A49,'YTD Personnel'!$C:$C,'Prop Budget Summary'!O$2)</f>
        <v>164609</v>
      </c>
      <c r="AH49" s="230">
        <f>SUMIFS('YTD Personnel'!$G:$G,'YTD Personnel'!$B:$B,'Prop Budget Summary'!$A49,'YTD Personnel'!$C:$C,'Prop Budget Summary'!P$2)</f>
        <v>8313</v>
      </c>
      <c r="AI49" s="230">
        <f>SUMIFS('YTD Personnel'!$G:$G,'YTD Personnel'!$B:$B,'Prop Budget Summary'!$A49,'YTD Personnel'!$C:$C,'Prop Budget Summary'!Q$2)</f>
        <v>80995</v>
      </c>
      <c r="AJ49" s="227">
        <f t="shared" si="102"/>
        <v>291427</v>
      </c>
      <c r="AK49" s="230">
        <f t="shared" si="103"/>
        <v>781120</v>
      </c>
      <c r="AM49" s="234">
        <f t="shared" si="104"/>
        <v>0</v>
      </c>
      <c r="AN49" s="234">
        <f t="shared" si="104"/>
        <v>-0.43060193005198311</v>
      </c>
      <c r="AO49" s="234">
        <f t="shared" si="104"/>
        <v>-4.5286752673440178E-3</v>
      </c>
      <c r="AP49" s="234">
        <f t="shared" si="104"/>
        <v>0</v>
      </c>
      <c r="AQ49" s="234">
        <f t="shared" si="104"/>
        <v>-3.9850057670126837E-2</v>
      </c>
      <c r="AR49" s="234">
        <f t="shared" si="104"/>
        <v>0</v>
      </c>
      <c r="AS49" s="234">
        <f t="shared" si="104"/>
        <v>-0.39130434782608692</v>
      </c>
      <c r="AT49" s="234">
        <f t="shared" si="104"/>
        <v>0</v>
      </c>
      <c r="AU49" s="234">
        <f t="shared" si="104"/>
        <v>0</v>
      </c>
      <c r="AV49" s="234">
        <f t="shared" si="104"/>
        <v>-0.40524811803858063</v>
      </c>
      <c r="AW49" s="234">
        <f t="shared" si="105"/>
        <v>-0.4030925086643562</v>
      </c>
      <c r="AX49" s="234">
        <f t="shared" si="105"/>
        <v>-0.27622428185579151</v>
      </c>
      <c r="AY49" s="234">
        <f t="shared" si="105"/>
        <v>-0.46838852399855657</v>
      </c>
      <c r="AZ49" s="234">
        <f t="shared" si="105"/>
        <v>-0.38869839907813231</v>
      </c>
      <c r="BA49" s="234">
        <f t="shared" si="105"/>
        <v>-0.32929462076380467</v>
      </c>
      <c r="BB49" s="234">
        <f t="shared" si="106"/>
        <v>-0.37691073088897986</v>
      </c>
    </row>
    <row r="50" spans="1:54">
      <c r="A50" s="236" t="s">
        <v>805</v>
      </c>
      <c r="B50" s="519">
        <f t="shared" si="95"/>
        <v>4.3703327357957011E-2</v>
      </c>
      <c r="C50" s="227">
        <f>SUMIFS('Prop Budget Calc'!$AD:$AD,'Prop Budget Calc'!$G:$G,'Prop Budget Summary'!$A50,'Prop Budget Calc'!$I:$I,'Prop Budget Summary'!C$2)</f>
        <v>0</v>
      </c>
      <c r="D50" s="227">
        <f>SUMIFS('Prop Budget Calc'!$AD:$AD,'Prop Budget Calc'!$G:$G,'Prop Budget Summary'!$A50,'Prop Budget Calc'!$I:$I,'Prop Budget Summary'!D$2)</f>
        <v>108876</v>
      </c>
      <c r="E50" s="227">
        <f>SUMIFS('Prop Budget Calc'!$AD:$AD,'Prop Budget Calc'!$G:$G,'Prop Budget Summary'!$A50,'Prop Budget Calc'!$I:$I,'Prop Budget Summary'!E$2)</f>
        <v>1000</v>
      </c>
      <c r="F50" s="227">
        <f>SUMIFS('Prop Budget Calc'!$AD:$AD,'Prop Budget Calc'!$G:$G,'Prop Budget Summary'!$A50,'Prop Budget Calc'!$I:$I,'Prop Budget Summary'!F$2)</f>
        <v>0</v>
      </c>
      <c r="G50" s="227">
        <f>SUMIF('Prop Budget Calc'!$G:$G,'Prop Budget Summary'!$A50,'Prop Budget Calc'!$AG:$AG)</f>
        <v>1674.8333333333333</v>
      </c>
      <c r="H50" s="227">
        <f>SUMIFS('Prop Budget Calc'!$AD:$AD,'Prop Budget Calc'!$G:$G,'Prop Budget Summary'!$A50,'Prop Budget Calc'!$I:$I,'Prop Budget Summary'!H$2)</f>
        <v>0</v>
      </c>
      <c r="I50" s="227">
        <f>SUMIF('Prop Budget Calc'!$G:$G,'Prop Budget Summary'!$A50,'Prop Budget Calc'!$AK:$AK)</f>
        <v>0</v>
      </c>
      <c r="J50" s="227">
        <f>SUMIF('Prop Budget Calc'!$G:$G,'Prop Budget Summary'!$A50,'Prop Budget Calc'!$AL:$AL)</f>
        <v>0</v>
      </c>
      <c r="L50" s="496">
        <f t="shared" si="96"/>
        <v>111550.83333333333</v>
      </c>
      <c r="M50" s="491">
        <f t="shared" si="97"/>
        <v>4.3203872902463525E-2</v>
      </c>
      <c r="N50" s="227">
        <f>SUMIF('Prop Budget Calc'!$G:$G,'Prop Budget Summary'!$A50,'Prop Budget Calc'!$AU:$AU)</f>
        <v>8590</v>
      </c>
      <c r="O50" s="227">
        <f>SUMIF('Prop Budget Calc'!$G:$G,'Prop Budget Summary'!$A50,'Prop Budget Calc'!$BE:$BE)</f>
        <v>20108.271364</v>
      </c>
      <c r="P50" s="227">
        <f>SUMIF('Prop Budget Calc'!$G:$G,'Prop Budget Summary'!$A50,'Prop Budget Calc'!$AR:$AR)</f>
        <v>1459.1578228640001</v>
      </c>
      <c r="Q50" s="227">
        <f>SUMIF('Prop Budget Calc'!$G:$G,'Prop Budget Summary'!$A50,'Prop Budget Calc'!$AQ:$AQ)</f>
        <v>19000.892166666668</v>
      </c>
      <c r="R50" s="254">
        <f t="shared" si="98"/>
        <v>49158.321353530671</v>
      </c>
      <c r="S50" s="426">
        <f t="shared" si="99"/>
        <v>4.4965698478640181E-2</v>
      </c>
      <c r="T50" s="259">
        <f t="shared" si="100"/>
        <v>160709.154686864</v>
      </c>
      <c r="U50" s="522">
        <f t="shared" si="93"/>
        <v>4.3742155733201615E-2</v>
      </c>
      <c r="V50" s="230">
        <f>SUMIFS('YTD Personnel'!$G:$G,'YTD Personnel'!$B:$B,'Prop Budget Summary'!$A50,'YTD Personnel'!$C:$C,'Prop Budget Summary'!C$2)</f>
        <v>0</v>
      </c>
      <c r="W50" s="230">
        <f>SUMIFS('YTD Personnel'!$G:$G,'YTD Personnel'!$B:$B,'Prop Budget Summary'!$A50,'YTD Personnel'!$C:$C,'Prop Budget Summary'!D$2)</f>
        <v>104317</v>
      </c>
      <c r="X50" s="230">
        <f>SUMIFS('YTD Personnel'!$G:$G,'YTD Personnel'!$B:$B,'Prop Budget Summary'!$A50,'YTD Personnel'!$C:$C,'Prop Budget Summary'!E$2)</f>
        <v>1000</v>
      </c>
      <c r="Y50" s="230">
        <f>SUMIFS('YTD Personnel'!$G:$G,'YTD Personnel'!$B:$B,'Prop Budget Summary'!$A50,'YTD Personnel'!$C:$C,'Prop Budget Summary'!F$2)</f>
        <v>0</v>
      </c>
      <c r="Z50" s="230">
        <f>SUMIFS('YTD Personnel'!$G:$G,'YTD Personnel'!$B:$B,'Prop Budget Summary'!$A50,'YTD Personnel'!$C:$C,'Prop Budget Summary'!G$2)</f>
        <v>1614</v>
      </c>
      <c r="AA50" s="230">
        <f>SUMIFS('YTD Personnel'!$G:$G,'YTD Personnel'!$B:$B,'Prop Budget Summary'!$A50,'YTD Personnel'!$C:$C,'Prop Budget Summary'!H$2)</f>
        <v>0</v>
      </c>
      <c r="AB50" s="230">
        <f>SUMIFS('YTD Personnel'!$G:$G,'YTD Personnel'!$B:$B,'Prop Budget Summary'!$A50,'YTD Personnel'!$C:$C,'Prop Budget Summary'!I$2)</f>
        <v>0</v>
      </c>
      <c r="AC50" s="230">
        <f>SUMIFS('YTD Personnel'!$G:$G,'YTD Personnel'!$B:$B,'Prop Budget Summary'!$A50,'YTD Personnel'!$C:$C,'Prop Budget Summary'!J$2)</f>
        <v>0</v>
      </c>
      <c r="AD50" s="230">
        <f>SUMIFS('YTD Personnel'!$G:$G,'YTD Personnel'!$B:$B,'Prop Budget Summary'!$A50,'YTD Personnel'!$C:$C,'Prop Budget Summary'!K$2)</f>
        <v>0</v>
      </c>
      <c r="AE50" s="228">
        <f t="shared" si="101"/>
        <v>106931</v>
      </c>
      <c r="AF50" s="230">
        <f>SUMIFS('YTD Personnel'!$G:$G,'YTD Personnel'!$B:$B,'Prop Budget Summary'!$A50,'YTD Personnel'!$C:$C,'Prop Budget Summary'!N$2)</f>
        <v>8240</v>
      </c>
      <c r="AG50" s="230">
        <f>SUMIFS('YTD Personnel'!$G:$G,'YTD Personnel'!$B:$B,'Prop Budget Summary'!$A50,'YTD Personnel'!$C:$C,'Prop Budget Summary'!O$2)</f>
        <v>19557</v>
      </c>
      <c r="AH50" s="230">
        <f>SUMIFS('YTD Personnel'!$G:$G,'YTD Personnel'!$B:$B,'Prop Budget Summary'!$A50,'YTD Personnel'!$C:$C,'Prop Budget Summary'!P$2)</f>
        <v>1458</v>
      </c>
      <c r="AI50" s="230">
        <f>SUMIFS('YTD Personnel'!$G:$G,'YTD Personnel'!$B:$B,'Prop Budget Summary'!$A50,'YTD Personnel'!$C:$C,'Prop Budget Summary'!Q$2)</f>
        <v>17788</v>
      </c>
      <c r="AJ50" s="227">
        <f t="shared" si="102"/>
        <v>47043</v>
      </c>
      <c r="AK50" s="230">
        <f t="shared" si="103"/>
        <v>153974</v>
      </c>
      <c r="AM50" s="234">
        <f t="shared" si="104"/>
        <v>0</v>
      </c>
      <c r="AN50" s="234">
        <f t="shared" si="104"/>
        <v>4.3703327357957011E-2</v>
      </c>
      <c r="AO50" s="234">
        <f t="shared" si="104"/>
        <v>0</v>
      </c>
      <c r="AP50" s="234">
        <f t="shared" si="104"/>
        <v>0</v>
      </c>
      <c r="AQ50" s="234">
        <f t="shared" si="104"/>
        <v>3.7691036761668739E-2</v>
      </c>
      <c r="AR50" s="234">
        <f t="shared" si="104"/>
        <v>0</v>
      </c>
      <c r="AS50" s="234">
        <f t="shared" si="104"/>
        <v>0</v>
      </c>
      <c r="AT50" s="234">
        <f t="shared" si="104"/>
        <v>0</v>
      </c>
      <c r="AU50" s="234">
        <f t="shared" si="104"/>
        <v>0</v>
      </c>
      <c r="AV50" s="234">
        <f t="shared" si="104"/>
        <v>4.3203872902463525E-2</v>
      </c>
      <c r="AW50" s="234">
        <f t="shared" si="105"/>
        <v>4.2475728155339842E-2</v>
      </c>
      <c r="AX50" s="234">
        <f t="shared" si="105"/>
        <v>2.8187930868742717E-2</v>
      </c>
      <c r="AY50" s="234">
        <f t="shared" si="105"/>
        <v>7.9411719067223885E-4</v>
      </c>
      <c r="AZ50" s="234">
        <f t="shared" si="105"/>
        <v>6.8185977437973166E-2</v>
      </c>
      <c r="BA50" s="234">
        <f t="shared" si="105"/>
        <v>4.4965698478640181E-2</v>
      </c>
      <c r="BB50" s="234">
        <f t="shared" si="106"/>
        <v>4.3742155733201615E-2</v>
      </c>
    </row>
    <row r="51" spans="1:54">
      <c r="A51" s="500"/>
      <c r="B51" s="520">
        <f t="shared" si="95"/>
        <v>-0.50901614656911121</v>
      </c>
      <c r="C51" s="238">
        <f>SUBTOTAL(9,C44:C50)</f>
        <v>141291</v>
      </c>
      <c r="D51" s="238">
        <f t="shared" ref="D51:H51" si="107">SUBTOTAL(9,D44:D50)</f>
        <v>932991</v>
      </c>
      <c r="E51" s="238">
        <f t="shared" si="107"/>
        <v>127892</v>
      </c>
      <c r="F51" s="238">
        <f t="shared" si="107"/>
        <v>0</v>
      </c>
      <c r="G51" s="238">
        <f t="shared" si="107"/>
        <v>12654.666666666668</v>
      </c>
      <c r="H51" s="238">
        <f t="shared" si="107"/>
        <v>0</v>
      </c>
      <c r="I51" s="238">
        <f t="shared" ref="I51:J51" si="108">SUBTOTAL(9,I44:I50)</f>
        <v>7450</v>
      </c>
      <c r="J51" s="238">
        <f t="shared" si="108"/>
        <v>0</v>
      </c>
      <c r="K51" s="239"/>
      <c r="L51" s="497">
        <f>SUM(C51:K51)</f>
        <v>1222278.6666666667</v>
      </c>
      <c r="M51" s="491">
        <f>L51/AE51-1</f>
        <v>-0.47921703233884472</v>
      </c>
      <c r="N51" s="238">
        <f t="shared" ref="N51:Q51" si="109">SUBTOTAL(9,N44:N50)</f>
        <v>94070</v>
      </c>
      <c r="O51" s="238">
        <f t="shared" si="109"/>
        <v>344080.16861148551</v>
      </c>
      <c r="P51" s="238">
        <f t="shared" si="109"/>
        <v>15211.193776463999</v>
      </c>
      <c r="Q51" s="238">
        <f t="shared" si="109"/>
        <v>207963.6841333333</v>
      </c>
      <c r="R51" s="256">
        <f>SUM(N51:Q51)</f>
        <v>661325.04652128275</v>
      </c>
      <c r="S51" s="256"/>
      <c r="T51" s="261">
        <f>SUM(T44:T50)</f>
        <v>1883603.7131879495</v>
      </c>
      <c r="U51" s="501">
        <f t="shared" ref="U51" si="110">T51/AK51-1</f>
        <v>-0.47356284752079514</v>
      </c>
      <c r="V51" s="238">
        <f>SUBTOTAL(9,V44:V50)</f>
        <v>396920</v>
      </c>
      <c r="W51" s="238">
        <f t="shared" ref="W51:AA51" si="111">SUBTOTAL(9,W44:W50)</f>
        <v>1791099</v>
      </c>
      <c r="X51" s="238">
        <f t="shared" si="111"/>
        <v>128171</v>
      </c>
      <c r="Y51" s="238">
        <f t="shared" si="111"/>
        <v>0</v>
      </c>
      <c r="Z51" s="238">
        <f t="shared" si="111"/>
        <v>21862</v>
      </c>
      <c r="AA51" s="238">
        <f t="shared" si="111"/>
        <v>0</v>
      </c>
      <c r="AB51" s="238">
        <f t="shared" ref="AB51:AC51" si="112">SUBTOTAL(9,AB44:AB50)</f>
        <v>8950</v>
      </c>
      <c r="AC51" s="238">
        <f t="shared" si="112"/>
        <v>0</v>
      </c>
      <c r="AD51" s="239"/>
      <c r="AE51" s="238">
        <f>SUM(V51:AD51)</f>
        <v>2347002</v>
      </c>
      <c r="AF51" s="238">
        <f t="shared" ref="AF51:AI51" si="113">SUBTOTAL(9,AF44:AF50)</f>
        <v>181520</v>
      </c>
      <c r="AG51" s="238">
        <f t="shared" si="113"/>
        <v>632116</v>
      </c>
      <c r="AH51" s="238">
        <f t="shared" si="113"/>
        <v>28200</v>
      </c>
      <c r="AI51" s="238">
        <f t="shared" si="113"/>
        <v>389184</v>
      </c>
      <c r="AJ51" s="238">
        <f>SUM(AF51:AI51)</f>
        <v>1231020</v>
      </c>
      <c r="AK51" s="239">
        <f>SUM(AK44:AK50)</f>
        <v>3578022</v>
      </c>
      <c r="AL51" s="240"/>
      <c r="AM51" s="241">
        <f t="shared" si="104"/>
        <v>-0.64403154288017739</v>
      </c>
      <c r="AN51" s="241">
        <f t="shared" si="104"/>
        <v>-0.47909579537479507</v>
      </c>
      <c r="AO51" s="241">
        <f t="shared" si="104"/>
        <v>-2.1767794586918798E-3</v>
      </c>
      <c r="AP51" s="241">
        <f t="shared" si="104"/>
        <v>0</v>
      </c>
      <c r="AQ51" s="241">
        <f t="shared" si="104"/>
        <v>-0.42115695422803645</v>
      </c>
      <c r="AR51" s="241">
        <f t="shared" si="104"/>
        <v>0</v>
      </c>
      <c r="AS51" s="241">
        <f t="shared" si="104"/>
        <v>-0.16759776536312854</v>
      </c>
      <c r="AT51" s="241">
        <f t="shared" si="104"/>
        <v>0</v>
      </c>
      <c r="AU51" s="241">
        <f t="shared" si="104"/>
        <v>0</v>
      </c>
      <c r="AV51" s="241">
        <f t="shared" si="104"/>
        <v>-0.47921703233884472</v>
      </c>
      <c r="AW51" s="241">
        <f t="shared" si="105"/>
        <v>-0.48176509475539886</v>
      </c>
      <c r="AX51" s="241">
        <f t="shared" si="105"/>
        <v>-0.45566926226913174</v>
      </c>
      <c r="AY51" s="241">
        <f t="shared" si="105"/>
        <v>-0.46059596537361702</v>
      </c>
      <c r="AZ51" s="241">
        <f t="shared" si="105"/>
        <v>-0.46564174238063927</v>
      </c>
      <c r="BA51" s="241">
        <f t="shared" si="105"/>
        <v>-0.46278285769420258</v>
      </c>
      <c r="BB51" s="241">
        <f t="shared" si="106"/>
        <v>-0.47356284752079514</v>
      </c>
    </row>
    <row r="52" spans="1:54">
      <c r="A52" s="236"/>
      <c r="B52" s="89"/>
      <c r="C52" s="416">
        <f t="shared" ref="C52" si="114">C51/V51-1</f>
        <v>-0.64403154288017739</v>
      </c>
      <c r="D52" s="416">
        <f t="shared" ref="D52" si="115">D51/W51-1</f>
        <v>-0.47909579537479507</v>
      </c>
      <c r="E52" s="416">
        <f t="shared" ref="E52" si="116">E51/X51-1</f>
        <v>-2.1767794586918798E-3</v>
      </c>
      <c r="F52" s="416"/>
      <c r="G52" s="416">
        <f t="shared" ref="G52" si="117">G51/Z51-1</f>
        <v>-0.42115695422803645</v>
      </c>
      <c r="H52" s="416"/>
      <c r="I52" s="416">
        <f t="shared" ref="I52" si="118">I51/AB51-1</f>
        <v>-0.16759776536312854</v>
      </c>
      <c r="J52" s="416"/>
      <c r="K52" s="416"/>
      <c r="N52" s="227"/>
      <c r="O52" s="227"/>
      <c r="P52" s="227"/>
      <c r="Q52" s="227"/>
      <c r="R52" s="254"/>
      <c r="S52" s="254"/>
      <c r="T52" s="260">
        <f>T51-AK51</f>
        <v>-1694418.2868120505</v>
      </c>
      <c r="AJ52" s="227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</row>
    <row r="53" spans="1:54">
      <c r="A53" s="236"/>
      <c r="B53" s="89"/>
      <c r="C53" s="227"/>
      <c r="R53" s="255"/>
      <c r="S53" s="255"/>
      <c r="T53" s="255"/>
    </row>
    <row r="54" spans="1:54">
      <c r="A54" s="236" t="s">
        <v>798</v>
      </c>
      <c r="B54" s="519">
        <f t="shared" ref="B54:B56" si="119">SUM(C54:D54)/SUM(V54:W54)-1</f>
        <v>-0.60045024010482373</v>
      </c>
      <c r="C54" s="227">
        <f>SUMIFS('Prop Budget Calc'!$AD:$AD,'Prop Budget Calc'!$G:$G,'Prop Budget Summary'!$A54,'Prop Budget Calc'!$I:$I,'Prop Budget Summary'!C$2)</f>
        <v>0</v>
      </c>
      <c r="D54" s="227">
        <f>SUMIFS('Prop Budget Calc'!$AD:$AD,'Prop Budget Calc'!$G:$G,'Prop Budget Summary'!$A54,'Prop Budget Calc'!$I:$I,'Prop Budget Summary'!D$2)</f>
        <v>171981</v>
      </c>
      <c r="E54" s="227">
        <f>SUMIFS('Prop Budget Calc'!$AD:$AD,'Prop Budget Calc'!$G:$G,'Prop Budget Summary'!$A54,'Prop Budget Calc'!$I:$I,'Prop Budget Summary'!E$2)</f>
        <v>31314</v>
      </c>
      <c r="F54" s="227">
        <f>SUMIFS('Prop Budget Calc'!$AD:$AD,'Prop Budget Calc'!$G:$G,'Prop Budget Summary'!$A54,'Prop Budget Calc'!$I:$I,'Prop Budget Summary'!F$2)</f>
        <v>0</v>
      </c>
      <c r="G54" s="227">
        <f>SUMIF('Prop Budget Calc'!$G:$G,'Prop Budget Summary'!$A54,'Prop Budget Calc'!$AG:$AG)</f>
        <v>2690.5000000000005</v>
      </c>
      <c r="H54" s="227">
        <f>SUMIFS('Prop Budget Calc'!$AD:$AD,'Prop Budget Calc'!$G:$G,'Prop Budget Summary'!$A54,'Prop Budget Calc'!$I:$I,'Prop Budget Summary'!H$2)</f>
        <v>0</v>
      </c>
      <c r="I54" s="227">
        <f>SUMIF('Prop Budget Calc'!$G:$G,'Prop Budget Summary'!$A54,'Prop Budget Calc'!$AK:$AK)</f>
        <v>0</v>
      </c>
      <c r="J54" s="227">
        <f>SUMIF('Prop Budget Calc'!$G:$G,'Prop Budget Summary'!$A54,'Prop Budget Calc'!$AL:$AL)</f>
        <v>0</v>
      </c>
      <c r="L54" s="497">
        <f>SUM(C54:K54)</f>
        <v>205985.5</v>
      </c>
      <c r="M54" s="491">
        <f t="shared" ref="M54" si="120">L54/AE54-1</f>
        <v>-0.558059228523063</v>
      </c>
      <c r="N54" s="227">
        <f>SUMIF('Prop Budget Calc'!$G:$G,'Prop Budget Summary'!$A54,'Prop Budget Calc'!$AU:$AU)</f>
        <v>15870</v>
      </c>
      <c r="O54" s="227">
        <f>SUMIF('Prop Budget Calc'!$G:$G,'Prop Budget Summary'!$A54,'Prop Budget Calc'!$BE:$BE)</f>
        <v>40587.727451999999</v>
      </c>
      <c r="P54" s="227">
        <f>SUMIF('Prop Budget Calc'!$G:$G,'Prop Budget Summary'!$A54,'Prop Budget Calc'!$AR:$AR)</f>
        <v>3441.9656544000009</v>
      </c>
      <c r="Q54" s="227">
        <f>SUMIF('Prop Budget Calc'!$G:$G,'Prop Budget Summary'!$A54,'Prop Budget Calc'!$AQ:$AQ)</f>
        <v>35099.7647</v>
      </c>
      <c r="R54" s="254">
        <f>SUBTOTAL(9,N54:Q54)</f>
        <v>94999.457806399994</v>
      </c>
      <c r="S54" s="426">
        <f>R54/AJ54-1</f>
        <v>-0.58403992448573905</v>
      </c>
      <c r="T54" s="259">
        <f>L54+R54</f>
        <v>300984.95780640002</v>
      </c>
      <c r="U54" s="501">
        <f t="shared" ref="U54" si="121">T54/AK54-1</f>
        <v>-0.56660322658222917</v>
      </c>
      <c r="V54" s="230">
        <f>SUMIFS('YTD Personnel'!$G:$G,'YTD Personnel'!$B:$B,'Prop Budget Summary'!$A54,'YTD Personnel'!$C:$C,'Prop Budget Summary'!C$2)</f>
        <v>0</v>
      </c>
      <c r="W54" s="230">
        <f>SUMIFS('YTD Personnel'!$G:$G,'YTD Personnel'!$B:$B,'Prop Budget Summary'!$A54,'YTD Personnel'!$C:$C,'Prop Budget Summary'!D$2)</f>
        <v>430437</v>
      </c>
      <c r="X54" s="230">
        <f>SUMIFS('YTD Personnel'!$G:$G,'YTD Personnel'!$B:$B,'Prop Budget Summary'!$A54,'YTD Personnel'!$C:$C,'Prop Budget Summary'!E$2)</f>
        <v>31387</v>
      </c>
      <c r="Y54" s="230">
        <f>SUMIFS('YTD Personnel'!$G:$G,'YTD Personnel'!$B:$B,'Prop Budget Summary'!$A54,'YTD Personnel'!$C:$C,'Prop Budget Summary'!F$2)</f>
        <v>0</v>
      </c>
      <c r="Z54" s="230">
        <f>SUMIFS('YTD Personnel'!$G:$G,'YTD Personnel'!$B:$B,'Prop Budget Summary'!$A54,'YTD Personnel'!$C:$C,'Prop Budget Summary'!G$2)</f>
        <v>4269</v>
      </c>
      <c r="AA54" s="230">
        <f>SUMIFS('YTD Personnel'!$G:$G,'YTD Personnel'!$B:$B,'Prop Budget Summary'!$A54,'YTD Personnel'!$C:$C,'Prop Budget Summary'!H$2)</f>
        <v>0</v>
      </c>
      <c r="AB54" s="230">
        <f>SUMIFS('YTD Personnel'!$G:$G,'YTD Personnel'!$B:$B,'Prop Budget Summary'!$A54,'YTD Personnel'!$C:$C,'Prop Budget Summary'!I$2)</f>
        <v>0</v>
      </c>
      <c r="AC54" s="230">
        <f>SUMIFS('YTD Personnel'!$G:$G,'YTD Personnel'!$B:$B,'Prop Budget Summary'!$A54,'YTD Personnel'!$C:$C,'Prop Budget Summary'!J$2)</f>
        <v>0</v>
      </c>
      <c r="AD54" s="230">
        <f>SUMIFS('YTD Personnel'!$G:$G,'YTD Personnel'!$B:$B,'Prop Budget Summary'!$A54,'YTD Personnel'!$C:$C,'Prop Budget Summary'!K$2)</f>
        <v>0</v>
      </c>
      <c r="AE54" s="228">
        <f t="shared" ref="AE54" si="122">SUBTOTAL(9,V54:AD54)</f>
        <v>466093</v>
      </c>
      <c r="AF54" s="230">
        <f>SUMIFS('YTD Personnel'!$G:$G,'YTD Personnel'!$B:$B,'Prop Budget Summary'!$A54,'YTD Personnel'!$C:$C,'Prop Budget Summary'!N$2)</f>
        <v>35790</v>
      </c>
      <c r="AG54" s="230">
        <f>SUMIFS('YTD Personnel'!$G:$G,'YTD Personnel'!$B:$B,'Prop Budget Summary'!$A54,'YTD Personnel'!$C:$C,'Prop Budget Summary'!O$2)</f>
        <v>105314</v>
      </c>
      <c r="AH54" s="230">
        <f>SUMIFS('YTD Personnel'!$G:$G,'YTD Personnel'!$B:$B,'Prop Budget Summary'!$A54,'YTD Personnel'!$C:$C,'Prop Budget Summary'!P$2)</f>
        <v>9989</v>
      </c>
      <c r="AI54" s="230">
        <f>SUMIFS('YTD Personnel'!$G:$G,'YTD Personnel'!$B:$B,'Prop Budget Summary'!$A54,'YTD Personnel'!$C:$C,'Prop Budget Summary'!Q$2)</f>
        <v>77293</v>
      </c>
      <c r="AJ54" s="227">
        <f t="shared" ref="AJ54" si="123">SUBTOTAL(9,AF54:AI54)</f>
        <v>228386</v>
      </c>
      <c r="AK54" s="230">
        <f t="shared" ref="AK54" si="124">SUBTOTAL(9,V54:AI54)</f>
        <v>694479</v>
      </c>
      <c r="AM54" s="234">
        <f t="shared" ref="AM54:AV54" si="125">IF(C54=0,0,C54/V54-1)</f>
        <v>0</v>
      </c>
      <c r="AN54" s="234">
        <f t="shared" si="125"/>
        <v>-0.60045024010482373</v>
      </c>
      <c r="AO54" s="234">
        <f t="shared" si="125"/>
        <v>-2.3258036766814483E-3</v>
      </c>
      <c r="AP54" s="234">
        <f t="shared" si="125"/>
        <v>0</v>
      </c>
      <c r="AQ54" s="234">
        <f t="shared" si="125"/>
        <v>-0.36975872569688439</v>
      </c>
      <c r="AR54" s="234">
        <f t="shared" si="125"/>
        <v>0</v>
      </c>
      <c r="AS54" s="234">
        <f t="shared" si="125"/>
        <v>0</v>
      </c>
      <c r="AT54" s="234">
        <f t="shared" si="125"/>
        <v>0</v>
      </c>
      <c r="AU54" s="234">
        <f t="shared" si="125"/>
        <v>0</v>
      </c>
      <c r="AV54" s="234">
        <f t="shared" si="125"/>
        <v>-0.558059228523063</v>
      </c>
      <c r="AW54" s="234">
        <f>IF(N54=0,0,N54/AF54-1)</f>
        <v>-0.55658005029337798</v>
      </c>
      <c r="AX54" s="234">
        <f>IF(O54=0,0,O54/AG54-1)</f>
        <v>-0.61460273608447125</v>
      </c>
      <c r="AY54" s="234">
        <f>IF(P54=0,0,P54/AH54-1)</f>
        <v>-0.65542440140154157</v>
      </c>
      <c r="AZ54" s="234">
        <f>IF(Q54=0,0,Q54/AI54-1)</f>
        <v>-0.54588688885151315</v>
      </c>
      <c r="BA54" s="234">
        <f>IF(R54=0,0,R54/AJ54-1)</f>
        <v>-0.58403992448573905</v>
      </c>
      <c r="BB54" s="234">
        <f t="shared" ref="BB54" si="126">IF(T54=0,0,T54/AK54-1)</f>
        <v>-0.56660322658222917</v>
      </c>
    </row>
    <row r="55" spans="1:54">
      <c r="R55" s="255"/>
      <c r="S55" s="255"/>
      <c r="T55" s="260">
        <f>T54-AK54</f>
        <v>-393494.04219359998</v>
      </c>
    </row>
    <row r="56" spans="1:54">
      <c r="A56" s="112" t="s">
        <v>28</v>
      </c>
      <c r="B56" s="520">
        <f t="shared" si="119"/>
        <v>-0.79123940346843114</v>
      </c>
      <c r="C56" s="232">
        <f t="shared" ref="C56:K56" si="127">SUBTOTAL(9,C5:C54)</f>
        <v>1185291.9587451557</v>
      </c>
      <c r="D56" s="232">
        <f t="shared" si="127"/>
        <v>3072033.2386441603</v>
      </c>
      <c r="E56" s="232">
        <f t="shared" si="127"/>
        <v>1155985.9734156725</v>
      </c>
      <c r="F56" s="232">
        <f t="shared" si="127"/>
        <v>375889</v>
      </c>
      <c r="G56" s="232">
        <f t="shared" si="127"/>
        <v>34678.386189108394</v>
      </c>
      <c r="H56" s="232">
        <f t="shared" si="127"/>
        <v>0</v>
      </c>
      <c r="I56" s="232">
        <f t="shared" si="127"/>
        <v>55849.255454902646</v>
      </c>
      <c r="J56" s="232">
        <f t="shared" si="127"/>
        <v>-1</v>
      </c>
      <c r="K56" s="232">
        <f t="shared" si="127"/>
        <v>27615</v>
      </c>
      <c r="L56" s="499">
        <f>SUM(C56:K56)</f>
        <v>5907341.8124489998</v>
      </c>
      <c r="M56" s="491">
        <f>L56/AE56-1</f>
        <v>-0.73254660559847573</v>
      </c>
      <c r="N56" s="232">
        <f>SUBTOTAL(9,N5:N54)</f>
        <v>398669.17509048065</v>
      </c>
      <c r="O56" s="232">
        <f>SUBTOTAL(9,O5:O54)</f>
        <v>1020477.3792572964</v>
      </c>
      <c r="P56" s="232">
        <f>SUBTOTAL(9,P5:P54)</f>
        <v>65242.654868169586</v>
      </c>
      <c r="Q56" s="232">
        <f>SUBTOTAL(9,Q5:Q54)</f>
        <v>940181.89559290162</v>
      </c>
      <c r="R56" s="257">
        <f>SUM(N56:Q56)</f>
        <v>2424571.1048088484</v>
      </c>
      <c r="S56" s="257"/>
      <c r="T56" s="257" t="e">
        <f>T26+#REF!+T37+T42+T51+T54</f>
        <v>#REF!</v>
      </c>
      <c r="U56" s="501" t="e">
        <f t="shared" ref="U56" si="128">T56/AK56-1</f>
        <v>#REF!</v>
      </c>
      <c r="V56" s="232">
        <f t="shared" ref="V56:AD56" si="129">SUBTOTAL(9,V5:V54)</f>
        <v>4865851</v>
      </c>
      <c r="W56" s="232">
        <f t="shared" si="129"/>
        <v>15527486</v>
      </c>
      <c r="X56" s="232">
        <f t="shared" si="129"/>
        <v>1181108</v>
      </c>
      <c r="Y56" s="232">
        <f t="shared" si="129"/>
        <v>0</v>
      </c>
      <c r="Z56" s="232">
        <f t="shared" si="129"/>
        <v>148631</v>
      </c>
      <c r="AA56" s="232">
        <f t="shared" si="129"/>
        <v>0</v>
      </c>
      <c r="AB56" s="232">
        <f t="shared" si="129"/>
        <v>259273</v>
      </c>
      <c r="AC56" s="232">
        <f t="shared" si="129"/>
        <v>21000</v>
      </c>
      <c r="AD56" s="232">
        <f t="shared" si="129"/>
        <v>84020</v>
      </c>
      <c r="AE56" s="232">
        <f>SUM(V56:AD56)</f>
        <v>22087369</v>
      </c>
      <c r="AF56" s="232">
        <f>SUBTOTAL(9,AF5:AF54)</f>
        <v>1701157</v>
      </c>
      <c r="AG56" s="232">
        <f>SUBTOTAL(9,AG5:AG54)</f>
        <v>3893326</v>
      </c>
      <c r="AH56" s="232">
        <f>SUBTOTAL(9,AH5:AH54)</f>
        <v>273556</v>
      </c>
      <c r="AI56" s="232">
        <f>SUBTOTAL(9,AI5:AI54)</f>
        <v>3663574</v>
      </c>
      <c r="AJ56" s="232">
        <f>SUM(AF56:AI56)</f>
        <v>9531613</v>
      </c>
      <c r="AK56" s="257">
        <f>AJ56+AE56</f>
        <v>31618982</v>
      </c>
      <c r="AM56" s="234">
        <f t="shared" ref="AM56:AV56" si="130">IF(C56=0,0,C56/V56-1)</f>
        <v>-0.75640603077546853</v>
      </c>
      <c r="AN56" s="234">
        <f t="shared" si="130"/>
        <v>-0.80215514355355655</v>
      </c>
      <c r="AO56" s="234">
        <f t="shared" si="130"/>
        <v>-2.1269880979832068E-2</v>
      </c>
      <c r="AP56" s="234" t="e">
        <f t="shared" si="130"/>
        <v>#DIV/0!</v>
      </c>
      <c r="AQ56" s="234">
        <f t="shared" si="130"/>
        <v>-0.76668133707565445</v>
      </c>
      <c r="AR56" s="234">
        <f t="shared" si="130"/>
        <v>0</v>
      </c>
      <c r="AS56" s="234">
        <f t="shared" si="130"/>
        <v>-0.78459285982380478</v>
      </c>
      <c r="AT56" s="234">
        <f t="shared" si="130"/>
        <v>-1.0000476190476191</v>
      </c>
      <c r="AU56" s="234">
        <f t="shared" si="130"/>
        <v>-0.67132825517733874</v>
      </c>
      <c r="AV56" s="234">
        <f t="shared" si="130"/>
        <v>-0.73254660559847573</v>
      </c>
      <c r="AW56" s="234">
        <f>IF(N56=0,0,N56/AF56-1)</f>
        <v>-0.7656482176010323</v>
      </c>
      <c r="AX56" s="234">
        <f>IF(O56=0,0,O56/AG56-1)</f>
        <v>-0.73789059039564209</v>
      </c>
      <c r="AY56" s="234">
        <f>IF(P56=0,0,P56/AH56-1)</f>
        <v>-0.76150164913886154</v>
      </c>
      <c r="AZ56" s="234">
        <f>IF(Q56=0,0,Q56/AI56-1)</f>
        <v>-0.74337030026064665</v>
      </c>
      <c r="BA56" s="234">
        <f>IF(R56=0,0,R56/AJ56-1)</f>
        <v>-0.74562845713429104</v>
      </c>
      <c r="BB56" s="234" t="e">
        <f t="shared" ref="BB56" si="131">IF(T56=0,0,T56/AK56-1)</f>
        <v>#REF!</v>
      </c>
    </row>
    <row r="57" spans="1:54">
      <c r="T57" s="260" t="e">
        <f>T56-AK56</f>
        <v>#REF!</v>
      </c>
      <c r="AK57" s="228" t="e">
        <f>AK56-#REF!</f>
        <v>#REF!</v>
      </c>
    </row>
    <row r="58" spans="1:54">
      <c r="C58" s="228">
        <f>104000-87000</f>
        <v>17000</v>
      </c>
      <c r="D58" s="228">
        <f>208874-194877</f>
        <v>13997</v>
      </c>
      <c r="F58" s="228">
        <f>23078-16755</f>
        <v>6323</v>
      </c>
      <c r="G58" s="228">
        <v>1500</v>
      </c>
      <c r="O58" s="492"/>
      <c r="T58" s="228">
        <v>36542687.908742614</v>
      </c>
      <c r="U58" s="492" t="e">
        <f>T56-T58</f>
        <v>#REF!</v>
      </c>
      <c r="AK58" s="228" t="e">
        <f>AK57-AK56</f>
        <v>#REF!</v>
      </c>
    </row>
    <row r="59" spans="1:54">
      <c r="O59" s="228">
        <f>O56-AG56</f>
        <v>-2872848.6207427038</v>
      </c>
      <c r="P59" s="228">
        <v>274010</v>
      </c>
    </row>
    <row r="60" spans="1:54">
      <c r="T60" s="228">
        <f>T51-'[1]Prop Budget Summary'!$T$68</f>
        <v>-1759550.0917763605</v>
      </c>
    </row>
    <row r="63" spans="1:54">
      <c r="P63" s="228">
        <v>307882.59921140474</v>
      </c>
      <c r="Q63" s="228">
        <f>P63-P56</f>
        <v>242639.94434323517</v>
      </c>
    </row>
    <row r="64" spans="1:54">
      <c r="Q64" s="492"/>
      <c r="S64" s="228">
        <v>100</v>
      </c>
      <c r="T64" s="228">
        <v>28125273.852319621</v>
      </c>
      <c r="U64" s="228">
        <f>T64-T26</f>
        <v>22921740.113901455</v>
      </c>
    </row>
    <row r="65" spans="6:21">
      <c r="Q65" s="491"/>
      <c r="S65" s="228">
        <v>112</v>
      </c>
      <c r="T65" s="228" t="e">
        <f>#REF!</f>
        <v>#REF!</v>
      </c>
    </row>
    <row r="66" spans="6:21">
      <c r="Q66" s="493"/>
      <c r="S66" s="228">
        <v>118</v>
      </c>
      <c r="T66" s="228">
        <v>117624.77500488533</v>
      </c>
    </row>
    <row r="67" spans="6:21">
      <c r="S67" s="228">
        <v>119</v>
      </c>
      <c r="T67" s="228">
        <v>947797.64790606499</v>
      </c>
    </row>
    <row r="68" spans="6:21">
      <c r="S68" s="228">
        <v>125</v>
      </c>
      <c r="T68" s="228">
        <v>1664450.1414113101</v>
      </c>
    </row>
    <row r="69" spans="6:21">
      <c r="O69" s="491"/>
      <c r="S69" s="228">
        <v>200</v>
      </c>
      <c r="T69" s="228">
        <v>3636431.1104027666</v>
      </c>
    </row>
    <row r="70" spans="6:21">
      <c r="S70" s="228">
        <v>400</v>
      </c>
      <c r="T70" s="228">
        <v>681738.83882928244</v>
      </c>
    </row>
    <row r="71" spans="6:21">
      <c r="F71" s="491"/>
      <c r="T71" s="228" t="e">
        <f>SUM(T64:T70)</f>
        <v>#REF!</v>
      </c>
    </row>
    <row r="72" spans="6:21">
      <c r="T72" s="228" t="e">
        <f>T71-T56</f>
        <v>#REF!</v>
      </c>
      <c r="U72" s="526" t="e">
        <f>T72/T71</f>
        <v>#REF!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3">
    <tabColor theme="6" tint="0.39997558519241921"/>
  </sheetPr>
  <dimension ref="A1:CK145"/>
  <sheetViews>
    <sheetView view="pageBreakPreview" zoomScale="90" zoomScaleNormal="100" zoomScaleSheetLayoutView="90" workbookViewId="0">
      <pane xSplit="9" ySplit="5" topLeftCell="Z6" activePane="bottomRight" state="frozen"/>
      <selection pane="topRight" activeCell="J1" sqref="J1"/>
      <selection pane="bottomLeft" activeCell="A6" sqref="A6"/>
      <selection pane="bottomRight" activeCell="C9" sqref="C9"/>
    </sheetView>
  </sheetViews>
  <sheetFormatPr defaultColWidth="8.90625" defaultRowHeight="13.8"/>
  <cols>
    <col min="1" max="1" width="9.08984375" style="20" customWidth="1"/>
    <col min="2" max="2" width="34.6328125" style="3" customWidth="1"/>
    <col min="3" max="3" width="21.81640625" style="3" customWidth="1"/>
    <col min="4" max="4" width="8.36328125" style="3" customWidth="1"/>
    <col min="5" max="5" width="6.81640625" style="4" customWidth="1"/>
    <col min="6" max="6" width="19" style="4" customWidth="1"/>
    <col min="7" max="7" width="11.90625" style="4" hidden="1" customWidth="1"/>
    <col min="8" max="8" width="6.81640625" style="3" hidden="1" customWidth="1"/>
    <col min="9" max="9" width="9.81640625" style="60" hidden="1" customWidth="1"/>
    <col min="10" max="10" width="7.08984375" style="3" customWidth="1"/>
    <col min="11" max="13" width="7.81640625" style="3" customWidth="1"/>
    <col min="14" max="14" width="9.6328125" style="10" customWidth="1"/>
    <col min="15" max="15" width="9.54296875" style="6" customWidth="1"/>
    <col min="16" max="16" width="8.08984375" style="3" customWidth="1"/>
    <col min="17" max="17" width="12.36328125" style="3" customWidth="1"/>
    <col min="18" max="18" width="9" style="3" customWidth="1"/>
    <col min="19" max="19" width="11.453125" style="3" customWidth="1"/>
    <col min="20" max="21" width="12.1796875" style="3" customWidth="1"/>
    <col min="22" max="24" width="11" style="3" customWidth="1"/>
    <col min="25" max="29" width="12.1796875" style="3" customWidth="1"/>
    <col min="30" max="31" width="9.54296875" style="3" customWidth="1"/>
    <col min="32" max="32" width="11.1796875" style="3" customWidth="1"/>
    <col min="33" max="33" width="9.453125" style="3" customWidth="1"/>
    <col min="34" max="34" width="10.81640625" style="3" customWidth="1"/>
    <col min="35" max="35" width="11.453125" style="3" customWidth="1"/>
    <col min="36" max="36" width="10.453125" style="59" customWidth="1"/>
    <col min="37" max="37" width="9.1796875" style="3" customWidth="1"/>
    <col min="38" max="38" width="9.54296875" style="3" customWidth="1"/>
    <col min="39" max="39" width="6.6328125" style="47" customWidth="1"/>
    <col min="40" max="40" width="17.08984375" style="47" customWidth="1"/>
    <col min="41" max="41" width="7.81640625" style="47" customWidth="1"/>
    <col min="42" max="42" width="11.1796875" style="47" customWidth="1"/>
    <col min="43" max="43" width="10.453125" style="3" customWidth="1"/>
    <col min="44" max="44" width="7.6328125" style="3" customWidth="1"/>
    <col min="45" max="45" width="9.08984375" style="3" customWidth="1"/>
    <col min="46" max="46" width="8" style="3" customWidth="1"/>
    <col min="47" max="47" width="7.90625" style="3" customWidth="1"/>
    <col min="48" max="48" width="7" style="3" customWidth="1"/>
    <col min="49" max="51" width="8.453125" style="19" customWidth="1"/>
    <col min="52" max="52" width="9.81640625" style="19" customWidth="1"/>
    <col min="53" max="53" width="8.54296875" style="19" customWidth="1"/>
    <col min="54" max="54" width="8.453125" style="19" customWidth="1"/>
    <col min="55" max="55" width="8.1796875" style="19" customWidth="1"/>
    <col min="56" max="56" width="10.453125" style="19" customWidth="1"/>
    <col min="57" max="57" width="14.08984375" style="3" customWidth="1"/>
    <col min="58" max="59" width="9.08984375" style="3" customWidth="1"/>
    <col min="60" max="60" width="13.08984375" style="3" customWidth="1"/>
    <col min="61" max="61" width="8.90625" style="3"/>
    <col min="62" max="62" width="13.6328125" style="3" customWidth="1"/>
    <col min="63" max="63" width="10.453125" style="3" bestFit="1" customWidth="1"/>
    <col min="64" max="64" width="11.1796875" style="3" bestFit="1" customWidth="1"/>
    <col min="65" max="65" width="10.54296875" style="3" bestFit="1" customWidth="1"/>
    <col min="66" max="16384" width="8.90625" style="3"/>
  </cols>
  <sheetData>
    <row r="1" spans="1:88">
      <c r="C1" s="8">
        <f>COUNTIF(B:B,#REF!)</f>
        <v>0</v>
      </c>
      <c r="P1" s="400">
        <v>44987</v>
      </c>
      <c r="Q1" s="400"/>
      <c r="S1" s="608" t="s">
        <v>149</v>
      </c>
      <c r="T1" s="608"/>
      <c r="U1" s="49"/>
      <c r="V1" s="3" t="s">
        <v>150</v>
      </c>
      <c r="X1" s="3" t="s">
        <v>150</v>
      </c>
      <c r="AF1" s="222">
        <v>45657</v>
      </c>
      <c r="AV1" s="376">
        <v>158.4</v>
      </c>
      <c r="AW1" s="376">
        <v>79.2</v>
      </c>
      <c r="AX1" s="378">
        <v>15.6</v>
      </c>
      <c r="AY1" s="378">
        <v>11.28</v>
      </c>
      <c r="BA1" s="19" t="s">
        <v>1895</v>
      </c>
      <c r="BB1" s="473" t="s">
        <v>1896</v>
      </c>
      <c r="BD1" s="19" t="s">
        <v>1897</v>
      </c>
    </row>
    <row r="2" spans="1:88" ht="17.25" customHeight="1">
      <c r="A2" s="20" t="s">
        <v>1478</v>
      </c>
      <c r="B2" s="3">
        <v>14</v>
      </c>
      <c r="C2" s="371">
        <v>5</v>
      </c>
      <c r="D2" s="371">
        <v>15</v>
      </c>
      <c r="E2" s="373">
        <v>14</v>
      </c>
      <c r="F2" s="373">
        <v>20</v>
      </c>
      <c r="N2" s="10">
        <v>19</v>
      </c>
      <c r="P2" s="371">
        <v>8</v>
      </c>
      <c r="Q2" s="371"/>
      <c r="R2" s="5"/>
      <c r="S2" s="62" t="s">
        <v>66</v>
      </c>
      <c r="T2" s="3" t="s">
        <v>82</v>
      </c>
      <c r="V2" s="62" t="s">
        <v>85</v>
      </c>
      <c r="W2" s="62"/>
      <c r="X2" s="62" t="s">
        <v>85</v>
      </c>
      <c r="Y2" s="3" t="s">
        <v>48</v>
      </c>
      <c r="Z2" s="3" t="s">
        <v>48</v>
      </c>
      <c r="AB2" s="3" t="s">
        <v>48</v>
      </c>
      <c r="AC2" s="3">
        <f>140000*12*0.025</f>
        <v>42000</v>
      </c>
      <c r="AJ2" s="3"/>
      <c r="AM2" s="3"/>
      <c r="AO2" s="3"/>
      <c r="AS2" s="221">
        <v>1.4500000000000001E-2</v>
      </c>
      <c r="AT2" s="221">
        <v>6.2E-2</v>
      </c>
      <c r="AU2" s="50"/>
      <c r="AV2" s="377">
        <v>1.8E-3</v>
      </c>
      <c r="AW2" s="3" t="s">
        <v>17</v>
      </c>
      <c r="BA2" s="527">
        <f>'Employee Enrollments'!AN1*(1+Scenarios!E9)</f>
        <v>1154.5050160919538</v>
      </c>
      <c r="BB2" s="19">
        <v>500</v>
      </c>
      <c r="BD2" s="223">
        <f>'Employee Enrollments'!AO1</f>
        <v>52.389854014598548</v>
      </c>
    </row>
    <row r="3" spans="1:88" ht="14.4" thickBot="1">
      <c r="B3" s="3">
        <f>COUNTIF(B6:B55,B4)</f>
        <v>3</v>
      </c>
      <c r="C3" s="371">
        <v>6</v>
      </c>
      <c r="E3" s="373">
        <v>13</v>
      </c>
      <c r="I3" s="60">
        <f>118000</f>
        <v>118000</v>
      </c>
      <c r="K3" s="3">
        <f>I3*1.04</f>
        <v>122720</v>
      </c>
      <c r="N3" s="10" t="s">
        <v>1291</v>
      </c>
      <c r="P3" s="5">
        <v>45566</v>
      </c>
      <c r="Q3" s="5"/>
      <c r="R3" s="5"/>
      <c r="S3" s="62"/>
      <c r="V3" s="62"/>
      <c r="W3" s="62"/>
      <c r="X3" s="62"/>
      <c r="AF3" s="87"/>
      <c r="AI3" s="374">
        <v>24</v>
      </c>
      <c r="AJ3" s="483"/>
      <c r="AM3" s="483"/>
      <c r="AS3" s="14"/>
      <c r="AT3" s="93">
        <v>128400</v>
      </c>
      <c r="AU3" s="50"/>
      <c r="AW3" s="375">
        <f>0.012*12</f>
        <v>0.14400000000000002</v>
      </c>
      <c r="AX3" s="378">
        <v>24</v>
      </c>
      <c r="AY3" s="378">
        <v>24</v>
      </c>
      <c r="AZ3" s="19">
        <v>12</v>
      </c>
      <c r="BA3" s="92">
        <v>0.03</v>
      </c>
      <c r="BH3" s="3">
        <v>320</v>
      </c>
    </row>
    <row r="4" spans="1:88">
      <c r="B4" s="3" t="s">
        <v>116</v>
      </c>
      <c r="N4" s="10" t="s">
        <v>34</v>
      </c>
      <c r="R4" s="3" t="s">
        <v>49</v>
      </c>
      <c r="AG4" s="3" t="s">
        <v>24</v>
      </c>
      <c r="AH4" s="3" t="s">
        <v>445</v>
      </c>
      <c r="AJ4" s="59" t="s">
        <v>13</v>
      </c>
      <c r="AK4" s="3" t="s">
        <v>26</v>
      </c>
      <c r="AL4" s="3" t="s">
        <v>10</v>
      </c>
      <c r="AM4" s="95" t="s">
        <v>20</v>
      </c>
      <c r="AN4" s="96"/>
      <c r="AO4" s="97" t="s">
        <v>35</v>
      </c>
      <c r="AP4" s="98" t="s">
        <v>151</v>
      </c>
      <c r="AQ4" s="3" t="s">
        <v>14</v>
      </c>
      <c r="AR4" s="3" t="s">
        <v>23</v>
      </c>
      <c r="AS4" s="92">
        <v>7.4999999999999997E-3</v>
      </c>
      <c r="AT4" s="10">
        <f>AT3*(1+AS4)</f>
        <v>129363.00000000001</v>
      </c>
      <c r="AU4" s="3" t="s">
        <v>29</v>
      </c>
      <c r="AX4" s="19" t="s">
        <v>88</v>
      </c>
      <c r="AY4" s="19" t="s">
        <v>89</v>
      </c>
      <c r="AZ4" s="19" t="s">
        <v>96</v>
      </c>
      <c r="BC4" s="19" t="s">
        <v>94</v>
      </c>
      <c r="BE4" s="3" t="s">
        <v>30</v>
      </c>
    </row>
    <row r="5" spans="1:88" s="20" customFormat="1" ht="14.4" thickBot="1">
      <c r="A5" s="206" t="s">
        <v>3</v>
      </c>
      <c r="B5" s="207" t="s">
        <v>0</v>
      </c>
      <c r="C5" s="207" t="s">
        <v>1</v>
      </c>
      <c r="D5" s="207" t="s">
        <v>2</v>
      </c>
      <c r="E5" s="372" t="s">
        <v>9</v>
      </c>
      <c r="F5" s="208" t="s">
        <v>22</v>
      </c>
      <c r="G5" s="208" t="s">
        <v>31</v>
      </c>
      <c r="H5" s="207" t="s">
        <v>4</v>
      </c>
      <c r="I5" s="209" t="s">
        <v>5</v>
      </c>
      <c r="J5" s="210" t="s">
        <v>6</v>
      </c>
      <c r="K5" s="210" t="s">
        <v>7</v>
      </c>
      <c r="L5" s="210" t="s">
        <v>758</v>
      </c>
      <c r="M5" s="210" t="s">
        <v>11</v>
      </c>
      <c r="N5" s="211" t="s">
        <v>38</v>
      </c>
      <c r="O5" s="212" t="s">
        <v>1091</v>
      </c>
      <c r="P5" s="210" t="s">
        <v>8</v>
      </c>
      <c r="Q5" s="210" t="s">
        <v>1922</v>
      </c>
      <c r="R5" s="213">
        <f>P1</f>
        <v>44987</v>
      </c>
      <c r="S5" s="210" t="s">
        <v>480</v>
      </c>
      <c r="T5" s="210" t="s">
        <v>83</v>
      </c>
      <c r="U5" s="210" t="s">
        <v>476</v>
      </c>
      <c r="V5" s="210" t="s">
        <v>479</v>
      </c>
      <c r="W5" s="210" t="s">
        <v>1094</v>
      </c>
      <c r="X5" s="210" t="s">
        <v>1088</v>
      </c>
      <c r="Y5" s="210" t="s">
        <v>1087</v>
      </c>
      <c r="Z5" s="210" t="s">
        <v>1089</v>
      </c>
      <c r="AA5" s="210" t="s">
        <v>1093</v>
      </c>
      <c r="AB5" s="210" t="s">
        <v>445</v>
      </c>
      <c r="AC5" s="210" t="s">
        <v>1090</v>
      </c>
      <c r="AD5" s="210" t="s">
        <v>37</v>
      </c>
      <c r="AE5" s="210" t="s">
        <v>1092</v>
      </c>
      <c r="AF5" s="210" t="s">
        <v>16</v>
      </c>
      <c r="AG5" s="210">
        <v>50111</v>
      </c>
      <c r="AH5" s="3" t="s">
        <v>445</v>
      </c>
      <c r="AI5" s="32" t="s">
        <v>25</v>
      </c>
      <c r="AJ5" s="214" t="s">
        <v>65</v>
      </c>
      <c r="AK5" s="210">
        <v>50115</v>
      </c>
      <c r="AL5" s="210">
        <v>50120</v>
      </c>
      <c r="AM5" s="215" t="s">
        <v>64</v>
      </c>
      <c r="AN5" s="216" t="s">
        <v>21</v>
      </c>
      <c r="AO5" s="217" t="s">
        <v>36</v>
      </c>
      <c r="AP5" s="218"/>
      <c r="AQ5" s="210">
        <v>50650</v>
      </c>
      <c r="AR5" s="210">
        <v>50630</v>
      </c>
      <c r="AS5" s="210" t="s">
        <v>15</v>
      </c>
      <c r="AT5" s="210" t="s">
        <v>33</v>
      </c>
      <c r="AU5" s="210">
        <v>50610</v>
      </c>
      <c r="AV5" s="210" t="s">
        <v>18</v>
      </c>
      <c r="AW5" s="219" t="s">
        <v>19</v>
      </c>
      <c r="AX5" s="220" t="s">
        <v>93</v>
      </c>
      <c r="AY5" s="220" t="s">
        <v>92</v>
      </c>
      <c r="AZ5" s="219"/>
      <c r="BA5" s="220" t="s">
        <v>106</v>
      </c>
      <c r="BB5" s="220" t="s">
        <v>91</v>
      </c>
      <c r="BC5" s="219" t="s">
        <v>84</v>
      </c>
      <c r="BD5" s="219" t="s">
        <v>90</v>
      </c>
      <c r="BE5" s="210">
        <v>50620</v>
      </c>
      <c r="BF5" s="210" t="s">
        <v>27</v>
      </c>
      <c r="BG5" s="210" t="s">
        <v>28</v>
      </c>
      <c r="BJ5" s="20" t="s">
        <v>2413</v>
      </c>
      <c r="BK5" s="20" t="s">
        <v>1978</v>
      </c>
      <c r="BL5" s="20" t="s">
        <v>95</v>
      </c>
    </row>
    <row r="6" spans="1:88" ht="12.75" customHeight="1">
      <c r="A6" s="20" t="s">
        <v>1536</v>
      </c>
      <c r="B6" s="3" t="str">
        <f>IF(IFERROR(VLOOKUP($A6,'Base Pay Report'!$A:$V,'Prop Budget Calc'!B$2,FALSE),"NO")="No","Update",PROPER(VLOOKUP($A6,'Base Pay Report'!$A:$V,'Prop Budget Calc'!B$2,FALSE)))</f>
        <v>Administrative Services Manager</v>
      </c>
      <c r="C6" s="3" t="str">
        <f>IF(IFERROR(VLOOKUP($A6,'Base Pay Report'!$A:$V,'Prop Budget Calc'!C$2,FALSE),"NO")="No","Update",PROPER(VLOOKUP($A6,'Base Pay Report'!$A:$V,'Prop Budget Calc'!C$2,FALSE)))</f>
        <v>First Name Last Name</v>
      </c>
      <c r="D6" s="3" t="str">
        <f>IF(IFERROR(VLOOKUP($A6,'Base Pay Report'!$A:$V,'Prop Budget Calc'!D$2,FALSE),"NO")="No","Update",PROPER(VLOOKUP($A6,'Base Pay Report'!$A:$V,'Prop Budget Calc'!D$2,FALSE)))</f>
        <v>8810</v>
      </c>
      <c r="E6" s="8">
        <f t="shared" ref="E6:E20" si="0">IF(OR(I6="50101",I6="50102"),1,IF(I6="50110",0.48,IF(I6="50112",0.25,1)))</f>
        <v>1</v>
      </c>
      <c r="F6" s="3" t="str">
        <f>IF(IFERROR(VLOOKUP($A6,'Base Pay Report'!$A:$V,'Prop Budget Calc'!F$2,FALSE),"NO")="No","Update",PROPER(VLOOKUP($A6,'Base Pay Report'!$A:$V,'Prop Budget Calc'!F$2,FALSE)))</f>
        <v>100-10-101-50101</v>
      </c>
      <c r="G6" s="3" t="str">
        <f t="shared" ref="G6:G20" si="1">LEFT(F6,10)</f>
        <v>100-10-101</v>
      </c>
      <c r="H6" s="49" t="str">
        <f t="shared" ref="H6:H20" si="2">LEFT(F6,3)</f>
        <v>100</v>
      </c>
      <c r="I6" s="3" t="str">
        <f t="shared" ref="I6:I20" si="3">MID(F6,12,5)</f>
        <v>50101</v>
      </c>
      <c r="J6" s="3" t="str">
        <f t="shared" ref="J6:J20" si="4">MID(F6,5,2)</f>
        <v>10</v>
      </c>
      <c r="K6" s="3" t="str">
        <f t="shared" ref="K6:K20" si="5">MID(F6,8,3)</f>
        <v>101</v>
      </c>
      <c r="L6" s="3">
        <f>IF(SUMIF('Base Pay Report'!$A:$A,'Prop Budget Calc'!$A6,'Base Pay Report'!$I:$I)=80,SUMIF('Base Pay Report'!$A:$A,'Prop Budget Calc'!$A6,'Base Pay Report'!$H:$H)/SUMIF('Base Pay Report'!$A:$A,'Prop Budget Calc'!$A6,'Base Pay Report'!$I:$I),SUMIF('Base Pay Report'!$A:$A,'Prop Budget Calc'!$A6,'Base Pay Report'!$H:$H))</f>
        <v>38.509625</v>
      </c>
      <c r="M6" s="3">
        <f t="shared" ref="M6:M20" si="6">IF(G6="100-35-352",2912,IF(N6=$N$3,36*52,E6*2080))</f>
        <v>2080</v>
      </c>
      <c r="N6" s="3" t="str">
        <f>IF(IFERROR(VLOOKUP($A6,'Base Pay Report'!$A:$V,'Prop Budget Calc'!N$2,FALSE),"NO")="No","Update",(VLOOKUP($A6,'Base Pay Report'!$A:$V,'Prop Budget Calc'!N$2,FALSE)))</f>
        <v>SALARY - 4-10</v>
      </c>
      <c r="O6" s="6">
        <f t="shared" ref="O6:O20" si="7">ROUNDUP(L6*M6,-1)</f>
        <v>80110</v>
      </c>
      <c r="P6" s="99">
        <f>IF(SUMIF('Base Pay Report'!A:A,$A6,'Base Pay Report'!J:J)=0,$P$1+40,SUMIF('Base Pay Report'!A:A,$A6,'Base Pay Report'!J:J))</f>
        <v>43514</v>
      </c>
      <c r="Q6" s="87" t="str">
        <f>IF($B6='Current Step Plans'!$B$36,HLOOKUP('Prop Budget Calc'!$L6,'Current Step Plans'!$C$36:$Q$42,7,FALSE),IF($B6='Current Step Plans'!$B$37,HLOOKUP('Prop Budget Calc'!$L6,'Current Step Plans'!$C$37:$Q$42,6,FALSE),IF($B6='Current Step Plans'!$B$38,HLOOKUP('Prop Budget Calc'!$L6,'Current Step Plans'!$C$38:$Q$42,5,FALSE),IF($B6='Current Step Plans'!$B$39,HLOOKUP('Prop Budget Calc'!$L6,'Current Step Plans'!$C$39:$Q$42,4,FALSE),IF($B6='Current Step Plans'!$B$40,HLOOKUP('Prop Budget Calc'!$L6,'Current Step Plans'!$C$40:$Q$42,3,FALSE),IF($B6='Current Step Plans'!$B$41,HLOOKUP('Prop Budget Calc'!$L6,'Current Step Plans'!$C$41:$Q$42,2,FALSE),IF($B6='Current Step Plans'!$B$50,HLOOKUP('Prop Budget Calc'!$L6,'Current Step Plans'!$C$50:$Q$56,7,FALSE),IF($B6='Current Step Plans'!$B$51,HLOOKUP('Prop Budget Calc'!$L6,'Current Step Plans'!$C$51:$Q$56,6,FALSE),IF($B6='Current Step Plans'!$B$52,HLOOKUP('Prop Budget Calc'!$L6,'Current Step Plans'!$C$52:$Q$56,5,FALSE), IF($B6='Current Step Plans'!$B$53,HLOOKUP('Prop Budget Calc'!$L6,'Current Step Plans'!$C$53:$Q$56,4,FALSE),IF($B6='Current Step Plans'!$B$54,HLOOKUP('Prop Budget Calc'!$L6,'Current Step Plans'!$C$54:$Q$56,3,FALSE),IF($B6='Current Step Plans'!$B$55,HLOOKUP('Prop Budget Calc'!$L6,'Current Step Plans'!$C$55:$Q$56,2,FALSE),IF($B6='Current Step Plans'!$B$65,HLOOKUP('Prop Budget Calc'!$L6,'Current Step Plans'!$C$65:$Q$75,11,FALSE),IF($B6='Current Step Plans'!$B$66,HLOOKUP('Prop Budget Calc'!$L6,'Current Step Plans'!$C$66:$Q$75,10,FALSE),IF($B6='Current Step Plans'!$B$67,HLOOKUP('Prop Budget Calc'!$L6,'Current Step Plans'!$C$67:$Q$75,9,FALSE),IF($B6='Current Step Plans'!$B$68,HLOOKUP('Prop Budget Calc'!$L6,'Current Step Plans'!$C$68:$Q$75,8,FALSE),IF($B6='Current Step Plans'!$B$69,HLOOKUP('Prop Budget Calc'!$L6,'Current Step Plans'!$C$69:$Q$75,7,FALSE),IF($B6='Current Step Plans'!$B$70,HLOOKUP('Prop Budget Calc'!$L6,'Current Step Plans'!$C$70:$Q$75,6,FALSE),IF($B6='Current Step Plans'!$B$71,HLOOKUP('Prop Budget Calc'!$L6,'Current Step Plans'!$C$71:$Q$75,5,FALSE),IF($B6='Current Step Plans'!$B$72,HLOOKUP('Prop Budget Calc'!$L6,'Current Step Plans'!$C$72:$Q$75,4,FALSE),IF($B6='Current Step Plans'!$B$73,HLOOKUP('Prop Budget Calc'!$L6,'Current Step Plans'!$C$73:$Q$75,3,FALSE),IF($B6='Current Step Plans'!$B$74,HLOOKUP('Prop Budget Calc'!$L6,'Current Step Plans'!$C$74:$Q$75,2,FALSE),"N"))))))))))))))))))))))</f>
        <v>N</v>
      </c>
      <c r="R6" s="9" t="str">
        <f t="shared" ref="R6:R20" si="8">IF(P6&lt;=$R$5,"Y","N")</f>
        <v>Y</v>
      </c>
      <c r="S6" s="6">
        <f>IF(Q6="n",0,ROUNDUP(VLOOKUP(B6,'Proposed Step Plans'!B:T,'Prop Budget Calc'!Q6+2,FALSE)*M6,-2)-O6-T6)</f>
        <v>0</v>
      </c>
      <c r="T6" s="6">
        <f>IF(Q6="n",0,ROUNDUP(VLOOKUP(B6,'Current Step Plans'!B:T,'Prop Budget Calc'!Q6+2,FALSE)*M6,0)-O6)</f>
        <v>0</v>
      </c>
      <c r="U6" s="6">
        <f>IF(IFERROR(VLOOKUP($A6,'Market Study'!$A$5:$G$82,7,FALSE),"NA")="NA",0,VLOOKUP($A6,'Market Study'!$A$5:$G$82,7,FALSE))</f>
        <v>0</v>
      </c>
      <c r="V6" s="6">
        <f>IF(OR($T6&lt;&gt;0,$I6="50112",$I6="50109",$S6&lt;&gt;0),0,VLOOKUP($K6,Scenarios!$A$17:$F$73,6,FALSE)*$O6)</f>
        <v>1602.2</v>
      </c>
      <c r="W6" s="6">
        <f t="shared" ref="W6:W20" si="9">IF(U6&gt;V6,U6,V6)</f>
        <v>1602.2</v>
      </c>
      <c r="X6" s="6">
        <f>IF(OR($T6&lt;&gt;0,$I6="50112",$I6="50109",$S6&lt;&gt;0),0,VLOOKUP($K6,Scenarios!$A$17:$F$73,2,FALSE)*$O6)</f>
        <v>1602.2</v>
      </c>
      <c r="Y6" s="6">
        <f>IF(OR($T6&lt;&gt;0,$I6="50110",$I6="50109",$S6&lt;&gt;0),0,VLOOKUP($K6,Scenarios!$A$17:$F$73,3,FALSE))</f>
        <v>1175</v>
      </c>
      <c r="Z6" s="6">
        <f>IF(OR($T6&lt;&gt;0,$I6="50112",$I6="50109",$S6&lt;&gt;0),0,VLOOKUP($K6,Scenarios!$A$17:$F$73,4,FALSE))</f>
        <v>0</v>
      </c>
      <c r="AA6" s="6">
        <f t="shared" ref="AA6:AA20" si="10">IF(X6&lt;Y6,Y6,IF(AND(X6&gt;Z6,Z6&gt;1),Z6,X6))</f>
        <v>1602.2</v>
      </c>
      <c r="AB6" s="6">
        <f>IF(OR($T6&lt;&gt;0,$I6="50112",$I6="50109",$S6&lt;&gt;0),0,VLOOKUP($K6,Scenarios!$A$17:$F$73,5,FALSE))</f>
        <v>0</v>
      </c>
      <c r="AC6" s="6">
        <f>W6+AA6+AB6</f>
        <v>3204.4</v>
      </c>
      <c r="AD6" s="6">
        <f t="shared" ref="AD6:AD20" si="11">ROUNDUP(AA6+S6+AB6+T6+W6+O6,0)</f>
        <v>83315</v>
      </c>
      <c r="AE6" s="84">
        <f t="shared" ref="AE6:AE20" si="12">AD6/O6-1</f>
        <v>4.0007489701660237E-2</v>
      </c>
      <c r="AF6" s="6">
        <f t="shared" ref="AF6:AF20" si="13">_xlfn.DAYS($AF$1,P6)/30</f>
        <v>71.433333333333337</v>
      </c>
      <c r="AG6" s="6">
        <f>IF(AND(OR(I6="50101",I6="50102"),$AF6&gt;12),IF($AF6&gt;=300,(300*Scenarios!$B$14)*$E6,($AF6*Scenarios!$B$14)*$E6),0)</f>
        <v>357.16666666666669</v>
      </c>
      <c r="AH6" s="6">
        <f>IF($R6="y",IF($T6&gt;0,Scenarios!$B$10*'Prop Budget Calc'!$E6,Scenarios!$B$13*'Prop Budget Calc'!$E6))</f>
        <v>0</v>
      </c>
      <c r="AI6" s="6">
        <f>SUMIFS('Deduction Valuation'!$G:$G,'Deduction Valuation'!$F:$F,"CT - Certifications",'Deduction Valuation'!$B:$B,'Prop Budget Calc'!$A6)*$AI$3</f>
        <v>0</v>
      </c>
      <c r="AJ6" s="6">
        <f>SUMIFS('Deduction Valuation'!$G:$G,'Deduction Valuation'!$F:$F,"RP - Regional Pay",'Deduction Valuation'!$B:$B,'Prop Budget Calc'!$A6)*$AI$3</f>
        <v>0</v>
      </c>
      <c r="AK6" s="6">
        <f t="shared" ref="AK6:AK20" si="14">AI6+AJ6</f>
        <v>0</v>
      </c>
      <c r="AL6" s="6">
        <f>SUMIFS('Deduction Valuation'!$G:$G,'Deduction Valuation'!$F:$F,"CR - Car Allowance",'Deduction Valuation'!$B:$B,'Prop Budget Calc'!$A6)*$AI$3</f>
        <v>0</v>
      </c>
      <c r="AM6" s="6">
        <f>SUMIFS('Deduction Valuation'!$G:$G,'Deduction Valuation'!$F:$F,"DA - Device Allow",'Deduction Valuation'!$B:$B,'Prop Budget Calc'!$A6)*$AI$3</f>
        <v>960</v>
      </c>
      <c r="AN6" s="6">
        <f>SUMIFS('Deduction Valuation'!$G:$G,'Deduction Valuation'!$F:$F,"RA - Replace Allow",'Deduction Valuation'!$B:$B,'Prop Budget Calc'!$A6)</f>
        <v>75</v>
      </c>
      <c r="AO6" s="94">
        <f t="shared" ref="AO6:AO20" si="15">AM6+AN6</f>
        <v>1035</v>
      </c>
      <c r="AP6" s="94">
        <f t="shared" ref="AP6:AP20" si="16">AD6+AG6+AK6+AL6+AO6+AH6</f>
        <v>84707.166666666672</v>
      </c>
      <c r="AQ6" s="10">
        <f>IF(OR($I6="50101", $I6="50102", $I6="50109", $I6="50140"),AP6*Scenarios!$H$8,0)</f>
        <v>14349.394033333334</v>
      </c>
      <c r="AR6" s="9">
        <f>VLOOKUP($D6,WKCMP!$A$1:$C$15,3,FALSE)*AP6</f>
        <v>116.69259280000003</v>
      </c>
      <c r="AS6" s="10">
        <f t="shared" ref="AS6:AS20" si="17">AP6*$AS$2</f>
        <v>1228.2539166666668</v>
      </c>
      <c r="AT6" s="11">
        <f t="shared" ref="AT6:AT20" si="18">IF($AP6&lt;$AT$4,$AT$2*AP6,$AT$4*$AT$2*$E6)</f>
        <v>5251.8443333333335</v>
      </c>
      <c r="AU6" s="10">
        <f t="shared" ref="AU6:AU20" si="19">ROUNDUP((AS6+AT6), -1)</f>
        <v>6490</v>
      </c>
      <c r="AV6" s="6">
        <f t="shared" ref="AV6:AV20" si="20">AP6*$AV$2</f>
        <v>152.47290000000001</v>
      </c>
      <c r="AW6" s="19">
        <f t="shared" ref="AW6:AW20" si="21">IF(AND($I6&lt;&gt;"50101", $I6&lt;&gt;"50102"),0,IF($I6="50101",IF(($AP6/52*$AW$3)&gt;$AV$1,$AV$1,$AP6/52*$AW$3),IF(($AD6/52*$AW$3)&gt;$AW$1,$AW$1,$AD6/52*$AW$3)))*E6</f>
        <v>158.4</v>
      </c>
      <c r="AX6" s="19">
        <f t="shared" ref="AX6:AX20" si="22">IF($E6=1,$AX$1,0)</f>
        <v>15.6</v>
      </c>
      <c r="AY6" s="19">
        <f t="shared" ref="AY6:AY20" si="23">IF($E6=1,$AY$1,0)</f>
        <v>11.28</v>
      </c>
      <c r="AZ6" s="88">
        <f t="shared" ref="AZ6:AZ20" si="24">AV6+AW6+AX6+AY6</f>
        <v>337.75290000000001</v>
      </c>
      <c r="BA6" s="6">
        <f>IF(AND($C6="vacant vacant",$E6=1),$BA$2*$AZ$3,SUMIFS('Employee Enrollments'!$AE:$AE,'Employee Enrollments'!$S:$S,"Medical HDHP",'Employee Enrollments'!$C:$C,'Prop Budget Calc'!$A6)*$AZ$3*(1+Scenarios!$E$9))*(1-$BA$3)</f>
        <v>9726.7914000000001</v>
      </c>
      <c r="BB6" s="6">
        <f>IF(AND($C6="vacant vacant",$E6=1),500,SUMIFS('Employee Enrollments'!$AE:$AE,'Employee Enrollments'!$S:$S,"Health Savings Account",'Employee Enrollments'!$C:$C,'Prop Budget Calc'!$A6))</f>
        <v>500.05</v>
      </c>
      <c r="BC6" s="56">
        <f t="shared" ref="BC6:BC20" si="25">BA6+BB6</f>
        <v>10226.841399999999</v>
      </c>
      <c r="BD6" s="6">
        <f>IF(AND($C6="vacant vacant",$E6=1),$BD$2*$AZ$3,SUMIFS('Employee Enrollments'!$AE:$AE,'Employee Enrollments'!$S:$S,"Dental Plan",'Employee Enrollments'!$C:$C,'Prop Budget Calc'!$A6)*$AZ$3)</f>
        <v>434.76</v>
      </c>
      <c r="BE6" s="6">
        <f t="shared" ref="BE6:BE20" si="26">BD6+BC6+AZ6</f>
        <v>10999.354299999999</v>
      </c>
      <c r="BF6" s="6">
        <f t="shared" ref="BF6:BF20" si="27">AU6+BE6+AR6+AQ6</f>
        <v>31955.440926133331</v>
      </c>
      <c r="BG6" s="6">
        <f t="shared" ref="BG6:BG20" si="28">AP6+BF6</f>
        <v>116662.60759280001</v>
      </c>
      <c r="BH6" s="14"/>
      <c r="BI6" s="56"/>
      <c r="BJ6" s="93">
        <f t="shared" ref="BJ6:BJ20" si="29">BA6/(1-$BA$3)+BK6</f>
        <v>10447.980000000001</v>
      </c>
      <c r="BK6" s="10">
        <f>IF(SUMIFS('Employee Enrollments'!AB:AB,'Employee Enrollments'!C:C,'Prop Budget Calc'!$A6,'Employee Enrollments'!Q:Q,"Medical")*12=0,'Employee Enrollments'!$AN$1,(SUMIFS('Employee Enrollments'!AB:AB,'Employee Enrollments'!C:C,'Prop Budget Calc'!$A6,'Employee Enrollments'!Q:Q,"Medical")*12))</f>
        <v>420.36</v>
      </c>
      <c r="BL6" s="10">
        <f>SUMIFS('Employee Enrollments'!AB:AB,'Employee Enrollments'!C:C,'Prop Budget Calc'!$A6,'Employee Enrollments'!Q:Q,"Dental")*12</f>
        <v>0</v>
      </c>
    </row>
    <row r="7" spans="1:88" ht="12.75" customHeight="1">
      <c r="A7" s="20" t="s">
        <v>1349</v>
      </c>
      <c r="B7" s="3" t="str">
        <f>IF(IFERROR(VLOOKUP($A7,'Base Pay Report'!$A:$V,'Prop Budget Calc'!B$2,FALSE),"NO")="No","Update",PROPER(VLOOKUP($A7,'Base Pay Report'!$A:$V,'Prop Budget Calc'!B$2,FALSE)))</f>
        <v>Administrative Assistant Ii - Administration</v>
      </c>
      <c r="C7" s="3" t="str">
        <f>IF(IFERROR(VLOOKUP($A7,'Base Pay Report'!$A:$V,'Prop Budget Calc'!C$2,FALSE),"NO")="No","Update",PROPER(VLOOKUP($A7,'Base Pay Report'!$A:$V,'Prop Budget Calc'!C$2,FALSE)))</f>
        <v>First Name Last Name</v>
      </c>
      <c r="D7" s="3" t="str">
        <f>IF(IFERROR(VLOOKUP($A7,'Base Pay Report'!$A:$V,'Prop Budget Calc'!D$2,FALSE),"NO")="No","Update",PROPER(VLOOKUP($A7,'Base Pay Report'!$A:$V,'Prop Budget Calc'!D$2,FALSE)))</f>
        <v>8810</v>
      </c>
      <c r="E7" s="8">
        <f t="shared" si="0"/>
        <v>1</v>
      </c>
      <c r="F7" s="3" t="str">
        <f>IF(IFERROR(VLOOKUP($A7,'Base Pay Report'!$A:$V,'Prop Budget Calc'!F$2,FALSE),"NO")="No","Update",PROPER(VLOOKUP($A7,'Base Pay Report'!$A:$V,'Prop Budget Calc'!F$2,FALSE)))</f>
        <v>100-10-101-50102</v>
      </c>
      <c r="G7" s="3" t="str">
        <f t="shared" si="1"/>
        <v>100-10-101</v>
      </c>
      <c r="H7" s="49" t="str">
        <f t="shared" si="2"/>
        <v>100</v>
      </c>
      <c r="I7" s="3" t="str">
        <f t="shared" si="3"/>
        <v>50102</v>
      </c>
      <c r="J7" s="3" t="str">
        <f t="shared" si="4"/>
        <v>10</v>
      </c>
      <c r="K7" s="3" t="str">
        <f t="shared" si="5"/>
        <v>101</v>
      </c>
      <c r="L7" s="3">
        <f>IF(SUMIF('Base Pay Report'!$A:$A,'Prop Budget Calc'!$A7,'Base Pay Report'!$I:$I)=80,SUMIF('Base Pay Report'!$A:$A,'Prop Budget Calc'!$A7,'Base Pay Report'!$H:$H)/SUMIF('Base Pay Report'!$A:$A,'Prop Budget Calc'!$A7,'Base Pay Report'!$I:$I),SUMIF('Base Pay Report'!$A:$A,'Prop Budget Calc'!$A7,'Base Pay Report'!$H:$H))</f>
        <v>23.39</v>
      </c>
      <c r="M7" s="3">
        <f t="shared" si="6"/>
        <v>2080</v>
      </c>
      <c r="N7" s="3" t="str">
        <f>IF(IFERROR(VLOOKUP($A7,'Base Pay Report'!$A:$V,'Prop Budget Calc'!N$2,FALSE),"NO")="No","Update",(VLOOKUP($A7,'Base Pay Report'!$A:$V,'Prop Budget Calc'!N$2,FALSE)))</f>
        <v>FT HOURLY - 4-10</v>
      </c>
      <c r="O7" s="6">
        <f t="shared" si="7"/>
        <v>48660</v>
      </c>
      <c r="P7" s="99">
        <f>IF(SUMIF('Base Pay Report'!A:A,$A7,'Base Pay Report'!J:J)=0,$P$1+40,SUMIF('Base Pay Report'!A:A,$A7,'Base Pay Report'!J:J))</f>
        <v>39665</v>
      </c>
      <c r="Q7" s="87" t="str">
        <f>IF($B7='Current Step Plans'!$B$36,HLOOKUP('Prop Budget Calc'!$L7,'Current Step Plans'!$C$36:$Q$42,7,FALSE),IF($B7='Current Step Plans'!$B$37,HLOOKUP('Prop Budget Calc'!$L7,'Current Step Plans'!$C$37:$Q$42,6,FALSE),IF($B7='Current Step Plans'!$B$38,HLOOKUP('Prop Budget Calc'!$L7,'Current Step Plans'!$C$38:$Q$42,5,FALSE),IF($B7='Current Step Plans'!$B$39,HLOOKUP('Prop Budget Calc'!$L7,'Current Step Plans'!$C$39:$Q$42,4,FALSE),IF($B7='Current Step Plans'!$B$40,HLOOKUP('Prop Budget Calc'!$L7,'Current Step Plans'!$C$40:$Q$42,3,FALSE),IF($B7='Current Step Plans'!$B$41,HLOOKUP('Prop Budget Calc'!$L7,'Current Step Plans'!$C$41:$Q$42,2,FALSE),IF($B7='Current Step Plans'!$B$50,HLOOKUP('Prop Budget Calc'!$L7,'Current Step Plans'!$C$50:$Q$56,7,FALSE),IF($B7='Current Step Plans'!$B$51,HLOOKUP('Prop Budget Calc'!$L7,'Current Step Plans'!$C$51:$Q$56,6,FALSE),IF($B7='Current Step Plans'!$B$52,HLOOKUP('Prop Budget Calc'!$L7,'Current Step Plans'!$C$52:$Q$56,5,FALSE), IF($B7='Current Step Plans'!$B$53,HLOOKUP('Prop Budget Calc'!$L7,'Current Step Plans'!$C$53:$Q$56,4,FALSE),IF($B7='Current Step Plans'!$B$54,HLOOKUP('Prop Budget Calc'!$L7,'Current Step Plans'!$C$54:$Q$56,3,FALSE),IF($B7='Current Step Plans'!$B$55,HLOOKUP('Prop Budget Calc'!$L7,'Current Step Plans'!$C$55:$Q$56,2,FALSE),IF($B7='Current Step Plans'!$B$65,HLOOKUP('Prop Budget Calc'!$L7,'Current Step Plans'!$C$65:$Q$75,11,FALSE),IF($B7='Current Step Plans'!$B$66,HLOOKUP('Prop Budget Calc'!$L7,'Current Step Plans'!$C$66:$Q$75,10,FALSE),IF($B7='Current Step Plans'!$B$67,HLOOKUP('Prop Budget Calc'!$L7,'Current Step Plans'!$C$67:$Q$75,9,FALSE),IF($B7='Current Step Plans'!$B$68,HLOOKUP('Prop Budget Calc'!$L7,'Current Step Plans'!$C$68:$Q$75,8,FALSE),IF($B7='Current Step Plans'!$B$69,HLOOKUP('Prop Budget Calc'!$L7,'Current Step Plans'!$C$69:$Q$75,7,FALSE),IF($B7='Current Step Plans'!$B$70,HLOOKUP('Prop Budget Calc'!$L7,'Current Step Plans'!$C$70:$Q$75,6,FALSE),IF($B7='Current Step Plans'!$B$71,HLOOKUP('Prop Budget Calc'!$L7,'Current Step Plans'!$C$71:$Q$75,5,FALSE),IF($B7='Current Step Plans'!$B$72,HLOOKUP('Prop Budget Calc'!$L7,'Current Step Plans'!$C$72:$Q$75,4,FALSE),IF($B7='Current Step Plans'!$B$73,HLOOKUP('Prop Budget Calc'!$L7,'Current Step Plans'!$C$73:$Q$75,3,FALSE),IF($B7='Current Step Plans'!$B$74,HLOOKUP('Prop Budget Calc'!$L7,'Current Step Plans'!$C$74:$Q$75,2,FALSE),"N"))))))))))))))))))))))</f>
        <v>N</v>
      </c>
      <c r="R7" s="9" t="str">
        <f t="shared" si="8"/>
        <v>Y</v>
      </c>
      <c r="S7" s="6">
        <f>IF(Q7="n",0,ROUNDUP(VLOOKUP(B7,'Proposed Step Plans'!B:T,'Prop Budget Calc'!Q7+2,FALSE)*M7,-2)-O7-T7)</f>
        <v>0</v>
      </c>
      <c r="T7" s="6">
        <f>IF(Q7="n",0,ROUNDUP(VLOOKUP(B7,'Current Step Plans'!B:T,'Prop Budget Calc'!Q7+2,FALSE)*M7,0)-O7)</f>
        <v>0</v>
      </c>
      <c r="U7" s="6">
        <f>IF(IFERROR(VLOOKUP($A7,'Market Study'!$A$5:$G$82,7,FALSE),"NA")="NA",0,VLOOKUP($A7,'Market Study'!$A$5:$G$82,7,FALSE))</f>
        <v>0</v>
      </c>
      <c r="V7" s="6">
        <f>IF(OR($T7&lt;&gt;0,$I7="50112",$I7="50109",$S7&lt;&gt;0),0,VLOOKUP($K7,Scenarios!$A$17:$F$73,6,FALSE)*$O7)</f>
        <v>973.2</v>
      </c>
      <c r="W7" s="6">
        <f t="shared" si="9"/>
        <v>973.2</v>
      </c>
      <c r="X7" s="6">
        <f>IF(OR($T7&lt;&gt;0,$I7="50112",$I7="50109",$S7&lt;&gt;0),0,VLOOKUP($K7,Scenarios!$A$17:$F$73,2,FALSE)*$O7)</f>
        <v>973.2</v>
      </c>
      <c r="Y7" s="6">
        <f>IF(OR($T7&lt;&gt;0,$I7="50110",$I7="50109",$S7&lt;&gt;0),0,VLOOKUP($K7,Scenarios!$A$17:$F$73,3,FALSE))</f>
        <v>1175</v>
      </c>
      <c r="Z7" s="6">
        <f>IF(OR($T7&lt;&gt;0,$I7="50112",$I7="50109",$S7&lt;&gt;0),0,VLOOKUP($K7,Scenarios!$A$17:$F$73,4,FALSE))</f>
        <v>0</v>
      </c>
      <c r="AA7" s="6">
        <f t="shared" si="10"/>
        <v>1175</v>
      </c>
      <c r="AB7" s="6">
        <f>IF(OR($T7&lt;&gt;0,$I7="50112",$I7="50109",$S7&lt;&gt;0),0,VLOOKUP($K7,Scenarios!$A$17:$F$73,5,FALSE))</f>
        <v>0</v>
      </c>
      <c r="AC7" s="6">
        <f t="shared" ref="AC7:AC20" si="30">W7+AA7+AB7</f>
        <v>2148.1999999999998</v>
      </c>
      <c r="AD7" s="6">
        <f t="shared" si="11"/>
        <v>50809</v>
      </c>
      <c r="AE7" s="84">
        <f t="shared" si="12"/>
        <v>4.4163584052610005E-2</v>
      </c>
      <c r="AF7" s="6">
        <f t="shared" si="13"/>
        <v>199.73333333333332</v>
      </c>
      <c r="AG7" s="6">
        <f>IF(AND(OR(I7="50101",I7="50102"),$AF7&gt;12),IF($AF7&gt;=300,(300*Scenarios!$B$14)*$E7,($AF7*Scenarios!$B$14)*$E7),0)</f>
        <v>998.66666666666663</v>
      </c>
      <c r="AH7" s="6">
        <f>IF($R7="y",IF($T7&gt;0,Scenarios!$B$10*'Prop Budget Calc'!$E7,Scenarios!$B$13*'Prop Budget Calc'!$E7))</f>
        <v>0</v>
      </c>
      <c r="AI7" s="6">
        <f>SUMIFS('Deduction Valuation'!$G:$G,'Deduction Valuation'!$F:$F,"CT - Certifications",'Deduction Valuation'!$B:$B,'Prop Budget Calc'!$A7)*$AI$3</f>
        <v>0</v>
      </c>
      <c r="AJ7" s="6">
        <f>SUMIFS('Deduction Valuation'!$G:$G,'Deduction Valuation'!$F:$F,"RP - Regional Pay",'Deduction Valuation'!$B:$B,'Prop Budget Calc'!$A7)*$AI$3</f>
        <v>0</v>
      </c>
      <c r="AK7" s="6">
        <f t="shared" si="14"/>
        <v>0</v>
      </c>
      <c r="AL7" s="6">
        <f>SUMIFS('Deduction Valuation'!$G:$G,'Deduction Valuation'!$F:$F,"CR - Car Allowance",'Deduction Valuation'!$B:$B,'Prop Budget Calc'!$A7)*$AI$3</f>
        <v>0</v>
      </c>
      <c r="AM7" s="6">
        <f>SUMIFS('Deduction Valuation'!$G:$G,'Deduction Valuation'!$F:$F,"DA - Device Allow",'Deduction Valuation'!$B:$B,'Prop Budget Calc'!$A7)*$AI$3</f>
        <v>0</v>
      </c>
      <c r="AN7" s="6">
        <f>SUMIFS('Deduction Valuation'!$G:$G,'Deduction Valuation'!$F:$F,"RA - Replace Allow",'Deduction Valuation'!$B:$B,'Prop Budget Calc'!$A7)</f>
        <v>0</v>
      </c>
      <c r="AO7" s="94">
        <f t="shared" si="15"/>
        <v>0</v>
      </c>
      <c r="AP7" s="94">
        <f t="shared" si="16"/>
        <v>51807.666666666664</v>
      </c>
      <c r="AQ7" s="10">
        <f>IF(OR($I7="50101", $I7="50102", $I7="50109", $I7="50140"),AP7*Scenarios!$H$8,0)</f>
        <v>8776.2187333333331</v>
      </c>
      <c r="AR7" s="9">
        <f>VLOOKUP($D7,WKCMP!$A$1:$C$15,3,FALSE)*AP7</f>
        <v>71.370241600000014</v>
      </c>
      <c r="AS7" s="10">
        <f t="shared" si="17"/>
        <v>751.21116666666671</v>
      </c>
      <c r="AT7" s="11">
        <f t="shared" si="18"/>
        <v>3212.0753333333332</v>
      </c>
      <c r="AU7" s="10">
        <f t="shared" si="19"/>
        <v>3970</v>
      </c>
      <c r="AV7" s="6">
        <f t="shared" si="20"/>
        <v>93.253799999999998</v>
      </c>
      <c r="AW7" s="19">
        <f t="shared" si="21"/>
        <v>79.2</v>
      </c>
      <c r="AX7" s="19">
        <f t="shared" si="22"/>
        <v>15.6</v>
      </c>
      <c r="AY7" s="19">
        <f t="shared" si="23"/>
        <v>11.28</v>
      </c>
      <c r="AZ7" s="88">
        <f t="shared" si="24"/>
        <v>199.3338</v>
      </c>
      <c r="BA7" s="6">
        <f>IF(AND($C7="vacant vacant",$E7=1),$BA$2*$AZ$3,SUMIFS('Employee Enrollments'!$AE:$AE,'Employee Enrollments'!$S:$S,"Medical HDHP",'Employee Enrollments'!$C:$C,'Prop Budget Calc'!$A7)*$AZ$3*(1+Scenarios!$E$9))*(1-$BA$3)</f>
        <v>18093.197376</v>
      </c>
      <c r="BB7" s="6">
        <f>IF(AND($C7="vacant vacant",$E7=1),500,SUMIFS('Employee Enrollments'!$AE:$AE,'Employee Enrollments'!$S:$S,"Health Savings Account",'Employee Enrollments'!$C:$C,'Prop Budget Calc'!$A7))</f>
        <v>1000</v>
      </c>
      <c r="BC7" s="56">
        <f t="shared" si="25"/>
        <v>19093.197376</v>
      </c>
      <c r="BD7" s="6">
        <f>IF(AND($C7="vacant vacant",$E7=1),$BD$2*$AZ$3,SUMIFS('Employee Enrollments'!$AE:$AE,'Employee Enrollments'!$S:$S,"Dental Plan",'Employee Enrollments'!$C:$C,'Prop Budget Calc'!$A7)*$AZ$3)</f>
        <v>843.48</v>
      </c>
      <c r="BE7" s="6">
        <f t="shared" si="26"/>
        <v>20136.011176</v>
      </c>
      <c r="BF7" s="6">
        <f t="shared" si="27"/>
        <v>32953.600150933336</v>
      </c>
      <c r="BG7" s="6">
        <f t="shared" si="28"/>
        <v>84761.266817600001</v>
      </c>
      <c r="BH7" s="14"/>
      <c r="BI7" s="56"/>
      <c r="BJ7" s="93">
        <f t="shared" si="29"/>
        <v>21754.060799999999</v>
      </c>
      <c r="BK7" s="10">
        <f>IF(SUMIFS('Employee Enrollments'!AB:AB,'Employee Enrollments'!C:C,'Prop Budget Calc'!$A7,'Employee Enrollments'!Q:Q,"Medical")*12=0,'Employee Enrollments'!$AN$1,(SUMIFS('Employee Enrollments'!AB:AB,'Employee Enrollments'!C:C,'Prop Budget Calc'!$A7,'Employee Enrollments'!Q:Q,"Medical")*12))</f>
        <v>3101.2799999999997</v>
      </c>
      <c r="BL7" s="10">
        <f>SUMIFS('Employee Enrollments'!AB:AB,'Employee Enrollments'!C:C,'Prop Budget Calc'!$A7,'Employee Enrollments'!Q:Q,"Dental")*12</f>
        <v>364.92</v>
      </c>
    </row>
    <row r="8" spans="1:88" ht="12.75" customHeight="1">
      <c r="A8" s="529" t="s">
        <v>2422</v>
      </c>
      <c r="B8" s="3" t="str">
        <f>IF(IFERROR(VLOOKUP($A8,'Base Pay Report'!$A:$V,'Prop Budget Calc'!B$2,FALSE),"NO")="No","Update",PROPER(VLOOKUP($A8,'Base Pay Report'!$A:$V,'Prop Budget Calc'!B$2,FALSE)))</f>
        <v>Assistant City Secretary</v>
      </c>
      <c r="C8" s="3" t="str">
        <f>IF(IFERROR(VLOOKUP($A8,'Base Pay Report'!$A:$V,'Prop Budget Calc'!C$2,FALSE),"NO")="No","Update",PROPER(VLOOKUP($A8,'Base Pay Report'!$A:$V,'Prop Budget Calc'!C$2,FALSE)))</f>
        <v>First Name Last Name</v>
      </c>
      <c r="D8" s="3" t="str">
        <f>IF(IFERROR(VLOOKUP($A8,'Base Pay Report'!$A:$V,'Prop Budget Calc'!D$2,FALSE),"NO")="No","Update",PROPER(VLOOKUP($A8,'Base Pay Report'!$A:$V,'Prop Budget Calc'!D$2,FALSE)))</f>
        <v>8810</v>
      </c>
      <c r="E8" s="8">
        <f t="shared" si="0"/>
        <v>1</v>
      </c>
      <c r="F8" s="3" t="str">
        <f>IF(IFERROR(VLOOKUP($A8,'Base Pay Report'!$A:$V,'Prop Budget Calc'!F$2,FALSE),"NO")="No","Update",PROPER(VLOOKUP($A8,'Base Pay Report'!$A:$V,'Prop Budget Calc'!F$2,FALSE)))</f>
        <v>100-10-103-50101</v>
      </c>
      <c r="G8" s="3" t="str">
        <f t="shared" si="1"/>
        <v>100-10-103</v>
      </c>
      <c r="H8" s="49" t="str">
        <f t="shared" si="2"/>
        <v>100</v>
      </c>
      <c r="I8" s="3" t="str">
        <f t="shared" si="3"/>
        <v>50101</v>
      </c>
      <c r="J8" s="3" t="str">
        <f t="shared" si="4"/>
        <v>10</v>
      </c>
      <c r="K8" s="3" t="str">
        <f t="shared" si="5"/>
        <v>103</v>
      </c>
      <c r="L8" s="3">
        <f>IF(SUMIF('Base Pay Report'!$A:$A,'Prop Budget Calc'!$A8,'Base Pay Report'!$I:$I)=80,SUMIF('Base Pay Report'!$A:$A,'Prop Budget Calc'!$A8,'Base Pay Report'!$H:$H)/SUMIF('Base Pay Report'!$A:$A,'Prop Budget Calc'!$A8,'Base Pay Report'!$I:$I),SUMIF('Base Pay Report'!$A:$A,'Prop Budget Calc'!$A8,'Base Pay Report'!$H:$H))</f>
        <v>28.706250000000001</v>
      </c>
      <c r="M8" s="3">
        <f t="shared" si="6"/>
        <v>2080</v>
      </c>
      <c r="N8" s="3" t="str">
        <f>IF(IFERROR(VLOOKUP($A8,'Base Pay Report'!$A:$V,'Prop Budget Calc'!N$2,FALSE),"NO")="No","Update",(VLOOKUP($A8,'Base Pay Report'!$A:$V,'Prop Budget Calc'!N$2,FALSE)))</f>
        <v>SALARY - 4-10</v>
      </c>
      <c r="O8" s="6">
        <f t="shared" si="7"/>
        <v>59710</v>
      </c>
      <c r="P8" s="99">
        <f>IF(SUMIF('Base Pay Report'!A:A,$A8,'Base Pay Report'!J:J)=0,$P$1+40,SUMIF('Base Pay Report'!A:A,$A8,'Base Pay Report'!J:J))</f>
        <v>42093</v>
      </c>
      <c r="Q8" s="87" t="str">
        <f>IF($B8='Current Step Plans'!$B$36,HLOOKUP('Prop Budget Calc'!$L8,'Current Step Plans'!$C$36:$Q$42,7,FALSE),IF($B8='Current Step Plans'!$B$37,HLOOKUP('Prop Budget Calc'!$L8,'Current Step Plans'!$C$37:$Q$42,6,FALSE),IF($B8='Current Step Plans'!$B$38,HLOOKUP('Prop Budget Calc'!$L8,'Current Step Plans'!$C$38:$Q$42,5,FALSE),IF($B8='Current Step Plans'!$B$39,HLOOKUP('Prop Budget Calc'!$L8,'Current Step Plans'!$C$39:$Q$42,4,FALSE),IF($B8='Current Step Plans'!$B$40,HLOOKUP('Prop Budget Calc'!$L8,'Current Step Plans'!$C$40:$Q$42,3,FALSE),IF($B8='Current Step Plans'!$B$41,HLOOKUP('Prop Budget Calc'!$L8,'Current Step Plans'!$C$41:$Q$42,2,FALSE),IF($B8='Current Step Plans'!$B$50,HLOOKUP('Prop Budget Calc'!$L8,'Current Step Plans'!$C$50:$Q$56,7,FALSE),IF($B8='Current Step Plans'!$B$51,HLOOKUP('Prop Budget Calc'!$L8,'Current Step Plans'!$C$51:$Q$56,6,FALSE),IF($B8='Current Step Plans'!$B$52,HLOOKUP('Prop Budget Calc'!$L8,'Current Step Plans'!$C$52:$Q$56,5,FALSE), IF($B8='Current Step Plans'!$B$53,HLOOKUP('Prop Budget Calc'!$L8,'Current Step Plans'!$C$53:$Q$56,4,FALSE),IF($B8='Current Step Plans'!$B$54,HLOOKUP('Prop Budget Calc'!$L8,'Current Step Plans'!$C$54:$Q$56,3,FALSE),IF($B8='Current Step Plans'!$B$55,HLOOKUP('Prop Budget Calc'!$L8,'Current Step Plans'!$C$55:$Q$56,2,FALSE),IF($B8='Current Step Plans'!$B$65,HLOOKUP('Prop Budget Calc'!$L8,'Current Step Plans'!$C$65:$Q$75,11,FALSE),IF($B8='Current Step Plans'!$B$66,HLOOKUP('Prop Budget Calc'!$L8,'Current Step Plans'!$C$66:$Q$75,10,FALSE),IF($B8='Current Step Plans'!$B$67,HLOOKUP('Prop Budget Calc'!$L8,'Current Step Plans'!$C$67:$Q$75,9,FALSE),IF($B8='Current Step Plans'!$B$68,HLOOKUP('Prop Budget Calc'!$L8,'Current Step Plans'!$C$68:$Q$75,8,FALSE),IF($B8='Current Step Plans'!$B$69,HLOOKUP('Prop Budget Calc'!$L8,'Current Step Plans'!$C$69:$Q$75,7,FALSE),IF($B8='Current Step Plans'!$B$70,HLOOKUP('Prop Budget Calc'!$L8,'Current Step Plans'!$C$70:$Q$75,6,FALSE),IF($B8='Current Step Plans'!$B$71,HLOOKUP('Prop Budget Calc'!$L8,'Current Step Plans'!$C$71:$Q$75,5,FALSE),IF($B8='Current Step Plans'!$B$72,HLOOKUP('Prop Budget Calc'!$L8,'Current Step Plans'!$C$72:$Q$75,4,FALSE),IF($B8='Current Step Plans'!$B$73,HLOOKUP('Prop Budget Calc'!$L8,'Current Step Plans'!$C$73:$Q$75,3,FALSE),IF($B8='Current Step Plans'!$B$74,HLOOKUP('Prop Budget Calc'!$L8,'Current Step Plans'!$C$74:$Q$75,2,FALSE),"N"))))))))))))))))))))))</f>
        <v>N</v>
      </c>
      <c r="R8" s="9" t="str">
        <f t="shared" si="8"/>
        <v>Y</v>
      </c>
      <c r="S8" s="6">
        <f>IF(Q8="n",0,ROUNDUP(VLOOKUP(B8,'Proposed Step Plans'!B:T,'Prop Budget Calc'!Q8+2,FALSE)*M8,-2)-O8-T8)</f>
        <v>0</v>
      </c>
      <c r="T8" s="6">
        <f>IF(Q8="n",0,ROUNDUP(VLOOKUP(B8,'Current Step Plans'!B:T,'Prop Budget Calc'!Q8+2,FALSE)*M8,0)-O8)</f>
        <v>0</v>
      </c>
      <c r="U8" s="6">
        <f>IF(IFERROR(VLOOKUP($A8,'Market Study'!$A$5:$G$82,7,FALSE),"NA")="NA",0,VLOOKUP($A8,'Market Study'!$A$5:$G$82,7,FALSE))</f>
        <v>0</v>
      </c>
      <c r="V8" s="6">
        <f>IF(OR($T8&lt;&gt;0,$I8="50112",$I8="50109",$S8&lt;&gt;0),0,VLOOKUP($K8,Scenarios!$A$17:$F$73,6,FALSE)*$O8)</f>
        <v>1194.2</v>
      </c>
      <c r="W8" s="6">
        <f t="shared" si="9"/>
        <v>1194.2</v>
      </c>
      <c r="X8" s="6">
        <f>IF(OR($T8&lt;&gt;0,$I8="50112",$I8="50109",$S8&lt;&gt;0),0,VLOOKUP($K8,Scenarios!$A$17:$F$73,2,FALSE)*$O8)</f>
        <v>1194.2</v>
      </c>
      <c r="Y8" s="6">
        <f>IF(OR($T8&lt;&gt;0,$I8="50110",$I8="50109",$S8&lt;&gt;0),0,VLOOKUP($K8,Scenarios!$A$17:$F$73,3,FALSE))</f>
        <v>1175</v>
      </c>
      <c r="Z8" s="6">
        <f>IF(OR($T8&lt;&gt;0,$I8="50112",$I8="50109",$S8&lt;&gt;0),0,VLOOKUP($K8,Scenarios!$A$17:$F$73,4,FALSE))</f>
        <v>0</v>
      </c>
      <c r="AA8" s="6">
        <f t="shared" si="10"/>
        <v>1194.2</v>
      </c>
      <c r="AB8" s="6">
        <f>IF(OR($T8&lt;&gt;0,$I8="50112",$I8="50109",$S8&lt;&gt;0),0,VLOOKUP($K8,Scenarios!$A$17:$F$73,5,FALSE))</f>
        <v>0</v>
      </c>
      <c r="AC8" s="6">
        <f t="shared" si="30"/>
        <v>2388.4</v>
      </c>
      <c r="AD8" s="6">
        <f t="shared" si="11"/>
        <v>62099</v>
      </c>
      <c r="AE8" s="84">
        <f t="shared" si="12"/>
        <v>4.0010048568078993E-2</v>
      </c>
      <c r="AF8" s="6">
        <f t="shared" si="13"/>
        <v>118.8</v>
      </c>
      <c r="AG8" s="6">
        <f>IF(AND(OR(I8="50101",I8="50102"),$AF8&gt;12),IF($AF8&gt;=300,(300*Scenarios!$B$14)*$E8,($AF8*Scenarios!$B$14)*$E8),0)</f>
        <v>594</v>
      </c>
      <c r="AH8" s="6">
        <f>IF($R8="y",IF($T8&gt;0,Scenarios!$B$10*'Prop Budget Calc'!$E8,Scenarios!$B$13*'Prop Budget Calc'!$E8))</f>
        <v>0</v>
      </c>
      <c r="AI8" s="6">
        <f>SUMIFS('Deduction Valuation'!$G:$G,'Deduction Valuation'!$F:$F,"CT - Certifications",'Deduction Valuation'!$B:$B,'Prop Budget Calc'!$A8)*$AI$3</f>
        <v>0</v>
      </c>
      <c r="AJ8" s="6">
        <f>SUMIFS('Deduction Valuation'!$G:$G,'Deduction Valuation'!$F:$F,"RP - Regional Pay",'Deduction Valuation'!$B:$B,'Prop Budget Calc'!$A8)*$AI$3</f>
        <v>0</v>
      </c>
      <c r="AK8" s="6">
        <f t="shared" si="14"/>
        <v>0</v>
      </c>
      <c r="AL8" s="6">
        <f>SUMIFS('Deduction Valuation'!$G:$G,'Deduction Valuation'!$F:$F,"CR - Car Allowance",'Deduction Valuation'!$B:$B,'Prop Budget Calc'!$A8)*$AI$3</f>
        <v>0</v>
      </c>
      <c r="AM8" s="6">
        <f>SUMIFS('Deduction Valuation'!$G:$G,'Deduction Valuation'!$F:$F,"DA - Device Allow",'Deduction Valuation'!$B:$B,'Prop Budget Calc'!$A8)*$AI$3</f>
        <v>0</v>
      </c>
      <c r="AN8" s="6">
        <f>SUMIFS('Deduction Valuation'!$G:$G,'Deduction Valuation'!$F:$F,"RA - Replace Allow",'Deduction Valuation'!$B:$B,'Prop Budget Calc'!$A8)</f>
        <v>0</v>
      </c>
      <c r="AO8" s="94">
        <f t="shared" si="15"/>
        <v>0</v>
      </c>
      <c r="AP8" s="94">
        <f t="shared" si="16"/>
        <v>62693</v>
      </c>
      <c r="AQ8" s="10">
        <f>IF(OR($I8="50101", $I8="50102", $I8="50109", $I8="50140"),AP8*Scenarios!$H$8,0)</f>
        <v>10620.1942</v>
      </c>
      <c r="AR8" s="9">
        <f>VLOOKUP($D8,WKCMP!$A$1:$C$15,3,FALSE)*AP8</f>
        <v>86.365876800000024</v>
      </c>
      <c r="AS8" s="10">
        <f t="shared" si="17"/>
        <v>909.04849999999999</v>
      </c>
      <c r="AT8" s="11">
        <f t="shared" si="18"/>
        <v>3886.9659999999999</v>
      </c>
      <c r="AU8" s="10">
        <f t="shared" si="19"/>
        <v>4800</v>
      </c>
      <c r="AV8" s="6">
        <f t="shared" si="20"/>
        <v>112.84739999999999</v>
      </c>
      <c r="AW8" s="19">
        <f t="shared" si="21"/>
        <v>158.4</v>
      </c>
      <c r="AX8" s="19">
        <f t="shared" si="22"/>
        <v>15.6</v>
      </c>
      <c r="AY8" s="19">
        <f t="shared" si="23"/>
        <v>11.28</v>
      </c>
      <c r="AZ8" s="88">
        <f t="shared" si="24"/>
        <v>298.12739999999997</v>
      </c>
      <c r="BA8" s="6">
        <f>IF(AND($C8="vacant vacant",$E8=1),$BA$2*$AZ$3,SUMIFS('Employee Enrollments'!$AE:$AE,'Employee Enrollments'!$S:$S,"Medical HDHP",'Employee Enrollments'!$C:$C,'Prop Budget Calc'!$A8)*$AZ$3*(1+Scenarios!$E$9))*(1-$BA$3)</f>
        <v>9797.7907439999999</v>
      </c>
      <c r="BB8" s="6">
        <f>IF(AND($C8="vacant vacant",$E8=1),500,SUMIFS('Employee Enrollments'!$AE:$AE,'Employee Enrollments'!$S:$S,"Health Savings Account",'Employee Enrollments'!$C:$C,'Prop Budget Calc'!$A8))</f>
        <v>500.05</v>
      </c>
      <c r="BC8" s="56">
        <f t="shared" si="25"/>
        <v>10297.840743999999</v>
      </c>
      <c r="BD8" s="6">
        <f>IF(AND($C8="vacant vacant",$E8=1),$BD$2*$AZ$3,SUMIFS('Employee Enrollments'!$AE:$AE,'Employee Enrollments'!$S:$S,"Dental Plan",'Employee Enrollments'!$C:$C,'Prop Budget Calc'!$A8)*$AZ$3)</f>
        <v>434.76</v>
      </c>
      <c r="BE8" s="6">
        <f t="shared" si="26"/>
        <v>11030.728143999999</v>
      </c>
      <c r="BF8" s="6">
        <f t="shared" si="27"/>
        <v>26537.288220800001</v>
      </c>
      <c r="BG8" s="6">
        <f t="shared" si="28"/>
        <v>89230.288220799994</v>
      </c>
      <c r="BH8" s="14"/>
      <c r="BI8" s="56"/>
      <c r="BJ8" s="93">
        <f t="shared" si="29"/>
        <v>10449.415200000001</v>
      </c>
      <c r="BK8" s="10">
        <f>IF(SUMIFS('Employee Enrollments'!AB:AB,'Employee Enrollments'!C:C,'Prop Budget Calc'!$A8,'Employee Enrollments'!Q:Q,"Medical")*12=0,'Employee Enrollments'!$AN$1,(SUMIFS('Employee Enrollments'!AB:AB,'Employee Enrollments'!C:C,'Prop Budget Calc'!$A8,'Employee Enrollments'!Q:Q,"Medical")*12))</f>
        <v>348.6</v>
      </c>
      <c r="BL8" s="10">
        <f>SUMIFS('Employee Enrollments'!AB:AB,'Employee Enrollments'!C:C,'Prop Budget Calc'!$A8,'Employee Enrollments'!Q:Q,"Dental")*12</f>
        <v>0</v>
      </c>
    </row>
    <row r="9" spans="1:88" ht="12.75" customHeight="1">
      <c r="A9" s="422" t="s">
        <v>1872</v>
      </c>
      <c r="B9" s="3" t="str">
        <f>IF(IFERROR(VLOOKUP($A9,'Base Pay Report'!$A:$V,'Prop Budget Calc'!B$2,FALSE),"NO")="No","Update",PROPER(VLOOKUP($A9,'Base Pay Report'!$A:$V,'Prop Budget Calc'!B$2,FALSE)))</f>
        <v>Digital Communications Specialist</v>
      </c>
      <c r="C9" s="3" t="str">
        <f>IF(IFERROR(VLOOKUP($A9,'Base Pay Report'!$A:$V,'Prop Budget Calc'!C$2,FALSE),"NO")="No","Update",PROPER(VLOOKUP($A9,'Base Pay Report'!$A:$V,'Prop Budget Calc'!C$2,FALSE)))</f>
        <v>Vacant Vacant</v>
      </c>
      <c r="D9" s="3" t="str">
        <f>IF(IFERROR(VLOOKUP($A9,'Base Pay Report'!$A:$V,'Prop Budget Calc'!D$2,FALSE),"NO")="No","Update",PROPER(VLOOKUP($A9,'Base Pay Report'!$A:$V,'Prop Budget Calc'!D$2,FALSE)))</f>
        <v>8810</v>
      </c>
      <c r="E9" s="8">
        <f t="shared" si="0"/>
        <v>1</v>
      </c>
      <c r="F9" s="3" t="str">
        <f>IF(IFERROR(VLOOKUP($A9,'Base Pay Report'!$A:$V,'Prop Budget Calc'!F$2,FALSE),"NO")="No","Update",PROPER(VLOOKUP($A9,'Base Pay Report'!$A:$V,'Prop Budget Calc'!F$2,FALSE)))</f>
        <v>100-10-104-50101</v>
      </c>
      <c r="G9" s="3" t="str">
        <f t="shared" si="1"/>
        <v>100-10-104</v>
      </c>
      <c r="H9" s="49" t="str">
        <f t="shared" si="2"/>
        <v>100</v>
      </c>
      <c r="I9" s="3" t="str">
        <f t="shared" si="3"/>
        <v>50101</v>
      </c>
      <c r="J9" s="3" t="str">
        <f t="shared" si="4"/>
        <v>10</v>
      </c>
      <c r="K9" s="3" t="str">
        <f t="shared" si="5"/>
        <v>104</v>
      </c>
      <c r="L9" s="3">
        <f>IF(SUMIF('Base Pay Report'!$A:$A,'Prop Budget Calc'!$A9,'Base Pay Report'!$I:$I)=80,SUMIF('Base Pay Report'!$A:$A,'Prop Budget Calc'!$A9,'Base Pay Report'!$H:$H)/SUMIF('Base Pay Report'!$A:$A,'Prop Budget Calc'!$A9,'Base Pay Report'!$I:$I),SUMIF('Base Pay Report'!$A:$A,'Prop Budget Calc'!$A9,'Base Pay Report'!$H:$H))</f>
        <v>31.82720625</v>
      </c>
      <c r="M9" s="3">
        <f t="shared" si="6"/>
        <v>2080</v>
      </c>
      <c r="N9" s="3" t="str">
        <f>IF(IFERROR(VLOOKUP($A9,'Base Pay Report'!$A:$V,'Prop Budget Calc'!N$2,FALSE),"NO")="No","Update",(VLOOKUP($A9,'Base Pay Report'!$A:$V,'Prop Budget Calc'!N$2,FALSE)))</f>
        <v>SALARY - 4-10</v>
      </c>
      <c r="O9" s="6">
        <f t="shared" si="7"/>
        <v>66210</v>
      </c>
      <c r="P9" s="99">
        <f>IF(SUMIF('Base Pay Report'!A:A,$A9,'Base Pay Report'!J:J)=0,$P$1+40,SUMIF('Base Pay Report'!A:A,$A9,'Base Pay Report'!J:J))</f>
        <v>45027</v>
      </c>
      <c r="Q9" s="87" t="str">
        <f>IF($B9='Current Step Plans'!$B$36,HLOOKUP('Prop Budget Calc'!$L9,'Current Step Plans'!$C$36:$Q$42,7,FALSE),IF($B9='Current Step Plans'!$B$37,HLOOKUP('Prop Budget Calc'!$L9,'Current Step Plans'!$C$37:$Q$42,6,FALSE),IF($B9='Current Step Plans'!$B$38,HLOOKUP('Prop Budget Calc'!$L9,'Current Step Plans'!$C$38:$Q$42,5,FALSE),IF($B9='Current Step Plans'!$B$39,HLOOKUP('Prop Budget Calc'!$L9,'Current Step Plans'!$C$39:$Q$42,4,FALSE),IF($B9='Current Step Plans'!$B$40,HLOOKUP('Prop Budget Calc'!$L9,'Current Step Plans'!$C$40:$Q$42,3,FALSE),IF($B9='Current Step Plans'!$B$41,HLOOKUP('Prop Budget Calc'!$L9,'Current Step Plans'!$C$41:$Q$42,2,FALSE),IF($B9='Current Step Plans'!$B$50,HLOOKUP('Prop Budget Calc'!$L9,'Current Step Plans'!$C$50:$Q$56,7,FALSE),IF($B9='Current Step Plans'!$B$51,HLOOKUP('Prop Budget Calc'!$L9,'Current Step Plans'!$C$51:$Q$56,6,FALSE),IF($B9='Current Step Plans'!$B$52,HLOOKUP('Prop Budget Calc'!$L9,'Current Step Plans'!$C$52:$Q$56,5,FALSE), IF($B9='Current Step Plans'!$B$53,HLOOKUP('Prop Budget Calc'!$L9,'Current Step Plans'!$C$53:$Q$56,4,FALSE),IF($B9='Current Step Plans'!$B$54,HLOOKUP('Prop Budget Calc'!$L9,'Current Step Plans'!$C$54:$Q$56,3,FALSE),IF($B9='Current Step Plans'!$B$55,HLOOKUP('Prop Budget Calc'!$L9,'Current Step Plans'!$C$55:$Q$56,2,FALSE),IF($B9='Current Step Plans'!$B$65,HLOOKUP('Prop Budget Calc'!$L9,'Current Step Plans'!$C$65:$Q$75,11,FALSE),IF($B9='Current Step Plans'!$B$66,HLOOKUP('Prop Budget Calc'!$L9,'Current Step Plans'!$C$66:$Q$75,10,FALSE),IF($B9='Current Step Plans'!$B$67,HLOOKUP('Prop Budget Calc'!$L9,'Current Step Plans'!$C$67:$Q$75,9,FALSE),IF($B9='Current Step Plans'!$B$68,HLOOKUP('Prop Budget Calc'!$L9,'Current Step Plans'!$C$68:$Q$75,8,FALSE),IF($B9='Current Step Plans'!$B$69,HLOOKUP('Prop Budget Calc'!$L9,'Current Step Plans'!$C$69:$Q$75,7,FALSE),IF($B9='Current Step Plans'!$B$70,HLOOKUP('Prop Budget Calc'!$L9,'Current Step Plans'!$C$70:$Q$75,6,FALSE),IF($B9='Current Step Plans'!$B$71,HLOOKUP('Prop Budget Calc'!$L9,'Current Step Plans'!$C$71:$Q$75,5,FALSE),IF($B9='Current Step Plans'!$B$72,HLOOKUP('Prop Budget Calc'!$L9,'Current Step Plans'!$C$72:$Q$75,4,FALSE),IF($B9='Current Step Plans'!$B$73,HLOOKUP('Prop Budget Calc'!$L9,'Current Step Plans'!$C$73:$Q$75,3,FALSE),IF($B9='Current Step Plans'!$B$74,HLOOKUP('Prop Budget Calc'!$L9,'Current Step Plans'!$C$74:$Q$75,2,FALSE),"N"))))))))))))))))))))))</f>
        <v>N</v>
      </c>
      <c r="R9" s="9" t="str">
        <f t="shared" si="8"/>
        <v>N</v>
      </c>
      <c r="S9" s="6">
        <f>IF(Q9="n",0,ROUNDUP(VLOOKUP(B9,'Proposed Step Plans'!B:T,'Prop Budget Calc'!Q9+2,FALSE)*M9,-2)-O9-T9)</f>
        <v>0</v>
      </c>
      <c r="T9" s="6">
        <f>IF(Q9="n",0,ROUNDUP(VLOOKUP(B9,'Current Step Plans'!B:T,'Prop Budget Calc'!Q9+2,FALSE)*M9,0)-O9)</f>
        <v>0</v>
      </c>
      <c r="U9" s="6">
        <f>IF(IFERROR(VLOOKUP($A9,'Market Study'!$A$5:$G$82,7,FALSE),"NA")="NA",0,VLOOKUP($A9,'Market Study'!$A$5:$G$82,7,FALSE))</f>
        <v>0</v>
      </c>
      <c r="V9" s="6">
        <f>IF(OR($T9&lt;&gt;0,$I9="50112",$I9="50109",$S9&lt;&gt;0),0,VLOOKUP($K9,Scenarios!$A$17:$F$73,6,FALSE)*$O9)</f>
        <v>1324.2</v>
      </c>
      <c r="W9" s="6">
        <f t="shared" si="9"/>
        <v>1324.2</v>
      </c>
      <c r="X9" s="6">
        <f>IF(OR($T9&lt;&gt;0,$I9="50112",$I9="50109",$S9&lt;&gt;0),0,VLOOKUP($K9,Scenarios!$A$17:$F$73,2,FALSE)*$O9)</f>
        <v>1324.2</v>
      </c>
      <c r="Y9" s="6">
        <f>IF(OR($T9&lt;&gt;0,$I9="50110",$I9="50109",$S9&lt;&gt;0),0,VLOOKUP($K9,Scenarios!$A$17:$F$73,3,FALSE))</f>
        <v>1175</v>
      </c>
      <c r="Z9" s="6">
        <f>IF(OR($T9&lt;&gt;0,$I9="50112",$I9="50109",$S9&lt;&gt;0),0,VLOOKUP($K9,Scenarios!$A$17:$F$73,4,FALSE))</f>
        <v>0</v>
      </c>
      <c r="AA9" s="6">
        <f t="shared" si="10"/>
        <v>1324.2</v>
      </c>
      <c r="AB9" s="6">
        <f>IF(OR($T9&lt;&gt;0,$I9="50112",$I9="50109",$S9&lt;&gt;0),0,VLOOKUP($K9,Scenarios!$A$17:$F$73,5,FALSE))</f>
        <v>0</v>
      </c>
      <c r="AC9" s="6">
        <f t="shared" si="30"/>
        <v>2648.4</v>
      </c>
      <c r="AD9" s="6">
        <f t="shared" si="11"/>
        <v>68859</v>
      </c>
      <c r="AE9" s="84">
        <f t="shared" si="12"/>
        <v>4.0009062075215152E-2</v>
      </c>
      <c r="AF9" s="6">
        <f t="shared" si="13"/>
        <v>21</v>
      </c>
      <c r="AG9" s="6">
        <f>IF(AND(OR(I9="50101",I9="50102"),$AF9&gt;12),IF($AF9&gt;=300,(300*Scenarios!$B$14)*$E9,($AF9*Scenarios!$B$14)*$E9),0)</f>
        <v>105</v>
      </c>
      <c r="AH9" s="6" t="b">
        <f>IF($R9="y",IF($T9&gt;0,Scenarios!$B$10*'Prop Budget Calc'!$E9,Scenarios!$B$13*'Prop Budget Calc'!$E9))</f>
        <v>0</v>
      </c>
      <c r="AI9" s="6">
        <f>SUMIFS('Deduction Valuation'!$G:$G,'Deduction Valuation'!$F:$F,"CT - Certifications",'Deduction Valuation'!$B:$B,'Prop Budget Calc'!$A9)*$AI$3</f>
        <v>0</v>
      </c>
      <c r="AJ9" s="6">
        <f>SUMIFS('Deduction Valuation'!$G:$G,'Deduction Valuation'!$F:$F,"RP - Regional Pay",'Deduction Valuation'!$B:$B,'Prop Budget Calc'!$A9)*$AI$3</f>
        <v>0</v>
      </c>
      <c r="AK9" s="6">
        <f t="shared" si="14"/>
        <v>0</v>
      </c>
      <c r="AL9" s="6">
        <f>SUMIFS('Deduction Valuation'!$G:$G,'Deduction Valuation'!$F:$F,"CR - Car Allowance",'Deduction Valuation'!$B:$B,'Prop Budget Calc'!$A9)*$AI$3</f>
        <v>0</v>
      </c>
      <c r="AM9" s="6">
        <f>SUMIFS('Deduction Valuation'!$G:$G,'Deduction Valuation'!$F:$F,"DA - Device Allow",'Deduction Valuation'!$B:$B,'Prop Budget Calc'!$A9)*$AI$3</f>
        <v>0</v>
      </c>
      <c r="AN9" s="6">
        <f>SUMIFS('Deduction Valuation'!$G:$G,'Deduction Valuation'!$F:$F,"RA - Replace Allow",'Deduction Valuation'!$B:$B,'Prop Budget Calc'!$A9)</f>
        <v>0</v>
      </c>
      <c r="AO9" s="94">
        <f t="shared" si="15"/>
        <v>0</v>
      </c>
      <c r="AP9" s="94">
        <f t="shared" si="16"/>
        <v>68964</v>
      </c>
      <c r="AQ9" s="10">
        <f>IF(OR($I9="50101", $I9="50102", $I9="50109", $I9="50140"),AP9*Scenarios!$H$8,0)</f>
        <v>11682.5016</v>
      </c>
      <c r="AR9" s="9">
        <f>VLOOKUP($D9,WKCMP!$A$1:$C$15,3,FALSE)*AP9</f>
        <v>95.004806400000021</v>
      </c>
      <c r="AS9" s="10">
        <f t="shared" si="17"/>
        <v>999.97800000000007</v>
      </c>
      <c r="AT9" s="11">
        <f t="shared" si="18"/>
        <v>4275.768</v>
      </c>
      <c r="AU9" s="10">
        <f t="shared" si="19"/>
        <v>5280</v>
      </c>
      <c r="AV9" s="6">
        <f t="shared" si="20"/>
        <v>124.1352</v>
      </c>
      <c r="AW9" s="19">
        <f t="shared" si="21"/>
        <v>158.4</v>
      </c>
      <c r="AX9" s="19">
        <f t="shared" si="22"/>
        <v>15.6</v>
      </c>
      <c r="AY9" s="19">
        <f t="shared" si="23"/>
        <v>11.28</v>
      </c>
      <c r="AZ9" s="88">
        <f t="shared" si="24"/>
        <v>309.41520000000003</v>
      </c>
      <c r="BA9" s="6">
        <f>IF(AND($C9="vacant vacant",$E9=1),$BA$2*$AZ$3,SUMIFS('Employee Enrollments'!$AE:$AE,'Employee Enrollments'!$S:$S,"Medical HDHP",'Employee Enrollments'!$C:$C,'Prop Budget Calc'!$A9)*$AZ$3*(1+Scenarios!$E$9))*(1-$BA$3)</f>
        <v>13438.438387310343</v>
      </c>
      <c r="BB9" s="6">
        <f>IF(AND($C9="vacant vacant",$E9=1),500,SUMIFS('Employee Enrollments'!$AE:$AE,'Employee Enrollments'!$S:$S,"Health Savings Account",'Employee Enrollments'!$C:$C,'Prop Budget Calc'!$A9))</f>
        <v>500</v>
      </c>
      <c r="BC9" s="56">
        <f t="shared" si="25"/>
        <v>13938.438387310343</v>
      </c>
      <c r="BD9" s="6">
        <f>IF(AND($C9="vacant vacant",$E9=1),$BD$2*$AZ$3,SUMIFS('Employee Enrollments'!$AE:$AE,'Employee Enrollments'!$S:$S,"Dental Plan",'Employee Enrollments'!$C:$C,'Prop Budget Calc'!$A9)*$AZ$3)</f>
        <v>628.6782481751826</v>
      </c>
      <c r="BE9" s="6">
        <f t="shared" si="26"/>
        <v>14876.531835485526</v>
      </c>
      <c r="BF9" s="6">
        <f t="shared" si="27"/>
        <v>31934.038241885526</v>
      </c>
      <c r="BG9" s="6">
        <f t="shared" si="28"/>
        <v>100898.03824188553</v>
      </c>
      <c r="BH9" s="14"/>
      <c r="BI9" s="56"/>
      <c r="BJ9" s="93">
        <f t="shared" si="29"/>
        <v>14985.927855938697</v>
      </c>
      <c r="BK9" s="10">
        <f>IF(SUMIFS('Employee Enrollments'!AB:AB,'Employee Enrollments'!C:C,'Prop Budget Calc'!$A9,'Employee Enrollments'!Q:Q,"Medical")*12=0,'Employee Enrollments'!$AN$1,(SUMIFS('Employee Enrollments'!AB:AB,'Employee Enrollments'!C:C,'Prop Budget Calc'!$A9,'Employee Enrollments'!Q:Q,"Medical")*12))</f>
        <v>1131.8676628352489</v>
      </c>
      <c r="BL9" s="10">
        <f>SUMIFS('Employee Enrollments'!AB:AB,'Employee Enrollments'!C:C,'Prop Budget Calc'!$A9,'Employee Enrollments'!Q:Q,"Dental")*12</f>
        <v>0</v>
      </c>
    </row>
    <row r="10" spans="1:88" s="16" customFormat="1" ht="12.75" customHeight="1">
      <c r="A10" s="20" t="s">
        <v>1428</v>
      </c>
      <c r="B10" s="3" t="str">
        <f>IF(IFERROR(VLOOKUP($A10,'Base Pay Report'!$A:$V,'Prop Budget Calc'!B$2,FALSE),"NO")="No","Update",PROPER(VLOOKUP($A10,'Base Pay Report'!$A:$V,'Prop Budget Calc'!B$2,FALSE)))</f>
        <v>Senior Accountant</v>
      </c>
      <c r="C10" s="3" t="str">
        <f>IF(IFERROR(VLOOKUP($A10,'Base Pay Report'!$A:$V,'Prop Budget Calc'!C$2,FALSE),"NO")="No","Update",PROPER(VLOOKUP($A10,'Base Pay Report'!$A:$V,'Prop Budget Calc'!C$2,FALSE)))</f>
        <v>First Name Last Name</v>
      </c>
      <c r="D10" s="3" t="str">
        <f>IF(IFERROR(VLOOKUP($A10,'Base Pay Report'!$A:$V,'Prop Budget Calc'!D$2,FALSE),"NO")="No","Update",PROPER(VLOOKUP($A10,'Base Pay Report'!$A:$V,'Prop Budget Calc'!D$2,FALSE)))</f>
        <v>8810</v>
      </c>
      <c r="E10" s="8">
        <f t="shared" si="0"/>
        <v>1</v>
      </c>
      <c r="F10" s="3" t="str">
        <f>IF(IFERROR(VLOOKUP($A10,'Base Pay Report'!$A:$V,'Prop Budget Calc'!F$2,FALSE),"NO")="No","Update",PROPER(VLOOKUP($A10,'Base Pay Report'!$A:$V,'Prop Budget Calc'!F$2,FALSE)))</f>
        <v>100-13-131-50101</v>
      </c>
      <c r="G10" s="3" t="str">
        <f t="shared" si="1"/>
        <v>100-13-131</v>
      </c>
      <c r="H10" s="49" t="str">
        <f t="shared" si="2"/>
        <v>100</v>
      </c>
      <c r="I10" s="3" t="str">
        <f t="shared" si="3"/>
        <v>50101</v>
      </c>
      <c r="J10" s="3" t="str">
        <f t="shared" si="4"/>
        <v>13</v>
      </c>
      <c r="K10" s="3" t="str">
        <f t="shared" si="5"/>
        <v>131</v>
      </c>
      <c r="L10" s="3">
        <f>IF(SUMIF('Base Pay Report'!$A:$A,'Prop Budget Calc'!$A10,'Base Pay Report'!$I:$I)=80,SUMIF('Base Pay Report'!$A:$A,'Prop Budget Calc'!$A10,'Base Pay Report'!$H:$H)/SUMIF('Base Pay Report'!$A:$A,'Prop Budget Calc'!$A10,'Base Pay Report'!$I:$I),SUMIF('Base Pay Report'!$A:$A,'Prop Budget Calc'!$A10,'Base Pay Report'!$H:$H))</f>
        <v>32.492000000000004</v>
      </c>
      <c r="M10" s="3">
        <f t="shared" si="6"/>
        <v>2080</v>
      </c>
      <c r="N10" s="3" t="str">
        <f>IF(IFERROR(VLOOKUP($A10,'Base Pay Report'!$A:$V,'Prop Budget Calc'!N$2,FALSE),"NO")="No","Update",(VLOOKUP($A10,'Base Pay Report'!$A:$V,'Prop Budget Calc'!N$2,FALSE)))</f>
        <v>SALARY - 4-10</v>
      </c>
      <c r="O10" s="6">
        <f t="shared" si="7"/>
        <v>67590</v>
      </c>
      <c r="P10" s="99">
        <f>IF(SUMIF('Base Pay Report'!A:A,$A10,'Base Pay Report'!J:J)=0,$P$1+40,SUMIF('Base Pay Report'!A:A,$A10,'Base Pay Report'!J:J))</f>
        <v>39426</v>
      </c>
      <c r="Q10" s="87" t="str">
        <f>IF($B10='Current Step Plans'!$B$36,HLOOKUP('Prop Budget Calc'!$L10,'Current Step Plans'!$C$36:$Q$42,7,FALSE),IF($B10='Current Step Plans'!$B$37,HLOOKUP('Prop Budget Calc'!$L10,'Current Step Plans'!$C$37:$Q$42,6,FALSE),IF($B10='Current Step Plans'!$B$38,HLOOKUP('Prop Budget Calc'!$L10,'Current Step Plans'!$C$38:$Q$42,5,FALSE),IF($B10='Current Step Plans'!$B$39,HLOOKUP('Prop Budget Calc'!$L10,'Current Step Plans'!$C$39:$Q$42,4,FALSE),IF($B10='Current Step Plans'!$B$40,HLOOKUP('Prop Budget Calc'!$L10,'Current Step Plans'!$C$40:$Q$42,3,FALSE),IF($B10='Current Step Plans'!$B$41,HLOOKUP('Prop Budget Calc'!$L10,'Current Step Plans'!$C$41:$Q$42,2,FALSE),IF($B10='Current Step Plans'!$B$50,HLOOKUP('Prop Budget Calc'!$L10,'Current Step Plans'!$C$50:$Q$56,7,FALSE),IF($B10='Current Step Plans'!$B$51,HLOOKUP('Prop Budget Calc'!$L10,'Current Step Plans'!$C$51:$Q$56,6,FALSE),IF($B10='Current Step Plans'!$B$52,HLOOKUP('Prop Budget Calc'!$L10,'Current Step Plans'!$C$52:$Q$56,5,FALSE), IF($B10='Current Step Plans'!$B$53,HLOOKUP('Prop Budget Calc'!$L10,'Current Step Plans'!$C$53:$Q$56,4,FALSE),IF($B10='Current Step Plans'!$B$54,HLOOKUP('Prop Budget Calc'!$L10,'Current Step Plans'!$C$54:$Q$56,3,FALSE),IF($B10='Current Step Plans'!$B$55,HLOOKUP('Prop Budget Calc'!$L10,'Current Step Plans'!$C$55:$Q$56,2,FALSE),IF($B10='Current Step Plans'!$B$65,HLOOKUP('Prop Budget Calc'!$L10,'Current Step Plans'!$C$65:$Q$75,11,FALSE),IF($B10='Current Step Plans'!$B$66,HLOOKUP('Prop Budget Calc'!$L10,'Current Step Plans'!$C$66:$Q$75,10,FALSE),IF($B10='Current Step Plans'!$B$67,HLOOKUP('Prop Budget Calc'!$L10,'Current Step Plans'!$C$67:$Q$75,9,FALSE),IF($B10='Current Step Plans'!$B$68,HLOOKUP('Prop Budget Calc'!$L10,'Current Step Plans'!$C$68:$Q$75,8,FALSE),IF($B10='Current Step Plans'!$B$69,HLOOKUP('Prop Budget Calc'!$L10,'Current Step Plans'!$C$69:$Q$75,7,FALSE),IF($B10='Current Step Plans'!$B$70,HLOOKUP('Prop Budget Calc'!$L10,'Current Step Plans'!$C$70:$Q$75,6,FALSE),IF($B10='Current Step Plans'!$B$71,HLOOKUP('Prop Budget Calc'!$L10,'Current Step Plans'!$C$71:$Q$75,5,FALSE),IF($B10='Current Step Plans'!$B$72,HLOOKUP('Prop Budget Calc'!$L10,'Current Step Plans'!$C$72:$Q$75,4,FALSE),IF($B10='Current Step Plans'!$B$73,HLOOKUP('Prop Budget Calc'!$L10,'Current Step Plans'!$C$73:$Q$75,3,FALSE),IF($B10='Current Step Plans'!$B$74,HLOOKUP('Prop Budget Calc'!$L10,'Current Step Plans'!$C$74:$Q$75,2,FALSE),"N"))))))))))))))))))))))</f>
        <v>N</v>
      </c>
      <c r="R10" s="9" t="str">
        <f t="shared" si="8"/>
        <v>Y</v>
      </c>
      <c r="S10" s="6">
        <f>IF(Q10="n",0,ROUNDUP(VLOOKUP(B10,'Proposed Step Plans'!B:T,'Prop Budget Calc'!Q10+2,FALSE)*M10,-2)-O10-T10)</f>
        <v>0</v>
      </c>
      <c r="T10" s="6">
        <f>IF(Q10="n",0,ROUNDUP(VLOOKUP(B10,'Current Step Plans'!B:T,'Prop Budget Calc'!Q10+2,FALSE)*M10,0)-O10)</f>
        <v>0</v>
      </c>
      <c r="U10" s="6">
        <f>IF(IFERROR(VLOOKUP($A10,'Market Study'!$A$5:$G$82,7,FALSE),"NA")="NA",0,VLOOKUP($A10,'Market Study'!$A$5:$G$82,7,FALSE))</f>
        <v>0</v>
      </c>
      <c r="V10" s="6">
        <f>IF(OR($T10&lt;&gt;0,$I10="50112",$I10="50109",$S10&lt;&gt;0),0,VLOOKUP($K10,Scenarios!$A$17:$F$73,6,FALSE)*$O10)</f>
        <v>1351.8</v>
      </c>
      <c r="W10" s="6">
        <f t="shared" si="9"/>
        <v>1351.8</v>
      </c>
      <c r="X10" s="6">
        <f>IF(OR($T10&lt;&gt;0,$I10="50112",$I10="50109",$S10&lt;&gt;0),0,VLOOKUP($K10,Scenarios!$A$17:$F$73,2,FALSE)*$O10)</f>
        <v>1351.8</v>
      </c>
      <c r="Y10" s="6">
        <f>IF(OR($T10&lt;&gt;0,$I10="50110",$I10="50109",$S10&lt;&gt;0),0,VLOOKUP($K10,Scenarios!$A$17:$F$73,3,FALSE))</f>
        <v>1175</v>
      </c>
      <c r="Z10" s="6">
        <f>IF(OR($T10&lt;&gt;0,$I10="50112",$I10="50109",$S10&lt;&gt;0),0,VLOOKUP($K10,Scenarios!$A$17:$F$73,4,FALSE))</f>
        <v>0</v>
      </c>
      <c r="AA10" s="6">
        <f t="shared" si="10"/>
        <v>1351.8</v>
      </c>
      <c r="AB10" s="6">
        <f>IF(OR($T10&lt;&gt;0,$I10="50112",$I10="50109",$S10&lt;&gt;0),0,VLOOKUP($K10,Scenarios!$A$17:$F$73,5,FALSE))</f>
        <v>0</v>
      </c>
      <c r="AC10" s="6">
        <f t="shared" si="30"/>
        <v>2703.6</v>
      </c>
      <c r="AD10" s="6">
        <f t="shared" si="11"/>
        <v>70294</v>
      </c>
      <c r="AE10" s="84">
        <f t="shared" si="12"/>
        <v>4.0005918035212362E-2</v>
      </c>
      <c r="AF10" s="6">
        <f t="shared" si="13"/>
        <v>207.7</v>
      </c>
      <c r="AG10" s="6">
        <f>IF(AND(OR(I10="50101",I10="50102"),$AF10&gt;12),IF($AF10&gt;=300,(300*Scenarios!$B$14)*$E10,($AF10*Scenarios!$B$14)*$E10),0)</f>
        <v>1038.5</v>
      </c>
      <c r="AH10" s="6">
        <f>IF($R10="y",IF($T10&gt;0,Scenarios!$B$10*'Prop Budget Calc'!$E10,Scenarios!$B$13*'Prop Budget Calc'!$E10))</f>
        <v>0</v>
      </c>
      <c r="AI10" s="6">
        <f>SUMIFS('Deduction Valuation'!$G:$G,'Deduction Valuation'!$F:$F,"CT - Certifications",'Deduction Valuation'!$B:$B,'Prop Budget Calc'!$A10)*$AI$3</f>
        <v>0</v>
      </c>
      <c r="AJ10" s="6">
        <f>SUMIFS('Deduction Valuation'!$G:$G,'Deduction Valuation'!$F:$F,"RP - Regional Pay",'Deduction Valuation'!$B:$B,'Prop Budget Calc'!$A10)*$AI$3</f>
        <v>0</v>
      </c>
      <c r="AK10" s="6">
        <f t="shared" si="14"/>
        <v>0</v>
      </c>
      <c r="AL10" s="6">
        <f>SUMIFS('Deduction Valuation'!$G:$G,'Deduction Valuation'!$F:$F,"CR - Car Allowance",'Deduction Valuation'!$B:$B,'Prop Budget Calc'!$A10)*$AI$3</f>
        <v>0</v>
      </c>
      <c r="AM10" s="6">
        <f>SUMIFS('Deduction Valuation'!$G:$G,'Deduction Valuation'!$F:$F,"DA - Device Allow",'Deduction Valuation'!$B:$B,'Prop Budget Calc'!$A10)*$AI$3</f>
        <v>0</v>
      </c>
      <c r="AN10" s="6">
        <f>SUMIFS('Deduction Valuation'!$G:$G,'Deduction Valuation'!$F:$F,"RA - Replace Allow",'Deduction Valuation'!$B:$B,'Prop Budget Calc'!$A10)</f>
        <v>0</v>
      </c>
      <c r="AO10" s="94">
        <f t="shared" si="15"/>
        <v>0</v>
      </c>
      <c r="AP10" s="94">
        <f t="shared" si="16"/>
        <v>71332.5</v>
      </c>
      <c r="AQ10" s="10">
        <f>IF(OR($I10="50101", $I10="50102", $I10="50109", $I10="50140"),AP10*Scenarios!$H$8,0)</f>
        <v>12083.7255</v>
      </c>
      <c r="AR10" s="9">
        <f>VLOOKUP($D10,WKCMP!$A$1:$C$15,3,FALSE)*AP10</f>
        <v>98.267652000000027</v>
      </c>
      <c r="AS10" s="10">
        <f t="shared" si="17"/>
        <v>1034.32125</v>
      </c>
      <c r="AT10" s="11">
        <f t="shared" si="18"/>
        <v>4422.6149999999998</v>
      </c>
      <c r="AU10" s="10">
        <f t="shared" si="19"/>
        <v>5460</v>
      </c>
      <c r="AV10" s="6">
        <f t="shared" si="20"/>
        <v>128.39849999999998</v>
      </c>
      <c r="AW10" s="19">
        <f t="shared" si="21"/>
        <v>158.4</v>
      </c>
      <c r="AX10" s="19">
        <f t="shared" si="22"/>
        <v>15.6</v>
      </c>
      <c r="AY10" s="19">
        <f t="shared" si="23"/>
        <v>11.28</v>
      </c>
      <c r="AZ10" s="88">
        <f t="shared" si="24"/>
        <v>313.67849999999999</v>
      </c>
      <c r="BA10" s="6">
        <f>IF(AND($C10="vacant vacant",$E10=1),$BA$2*$AZ$3,SUMIFS('Employee Enrollments'!$AE:$AE,'Employee Enrollments'!$S:$S,"Medical HDHP",'Employee Enrollments'!$C:$C,'Prop Budget Calc'!$A10)*$AZ$3*(1+Scenarios!$E$9))*(1-$BA$3)</f>
        <v>16547.240087999999</v>
      </c>
      <c r="BB10" s="6">
        <f>IF(AND($C10="vacant vacant",$E10=1),500,SUMIFS('Employee Enrollments'!$AE:$AE,'Employee Enrollments'!$S:$S,"Health Savings Account",'Employee Enrollments'!$C:$C,'Prop Budget Calc'!$A10))</f>
        <v>1000</v>
      </c>
      <c r="BC10" s="56">
        <f t="shared" si="25"/>
        <v>17547.240087999999</v>
      </c>
      <c r="BD10" s="6">
        <f>IF(AND($C10="vacant vacant",$E10=1),$BD$2*$AZ$3,SUMIFS('Employee Enrollments'!$AE:$AE,'Employee Enrollments'!$S:$S,"Dental Plan",'Employee Enrollments'!$C:$C,'Prop Budget Calc'!$A10)*$AZ$3)</f>
        <v>843.48</v>
      </c>
      <c r="BE10" s="6">
        <f t="shared" si="26"/>
        <v>18704.398587999996</v>
      </c>
      <c r="BF10" s="6">
        <f t="shared" si="27"/>
        <v>36346.391739999992</v>
      </c>
      <c r="BG10" s="6">
        <f t="shared" si="28"/>
        <v>107678.89173999999</v>
      </c>
      <c r="BH10" s="14"/>
      <c r="BI10" s="56"/>
      <c r="BJ10" s="93">
        <f t="shared" si="29"/>
        <v>19781.570400000001</v>
      </c>
      <c r="BK10" s="10">
        <f>IF(SUMIFS('Employee Enrollments'!AB:AB,'Employee Enrollments'!C:C,'Prop Budget Calc'!$A10,'Employee Enrollments'!Q:Q,"Medical")*12=0,'Employee Enrollments'!$AN$1,(SUMIFS('Employee Enrollments'!AB:AB,'Employee Enrollments'!C:C,'Prop Budget Calc'!$A10,'Employee Enrollments'!Q:Q,"Medical")*12))</f>
        <v>2722.56</v>
      </c>
      <c r="BL10" s="10">
        <f>SUMIFS('Employee Enrollments'!AB:AB,'Employee Enrollments'!C:C,'Prop Budget Calc'!$A10,'Employee Enrollments'!Q:Q,"Dental")*12</f>
        <v>364.92</v>
      </c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</row>
    <row r="11" spans="1:88" ht="12.75" customHeight="1">
      <c r="A11" s="20" t="s">
        <v>1550</v>
      </c>
      <c r="B11" s="3" t="str">
        <f>IF(IFERROR(VLOOKUP($A11,'Base Pay Report'!$A:$V,'Prop Budget Calc'!B$2,FALSE),"NO")="No","Update",PROPER(VLOOKUP($A11,'Base Pay Report'!$A:$V,'Prop Budget Calc'!B$2,FALSE)))</f>
        <v>Accounts Payable Technician</v>
      </c>
      <c r="C11" s="3" t="str">
        <f>IF(IFERROR(VLOOKUP($A11,'Base Pay Report'!$A:$V,'Prop Budget Calc'!C$2,FALSE),"NO")="No","Update",PROPER(VLOOKUP($A11,'Base Pay Report'!$A:$V,'Prop Budget Calc'!C$2,FALSE)))</f>
        <v>First Name Last Name</v>
      </c>
      <c r="D11" s="3" t="str">
        <f>IF(IFERROR(VLOOKUP($A11,'Base Pay Report'!$A:$V,'Prop Budget Calc'!D$2,FALSE),"NO")="No","Update",PROPER(VLOOKUP($A11,'Base Pay Report'!$A:$V,'Prop Budget Calc'!D$2,FALSE)))</f>
        <v>8810</v>
      </c>
      <c r="E11" s="8">
        <f t="shared" si="0"/>
        <v>1</v>
      </c>
      <c r="F11" s="3" t="str">
        <f>IF(IFERROR(VLOOKUP($A11,'Base Pay Report'!$A:$V,'Prop Budget Calc'!F$2,FALSE),"NO")="No","Update",PROPER(VLOOKUP($A11,'Base Pay Report'!$A:$V,'Prop Budget Calc'!F$2,FALSE)))</f>
        <v>100-13-131-50102</v>
      </c>
      <c r="G11" s="3" t="str">
        <f t="shared" si="1"/>
        <v>100-13-131</v>
      </c>
      <c r="H11" s="49" t="str">
        <f t="shared" si="2"/>
        <v>100</v>
      </c>
      <c r="I11" s="3" t="str">
        <f t="shared" si="3"/>
        <v>50102</v>
      </c>
      <c r="J11" s="3" t="str">
        <f t="shared" si="4"/>
        <v>13</v>
      </c>
      <c r="K11" s="3" t="str">
        <f t="shared" si="5"/>
        <v>131</v>
      </c>
      <c r="L11" s="3">
        <f>IF(SUMIF('Base Pay Report'!$A:$A,'Prop Budget Calc'!$A11,'Base Pay Report'!$I:$I)=80,SUMIF('Base Pay Report'!$A:$A,'Prop Budget Calc'!$A11,'Base Pay Report'!$H:$H)/SUMIF('Base Pay Report'!$A:$A,'Prop Budget Calc'!$A11,'Base Pay Report'!$I:$I),SUMIF('Base Pay Report'!$A:$A,'Prop Budget Calc'!$A11,'Base Pay Report'!$H:$H))</f>
        <v>22.83</v>
      </c>
      <c r="M11" s="3">
        <f t="shared" si="6"/>
        <v>2080</v>
      </c>
      <c r="N11" s="3" t="str">
        <f>IF(IFERROR(VLOOKUP($A11,'Base Pay Report'!$A:$V,'Prop Budget Calc'!N$2,FALSE),"NO")="No","Update",(VLOOKUP($A11,'Base Pay Report'!$A:$V,'Prop Budget Calc'!N$2,FALSE)))</f>
        <v>FT HOURLY - 4-10</v>
      </c>
      <c r="O11" s="6">
        <f t="shared" si="7"/>
        <v>47490</v>
      </c>
      <c r="P11" s="99">
        <f>IF(SUMIF('Base Pay Report'!A:A,$A11,'Base Pay Report'!J:J)=0,$P$1+40,SUMIF('Base Pay Report'!A:A,$A11,'Base Pay Report'!J:J))</f>
        <v>43682</v>
      </c>
      <c r="Q11" s="87" t="str">
        <f>IF($B11='Current Step Plans'!$B$36,HLOOKUP('Prop Budget Calc'!$L11,'Current Step Plans'!$C$36:$Q$42,7,FALSE),IF($B11='Current Step Plans'!$B$37,HLOOKUP('Prop Budget Calc'!$L11,'Current Step Plans'!$C$37:$Q$42,6,FALSE),IF($B11='Current Step Plans'!$B$38,HLOOKUP('Prop Budget Calc'!$L11,'Current Step Plans'!$C$38:$Q$42,5,FALSE),IF($B11='Current Step Plans'!$B$39,HLOOKUP('Prop Budget Calc'!$L11,'Current Step Plans'!$C$39:$Q$42,4,FALSE),IF($B11='Current Step Plans'!$B$40,HLOOKUP('Prop Budget Calc'!$L11,'Current Step Plans'!$C$40:$Q$42,3,FALSE),IF($B11='Current Step Plans'!$B$41,HLOOKUP('Prop Budget Calc'!$L11,'Current Step Plans'!$C$41:$Q$42,2,FALSE),IF($B11='Current Step Plans'!$B$50,HLOOKUP('Prop Budget Calc'!$L11,'Current Step Plans'!$C$50:$Q$56,7,FALSE),IF($B11='Current Step Plans'!$B$51,HLOOKUP('Prop Budget Calc'!$L11,'Current Step Plans'!$C$51:$Q$56,6,FALSE),IF($B11='Current Step Plans'!$B$52,HLOOKUP('Prop Budget Calc'!$L11,'Current Step Plans'!$C$52:$Q$56,5,FALSE), IF($B11='Current Step Plans'!$B$53,HLOOKUP('Prop Budget Calc'!$L11,'Current Step Plans'!$C$53:$Q$56,4,FALSE),IF($B11='Current Step Plans'!$B$54,HLOOKUP('Prop Budget Calc'!$L11,'Current Step Plans'!$C$54:$Q$56,3,FALSE),IF($B11='Current Step Plans'!$B$55,HLOOKUP('Prop Budget Calc'!$L11,'Current Step Plans'!$C$55:$Q$56,2,FALSE),IF($B11='Current Step Plans'!$B$65,HLOOKUP('Prop Budget Calc'!$L11,'Current Step Plans'!$C$65:$Q$75,11,FALSE),IF($B11='Current Step Plans'!$B$66,HLOOKUP('Prop Budget Calc'!$L11,'Current Step Plans'!$C$66:$Q$75,10,FALSE),IF($B11='Current Step Plans'!$B$67,HLOOKUP('Prop Budget Calc'!$L11,'Current Step Plans'!$C$67:$Q$75,9,FALSE),IF($B11='Current Step Plans'!$B$68,HLOOKUP('Prop Budget Calc'!$L11,'Current Step Plans'!$C$68:$Q$75,8,FALSE),IF($B11='Current Step Plans'!$B$69,HLOOKUP('Prop Budget Calc'!$L11,'Current Step Plans'!$C$69:$Q$75,7,FALSE),IF($B11='Current Step Plans'!$B$70,HLOOKUP('Prop Budget Calc'!$L11,'Current Step Plans'!$C$70:$Q$75,6,FALSE),IF($B11='Current Step Plans'!$B$71,HLOOKUP('Prop Budget Calc'!$L11,'Current Step Plans'!$C$71:$Q$75,5,FALSE),IF($B11='Current Step Plans'!$B$72,HLOOKUP('Prop Budget Calc'!$L11,'Current Step Plans'!$C$72:$Q$75,4,FALSE),IF($B11='Current Step Plans'!$B$73,HLOOKUP('Prop Budget Calc'!$L11,'Current Step Plans'!$C$73:$Q$75,3,FALSE),IF($B11='Current Step Plans'!$B$74,HLOOKUP('Prop Budget Calc'!$L11,'Current Step Plans'!$C$74:$Q$75,2,FALSE),"N"))))))))))))))))))))))</f>
        <v>N</v>
      </c>
      <c r="R11" s="9" t="str">
        <f t="shared" si="8"/>
        <v>Y</v>
      </c>
      <c r="S11" s="6">
        <f>IF(Q11="n",0,ROUNDUP(VLOOKUP(B11,'Proposed Step Plans'!B:T,'Prop Budget Calc'!Q11+2,FALSE)*M11,-2)-O11-T11)</f>
        <v>0</v>
      </c>
      <c r="T11" s="6">
        <f>IF(Q11="n",0,ROUNDUP(VLOOKUP(B11,'Current Step Plans'!B:T,'Prop Budget Calc'!Q11+2,FALSE)*M11,0)-O11)</f>
        <v>0</v>
      </c>
      <c r="U11" s="6">
        <f>IF(IFERROR(VLOOKUP($A11,'Market Study'!$A$5:$G$82,7,FALSE),"NA")="NA",0,VLOOKUP($A11,'Market Study'!$A$5:$G$82,7,FALSE))</f>
        <v>0</v>
      </c>
      <c r="V11" s="6">
        <f>IF(OR($T11&lt;&gt;0,$I11="50112",$I11="50109",$S11&lt;&gt;0),0,VLOOKUP($K11,Scenarios!$A$17:$F$73,6,FALSE)*$O11)</f>
        <v>949.80000000000007</v>
      </c>
      <c r="W11" s="6">
        <f t="shared" si="9"/>
        <v>949.80000000000007</v>
      </c>
      <c r="X11" s="6">
        <f>IF(OR($T11&lt;&gt;0,$I11="50112",$I11="50109",$S11&lt;&gt;0),0,VLOOKUP($K11,Scenarios!$A$17:$F$73,2,FALSE)*$O11)</f>
        <v>949.80000000000007</v>
      </c>
      <c r="Y11" s="6">
        <f>IF(OR($T11&lt;&gt;0,$I11="50110",$I11="50109",$S11&lt;&gt;0),0,VLOOKUP($K11,Scenarios!$A$17:$F$73,3,FALSE))</f>
        <v>1175</v>
      </c>
      <c r="Z11" s="6">
        <f>IF(OR($T11&lt;&gt;0,$I11="50112",$I11="50109",$S11&lt;&gt;0),0,VLOOKUP($K11,Scenarios!$A$17:$F$73,4,FALSE))</f>
        <v>0</v>
      </c>
      <c r="AA11" s="6">
        <f t="shared" si="10"/>
        <v>1175</v>
      </c>
      <c r="AB11" s="6">
        <f>IF(OR($T11&lt;&gt;0,$I11="50112",$I11="50109",$S11&lt;&gt;0),0,VLOOKUP($K11,Scenarios!$A$17:$F$73,5,FALSE))</f>
        <v>0</v>
      </c>
      <c r="AC11" s="6">
        <f t="shared" si="30"/>
        <v>2124.8000000000002</v>
      </c>
      <c r="AD11" s="6">
        <f t="shared" si="11"/>
        <v>49615</v>
      </c>
      <c r="AE11" s="84">
        <f t="shared" si="12"/>
        <v>4.4746262371025525E-2</v>
      </c>
      <c r="AF11" s="6">
        <f t="shared" si="13"/>
        <v>65.833333333333329</v>
      </c>
      <c r="AG11" s="6">
        <f>IF(AND(OR(I11="50101",I11="50102"),$AF11&gt;12),IF($AF11&gt;=300,(300*Scenarios!$B$14)*$E11,($AF11*Scenarios!$B$14)*$E11),0)</f>
        <v>329.16666666666663</v>
      </c>
      <c r="AH11" s="6">
        <f>IF($R11="y",IF($T11&gt;0,Scenarios!$B$10*'Prop Budget Calc'!$E11,Scenarios!$B$13*'Prop Budget Calc'!$E11))</f>
        <v>0</v>
      </c>
      <c r="AI11" s="6">
        <f>SUMIFS('Deduction Valuation'!$G:$G,'Deduction Valuation'!$F:$F,"CT - Certifications",'Deduction Valuation'!$B:$B,'Prop Budget Calc'!$A11)*$AI$3</f>
        <v>0</v>
      </c>
      <c r="AJ11" s="6">
        <f>SUMIFS('Deduction Valuation'!$G:$G,'Deduction Valuation'!$F:$F,"RP - Regional Pay",'Deduction Valuation'!$B:$B,'Prop Budget Calc'!$A11)*$AI$3</f>
        <v>0</v>
      </c>
      <c r="AK11" s="6">
        <f t="shared" si="14"/>
        <v>0</v>
      </c>
      <c r="AL11" s="6">
        <f>SUMIFS('Deduction Valuation'!$G:$G,'Deduction Valuation'!$F:$F,"CR - Car Allowance",'Deduction Valuation'!$B:$B,'Prop Budget Calc'!$A11)*$AI$3</f>
        <v>0</v>
      </c>
      <c r="AM11" s="6">
        <f>SUMIFS('Deduction Valuation'!$G:$G,'Deduction Valuation'!$F:$F,"DA - Device Allow",'Deduction Valuation'!$B:$B,'Prop Budget Calc'!$A11)*$AI$3</f>
        <v>0</v>
      </c>
      <c r="AN11" s="6">
        <f>SUMIFS('Deduction Valuation'!$G:$G,'Deduction Valuation'!$F:$F,"RA - Replace Allow",'Deduction Valuation'!$B:$B,'Prop Budget Calc'!$A11)</f>
        <v>0</v>
      </c>
      <c r="AO11" s="94">
        <f t="shared" si="15"/>
        <v>0</v>
      </c>
      <c r="AP11" s="94">
        <f t="shared" si="16"/>
        <v>49944.166666666664</v>
      </c>
      <c r="AQ11" s="10">
        <f>IF(OR($I11="50101", $I11="50102", $I11="50109", $I11="50140"),AP11*Scenarios!$H$8,0)</f>
        <v>8460.5418333333328</v>
      </c>
      <c r="AR11" s="9">
        <f>VLOOKUP($D11,WKCMP!$A$1:$C$15,3,FALSE)*AP11</f>
        <v>68.803084000000013</v>
      </c>
      <c r="AS11" s="10">
        <f t="shared" si="17"/>
        <v>724.19041666666669</v>
      </c>
      <c r="AT11" s="11">
        <f t="shared" si="18"/>
        <v>3096.538333333333</v>
      </c>
      <c r="AU11" s="10">
        <f t="shared" si="19"/>
        <v>3830</v>
      </c>
      <c r="AV11" s="6">
        <f t="shared" si="20"/>
        <v>89.899499999999989</v>
      </c>
      <c r="AW11" s="19">
        <f t="shared" si="21"/>
        <v>79.2</v>
      </c>
      <c r="AX11" s="19">
        <f t="shared" si="22"/>
        <v>15.6</v>
      </c>
      <c r="AY11" s="19">
        <f t="shared" si="23"/>
        <v>11.28</v>
      </c>
      <c r="AZ11" s="88">
        <f t="shared" si="24"/>
        <v>195.97949999999997</v>
      </c>
      <c r="BA11" s="6">
        <f>IF(AND($C11="vacant vacant",$E11=1),$BA$2*$AZ$3,SUMIFS('Employee Enrollments'!$AE:$AE,'Employee Enrollments'!$S:$S,"Medical HDHP",'Employee Enrollments'!$C:$C,'Prop Budget Calc'!$A11)*$AZ$3*(1+Scenarios!$E$9))*(1-$BA$3)</f>
        <v>18093.197376</v>
      </c>
      <c r="BB11" s="6">
        <f>IF(AND($C11="vacant vacant",$E11=1),500,SUMIFS('Employee Enrollments'!$AE:$AE,'Employee Enrollments'!$S:$S,"Health Savings Account",'Employee Enrollments'!$C:$C,'Prop Budget Calc'!$A11))</f>
        <v>1000</v>
      </c>
      <c r="BC11" s="56">
        <f t="shared" si="25"/>
        <v>19093.197376</v>
      </c>
      <c r="BD11" s="6">
        <f>IF(AND($C11="vacant vacant",$E11=1),$BD$2*$AZ$3,SUMIFS('Employee Enrollments'!$AE:$AE,'Employee Enrollments'!$S:$S,"Dental Plan",'Employee Enrollments'!$C:$C,'Prop Budget Calc'!$A11)*$AZ$3)</f>
        <v>843.48</v>
      </c>
      <c r="BE11" s="6">
        <f t="shared" si="26"/>
        <v>20132.656876000001</v>
      </c>
      <c r="BF11" s="6">
        <f t="shared" si="27"/>
        <v>32492.001793333333</v>
      </c>
      <c r="BG11" s="6">
        <f t="shared" si="28"/>
        <v>82436.168460000001</v>
      </c>
      <c r="BH11" s="14"/>
      <c r="BI11" s="56"/>
      <c r="BJ11" s="93">
        <f t="shared" si="29"/>
        <v>21754.060799999999</v>
      </c>
      <c r="BK11" s="10">
        <f>IF(SUMIFS('Employee Enrollments'!AB:AB,'Employee Enrollments'!C:C,'Prop Budget Calc'!$A11,'Employee Enrollments'!Q:Q,"Medical")*12=0,'Employee Enrollments'!$AN$1,(SUMIFS('Employee Enrollments'!AB:AB,'Employee Enrollments'!C:C,'Prop Budget Calc'!$A11,'Employee Enrollments'!Q:Q,"Medical")*12))</f>
        <v>3101.2799999999997</v>
      </c>
      <c r="BL11" s="10">
        <f>SUMIFS('Employee Enrollments'!AB:AB,'Employee Enrollments'!C:C,'Prop Budget Calc'!$A11,'Employee Enrollments'!Q:Q,"Dental")*12</f>
        <v>364.92</v>
      </c>
    </row>
    <row r="12" spans="1:88" ht="12.75" customHeight="1">
      <c r="A12" s="465" t="s">
        <v>1617</v>
      </c>
      <c r="B12" s="3" t="str">
        <f>IF(IFERROR(VLOOKUP($A12,'Base Pay Report'!$A:$V,'Prop Budget Calc'!B$2,FALSE),"NO")="No","Update",PROPER(VLOOKUP($A12,'Base Pay Report'!$A:$V,'Prop Budget Calc'!B$2,FALSE)))</f>
        <v>Accountant</v>
      </c>
      <c r="C12" s="3" t="str">
        <f>IF(IFERROR(VLOOKUP($A12,'Base Pay Report'!$A:$V,'Prop Budget Calc'!C$2,FALSE),"NO")="No","Update",PROPER(VLOOKUP($A12,'Base Pay Report'!$A:$V,'Prop Budget Calc'!C$2,FALSE)))</f>
        <v>First Name Last Name</v>
      </c>
      <c r="D12" s="3" t="str">
        <f>IF(IFERROR(VLOOKUP($A12,'Base Pay Report'!$A:$V,'Prop Budget Calc'!D$2,FALSE),"NO")="No","Update",PROPER(VLOOKUP($A12,'Base Pay Report'!$A:$V,'Prop Budget Calc'!D$2,FALSE)))</f>
        <v>8810</v>
      </c>
      <c r="E12" s="8">
        <f t="shared" si="0"/>
        <v>1</v>
      </c>
      <c r="F12" s="3" t="str">
        <f>IF(IFERROR(VLOOKUP($A12,'Base Pay Report'!$A:$V,'Prop Budget Calc'!F$2,FALSE),"NO")="No","Update",PROPER(VLOOKUP($A12,'Base Pay Report'!$A:$V,'Prop Budget Calc'!F$2,FALSE)))</f>
        <v>100-13-131-50101</v>
      </c>
      <c r="G12" s="3" t="str">
        <f t="shared" si="1"/>
        <v>100-13-131</v>
      </c>
      <c r="H12" s="49" t="str">
        <f t="shared" si="2"/>
        <v>100</v>
      </c>
      <c r="I12" s="3" t="str">
        <f t="shared" si="3"/>
        <v>50101</v>
      </c>
      <c r="J12" s="3" t="str">
        <f t="shared" si="4"/>
        <v>13</v>
      </c>
      <c r="K12" s="3" t="str">
        <f t="shared" si="5"/>
        <v>131</v>
      </c>
      <c r="L12" s="3">
        <f>IF(SUMIF('Base Pay Report'!$A:$A,'Prop Budget Calc'!$A12,'Base Pay Report'!$I:$I)=80,SUMIF('Base Pay Report'!$A:$A,'Prop Budget Calc'!$A12,'Base Pay Report'!$H:$H)/SUMIF('Base Pay Report'!$A:$A,'Prop Budget Calc'!$A12,'Base Pay Report'!$I:$I),SUMIF('Base Pay Report'!$A:$A,'Prop Budget Calc'!$A12,'Base Pay Report'!$H:$H))</f>
        <v>30.31325</v>
      </c>
      <c r="M12" s="3">
        <f t="shared" si="6"/>
        <v>2080</v>
      </c>
      <c r="N12" s="3" t="str">
        <f>IF(IFERROR(VLOOKUP($A12,'Base Pay Report'!$A:$V,'Prop Budget Calc'!N$2,FALSE),"NO")="No","Update",(VLOOKUP($A12,'Base Pay Report'!$A:$V,'Prop Budget Calc'!N$2,FALSE)))</f>
        <v>SALARY - 4-10</v>
      </c>
      <c r="O12" s="6">
        <f t="shared" si="7"/>
        <v>63060</v>
      </c>
      <c r="P12" s="99">
        <f>IF(SUMIF('Base Pay Report'!A:A,$A12,'Base Pay Report'!J:J)=0,$P$1+40,SUMIF('Base Pay Report'!A:A,$A12,'Base Pay Report'!J:J))</f>
        <v>42597</v>
      </c>
      <c r="Q12" s="87" t="str">
        <f>IF($B12='Current Step Plans'!$B$36,HLOOKUP('Prop Budget Calc'!$L12,'Current Step Plans'!$C$36:$Q$42,7,FALSE),IF($B12='Current Step Plans'!$B$37,HLOOKUP('Prop Budget Calc'!$L12,'Current Step Plans'!$C$37:$Q$42,6,FALSE),IF($B12='Current Step Plans'!$B$38,HLOOKUP('Prop Budget Calc'!$L12,'Current Step Plans'!$C$38:$Q$42,5,FALSE),IF($B12='Current Step Plans'!$B$39,HLOOKUP('Prop Budget Calc'!$L12,'Current Step Plans'!$C$39:$Q$42,4,FALSE),IF($B12='Current Step Plans'!$B$40,HLOOKUP('Prop Budget Calc'!$L12,'Current Step Plans'!$C$40:$Q$42,3,FALSE),IF($B12='Current Step Plans'!$B$41,HLOOKUP('Prop Budget Calc'!$L12,'Current Step Plans'!$C$41:$Q$42,2,FALSE),IF($B12='Current Step Plans'!$B$50,HLOOKUP('Prop Budget Calc'!$L12,'Current Step Plans'!$C$50:$Q$56,7,FALSE),IF($B12='Current Step Plans'!$B$51,HLOOKUP('Prop Budget Calc'!$L12,'Current Step Plans'!$C$51:$Q$56,6,FALSE),IF($B12='Current Step Plans'!$B$52,HLOOKUP('Prop Budget Calc'!$L12,'Current Step Plans'!$C$52:$Q$56,5,FALSE), IF($B12='Current Step Plans'!$B$53,HLOOKUP('Prop Budget Calc'!$L12,'Current Step Plans'!$C$53:$Q$56,4,FALSE),IF($B12='Current Step Plans'!$B$54,HLOOKUP('Prop Budget Calc'!$L12,'Current Step Plans'!$C$54:$Q$56,3,FALSE),IF($B12='Current Step Plans'!$B$55,HLOOKUP('Prop Budget Calc'!$L12,'Current Step Plans'!$C$55:$Q$56,2,FALSE),IF($B12='Current Step Plans'!$B$65,HLOOKUP('Prop Budget Calc'!$L12,'Current Step Plans'!$C$65:$Q$75,11,FALSE),IF($B12='Current Step Plans'!$B$66,HLOOKUP('Prop Budget Calc'!$L12,'Current Step Plans'!$C$66:$Q$75,10,FALSE),IF($B12='Current Step Plans'!$B$67,HLOOKUP('Prop Budget Calc'!$L12,'Current Step Plans'!$C$67:$Q$75,9,FALSE),IF($B12='Current Step Plans'!$B$68,HLOOKUP('Prop Budget Calc'!$L12,'Current Step Plans'!$C$68:$Q$75,8,FALSE),IF($B12='Current Step Plans'!$B$69,HLOOKUP('Prop Budget Calc'!$L12,'Current Step Plans'!$C$69:$Q$75,7,FALSE),IF($B12='Current Step Plans'!$B$70,HLOOKUP('Prop Budget Calc'!$L12,'Current Step Plans'!$C$70:$Q$75,6,FALSE),IF($B12='Current Step Plans'!$B$71,HLOOKUP('Prop Budget Calc'!$L12,'Current Step Plans'!$C$71:$Q$75,5,FALSE),IF($B12='Current Step Plans'!$B$72,HLOOKUP('Prop Budget Calc'!$L12,'Current Step Plans'!$C$72:$Q$75,4,FALSE),IF($B12='Current Step Plans'!$B$73,HLOOKUP('Prop Budget Calc'!$L12,'Current Step Plans'!$C$73:$Q$75,3,FALSE),IF($B12='Current Step Plans'!$B$74,HLOOKUP('Prop Budget Calc'!$L12,'Current Step Plans'!$C$74:$Q$75,2,FALSE),"N"))))))))))))))))))))))</f>
        <v>N</v>
      </c>
      <c r="R12" s="9" t="str">
        <f t="shared" si="8"/>
        <v>Y</v>
      </c>
      <c r="S12" s="6">
        <f>IF(Q12="n",0,ROUNDUP(VLOOKUP(B12,'Proposed Step Plans'!B:T,'Prop Budget Calc'!Q12+2,FALSE)*M12,-2)-O12-T12)</f>
        <v>0</v>
      </c>
      <c r="T12" s="6">
        <f>IF(Q12="n",0,ROUNDUP(VLOOKUP(B12,'Current Step Plans'!B:T,'Prop Budget Calc'!Q12+2,FALSE)*M12,0)-O12)</f>
        <v>0</v>
      </c>
      <c r="U12" s="6">
        <f>IF(IFERROR(VLOOKUP($A12,'Market Study'!$A$5:$G$82,7,FALSE),"NA")="NA",0,VLOOKUP($A12,'Market Study'!$A$5:$G$82,7,FALSE))</f>
        <v>0</v>
      </c>
      <c r="V12" s="6">
        <f>IF(OR($T12&lt;&gt;0,$I12="50112",$I12="50109",$S12&lt;&gt;0),0,VLOOKUP($K12,Scenarios!$A$17:$F$73,6,FALSE)*$O12)</f>
        <v>1261.2</v>
      </c>
      <c r="W12" s="6">
        <f t="shared" si="9"/>
        <v>1261.2</v>
      </c>
      <c r="X12" s="6">
        <f>IF(OR($T12&lt;&gt;0,$I12="50112",$I12="50109",$S12&lt;&gt;0),0,VLOOKUP($K12,Scenarios!$A$17:$F$73,2,FALSE)*$O12)</f>
        <v>1261.2</v>
      </c>
      <c r="Y12" s="6">
        <f>IF(OR($T12&lt;&gt;0,$I12="50110",$I12="50109",$S12&lt;&gt;0),0,VLOOKUP($K12,Scenarios!$A$17:$F$73,3,FALSE))</f>
        <v>1175</v>
      </c>
      <c r="Z12" s="6">
        <f>IF(OR($T12&lt;&gt;0,$I12="50112",$I12="50109",$S12&lt;&gt;0),0,VLOOKUP($K12,Scenarios!$A$17:$F$73,4,FALSE))</f>
        <v>0</v>
      </c>
      <c r="AA12" s="6">
        <f t="shared" si="10"/>
        <v>1261.2</v>
      </c>
      <c r="AB12" s="6">
        <f>IF(OR($T12&lt;&gt;0,$I12="50112",$I12="50109",$S12&lt;&gt;0),0,VLOOKUP($K12,Scenarios!$A$17:$F$73,5,FALSE))</f>
        <v>0</v>
      </c>
      <c r="AC12" s="6">
        <f t="shared" si="30"/>
        <v>2522.4</v>
      </c>
      <c r="AD12" s="6">
        <f t="shared" si="11"/>
        <v>65583</v>
      </c>
      <c r="AE12" s="84">
        <f t="shared" si="12"/>
        <v>4.0009514747859187E-2</v>
      </c>
      <c r="AF12" s="6">
        <f t="shared" si="13"/>
        <v>102</v>
      </c>
      <c r="AG12" s="6">
        <f>IF(AND(OR(I12="50101",I12="50102"),$AF12&gt;12),IF($AF12&gt;=300,(300*Scenarios!$B$14)*$E12,($AF12*Scenarios!$B$14)*$E12),0)</f>
        <v>510</v>
      </c>
      <c r="AH12" s="6">
        <f>IF($R12="y",IF($T12&gt;0,Scenarios!$B$10*'Prop Budget Calc'!$E12,Scenarios!$B$13*'Prop Budget Calc'!$E12))</f>
        <v>0</v>
      </c>
      <c r="AI12" s="6">
        <f>SUMIFS('Deduction Valuation'!$G:$G,'Deduction Valuation'!$F:$F,"CT - Certifications",'Deduction Valuation'!$B:$B,'Prop Budget Calc'!$A12)*$AI$3</f>
        <v>0</v>
      </c>
      <c r="AJ12" s="6">
        <f>SUMIFS('Deduction Valuation'!$G:$G,'Deduction Valuation'!$F:$F,"RP - Regional Pay",'Deduction Valuation'!$B:$B,'Prop Budget Calc'!$A12)*$AI$3</f>
        <v>0</v>
      </c>
      <c r="AK12" s="6">
        <f t="shared" si="14"/>
        <v>0</v>
      </c>
      <c r="AL12" s="6">
        <f>SUMIFS('Deduction Valuation'!$G:$G,'Deduction Valuation'!$F:$F,"CR - Car Allowance",'Deduction Valuation'!$B:$B,'Prop Budget Calc'!$A12)*$AI$3</f>
        <v>0</v>
      </c>
      <c r="AM12" s="6">
        <f>SUMIFS('Deduction Valuation'!$G:$G,'Deduction Valuation'!$F:$F,"DA - Device Allow",'Deduction Valuation'!$B:$B,'Prop Budget Calc'!$A12)*$AI$3</f>
        <v>0</v>
      </c>
      <c r="AN12" s="6">
        <f>SUMIFS('Deduction Valuation'!$G:$G,'Deduction Valuation'!$F:$F,"RA - Replace Allow",'Deduction Valuation'!$B:$B,'Prop Budget Calc'!$A12)</f>
        <v>0</v>
      </c>
      <c r="AO12" s="94">
        <f t="shared" si="15"/>
        <v>0</v>
      </c>
      <c r="AP12" s="94">
        <f t="shared" si="16"/>
        <v>66093</v>
      </c>
      <c r="AQ12" s="10">
        <f>IF(OR($I12="50101", $I12="50102", $I12="50109", $I12="50140"),AP12*Scenarios!$H$8,0)</f>
        <v>11196.154199999999</v>
      </c>
      <c r="AR12" s="9">
        <f>VLOOKUP($D12,WKCMP!$A$1:$C$15,3,FALSE)*AP12</f>
        <v>91.049716800000027</v>
      </c>
      <c r="AS12" s="10">
        <f t="shared" si="17"/>
        <v>958.34850000000006</v>
      </c>
      <c r="AT12" s="11">
        <f t="shared" si="18"/>
        <v>4097.7659999999996</v>
      </c>
      <c r="AU12" s="10">
        <f t="shared" si="19"/>
        <v>5060</v>
      </c>
      <c r="AV12" s="6">
        <f t="shared" si="20"/>
        <v>118.9674</v>
      </c>
      <c r="AW12" s="19">
        <f t="shared" si="21"/>
        <v>158.4</v>
      </c>
      <c r="AX12" s="19">
        <f t="shared" si="22"/>
        <v>15.6</v>
      </c>
      <c r="AY12" s="19">
        <f t="shared" si="23"/>
        <v>11.28</v>
      </c>
      <c r="AZ12" s="88">
        <f t="shared" si="24"/>
        <v>304.24739999999997</v>
      </c>
      <c r="BA12" s="6">
        <f>IF(AND($C12="vacant vacant",$E12=1),$BA$2*$AZ$3,SUMIFS('Employee Enrollments'!$AE:$AE,'Employee Enrollments'!$S:$S,"Medical HDHP",'Employee Enrollments'!$C:$C,'Prop Budget Calc'!$A12)*$AZ$3*(1+Scenarios!$E$9))*(1-$BA$3)</f>
        <v>16547.240087999999</v>
      </c>
      <c r="BB12" s="6">
        <f>IF(AND($C12="vacant vacant",$E12=1),500,SUMIFS('Employee Enrollments'!$AE:$AE,'Employee Enrollments'!$S:$S,"Health Savings Account",'Employee Enrollments'!$C:$C,'Prop Budget Calc'!$A12))</f>
        <v>1000</v>
      </c>
      <c r="BC12" s="56">
        <f t="shared" si="25"/>
        <v>17547.240087999999</v>
      </c>
      <c r="BD12" s="6">
        <f>IF(AND($C12="vacant vacant",$E12=1),$BD$2*$AZ$3,SUMIFS('Employee Enrollments'!$AE:$AE,'Employee Enrollments'!$S:$S,"Dental Plan",'Employee Enrollments'!$C:$C,'Prop Budget Calc'!$A12)*$AZ$3)</f>
        <v>843.48</v>
      </c>
      <c r="BE12" s="6">
        <f t="shared" si="26"/>
        <v>18694.967487999998</v>
      </c>
      <c r="BF12" s="6">
        <f t="shared" si="27"/>
        <v>35042.171404799999</v>
      </c>
      <c r="BG12" s="6">
        <f t="shared" si="28"/>
        <v>101135.1714048</v>
      </c>
      <c r="BH12" s="14"/>
      <c r="BI12" s="56"/>
      <c r="BJ12" s="93">
        <f t="shared" si="29"/>
        <v>19781.570400000001</v>
      </c>
      <c r="BK12" s="10">
        <f>IF(SUMIFS('Employee Enrollments'!AB:AB,'Employee Enrollments'!C:C,'Prop Budget Calc'!$A12,'Employee Enrollments'!Q:Q,"Medical")*12=0,'Employee Enrollments'!$AN$1,(SUMIFS('Employee Enrollments'!AB:AB,'Employee Enrollments'!C:C,'Prop Budget Calc'!$A12,'Employee Enrollments'!Q:Q,"Medical")*12))</f>
        <v>2722.56</v>
      </c>
      <c r="BL12" s="10">
        <f>SUMIFS('Employee Enrollments'!AB:AB,'Employee Enrollments'!C:C,'Prop Budget Calc'!$A12,'Employee Enrollments'!Q:Q,"Dental")*12</f>
        <v>364.92</v>
      </c>
    </row>
    <row r="13" spans="1:88" ht="12.75" customHeight="1">
      <c r="A13" s="20" t="s">
        <v>1595</v>
      </c>
      <c r="B13" s="3" t="str">
        <f>IF(IFERROR(VLOOKUP($A13,'Base Pay Report'!$A:$V,'Prop Budget Calc'!B$2,FALSE),"NO")="No","Update",PROPER(VLOOKUP($A13,'Base Pay Report'!$A:$V,'Prop Budget Calc'!B$2,FALSE)))</f>
        <v>Human Resources Specialist</v>
      </c>
      <c r="C13" s="3" t="str">
        <f>IF(IFERROR(VLOOKUP($A13,'Base Pay Report'!$A:$V,'Prop Budget Calc'!C$2,FALSE),"NO")="No","Update",PROPER(VLOOKUP($A13,'Base Pay Report'!$A:$V,'Prop Budget Calc'!C$2,FALSE)))</f>
        <v>First Name Last Name</v>
      </c>
      <c r="D13" s="3" t="str">
        <f>IF(IFERROR(VLOOKUP($A13,'Base Pay Report'!$A:$V,'Prop Budget Calc'!D$2,FALSE),"NO")="No","Update",PROPER(VLOOKUP($A13,'Base Pay Report'!$A:$V,'Prop Budget Calc'!D$2,FALSE)))</f>
        <v>8810</v>
      </c>
      <c r="E13" s="8">
        <f t="shared" si="0"/>
        <v>0.48</v>
      </c>
      <c r="F13" s="3" t="str">
        <f>IF(IFERROR(VLOOKUP($A13,'Base Pay Report'!$A:$V,'Prop Budget Calc'!F$2,FALSE),"NO")="No","Update",PROPER(VLOOKUP($A13,'Base Pay Report'!$A:$V,'Prop Budget Calc'!F$2,FALSE)))</f>
        <v>100-17-171-50110</v>
      </c>
      <c r="G13" s="3" t="str">
        <f t="shared" si="1"/>
        <v>100-17-171</v>
      </c>
      <c r="H13" s="49" t="str">
        <f t="shared" si="2"/>
        <v>100</v>
      </c>
      <c r="I13" s="3" t="str">
        <f t="shared" si="3"/>
        <v>50110</v>
      </c>
      <c r="J13" s="3" t="str">
        <f t="shared" si="4"/>
        <v>17</v>
      </c>
      <c r="K13" s="3" t="str">
        <f t="shared" si="5"/>
        <v>171</v>
      </c>
      <c r="L13" s="3">
        <f>IF(SUMIF('Base Pay Report'!$A:$A,'Prop Budget Calc'!$A13,'Base Pay Report'!$I:$I)=80,SUMIF('Base Pay Report'!$A:$A,'Prop Budget Calc'!$A13,'Base Pay Report'!$H:$H)/SUMIF('Base Pay Report'!$A:$A,'Prop Budget Calc'!$A13,'Base Pay Report'!$I:$I),SUMIF('Base Pay Report'!$A:$A,'Prop Budget Calc'!$A13,'Base Pay Report'!$H:$H))</f>
        <v>28.19</v>
      </c>
      <c r="M13" s="3">
        <f t="shared" si="6"/>
        <v>998.4</v>
      </c>
      <c r="N13" s="3" t="str">
        <f>IF(IFERROR(VLOOKUP($A13,'Base Pay Report'!$A:$V,'Prop Budget Calc'!N$2,FALSE),"NO")="No","Update",(VLOOKUP($A13,'Base Pay Report'!$A:$V,'Prop Budget Calc'!N$2,FALSE)))</f>
        <v>PT HOURLY</v>
      </c>
      <c r="O13" s="6">
        <f t="shared" si="7"/>
        <v>28150</v>
      </c>
      <c r="P13" s="99">
        <f>IF(SUMIF('Base Pay Report'!A:A,$A13,'Base Pay Report'!J:J)=0,$P$1+40,SUMIF('Base Pay Report'!A:A,$A13,'Base Pay Report'!J:J))</f>
        <v>44291</v>
      </c>
      <c r="Q13" s="87" t="str">
        <f>IF($B13='Current Step Plans'!$B$36,HLOOKUP('Prop Budget Calc'!$L13,'Current Step Plans'!$C$36:$Q$42,7,FALSE),IF($B13='Current Step Plans'!$B$37,HLOOKUP('Prop Budget Calc'!$L13,'Current Step Plans'!$C$37:$Q$42,6,FALSE),IF($B13='Current Step Plans'!$B$38,HLOOKUP('Prop Budget Calc'!$L13,'Current Step Plans'!$C$38:$Q$42,5,FALSE),IF($B13='Current Step Plans'!$B$39,HLOOKUP('Prop Budget Calc'!$L13,'Current Step Plans'!$C$39:$Q$42,4,FALSE),IF($B13='Current Step Plans'!$B$40,HLOOKUP('Prop Budget Calc'!$L13,'Current Step Plans'!$C$40:$Q$42,3,FALSE),IF($B13='Current Step Plans'!$B$41,HLOOKUP('Prop Budget Calc'!$L13,'Current Step Plans'!$C$41:$Q$42,2,FALSE),IF($B13='Current Step Plans'!$B$50,HLOOKUP('Prop Budget Calc'!$L13,'Current Step Plans'!$C$50:$Q$56,7,FALSE),IF($B13='Current Step Plans'!$B$51,HLOOKUP('Prop Budget Calc'!$L13,'Current Step Plans'!$C$51:$Q$56,6,FALSE),IF($B13='Current Step Plans'!$B$52,HLOOKUP('Prop Budget Calc'!$L13,'Current Step Plans'!$C$52:$Q$56,5,FALSE), IF($B13='Current Step Plans'!$B$53,HLOOKUP('Prop Budget Calc'!$L13,'Current Step Plans'!$C$53:$Q$56,4,FALSE),IF($B13='Current Step Plans'!$B$54,HLOOKUP('Prop Budget Calc'!$L13,'Current Step Plans'!$C$54:$Q$56,3,FALSE),IF($B13='Current Step Plans'!$B$55,HLOOKUP('Prop Budget Calc'!$L13,'Current Step Plans'!$C$55:$Q$56,2,FALSE),IF($B13='Current Step Plans'!$B$65,HLOOKUP('Prop Budget Calc'!$L13,'Current Step Plans'!$C$65:$Q$75,11,FALSE),IF($B13='Current Step Plans'!$B$66,HLOOKUP('Prop Budget Calc'!$L13,'Current Step Plans'!$C$66:$Q$75,10,FALSE),IF($B13='Current Step Plans'!$B$67,HLOOKUP('Prop Budget Calc'!$L13,'Current Step Plans'!$C$67:$Q$75,9,FALSE),IF($B13='Current Step Plans'!$B$68,HLOOKUP('Prop Budget Calc'!$L13,'Current Step Plans'!$C$68:$Q$75,8,FALSE),IF($B13='Current Step Plans'!$B$69,HLOOKUP('Prop Budget Calc'!$L13,'Current Step Plans'!$C$69:$Q$75,7,FALSE),IF($B13='Current Step Plans'!$B$70,HLOOKUP('Prop Budget Calc'!$L13,'Current Step Plans'!$C$70:$Q$75,6,FALSE),IF($B13='Current Step Plans'!$B$71,HLOOKUP('Prop Budget Calc'!$L13,'Current Step Plans'!$C$71:$Q$75,5,FALSE),IF($B13='Current Step Plans'!$B$72,HLOOKUP('Prop Budget Calc'!$L13,'Current Step Plans'!$C$72:$Q$75,4,FALSE),IF($B13='Current Step Plans'!$B$73,HLOOKUP('Prop Budget Calc'!$L13,'Current Step Plans'!$C$73:$Q$75,3,FALSE),IF($B13='Current Step Plans'!$B$74,HLOOKUP('Prop Budget Calc'!$L13,'Current Step Plans'!$C$74:$Q$75,2,FALSE),"N"))))))))))))))))))))))</f>
        <v>N</v>
      </c>
      <c r="R13" s="9" t="str">
        <f t="shared" si="8"/>
        <v>Y</v>
      </c>
      <c r="S13" s="6">
        <f>IF(Q13="n",0,ROUNDUP(VLOOKUP(B13,'Proposed Step Plans'!B:T,'Prop Budget Calc'!Q13+2,FALSE)*M13,-2)-O13-T13)</f>
        <v>0</v>
      </c>
      <c r="T13" s="6">
        <f>IF(Q13="n",0,ROUNDUP(VLOOKUP(B13,'Current Step Plans'!B:T,'Prop Budget Calc'!Q13+2,FALSE)*M13,0)-O13)</f>
        <v>0</v>
      </c>
      <c r="U13" s="6">
        <f>IF(IFERROR(VLOOKUP($A13,'Market Study'!$A$5:$G$82,7,FALSE),"NA")="NA",0,VLOOKUP($A13,'Market Study'!$A$5:$G$82,7,FALSE))</f>
        <v>0</v>
      </c>
      <c r="V13" s="6">
        <f>IF(OR($T13&lt;&gt;0,$I13="50112",$I13="50109",$S13&lt;&gt;0),0,VLOOKUP($K13,Scenarios!$A$17:$F$73,6,FALSE)*$O13)</f>
        <v>563</v>
      </c>
      <c r="W13" s="6">
        <f t="shared" si="9"/>
        <v>563</v>
      </c>
      <c r="X13" s="6">
        <f>IF(OR($T13&lt;&gt;0,$I13="50112",$I13="50109",$S13&lt;&gt;0),0,VLOOKUP($K13,Scenarios!$A$17:$F$73,2,FALSE)*$O13)</f>
        <v>563</v>
      </c>
      <c r="Y13" s="6">
        <f>IF(OR($T13&lt;&gt;0,$I13="50110",$I13="50109",$S13&lt;&gt;0),0,VLOOKUP($K13,Scenarios!$A$17:$F$73,3,FALSE))</f>
        <v>0</v>
      </c>
      <c r="Z13" s="6">
        <f>IF(OR($T13&lt;&gt;0,$I13="50112",$I13="50109",$S13&lt;&gt;0),0,VLOOKUP($K13,Scenarios!$A$17:$F$73,4,FALSE))</f>
        <v>0</v>
      </c>
      <c r="AA13" s="6">
        <f t="shared" si="10"/>
        <v>563</v>
      </c>
      <c r="AB13" s="6">
        <f>IF(OR($T13&lt;&gt;0,$I13="50112",$I13="50109",$S13&lt;&gt;0),0,VLOOKUP($K13,Scenarios!$A$17:$F$73,5,FALSE))</f>
        <v>0</v>
      </c>
      <c r="AC13" s="6">
        <f t="shared" si="30"/>
        <v>1126</v>
      </c>
      <c r="AD13" s="6">
        <f t="shared" si="11"/>
        <v>29276</v>
      </c>
      <c r="AE13" s="84">
        <f t="shared" si="12"/>
        <v>4.0000000000000036E-2</v>
      </c>
      <c r="AF13" s="6">
        <f t="shared" si="13"/>
        <v>45.533333333333331</v>
      </c>
      <c r="AG13" s="6">
        <f>IF(AND(OR(I13="50101",I13="50102"),$AF13&gt;12),IF($AF13&gt;=300,(300*Scenarios!$B$14)*$E13,($AF13*Scenarios!$B$14)*$E13),0)</f>
        <v>0</v>
      </c>
      <c r="AH13" s="6">
        <f>IF($R13="y",IF($T13&gt;0,Scenarios!$B$10*'Prop Budget Calc'!$E13,Scenarios!$B$13*'Prop Budget Calc'!$E13))</f>
        <v>0</v>
      </c>
      <c r="AI13" s="6">
        <f>SUMIFS('Deduction Valuation'!$G:$G,'Deduction Valuation'!$F:$F,"CT - Certifications",'Deduction Valuation'!$B:$B,'Prop Budget Calc'!$A13)*$AI$3</f>
        <v>0</v>
      </c>
      <c r="AJ13" s="6">
        <f>SUMIFS('Deduction Valuation'!$G:$G,'Deduction Valuation'!$F:$F,"RP - Regional Pay",'Deduction Valuation'!$B:$B,'Prop Budget Calc'!$A13)*$AI$3</f>
        <v>0</v>
      </c>
      <c r="AK13" s="6">
        <f t="shared" si="14"/>
        <v>0</v>
      </c>
      <c r="AL13" s="6">
        <f>SUMIFS('Deduction Valuation'!$G:$G,'Deduction Valuation'!$F:$F,"CR - Car Allowance",'Deduction Valuation'!$B:$B,'Prop Budget Calc'!$A13)*$AI$3</f>
        <v>0</v>
      </c>
      <c r="AM13" s="6">
        <f>SUMIFS('Deduction Valuation'!$G:$G,'Deduction Valuation'!$F:$F,"DA - Device Allow",'Deduction Valuation'!$B:$B,'Prop Budget Calc'!$A13)*$AI$3</f>
        <v>0</v>
      </c>
      <c r="AN13" s="6">
        <f>SUMIFS('Deduction Valuation'!$G:$G,'Deduction Valuation'!$F:$F,"RA - Replace Allow",'Deduction Valuation'!$B:$B,'Prop Budget Calc'!$A13)</f>
        <v>0</v>
      </c>
      <c r="AO13" s="94">
        <f t="shared" si="15"/>
        <v>0</v>
      </c>
      <c r="AP13" s="94">
        <f t="shared" si="16"/>
        <v>29276</v>
      </c>
      <c r="AQ13" s="10">
        <f>IF(OR($I13="50101", $I13="50102", $I13="50109", $I13="50140"),AP13*Scenarios!$H$8,0)</f>
        <v>0</v>
      </c>
      <c r="AR13" s="9">
        <f>VLOOKUP($D13,WKCMP!$A$1:$C$15,3,FALSE)*AP13</f>
        <v>40.330617600000011</v>
      </c>
      <c r="AS13" s="10">
        <f t="shared" si="17"/>
        <v>424.50200000000001</v>
      </c>
      <c r="AT13" s="11">
        <f t="shared" si="18"/>
        <v>1815.1120000000001</v>
      </c>
      <c r="AU13" s="10">
        <f t="shared" si="19"/>
        <v>2240</v>
      </c>
      <c r="AV13" s="6">
        <f t="shared" si="20"/>
        <v>52.696799999999996</v>
      </c>
      <c r="AW13" s="19">
        <f t="shared" si="21"/>
        <v>0</v>
      </c>
      <c r="AX13" s="19">
        <f t="shared" si="22"/>
        <v>0</v>
      </c>
      <c r="AY13" s="19">
        <f t="shared" si="23"/>
        <v>0</v>
      </c>
      <c r="AZ13" s="88">
        <f t="shared" si="24"/>
        <v>52.696799999999996</v>
      </c>
      <c r="BA13" s="6">
        <f>IF(AND($C13="vacant vacant",$E13=1),$BA$2*$AZ$3,SUMIFS('Employee Enrollments'!$AE:$AE,'Employee Enrollments'!$S:$S,"Medical HDHP",'Employee Enrollments'!$C:$C,'Prop Budget Calc'!$A13)*$AZ$3*(1+Scenarios!$E$9))*(1-$BA$3)</f>
        <v>0</v>
      </c>
      <c r="BB13" s="6">
        <f>IF(AND($C13="vacant vacant",$E13=1),500,SUMIFS('Employee Enrollments'!$AE:$AE,'Employee Enrollments'!$S:$S,"Health Savings Account",'Employee Enrollments'!$C:$C,'Prop Budget Calc'!$A13))</f>
        <v>0</v>
      </c>
      <c r="BC13" s="56">
        <f t="shared" si="25"/>
        <v>0</v>
      </c>
      <c r="BD13" s="6">
        <f>IF(AND($C13="vacant vacant",$E13=1),$BD$2*$AZ$3,SUMIFS('Employee Enrollments'!$AE:$AE,'Employee Enrollments'!$S:$S,"Dental Plan",'Employee Enrollments'!$C:$C,'Prop Budget Calc'!$A13)*$AZ$3)</f>
        <v>0</v>
      </c>
      <c r="BE13" s="6">
        <f t="shared" si="26"/>
        <v>52.696799999999996</v>
      </c>
      <c r="BF13" s="6">
        <f t="shared" si="27"/>
        <v>2333.0274176000003</v>
      </c>
      <c r="BG13" s="6">
        <f t="shared" si="28"/>
        <v>31609.027417600002</v>
      </c>
      <c r="BH13" s="14"/>
      <c r="BI13" s="56"/>
      <c r="BJ13" s="93">
        <f t="shared" si="29"/>
        <v>1131.8676628352489</v>
      </c>
      <c r="BK13" s="10">
        <f>IF(SUMIFS('Employee Enrollments'!AB:AB,'Employee Enrollments'!C:C,'Prop Budget Calc'!$A13,'Employee Enrollments'!Q:Q,"Medical")*12=0,'Employee Enrollments'!$AN$1,(SUMIFS('Employee Enrollments'!AB:AB,'Employee Enrollments'!C:C,'Prop Budget Calc'!$A13,'Employee Enrollments'!Q:Q,"Medical")*12))</f>
        <v>1131.8676628352489</v>
      </c>
      <c r="BL13" s="10">
        <f>SUMIFS('Employee Enrollments'!AB:AB,'Employee Enrollments'!C:C,'Prop Budget Calc'!$A13,'Employee Enrollments'!Q:Q,"Dental")*12</f>
        <v>0</v>
      </c>
    </row>
    <row r="14" spans="1:88" s="34" customFormat="1" ht="12.75" customHeight="1">
      <c r="A14" s="529" t="s">
        <v>2425</v>
      </c>
      <c r="B14" s="3" t="str">
        <f>IF(IFERROR(VLOOKUP($A14,'Base Pay Report'!$A:$V,'Prop Budget Calc'!B$2,FALSE),"NO")="No","Update",PROPER(VLOOKUP($A14,'Base Pay Report'!$A:$V,'Prop Budget Calc'!B$2,FALSE)))</f>
        <v>Human Resources Assistant</v>
      </c>
      <c r="C14" s="3" t="str">
        <f>IF(IFERROR(VLOOKUP($A14,'Base Pay Report'!$A:$V,'Prop Budget Calc'!C$2,FALSE),"NO")="No","Update",PROPER(VLOOKUP($A14,'Base Pay Report'!$A:$V,'Prop Budget Calc'!C$2,FALSE)))</f>
        <v>First Name Last Name</v>
      </c>
      <c r="D14" s="3" t="str">
        <f>IF(IFERROR(VLOOKUP($A14,'Base Pay Report'!$A:$V,'Prop Budget Calc'!D$2,FALSE),"NO")="No","Update",PROPER(VLOOKUP($A14,'Base Pay Report'!$A:$V,'Prop Budget Calc'!D$2,FALSE)))</f>
        <v>8810</v>
      </c>
      <c r="E14" s="8">
        <f t="shared" si="0"/>
        <v>1</v>
      </c>
      <c r="F14" s="3" t="str">
        <f>IF(IFERROR(VLOOKUP($A14,'Base Pay Report'!$A:$V,'Prop Budget Calc'!F$2,FALSE),"NO")="No","Update",PROPER(VLOOKUP($A14,'Base Pay Report'!$A:$V,'Prop Budget Calc'!F$2,FALSE)))</f>
        <v>100-17-171-50102</v>
      </c>
      <c r="G14" s="3" t="str">
        <f t="shared" si="1"/>
        <v>100-17-171</v>
      </c>
      <c r="H14" s="49" t="str">
        <f t="shared" si="2"/>
        <v>100</v>
      </c>
      <c r="I14" s="3" t="str">
        <f t="shared" si="3"/>
        <v>50102</v>
      </c>
      <c r="J14" s="3" t="str">
        <f t="shared" si="4"/>
        <v>17</v>
      </c>
      <c r="K14" s="3" t="str">
        <f t="shared" si="5"/>
        <v>171</v>
      </c>
      <c r="L14" s="3">
        <f>IF(SUMIF('Base Pay Report'!$A:$A,'Prop Budget Calc'!$A14,'Base Pay Report'!$I:$I)=80,SUMIF('Base Pay Report'!$A:$A,'Prop Budget Calc'!$A14,'Base Pay Report'!$H:$H)/SUMIF('Base Pay Report'!$A:$A,'Prop Budget Calc'!$A14,'Base Pay Report'!$I:$I),SUMIF('Base Pay Report'!$A:$A,'Prop Budget Calc'!$A14,'Base Pay Report'!$H:$H))</f>
        <v>20.170000000000002</v>
      </c>
      <c r="M14" s="3">
        <f t="shared" si="6"/>
        <v>2080</v>
      </c>
      <c r="N14" s="3" t="str">
        <f>IF(IFERROR(VLOOKUP($A14,'Base Pay Report'!$A:$V,'Prop Budget Calc'!N$2,FALSE),"NO")="No","Update",(VLOOKUP($A14,'Base Pay Report'!$A:$V,'Prop Budget Calc'!N$2,FALSE)))</f>
        <v>FT HOURLY - 4-10</v>
      </c>
      <c r="O14" s="6">
        <f t="shared" si="7"/>
        <v>41960</v>
      </c>
      <c r="P14" s="99">
        <f>IF(SUMIF('Base Pay Report'!A:A,$A14,'Base Pay Report'!J:J)=0,$P$1+40,SUMIF('Base Pay Report'!A:A,$A14,'Base Pay Report'!J:J))</f>
        <v>44867</v>
      </c>
      <c r="Q14" s="87" t="str">
        <f>IF($B14='Current Step Plans'!$B$36,HLOOKUP('Prop Budget Calc'!$L14,'Current Step Plans'!$C$36:$Q$42,7,FALSE),IF($B14='Current Step Plans'!$B$37,HLOOKUP('Prop Budget Calc'!$L14,'Current Step Plans'!$C$37:$Q$42,6,FALSE),IF($B14='Current Step Plans'!$B$38,HLOOKUP('Prop Budget Calc'!$L14,'Current Step Plans'!$C$38:$Q$42,5,FALSE),IF($B14='Current Step Plans'!$B$39,HLOOKUP('Prop Budget Calc'!$L14,'Current Step Plans'!$C$39:$Q$42,4,FALSE),IF($B14='Current Step Plans'!$B$40,HLOOKUP('Prop Budget Calc'!$L14,'Current Step Plans'!$C$40:$Q$42,3,FALSE),IF($B14='Current Step Plans'!$B$41,HLOOKUP('Prop Budget Calc'!$L14,'Current Step Plans'!$C$41:$Q$42,2,FALSE),IF($B14='Current Step Plans'!$B$50,HLOOKUP('Prop Budget Calc'!$L14,'Current Step Plans'!$C$50:$Q$56,7,FALSE),IF($B14='Current Step Plans'!$B$51,HLOOKUP('Prop Budget Calc'!$L14,'Current Step Plans'!$C$51:$Q$56,6,FALSE),IF($B14='Current Step Plans'!$B$52,HLOOKUP('Prop Budget Calc'!$L14,'Current Step Plans'!$C$52:$Q$56,5,FALSE), IF($B14='Current Step Plans'!$B$53,HLOOKUP('Prop Budget Calc'!$L14,'Current Step Plans'!$C$53:$Q$56,4,FALSE),IF($B14='Current Step Plans'!$B$54,HLOOKUP('Prop Budget Calc'!$L14,'Current Step Plans'!$C$54:$Q$56,3,FALSE),IF($B14='Current Step Plans'!$B$55,HLOOKUP('Prop Budget Calc'!$L14,'Current Step Plans'!$C$55:$Q$56,2,FALSE),IF($B14='Current Step Plans'!$B$65,HLOOKUP('Prop Budget Calc'!$L14,'Current Step Plans'!$C$65:$Q$75,11,FALSE),IF($B14='Current Step Plans'!$B$66,HLOOKUP('Prop Budget Calc'!$L14,'Current Step Plans'!$C$66:$Q$75,10,FALSE),IF($B14='Current Step Plans'!$B$67,HLOOKUP('Prop Budget Calc'!$L14,'Current Step Plans'!$C$67:$Q$75,9,FALSE),IF($B14='Current Step Plans'!$B$68,HLOOKUP('Prop Budget Calc'!$L14,'Current Step Plans'!$C$68:$Q$75,8,FALSE),IF($B14='Current Step Plans'!$B$69,HLOOKUP('Prop Budget Calc'!$L14,'Current Step Plans'!$C$69:$Q$75,7,FALSE),IF($B14='Current Step Plans'!$B$70,HLOOKUP('Prop Budget Calc'!$L14,'Current Step Plans'!$C$70:$Q$75,6,FALSE),IF($B14='Current Step Plans'!$B$71,HLOOKUP('Prop Budget Calc'!$L14,'Current Step Plans'!$C$71:$Q$75,5,FALSE),IF($B14='Current Step Plans'!$B$72,HLOOKUP('Prop Budget Calc'!$L14,'Current Step Plans'!$C$72:$Q$75,4,FALSE),IF($B14='Current Step Plans'!$B$73,HLOOKUP('Prop Budget Calc'!$L14,'Current Step Plans'!$C$73:$Q$75,3,FALSE),IF($B14='Current Step Plans'!$B$74,HLOOKUP('Prop Budget Calc'!$L14,'Current Step Plans'!$C$74:$Q$75,2,FALSE),"N"))))))))))))))))))))))</f>
        <v>N</v>
      </c>
      <c r="R14" s="9" t="str">
        <f t="shared" si="8"/>
        <v>Y</v>
      </c>
      <c r="S14" s="6">
        <f>IF(Q14="n",0,ROUNDUP(VLOOKUP(B14,'Proposed Step Plans'!B:T,'Prop Budget Calc'!Q14+2,FALSE)*M14,-2)-O14-T14)</f>
        <v>0</v>
      </c>
      <c r="T14" s="6">
        <f>IF(Q14="n",0,ROUNDUP(VLOOKUP(B14,'Current Step Plans'!B:T,'Prop Budget Calc'!Q14+2,FALSE)*M14,0)-O14)</f>
        <v>0</v>
      </c>
      <c r="U14" s="6">
        <f>IF(IFERROR(VLOOKUP($A14,'Market Study'!$A$5:$G$82,7,FALSE),"NA")="NA",0,VLOOKUP($A14,'Market Study'!$A$5:$G$82,7,FALSE))</f>
        <v>0</v>
      </c>
      <c r="V14" s="6">
        <f>IF(OR($T14&lt;&gt;0,$I14="50112",$I14="50109",$S14&lt;&gt;0),0,VLOOKUP($K14,Scenarios!$A$17:$F$73,6,FALSE)*$O14)</f>
        <v>839.2</v>
      </c>
      <c r="W14" s="6">
        <f t="shared" si="9"/>
        <v>839.2</v>
      </c>
      <c r="X14" s="6">
        <f>IF(OR($T14&lt;&gt;0,$I14="50112",$I14="50109",$S14&lt;&gt;0),0,VLOOKUP($K14,Scenarios!$A$17:$F$73,2,FALSE)*$O14)</f>
        <v>839.2</v>
      </c>
      <c r="Y14" s="6">
        <f>IF(OR($T14&lt;&gt;0,$I14="50110",$I14="50109",$S14&lt;&gt;0),0,VLOOKUP($K14,Scenarios!$A$17:$F$73,3,FALSE))</f>
        <v>1175</v>
      </c>
      <c r="Z14" s="6">
        <f>IF(OR($T14&lt;&gt;0,$I14="50112",$I14="50109",$S14&lt;&gt;0),0,VLOOKUP($K14,Scenarios!$A$17:$F$73,4,FALSE))</f>
        <v>0</v>
      </c>
      <c r="AA14" s="6">
        <f t="shared" si="10"/>
        <v>1175</v>
      </c>
      <c r="AB14" s="6">
        <f>IF(OR($T14&lt;&gt;0,$I14="50112",$I14="50109",$S14&lt;&gt;0),0,VLOOKUP($K14,Scenarios!$A$17:$F$73,5,FALSE))</f>
        <v>0</v>
      </c>
      <c r="AC14" s="6">
        <f t="shared" si="30"/>
        <v>2014.2</v>
      </c>
      <c r="AD14" s="6">
        <f t="shared" si="11"/>
        <v>43975</v>
      </c>
      <c r="AE14" s="84">
        <f t="shared" si="12"/>
        <v>4.8021925643469965E-2</v>
      </c>
      <c r="AF14" s="6">
        <f t="shared" si="13"/>
        <v>26.333333333333332</v>
      </c>
      <c r="AG14" s="6">
        <f>IF(AND(OR(I14="50101",I14="50102"),$AF14&gt;12),IF($AF14&gt;=300,(300*Scenarios!$B$14)*$E14,($AF14*Scenarios!$B$14)*$E14),0)</f>
        <v>131.66666666666666</v>
      </c>
      <c r="AH14" s="6">
        <f>IF($R14="y",IF($T14&gt;0,Scenarios!$B$10*'Prop Budget Calc'!$E14,Scenarios!$B$13*'Prop Budget Calc'!$E14))</f>
        <v>0</v>
      </c>
      <c r="AI14" s="6">
        <f>SUMIFS('Deduction Valuation'!$G:$G,'Deduction Valuation'!$F:$F,"CT - Certifications",'Deduction Valuation'!$B:$B,'Prop Budget Calc'!$A14)*$AI$3</f>
        <v>0</v>
      </c>
      <c r="AJ14" s="6">
        <f>SUMIFS('Deduction Valuation'!$G:$G,'Deduction Valuation'!$F:$F,"RP - Regional Pay",'Deduction Valuation'!$B:$B,'Prop Budget Calc'!$A14)*$AI$3</f>
        <v>0</v>
      </c>
      <c r="AK14" s="6">
        <f t="shared" si="14"/>
        <v>0</v>
      </c>
      <c r="AL14" s="6">
        <f>SUMIFS('Deduction Valuation'!$G:$G,'Deduction Valuation'!$F:$F,"CR - Car Allowance",'Deduction Valuation'!$B:$B,'Prop Budget Calc'!$A14)*$AI$3</f>
        <v>0</v>
      </c>
      <c r="AM14" s="6">
        <f>SUMIFS('Deduction Valuation'!$G:$G,'Deduction Valuation'!$F:$F,"DA - Device Allow",'Deduction Valuation'!$B:$B,'Prop Budget Calc'!$A14)*$AI$3</f>
        <v>0</v>
      </c>
      <c r="AN14" s="6">
        <f>SUMIFS('Deduction Valuation'!$G:$G,'Deduction Valuation'!$F:$F,"RA - Replace Allow",'Deduction Valuation'!$B:$B,'Prop Budget Calc'!$A14)</f>
        <v>0</v>
      </c>
      <c r="AO14" s="94">
        <f t="shared" si="15"/>
        <v>0</v>
      </c>
      <c r="AP14" s="94">
        <f t="shared" si="16"/>
        <v>44106.666666666664</v>
      </c>
      <c r="AQ14" s="10">
        <f>IF(OR($I14="50101", $I14="50102", $I14="50109", $I14="50140"),AP14*Scenarios!$H$8,0)</f>
        <v>7471.6693333333324</v>
      </c>
      <c r="AR14" s="9">
        <f>VLOOKUP($D14,WKCMP!$A$1:$C$15,3,FALSE)*AP14</f>
        <v>60.761344000000008</v>
      </c>
      <c r="AS14" s="10">
        <f t="shared" si="17"/>
        <v>639.54666666666662</v>
      </c>
      <c r="AT14" s="11">
        <f t="shared" si="18"/>
        <v>2734.6133333333332</v>
      </c>
      <c r="AU14" s="10">
        <f t="shared" si="19"/>
        <v>3380</v>
      </c>
      <c r="AV14" s="6">
        <f t="shared" si="20"/>
        <v>79.391999999999996</v>
      </c>
      <c r="AW14" s="19">
        <f t="shared" si="21"/>
        <v>79.2</v>
      </c>
      <c r="AX14" s="19">
        <f t="shared" si="22"/>
        <v>15.6</v>
      </c>
      <c r="AY14" s="19">
        <f t="shared" si="23"/>
        <v>11.28</v>
      </c>
      <c r="AZ14" s="88">
        <f t="shared" si="24"/>
        <v>185.47199999999998</v>
      </c>
      <c r="BA14" s="6">
        <f>IF(AND($C14="vacant vacant",$E14=1),$BA$2*$AZ$3,SUMIFS('Employee Enrollments'!$AE:$AE,'Employee Enrollments'!$S:$S,"Medical HDHP",'Employee Enrollments'!$C:$C,'Prop Budget Calc'!$A14)*$AZ$3*(1+Scenarios!$E$9))*(1-$BA$3)</f>
        <v>21485.137608000001</v>
      </c>
      <c r="BB14" s="6">
        <f>IF(AND($C14="vacant vacant",$E14=1),500,SUMIFS('Employee Enrollments'!$AE:$AE,'Employee Enrollments'!$S:$S,"Health Savings Account",'Employee Enrollments'!$C:$C,'Prop Budget Calc'!$A14))</f>
        <v>1000</v>
      </c>
      <c r="BC14" s="56">
        <f t="shared" si="25"/>
        <v>22485.137608000001</v>
      </c>
      <c r="BD14" s="6">
        <f>IF(AND($C14="vacant vacant",$E14=1),$BD$2*$AZ$3,SUMIFS('Employee Enrollments'!$AE:$AE,'Employee Enrollments'!$S:$S,"Dental Plan",'Employee Enrollments'!$C:$C,'Prop Budget Calc'!$A14)*$AZ$3)</f>
        <v>843.48</v>
      </c>
      <c r="BE14" s="6">
        <f t="shared" si="26"/>
        <v>23514.089608000002</v>
      </c>
      <c r="BF14" s="6">
        <f t="shared" si="27"/>
        <v>34426.520285333332</v>
      </c>
      <c r="BG14" s="6">
        <f t="shared" si="28"/>
        <v>78533.186951999989</v>
      </c>
      <c r="BH14" s="14"/>
      <c r="BI14" s="56"/>
      <c r="BJ14" s="93">
        <f t="shared" si="29"/>
        <v>26011.826400000002</v>
      </c>
      <c r="BK14" s="10">
        <f>IF(SUMIFS('Employee Enrollments'!AB:AB,'Employee Enrollments'!C:C,'Prop Budget Calc'!$A14,'Employee Enrollments'!Q:Q,"Medical")*12=0,'Employee Enrollments'!$AN$1,(SUMIFS('Employee Enrollments'!AB:AB,'Employee Enrollments'!C:C,'Prop Budget Calc'!$A14,'Employee Enrollments'!Q:Q,"Medical")*12))</f>
        <v>3862.2000000000003</v>
      </c>
      <c r="BL14" s="10">
        <f>SUMIFS('Employee Enrollments'!AB:AB,'Employee Enrollments'!C:C,'Prop Budget Calc'!$A14,'Employee Enrollments'!Q:Q,"Dental")*12</f>
        <v>364.92</v>
      </c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</row>
    <row r="15" spans="1:88" ht="12.75" customHeight="1">
      <c r="A15" s="535" t="s">
        <v>2553</v>
      </c>
      <c r="B15" s="114" t="str">
        <f>IF(IFERROR(VLOOKUP($A15,'Base Pay Report'!$A:$V,'Prop Budget Calc'!B$2,FALSE),"NO")="No","Update",PROPER(VLOOKUP($A15,'Base Pay Report'!$A:$V,'Prop Budget Calc'!B$2,FALSE)))</f>
        <v>Economic Development Intern</v>
      </c>
      <c r="C15" s="3" t="str">
        <f>IF(IFERROR(VLOOKUP($A15,'Base Pay Report'!$A:$V,'Prop Budget Calc'!C$2,FALSE),"NO")="No","Update",PROPER(VLOOKUP($A15,'Base Pay Report'!$A:$V,'Prop Budget Calc'!C$2,FALSE)))</f>
        <v>First Name Last Name</v>
      </c>
      <c r="D15" s="3" t="str">
        <f>IF(IFERROR(VLOOKUP($A15,'Base Pay Report'!$A:$V,'Prop Budget Calc'!D$2,FALSE),"NO")="No","Update",PROPER(VLOOKUP($A15,'Base Pay Report'!$A:$V,'Prop Budget Calc'!D$2,FALSE)))</f>
        <v>8810</v>
      </c>
      <c r="E15" s="8">
        <f t="shared" si="0"/>
        <v>0.48</v>
      </c>
      <c r="F15" s="3" t="str">
        <f>IF(IFERROR(VLOOKUP($A15,'Base Pay Report'!$A:$V,'Prop Budget Calc'!F$2,FALSE),"NO")="No","Update",PROPER(VLOOKUP($A15,'Base Pay Report'!$A:$V,'Prop Budget Calc'!F$2,FALSE)))</f>
        <v>100-14-141-50110</v>
      </c>
      <c r="G15" s="3" t="str">
        <f t="shared" si="1"/>
        <v>100-14-141</v>
      </c>
      <c r="H15" s="49" t="str">
        <f t="shared" si="2"/>
        <v>100</v>
      </c>
      <c r="I15" s="3" t="str">
        <f t="shared" si="3"/>
        <v>50110</v>
      </c>
      <c r="J15" s="3" t="str">
        <f t="shared" si="4"/>
        <v>14</v>
      </c>
      <c r="K15" s="3" t="str">
        <f t="shared" si="5"/>
        <v>141</v>
      </c>
      <c r="L15" s="3">
        <f>IF(SUMIF('Base Pay Report'!$A:$A,'Prop Budget Calc'!$A15,'Base Pay Report'!$I:$I)=80,SUMIF('Base Pay Report'!$A:$A,'Prop Budget Calc'!$A15,'Base Pay Report'!$H:$H)/SUMIF('Base Pay Report'!$A:$A,'Prop Budget Calc'!$A15,'Base Pay Report'!$I:$I),SUMIF('Base Pay Report'!$A:$A,'Prop Budget Calc'!$A15,'Base Pay Report'!$H:$H))</f>
        <v>11.67</v>
      </c>
      <c r="M15" s="3">
        <f t="shared" si="6"/>
        <v>998.4</v>
      </c>
      <c r="N15" s="3" t="str">
        <f>IF(IFERROR(VLOOKUP($A15,'Base Pay Report'!$A:$V,'Prop Budget Calc'!N$2,FALSE),"NO")="No","Update",(VLOOKUP($A15,'Base Pay Report'!$A:$V,'Prop Budget Calc'!N$2,FALSE)))</f>
        <v>PT HOURLY</v>
      </c>
      <c r="O15" s="6">
        <f t="shared" si="7"/>
        <v>11660</v>
      </c>
      <c r="P15" s="99">
        <f>IF(SUMIF('Base Pay Report'!A:A,$A15,'Base Pay Report'!J:J)=0,$P$1+40,SUMIF('Base Pay Report'!A:A,$A15,'Base Pay Report'!J:J))</f>
        <v>45299</v>
      </c>
      <c r="Q15" s="87" t="str">
        <f>IF($B15='Current Step Plans'!$B$36,HLOOKUP('Prop Budget Calc'!$L15,'Current Step Plans'!$C$36:$Q$42,7,FALSE),IF($B15='Current Step Plans'!$B$37,HLOOKUP('Prop Budget Calc'!$L15,'Current Step Plans'!$C$37:$Q$42,6,FALSE),IF($B15='Current Step Plans'!$B$38,HLOOKUP('Prop Budget Calc'!$L15,'Current Step Plans'!$C$38:$Q$42,5,FALSE),IF($B15='Current Step Plans'!$B$39,HLOOKUP('Prop Budget Calc'!$L15,'Current Step Plans'!$C$39:$Q$42,4,FALSE),IF($B15='Current Step Plans'!$B$40,HLOOKUP('Prop Budget Calc'!$L15,'Current Step Plans'!$C$40:$Q$42,3,FALSE),IF($B15='Current Step Plans'!$B$41,HLOOKUP('Prop Budget Calc'!$L15,'Current Step Plans'!$C$41:$Q$42,2,FALSE),IF($B15='Current Step Plans'!$B$50,HLOOKUP('Prop Budget Calc'!$L15,'Current Step Plans'!$C$50:$Q$56,7,FALSE),IF($B15='Current Step Plans'!$B$51,HLOOKUP('Prop Budget Calc'!$L15,'Current Step Plans'!$C$51:$Q$56,6,FALSE),IF($B15='Current Step Plans'!$B$52,HLOOKUP('Prop Budget Calc'!$L15,'Current Step Plans'!$C$52:$Q$56,5,FALSE), IF($B15='Current Step Plans'!$B$53,HLOOKUP('Prop Budget Calc'!$L15,'Current Step Plans'!$C$53:$Q$56,4,FALSE),IF($B15='Current Step Plans'!$B$54,HLOOKUP('Prop Budget Calc'!$L15,'Current Step Plans'!$C$54:$Q$56,3,FALSE),IF($B15='Current Step Plans'!$B$55,HLOOKUP('Prop Budget Calc'!$L15,'Current Step Plans'!$C$55:$Q$56,2,FALSE),IF($B15='Current Step Plans'!$B$65,HLOOKUP('Prop Budget Calc'!$L15,'Current Step Plans'!$C$65:$Q$75,11,FALSE),IF($B15='Current Step Plans'!$B$66,HLOOKUP('Prop Budget Calc'!$L15,'Current Step Plans'!$C$66:$Q$75,10,FALSE),IF($B15='Current Step Plans'!$B$67,HLOOKUP('Prop Budget Calc'!$L15,'Current Step Plans'!$C$67:$Q$75,9,FALSE),IF($B15='Current Step Plans'!$B$68,HLOOKUP('Prop Budget Calc'!$L15,'Current Step Plans'!$C$68:$Q$75,8,FALSE),IF($B15='Current Step Plans'!$B$69,HLOOKUP('Prop Budget Calc'!$L15,'Current Step Plans'!$C$69:$Q$75,7,FALSE),IF($B15='Current Step Plans'!$B$70,HLOOKUP('Prop Budget Calc'!$L15,'Current Step Plans'!$C$70:$Q$75,6,FALSE),IF($B15='Current Step Plans'!$B$71,HLOOKUP('Prop Budget Calc'!$L15,'Current Step Plans'!$C$71:$Q$75,5,FALSE),IF($B15='Current Step Plans'!$B$72,HLOOKUP('Prop Budget Calc'!$L15,'Current Step Plans'!$C$72:$Q$75,4,FALSE),IF($B15='Current Step Plans'!$B$73,HLOOKUP('Prop Budget Calc'!$L15,'Current Step Plans'!$C$73:$Q$75,3,FALSE),IF($B15='Current Step Plans'!$B$74,HLOOKUP('Prop Budget Calc'!$L15,'Current Step Plans'!$C$74:$Q$75,2,FALSE),"N"))))))))))))))))))))))</f>
        <v>N</v>
      </c>
      <c r="R15" s="9" t="str">
        <f t="shared" si="8"/>
        <v>N</v>
      </c>
      <c r="S15" s="6">
        <f>IF(Q15="n",0,ROUNDUP(VLOOKUP(B15,'Proposed Step Plans'!B:T,'Prop Budget Calc'!Q15+2,FALSE)*M15,-2)-O15-T15)</f>
        <v>0</v>
      </c>
      <c r="T15" s="6">
        <f>IF(Q15="n",0,ROUNDUP(VLOOKUP(B15,'Current Step Plans'!B:T,'Prop Budget Calc'!Q15+2,FALSE)*M15,0)-O15)</f>
        <v>0</v>
      </c>
      <c r="U15" s="6">
        <f>IF(IFERROR(VLOOKUP($A15,'Market Study'!$A$5:$G$82,7,FALSE),"NA")="NA",0,VLOOKUP($A15,'Market Study'!$A$5:$G$82,7,FALSE))</f>
        <v>0</v>
      </c>
      <c r="V15" s="6">
        <f>IF(OR($T15&lt;&gt;0,$I15="50112",$I15="50109",$S15&lt;&gt;0),0,VLOOKUP($K15,Scenarios!$A$17:$F$73,6,FALSE)*$O15)</f>
        <v>233.20000000000002</v>
      </c>
      <c r="W15" s="6">
        <f t="shared" si="9"/>
        <v>233.20000000000002</v>
      </c>
      <c r="X15" s="6">
        <f>IF(OR($T15&lt;&gt;0,$I15="50112",$I15="50109",$S15&lt;&gt;0),0,VLOOKUP($K15,Scenarios!$A$17:$F$73,2,FALSE)*$O15)</f>
        <v>233.20000000000002</v>
      </c>
      <c r="Y15" s="6">
        <f>IF(OR($T15&lt;&gt;0,$I15="50110",$I15="50109",$S15&lt;&gt;0),0,VLOOKUP($K15,Scenarios!$A$17:$F$73,3,FALSE))</f>
        <v>0</v>
      </c>
      <c r="Z15" s="6">
        <f>IF(OR($T15&lt;&gt;0,$I15="50112",$I15="50109",$S15&lt;&gt;0),0,VLOOKUP($K15,Scenarios!$A$17:$F$73,4,FALSE))</f>
        <v>0</v>
      </c>
      <c r="AA15" s="6">
        <f t="shared" si="10"/>
        <v>233.20000000000002</v>
      </c>
      <c r="AB15" s="6">
        <f>IF(OR($T15&lt;&gt;0,$I15="50112",$I15="50109",$S15&lt;&gt;0),0,VLOOKUP($K15,Scenarios!$A$17:$F$73,5,FALSE))</f>
        <v>0</v>
      </c>
      <c r="AC15" s="6">
        <f t="shared" si="30"/>
        <v>466.40000000000003</v>
      </c>
      <c r="AD15" s="6">
        <f t="shared" si="11"/>
        <v>12127</v>
      </c>
      <c r="AE15" s="84">
        <f t="shared" si="12"/>
        <v>4.0051457975986304E-2</v>
      </c>
      <c r="AF15" s="6">
        <f t="shared" si="13"/>
        <v>11.933333333333334</v>
      </c>
      <c r="AG15" s="6">
        <f>IF(AND(OR(I15="50101",I15="50102"),$AF15&gt;12),IF($AF15&gt;=300,(300*Scenarios!$B$14)*$E15,($AF15*Scenarios!$B$14)*$E15),0)</f>
        <v>0</v>
      </c>
      <c r="AH15" s="6" t="b">
        <f>IF($R15="y",IF($T15&gt;0,Scenarios!$B$10*'Prop Budget Calc'!$E15,Scenarios!$B$13*'Prop Budget Calc'!$E15))</f>
        <v>0</v>
      </c>
      <c r="AI15" s="6">
        <f>SUMIFS('Deduction Valuation'!$G:$G,'Deduction Valuation'!$F:$F,"CT - Certifications",'Deduction Valuation'!$B:$B,'Prop Budget Calc'!$A15)*$AI$3</f>
        <v>0</v>
      </c>
      <c r="AJ15" s="6">
        <f>SUMIFS('Deduction Valuation'!$G:$G,'Deduction Valuation'!$F:$F,"RP - Regional Pay",'Deduction Valuation'!$B:$B,'Prop Budget Calc'!$A15)*$AI$3</f>
        <v>0</v>
      </c>
      <c r="AK15" s="6">
        <f t="shared" si="14"/>
        <v>0</v>
      </c>
      <c r="AL15" s="6">
        <f>SUMIFS('Deduction Valuation'!$G:$G,'Deduction Valuation'!$F:$F,"CR - Car Allowance",'Deduction Valuation'!$B:$B,'Prop Budget Calc'!$A15)*$AI$3</f>
        <v>0</v>
      </c>
      <c r="AM15" s="6">
        <f>SUMIFS('Deduction Valuation'!$G:$G,'Deduction Valuation'!$F:$F,"DA - Device Allow",'Deduction Valuation'!$B:$B,'Prop Budget Calc'!$A15)*$AI$3</f>
        <v>0</v>
      </c>
      <c r="AN15" s="6">
        <f>SUMIFS('Deduction Valuation'!$G:$G,'Deduction Valuation'!$F:$F,"RA - Replace Allow",'Deduction Valuation'!$B:$B,'Prop Budget Calc'!$A15)</f>
        <v>0</v>
      </c>
      <c r="AO15" s="94">
        <f t="shared" si="15"/>
        <v>0</v>
      </c>
      <c r="AP15" s="94">
        <f t="shared" si="16"/>
        <v>12127</v>
      </c>
      <c r="AQ15" s="10">
        <f>IF(OR($I15="50101", $I15="50102", $I15="50109", $I15="50140"),AP15*Scenarios!$H$8,0)</f>
        <v>0</v>
      </c>
      <c r="AR15" s="9">
        <f>VLOOKUP($D15,WKCMP!$A$1:$C$15,3,FALSE)*AP15</f>
        <v>16.706155200000005</v>
      </c>
      <c r="AS15" s="10">
        <f t="shared" si="17"/>
        <v>175.8415</v>
      </c>
      <c r="AT15" s="11">
        <f t="shared" si="18"/>
        <v>751.87400000000002</v>
      </c>
      <c r="AU15" s="10">
        <f t="shared" si="19"/>
        <v>930</v>
      </c>
      <c r="AV15" s="6">
        <f t="shared" si="20"/>
        <v>21.828599999999998</v>
      </c>
      <c r="AW15" s="19">
        <f t="shared" si="21"/>
        <v>0</v>
      </c>
      <c r="AX15" s="19">
        <f t="shared" si="22"/>
        <v>0</v>
      </c>
      <c r="AY15" s="19">
        <f t="shared" si="23"/>
        <v>0</v>
      </c>
      <c r="AZ15" s="88">
        <f t="shared" si="24"/>
        <v>21.828599999999998</v>
      </c>
      <c r="BA15" s="6">
        <f>IF(AND($C15="vacant vacant",$E15=1),$BA$2*$AZ$3,SUMIFS('Employee Enrollments'!$AE:$AE,'Employee Enrollments'!$S:$S,"Medical HDHP",'Employee Enrollments'!$C:$C,'Prop Budget Calc'!$A15)*$AZ$3*(1+Scenarios!$E$9))*(1-$BA$3)</f>
        <v>0</v>
      </c>
      <c r="BB15" s="6">
        <f>IF(AND($C15="vacant vacant",$E15=1),500,SUMIFS('Employee Enrollments'!$AE:$AE,'Employee Enrollments'!$S:$S,"Health Savings Account",'Employee Enrollments'!$C:$C,'Prop Budget Calc'!$A15))</f>
        <v>0</v>
      </c>
      <c r="BC15" s="56">
        <f t="shared" si="25"/>
        <v>0</v>
      </c>
      <c r="BD15" s="6">
        <f>IF(AND($C15="vacant vacant",$E15=1),$BD$2*$AZ$3,SUMIFS('Employee Enrollments'!$AE:$AE,'Employee Enrollments'!$S:$S,"Dental Plan",'Employee Enrollments'!$C:$C,'Prop Budget Calc'!$A15)*$AZ$3)</f>
        <v>0</v>
      </c>
      <c r="BE15" s="6">
        <f t="shared" si="26"/>
        <v>21.828599999999998</v>
      </c>
      <c r="BF15" s="6">
        <f t="shared" si="27"/>
        <v>968.53475520000006</v>
      </c>
      <c r="BG15" s="6">
        <f t="shared" si="28"/>
        <v>13095.5347552</v>
      </c>
      <c r="BH15" s="14"/>
      <c r="BI15" s="56"/>
      <c r="BJ15" s="93">
        <f t="shared" si="29"/>
        <v>1131.8676628352489</v>
      </c>
      <c r="BK15" s="10">
        <f>IF(SUMIFS('Employee Enrollments'!AB:AB,'Employee Enrollments'!C:C,'Prop Budget Calc'!$A15,'Employee Enrollments'!Q:Q,"Medical")*12=0,'Employee Enrollments'!$AN$1,(SUMIFS('Employee Enrollments'!AB:AB,'Employee Enrollments'!C:C,'Prop Budget Calc'!$A15,'Employee Enrollments'!Q:Q,"Medical")*12))</f>
        <v>1131.8676628352489</v>
      </c>
      <c r="BL15" s="10">
        <f>SUMIFS('Employee Enrollments'!AB:AB,'Employee Enrollments'!C:C,'Prop Budget Calc'!$A15,'Employee Enrollments'!Q:Q,"Dental")*12</f>
        <v>0</v>
      </c>
    </row>
    <row r="16" spans="1:88" ht="12.75" customHeight="1">
      <c r="A16" s="20" t="s">
        <v>1551</v>
      </c>
      <c r="B16" s="3" t="str">
        <f>IF(IFERROR(VLOOKUP($A16,'Base Pay Report'!$A:$V,'Prop Budget Calc'!B$2,FALSE),"NO")="No","Update",PROPER(VLOOKUP($A16,'Base Pay Report'!$A:$V,'Prop Budget Calc'!B$2,FALSE)))</f>
        <v>Economic Development Specialist</v>
      </c>
      <c r="C16" s="3" t="str">
        <f>IF(IFERROR(VLOOKUP($A16,'Base Pay Report'!$A:$V,'Prop Budget Calc'!C$2,FALSE),"NO")="No","Update",PROPER(VLOOKUP($A16,'Base Pay Report'!$A:$V,'Prop Budget Calc'!C$2,FALSE)))</f>
        <v>First Name Last Name</v>
      </c>
      <c r="D16" s="3" t="str">
        <f>IF(IFERROR(VLOOKUP($A16,'Base Pay Report'!$A:$V,'Prop Budget Calc'!D$2,FALSE),"NO")="No","Update",PROPER(VLOOKUP($A16,'Base Pay Report'!$A:$V,'Prop Budget Calc'!D$2,FALSE)))</f>
        <v>8810</v>
      </c>
      <c r="E16" s="8">
        <f t="shared" si="0"/>
        <v>1</v>
      </c>
      <c r="F16" s="3" t="str">
        <f>IF(IFERROR(VLOOKUP($A16,'Base Pay Report'!$A:$V,'Prop Budget Calc'!F$2,FALSE),"NO")="No","Update",PROPER(VLOOKUP($A16,'Base Pay Report'!$A:$V,'Prop Budget Calc'!F$2,FALSE)))</f>
        <v>100-14-141-50101</v>
      </c>
      <c r="G16" s="3" t="str">
        <f t="shared" si="1"/>
        <v>100-14-141</v>
      </c>
      <c r="H16" s="49" t="str">
        <f t="shared" si="2"/>
        <v>100</v>
      </c>
      <c r="I16" s="3" t="str">
        <f t="shared" si="3"/>
        <v>50101</v>
      </c>
      <c r="J16" s="3" t="str">
        <f t="shared" si="4"/>
        <v>14</v>
      </c>
      <c r="K16" s="3" t="str">
        <f t="shared" si="5"/>
        <v>141</v>
      </c>
      <c r="L16" s="3">
        <f>IF(SUMIF('Base Pay Report'!$A:$A,'Prop Budget Calc'!$A16,'Base Pay Report'!$I:$I)=80,SUMIF('Base Pay Report'!$A:$A,'Prop Budget Calc'!$A16,'Base Pay Report'!$H:$H)/SUMIF('Base Pay Report'!$A:$A,'Prop Budget Calc'!$A16,'Base Pay Report'!$I:$I),SUMIF('Base Pay Report'!$A:$A,'Prop Budget Calc'!$A16,'Base Pay Report'!$H:$H))</f>
        <v>31.576625</v>
      </c>
      <c r="M16" s="3">
        <f t="shared" si="6"/>
        <v>2080</v>
      </c>
      <c r="N16" s="3" t="str">
        <f>IF(IFERROR(VLOOKUP($A16,'Base Pay Report'!$A:$V,'Prop Budget Calc'!N$2,FALSE),"NO")="No","Update",(VLOOKUP($A16,'Base Pay Report'!$A:$V,'Prop Budget Calc'!N$2,FALSE)))</f>
        <v>SALARY - 4-10</v>
      </c>
      <c r="O16" s="6">
        <f t="shared" si="7"/>
        <v>65680</v>
      </c>
      <c r="P16" s="99">
        <f>IF(SUMIF('Base Pay Report'!A:A,$A16,'Base Pay Report'!J:J)=0,$P$1+40,SUMIF('Base Pay Report'!A:A,$A16,'Base Pay Report'!J:J))</f>
        <v>44348</v>
      </c>
      <c r="Q16" s="87" t="str">
        <f>IF($B16='Current Step Plans'!$B$36,HLOOKUP('Prop Budget Calc'!$L16,'Current Step Plans'!$C$36:$Q$42,7,FALSE),IF($B16='Current Step Plans'!$B$37,HLOOKUP('Prop Budget Calc'!$L16,'Current Step Plans'!$C$37:$Q$42,6,FALSE),IF($B16='Current Step Plans'!$B$38,HLOOKUP('Prop Budget Calc'!$L16,'Current Step Plans'!$C$38:$Q$42,5,FALSE),IF($B16='Current Step Plans'!$B$39,HLOOKUP('Prop Budget Calc'!$L16,'Current Step Plans'!$C$39:$Q$42,4,FALSE),IF($B16='Current Step Plans'!$B$40,HLOOKUP('Prop Budget Calc'!$L16,'Current Step Plans'!$C$40:$Q$42,3,FALSE),IF($B16='Current Step Plans'!$B$41,HLOOKUP('Prop Budget Calc'!$L16,'Current Step Plans'!$C$41:$Q$42,2,FALSE),IF($B16='Current Step Plans'!$B$50,HLOOKUP('Prop Budget Calc'!$L16,'Current Step Plans'!$C$50:$Q$56,7,FALSE),IF($B16='Current Step Plans'!$B$51,HLOOKUP('Prop Budget Calc'!$L16,'Current Step Plans'!$C$51:$Q$56,6,FALSE),IF($B16='Current Step Plans'!$B$52,HLOOKUP('Prop Budget Calc'!$L16,'Current Step Plans'!$C$52:$Q$56,5,FALSE), IF($B16='Current Step Plans'!$B$53,HLOOKUP('Prop Budget Calc'!$L16,'Current Step Plans'!$C$53:$Q$56,4,FALSE),IF($B16='Current Step Plans'!$B$54,HLOOKUP('Prop Budget Calc'!$L16,'Current Step Plans'!$C$54:$Q$56,3,FALSE),IF($B16='Current Step Plans'!$B$55,HLOOKUP('Prop Budget Calc'!$L16,'Current Step Plans'!$C$55:$Q$56,2,FALSE),IF($B16='Current Step Plans'!$B$65,HLOOKUP('Prop Budget Calc'!$L16,'Current Step Plans'!$C$65:$Q$75,11,FALSE),IF($B16='Current Step Plans'!$B$66,HLOOKUP('Prop Budget Calc'!$L16,'Current Step Plans'!$C$66:$Q$75,10,FALSE),IF($B16='Current Step Plans'!$B$67,HLOOKUP('Prop Budget Calc'!$L16,'Current Step Plans'!$C$67:$Q$75,9,FALSE),IF($B16='Current Step Plans'!$B$68,HLOOKUP('Prop Budget Calc'!$L16,'Current Step Plans'!$C$68:$Q$75,8,FALSE),IF($B16='Current Step Plans'!$B$69,HLOOKUP('Prop Budget Calc'!$L16,'Current Step Plans'!$C$69:$Q$75,7,FALSE),IF($B16='Current Step Plans'!$B$70,HLOOKUP('Prop Budget Calc'!$L16,'Current Step Plans'!$C$70:$Q$75,6,FALSE),IF($B16='Current Step Plans'!$B$71,HLOOKUP('Prop Budget Calc'!$L16,'Current Step Plans'!$C$71:$Q$75,5,FALSE),IF($B16='Current Step Plans'!$B$72,HLOOKUP('Prop Budget Calc'!$L16,'Current Step Plans'!$C$72:$Q$75,4,FALSE),IF($B16='Current Step Plans'!$B$73,HLOOKUP('Prop Budget Calc'!$L16,'Current Step Plans'!$C$73:$Q$75,3,FALSE),IF($B16='Current Step Plans'!$B$74,HLOOKUP('Prop Budget Calc'!$L16,'Current Step Plans'!$C$74:$Q$75,2,FALSE),"N"))))))))))))))))))))))</f>
        <v>N</v>
      </c>
      <c r="R16" s="9" t="str">
        <f t="shared" si="8"/>
        <v>Y</v>
      </c>
      <c r="S16" s="6">
        <f>IF(Q16="n",0,ROUNDUP(VLOOKUP(B16,'Proposed Step Plans'!B:T,'Prop Budget Calc'!Q16+2,FALSE)*M16,-2)-O16-T16)</f>
        <v>0</v>
      </c>
      <c r="T16" s="6">
        <f>IF(Q16="n",0,ROUNDUP(VLOOKUP(B16,'Current Step Plans'!B:T,'Prop Budget Calc'!Q16+2,FALSE)*M16,0)-O16)</f>
        <v>0</v>
      </c>
      <c r="U16" s="6">
        <f>IF(IFERROR(VLOOKUP($A16,'Market Study'!$A$5:$G$82,7,FALSE),"NA")="NA",0,VLOOKUP($A16,'Market Study'!$A$5:$G$82,7,FALSE))</f>
        <v>0</v>
      </c>
      <c r="V16" s="6">
        <f>IF(OR($T16&lt;&gt;0,$I16="50112",$I16="50109",$S16&lt;&gt;0),0,VLOOKUP($K16,Scenarios!$A$17:$F$73,6,FALSE)*$O16)</f>
        <v>1313.6000000000001</v>
      </c>
      <c r="W16" s="6">
        <f t="shared" si="9"/>
        <v>1313.6000000000001</v>
      </c>
      <c r="X16" s="6">
        <f>IF(OR($T16&lt;&gt;0,$I16="50112",$I16="50109",$S16&lt;&gt;0),0,VLOOKUP($K16,Scenarios!$A$17:$F$73,2,FALSE)*$O16)</f>
        <v>1313.6000000000001</v>
      </c>
      <c r="Y16" s="6">
        <f>IF(OR($T16&lt;&gt;0,$I16="50110",$I16="50109",$S16&lt;&gt;0),0,VLOOKUP($K16,Scenarios!$A$17:$F$73,3,FALSE))</f>
        <v>1175</v>
      </c>
      <c r="Z16" s="6">
        <f>IF(OR($T16&lt;&gt;0,$I16="50112",$I16="50109",$S16&lt;&gt;0),0,VLOOKUP($K16,Scenarios!$A$17:$F$73,4,FALSE))</f>
        <v>0</v>
      </c>
      <c r="AA16" s="6">
        <f t="shared" si="10"/>
        <v>1313.6000000000001</v>
      </c>
      <c r="AB16" s="6">
        <f>IF(OR($T16&lt;&gt;0,$I16="50112",$I16="50109",$S16&lt;&gt;0),0,VLOOKUP($K16,Scenarios!$A$17:$F$73,5,FALSE))</f>
        <v>0</v>
      </c>
      <c r="AC16" s="6">
        <f t="shared" si="30"/>
        <v>2627.2000000000003</v>
      </c>
      <c r="AD16" s="6">
        <f t="shared" si="11"/>
        <v>68308</v>
      </c>
      <c r="AE16" s="84">
        <f t="shared" si="12"/>
        <v>4.0012180267965824E-2</v>
      </c>
      <c r="AF16" s="6">
        <f t="shared" si="13"/>
        <v>43.633333333333333</v>
      </c>
      <c r="AG16" s="6">
        <f>IF(AND(OR(I16="50101",I16="50102"),$AF16&gt;12),IF($AF16&gt;=300,(300*Scenarios!$B$14)*$E16,($AF16*Scenarios!$B$14)*$E16),0)</f>
        <v>218.16666666666666</v>
      </c>
      <c r="AH16" s="6">
        <f>IF($R16="y",IF($T16&gt;0,Scenarios!$B$10*'Prop Budget Calc'!$E16,Scenarios!$B$13*'Prop Budget Calc'!$E16))</f>
        <v>0</v>
      </c>
      <c r="AI16" s="6">
        <f>SUMIFS('Deduction Valuation'!$G:$G,'Deduction Valuation'!$F:$F,"CT - Certifications",'Deduction Valuation'!$B:$B,'Prop Budget Calc'!$A16)*$AI$3</f>
        <v>0</v>
      </c>
      <c r="AJ16" s="6">
        <f>SUMIFS('Deduction Valuation'!$G:$G,'Deduction Valuation'!$F:$F,"RP - Regional Pay",'Deduction Valuation'!$B:$B,'Prop Budget Calc'!$A16)*$AI$3</f>
        <v>0</v>
      </c>
      <c r="AK16" s="6">
        <f t="shared" si="14"/>
        <v>0</v>
      </c>
      <c r="AL16" s="6">
        <f>SUMIFS('Deduction Valuation'!$G:$G,'Deduction Valuation'!$F:$F,"CR - Car Allowance",'Deduction Valuation'!$B:$B,'Prop Budget Calc'!$A16)*$AI$3</f>
        <v>0</v>
      </c>
      <c r="AM16" s="6">
        <f>SUMIFS('Deduction Valuation'!$G:$G,'Deduction Valuation'!$F:$F,"DA - Device Allow",'Deduction Valuation'!$B:$B,'Prop Budget Calc'!$A16)*$AI$3</f>
        <v>0</v>
      </c>
      <c r="AN16" s="6">
        <f>SUMIFS('Deduction Valuation'!$G:$G,'Deduction Valuation'!$F:$F,"RA - Replace Allow",'Deduction Valuation'!$B:$B,'Prop Budget Calc'!$A16)</f>
        <v>0</v>
      </c>
      <c r="AO16" s="94">
        <f t="shared" si="15"/>
        <v>0</v>
      </c>
      <c r="AP16" s="94">
        <f t="shared" si="16"/>
        <v>68526.166666666672</v>
      </c>
      <c r="AQ16" s="10">
        <f>IF(OR($I16="50101", $I16="50102", $I16="50109", $I16="50140"),AP16*Scenarios!$H$8,0)</f>
        <v>11608.332633333333</v>
      </c>
      <c r="AR16" s="9">
        <f>VLOOKUP($D16,WKCMP!$A$1:$C$15,3,FALSE)*AP16</f>
        <v>94.401647200000028</v>
      </c>
      <c r="AS16" s="10">
        <f t="shared" si="17"/>
        <v>993.62941666666677</v>
      </c>
      <c r="AT16" s="11">
        <f t="shared" si="18"/>
        <v>4248.6223333333337</v>
      </c>
      <c r="AU16" s="10">
        <f t="shared" si="19"/>
        <v>5250</v>
      </c>
      <c r="AV16" s="6">
        <f t="shared" si="20"/>
        <v>123.34710000000001</v>
      </c>
      <c r="AW16" s="19">
        <f t="shared" si="21"/>
        <v>158.4</v>
      </c>
      <c r="AX16" s="19">
        <f t="shared" si="22"/>
        <v>15.6</v>
      </c>
      <c r="AY16" s="19">
        <f t="shared" si="23"/>
        <v>11.28</v>
      </c>
      <c r="AZ16" s="88">
        <f t="shared" si="24"/>
        <v>308.62710000000004</v>
      </c>
      <c r="BA16" s="6">
        <f>IF(AND($C16="vacant vacant",$E16=1),$BA$2*$AZ$3,SUMIFS('Employee Enrollments'!$AE:$AE,'Employee Enrollments'!$S:$S,"Medical HDHP",'Employee Enrollments'!$C:$C,'Prop Budget Calc'!$A16)*$AZ$3*(1+Scenarios!$E$9))*(1-$BA$3)</f>
        <v>18144.725327999997</v>
      </c>
      <c r="BB16" s="6">
        <f>IF(AND($C16="vacant vacant",$E16=1),500,SUMIFS('Employee Enrollments'!$AE:$AE,'Employee Enrollments'!$S:$S,"Health Savings Account",'Employee Enrollments'!$C:$C,'Prop Budget Calc'!$A16))</f>
        <v>1000</v>
      </c>
      <c r="BC16" s="56">
        <f t="shared" si="25"/>
        <v>19144.725327999997</v>
      </c>
      <c r="BD16" s="6">
        <f>IF(AND($C16="vacant vacant",$E16=1),$BD$2*$AZ$3,SUMIFS('Employee Enrollments'!$AE:$AE,'Employee Enrollments'!$S:$S,"Dental Plan",'Employee Enrollments'!$C:$C,'Prop Budget Calc'!$A16)*$AZ$3)</f>
        <v>843.48</v>
      </c>
      <c r="BE16" s="6">
        <f t="shared" si="26"/>
        <v>20296.832427999998</v>
      </c>
      <c r="BF16" s="6">
        <f t="shared" si="27"/>
        <v>37249.566708533333</v>
      </c>
      <c r="BG16" s="6">
        <f t="shared" si="28"/>
        <v>105775.73337520001</v>
      </c>
      <c r="BH16" s="14"/>
      <c r="BI16" s="56"/>
      <c r="BJ16" s="93">
        <f t="shared" si="29"/>
        <v>25944.3024</v>
      </c>
      <c r="BK16" s="10">
        <f>IF(SUMIFS('Employee Enrollments'!AB:AB,'Employee Enrollments'!C:C,'Prop Budget Calc'!$A16,'Employee Enrollments'!Q:Q,"Medical")*12=0,'Employee Enrollments'!$AN$1,(SUMIFS('Employee Enrollments'!AB:AB,'Employee Enrollments'!C:C,'Prop Budget Calc'!$A16,'Employee Enrollments'!Q:Q,"Medical")*12))</f>
        <v>7238.4000000000005</v>
      </c>
      <c r="BL16" s="10">
        <f>SUMIFS('Employee Enrollments'!AB:AB,'Employee Enrollments'!C:C,'Prop Budget Calc'!$A16,'Employee Enrollments'!Q:Q,"Dental")*12</f>
        <v>364.92</v>
      </c>
    </row>
    <row r="17" spans="1:64" ht="12.75" customHeight="1">
      <c r="A17" s="535" t="s">
        <v>2500</v>
      </c>
      <c r="B17" s="3" t="str">
        <f>IF(IFERROR(VLOOKUP($A17,'Base Pay Report'!$A:$V,'Prop Budget Calc'!B$2,FALSE),"NO")="No","Update",PROPER(VLOOKUP($A17,'Base Pay Report'!$A:$V,'Prop Budget Calc'!B$2,FALSE)))</f>
        <v>Planning Technician</v>
      </c>
      <c r="C17" s="3" t="str">
        <f>IF(IFERROR(VLOOKUP($A17,'Base Pay Report'!$A:$V,'Prop Budget Calc'!C$2,FALSE),"NO")="No","Update",PROPER(VLOOKUP($A17,'Base Pay Report'!$A:$V,'Prop Budget Calc'!C$2,FALSE)))</f>
        <v>First Name Last Name</v>
      </c>
      <c r="D17" s="3" t="str">
        <f>IF(IFERROR(VLOOKUP($A17,'Base Pay Report'!$A:$V,'Prop Budget Calc'!D$2,FALSE),"NO")="No","Update",PROPER(VLOOKUP($A17,'Base Pay Report'!$A:$V,'Prop Budget Calc'!D$2,FALSE)))</f>
        <v>8810</v>
      </c>
      <c r="E17" s="8">
        <f t="shared" si="0"/>
        <v>1</v>
      </c>
      <c r="F17" s="3" t="str">
        <f>IF(IFERROR(VLOOKUP($A17,'Base Pay Report'!$A:$V,'Prop Budget Calc'!F$2,FALSE),"NO")="No","Update",PROPER(VLOOKUP($A17,'Base Pay Report'!$A:$V,'Prop Budget Calc'!F$2,FALSE)))</f>
        <v>100-20-201-50102</v>
      </c>
      <c r="G17" s="3" t="str">
        <f t="shared" si="1"/>
        <v>100-20-201</v>
      </c>
      <c r="H17" s="49" t="str">
        <f t="shared" si="2"/>
        <v>100</v>
      </c>
      <c r="I17" s="3" t="str">
        <f t="shared" si="3"/>
        <v>50102</v>
      </c>
      <c r="J17" s="3" t="str">
        <f t="shared" si="4"/>
        <v>20</v>
      </c>
      <c r="K17" s="3" t="str">
        <f t="shared" si="5"/>
        <v>201</v>
      </c>
      <c r="L17" s="3">
        <f>IF(SUMIF('Base Pay Report'!$A:$A,'Prop Budget Calc'!$A17,'Base Pay Report'!$I:$I)=80,SUMIF('Base Pay Report'!$A:$A,'Prop Budget Calc'!$A17,'Base Pay Report'!$H:$H)/SUMIF('Base Pay Report'!$A:$A,'Prop Budget Calc'!$A17,'Base Pay Report'!$I:$I),SUMIF('Base Pay Report'!$A:$A,'Prop Budget Calc'!$A17,'Base Pay Report'!$H:$H))</f>
        <v>20.16</v>
      </c>
      <c r="M17" s="3">
        <f t="shared" si="6"/>
        <v>2080</v>
      </c>
      <c r="N17" s="3" t="str">
        <f>IF(IFERROR(VLOOKUP($A17,'Base Pay Report'!$A:$V,'Prop Budget Calc'!N$2,FALSE),"NO")="No","Update",(VLOOKUP($A17,'Base Pay Report'!$A:$V,'Prop Budget Calc'!N$2,FALSE)))</f>
        <v>FT HOURLY - 4-10</v>
      </c>
      <c r="O17" s="6">
        <f t="shared" si="7"/>
        <v>41940</v>
      </c>
      <c r="P17" s="99">
        <f>IF(SUMIF('Base Pay Report'!A:A,$A17,'Base Pay Report'!J:J)=0,$P$1+40,SUMIF('Base Pay Report'!A:A,$A17,'Base Pay Report'!J:J))</f>
        <v>45236</v>
      </c>
      <c r="Q17" s="87" t="str">
        <f>IF($B17='Current Step Plans'!$B$36,HLOOKUP('Prop Budget Calc'!$L17,'Current Step Plans'!$C$36:$Q$42,7,FALSE),IF($B17='Current Step Plans'!$B$37,HLOOKUP('Prop Budget Calc'!$L17,'Current Step Plans'!$C$37:$Q$42,6,FALSE),IF($B17='Current Step Plans'!$B$38,HLOOKUP('Prop Budget Calc'!$L17,'Current Step Plans'!$C$38:$Q$42,5,FALSE),IF($B17='Current Step Plans'!$B$39,HLOOKUP('Prop Budget Calc'!$L17,'Current Step Plans'!$C$39:$Q$42,4,FALSE),IF($B17='Current Step Plans'!$B$40,HLOOKUP('Prop Budget Calc'!$L17,'Current Step Plans'!$C$40:$Q$42,3,FALSE),IF($B17='Current Step Plans'!$B$41,HLOOKUP('Prop Budget Calc'!$L17,'Current Step Plans'!$C$41:$Q$42,2,FALSE),IF($B17='Current Step Plans'!$B$50,HLOOKUP('Prop Budget Calc'!$L17,'Current Step Plans'!$C$50:$Q$56,7,FALSE),IF($B17='Current Step Plans'!$B$51,HLOOKUP('Prop Budget Calc'!$L17,'Current Step Plans'!$C$51:$Q$56,6,FALSE),IF($B17='Current Step Plans'!$B$52,HLOOKUP('Prop Budget Calc'!$L17,'Current Step Plans'!$C$52:$Q$56,5,FALSE), IF($B17='Current Step Plans'!$B$53,HLOOKUP('Prop Budget Calc'!$L17,'Current Step Plans'!$C$53:$Q$56,4,FALSE),IF($B17='Current Step Plans'!$B$54,HLOOKUP('Prop Budget Calc'!$L17,'Current Step Plans'!$C$54:$Q$56,3,FALSE),IF($B17='Current Step Plans'!$B$55,HLOOKUP('Prop Budget Calc'!$L17,'Current Step Plans'!$C$55:$Q$56,2,FALSE),IF($B17='Current Step Plans'!$B$65,HLOOKUP('Prop Budget Calc'!$L17,'Current Step Plans'!$C$65:$Q$75,11,FALSE),IF($B17='Current Step Plans'!$B$66,HLOOKUP('Prop Budget Calc'!$L17,'Current Step Plans'!$C$66:$Q$75,10,FALSE),IF($B17='Current Step Plans'!$B$67,HLOOKUP('Prop Budget Calc'!$L17,'Current Step Plans'!$C$67:$Q$75,9,FALSE),IF($B17='Current Step Plans'!$B$68,HLOOKUP('Prop Budget Calc'!$L17,'Current Step Plans'!$C$68:$Q$75,8,FALSE),IF($B17='Current Step Plans'!$B$69,HLOOKUP('Prop Budget Calc'!$L17,'Current Step Plans'!$C$69:$Q$75,7,FALSE),IF($B17='Current Step Plans'!$B$70,HLOOKUP('Prop Budget Calc'!$L17,'Current Step Plans'!$C$70:$Q$75,6,FALSE),IF($B17='Current Step Plans'!$B$71,HLOOKUP('Prop Budget Calc'!$L17,'Current Step Plans'!$C$71:$Q$75,5,FALSE),IF($B17='Current Step Plans'!$B$72,HLOOKUP('Prop Budget Calc'!$L17,'Current Step Plans'!$C$72:$Q$75,4,FALSE),IF($B17='Current Step Plans'!$B$73,HLOOKUP('Prop Budget Calc'!$L17,'Current Step Plans'!$C$73:$Q$75,3,FALSE),IF($B17='Current Step Plans'!$B$74,HLOOKUP('Prop Budget Calc'!$L17,'Current Step Plans'!$C$74:$Q$75,2,FALSE),"N"))))))))))))))))))))))</f>
        <v>N</v>
      </c>
      <c r="R17" s="9" t="str">
        <f t="shared" si="8"/>
        <v>N</v>
      </c>
      <c r="S17" s="6">
        <f>IF(Q17="n",0,ROUNDUP(VLOOKUP(B17,'Proposed Step Plans'!B:T,'Prop Budget Calc'!Q17+2,FALSE)*M17,-2)-O17-T17)</f>
        <v>0</v>
      </c>
      <c r="T17" s="6">
        <f>IF(Q17="n",0,ROUNDUP(VLOOKUP(B17,'Current Step Plans'!B:T,'Prop Budget Calc'!Q17+2,FALSE)*M17,0)-O17)</f>
        <v>0</v>
      </c>
      <c r="U17" s="6">
        <f>IF(IFERROR(VLOOKUP($A17,'Market Study'!$A$5:$G$82,7,FALSE),"NA")="NA",0,VLOOKUP($A17,'Market Study'!$A$5:$G$82,7,FALSE))</f>
        <v>0</v>
      </c>
      <c r="V17" s="6">
        <f>IF(OR($T17&lt;&gt;0,$I17="50112",$I17="50109",$S17&lt;&gt;0),0,VLOOKUP($K17,Scenarios!$A$17:$F$73,6,FALSE)*$O17)</f>
        <v>838.80000000000007</v>
      </c>
      <c r="W17" s="6">
        <f t="shared" si="9"/>
        <v>838.80000000000007</v>
      </c>
      <c r="X17" s="6">
        <f>IF(OR($T17&lt;&gt;0,$I17="50112",$I17="50109",$S17&lt;&gt;0),0,VLOOKUP($K17,Scenarios!$A$17:$F$73,2,FALSE)*$O17)</f>
        <v>838.80000000000007</v>
      </c>
      <c r="Y17" s="6">
        <f>IF(OR($T17&lt;&gt;0,$I17="50110",$I17="50109",$S17&lt;&gt;0),0,VLOOKUP($K17,Scenarios!$A$17:$F$73,3,FALSE))</f>
        <v>1175</v>
      </c>
      <c r="Z17" s="6">
        <f>IF(OR($T17&lt;&gt;0,$I17="50112",$I17="50109",$S17&lt;&gt;0),0,VLOOKUP($K17,Scenarios!$A$17:$F$73,4,FALSE))</f>
        <v>0</v>
      </c>
      <c r="AA17" s="6">
        <f t="shared" si="10"/>
        <v>1175</v>
      </c>
      <c r="AB17" s="6">
        <f>IF(OR($T17&lt;&gt;0,$I17="50112",$I17="50109",$S17&lt;&gt;0),0,VLOOKUP($K17,Scenarios!$A$17:$F$73,5,FALSE))</f>
        <v>0</v>
      </c>
      <c r="AC17" s="6">
        <f t="shared" si="30"/>
        <v>2013.8000000000002</v>
      </c>
      <c r="AD17" s="6">
        <f t="shared" si="11"/>
        <v>43954</v>
      </c>
      <c r="AE17" s="84">
        <f t="shared" si="12"/>
        <v>4.8020982355746256E-2</v>
      </c>
      <c r="AF17" s="6">
        <f t="shared" si="13"/>
        <v>14.033333333333333</v>
      </c>
      <c r="AG17" s="6">
        <f>IF(AND(OR(I17="50101",I17="50102"),$AF17&gt;12),IF($AF17&gt;=300,(300*Scenarios!$B$14)*$E17,($AF17*Scenarios!$B$14)*$E17),0)</f>
        <v>70.166666666666671</v>
      </c>
      <c r="AH17" s="6" t="b">
        <f>IF($R17="y",IF($T17&gt;0,Scenarios!$B$10*'Prop Budget Calc'!$E17,Scenarios!$B$13*'Prop Budget Calc'!$E17))</f>
        <v>0</v>
      </c>
      <c r="AI17" s="6">
        <f>SUMIFS('Deduction Valuation'!$G:$G,'Deduction Valuation'!$F:$F,"CT - Certifications",'Deduction Valuation'!$B:$B,'Prop Budget Calc'!$A17)*$AI$3</f>
        <v>0</v>
      </c>
      <c r="AJ17" s="6">
        <f>SUMIFS('Deduction Valuation'!$G:$G,'Deduction Valuation'!$F:$F,"RP - Regional Pay",'Deduction Valuation'!$B:$B,'Prop Budget Calc'!$A17)*$AI$3</f>
        <v>0</v>
      </c>
      <c r="AK17" s="6">
        <f t="shared" si="14"/>
        <v>0</v>
      </c>
      <c r="AL17" s="6">
        <f>SUMIFS('Deduction Valuation'!$G:$G,'Deduction Valuation'!$F:$F,"CR - Car Allowance",'Deduction Valuation'!$B:$B,'Prop Budget Calc'!$A17)*$AI$3</f>
        <v>0</v>
      </c>
      <c r="AM17" s="6">
        <f>SUMIFS('Deduction Valuation'!$G:$G,'Deduction Valuation'!$F:$F,"DA - Device Allow",'Deduction Valuation'!$B:$B,'Prop Budget Calc'!$A17)*$AI$3</f>
        <v>0</v>
      </c>
      <c r="AN17" s="6">
        <f>SUMIFS('Deduction Valuation'!$G:$G,'Deduction Valuation'!$F:$F,"RA - Replace Allow",'Deduction Valuation'!$B:$B,'Prop Budget Calc'!$A17)</f>
        <v>0</v>
      </c>
      <c r="AO17" s="94">
        <f t="shared" si="15"/>
        <v>0</v>
      </c>
      <c r="AP17" s="94">
        <f t="shared" si="16"/>
        <v>44024.166666666664</v>
      </c>
      <c r="AQ17" s="10">
        <f>IF(OR($I17="50101", $I17="50102", $I17="50109", $I17="50140"),AP17*Scenarios!$H$8,0)</f>
        <v>7457.6938333333328</v>
      </c>
      <c r="AR17" s="9">
        <f>VLOOKUP($D17,WKCMP!$A$1:$C$15,3,FALSE)*AP17</f>
        <v>60.647692000000013</v>
      </c>
      <c r="AS17" s="10">
        <f t="shared" si="17"/>
        <v>638.35041666666666</v>
      </c>
      <c r="AT17" s="11">
        <f t="shared" si="18"/>
        <v>2729.498333333333</v>
      </c>
      <c r="AU17" s="10">
        <f t="shared" si="19"/>
        <v>3370</v>
      </c>
      <c r="AV17" s="6">
        <f t="shared" si="20"/>
        <v>79.243499999999997</v>
      </c>
      <c r="AW17" s="19">
        <f t="shared" si="21"/>
        <v>79.2</v>
      </c>
      <c r="AX17" s="19">
        <f t="shared" si="22"/>
        <v>15.6</v>
      </c>
      <c r="AY17" s="19">
        <f t="shared" si="23"/>
        <v>11.28</v>
      </c>
      <c r="AZ17" s="88">
        <f t="shared" si="24"/>
        <v>185.3235</v>
      </c>
      <c r="BA17" s="6">
        <f>IF(AND($C17="vacant vacant",$E17=1),$BA$2*$AZ$3,SUMIFS('Employee Enrollments'!$AE:$AE,'Employee Enrollments'!$S:$S,"Medical HDHP",'Employee Enrollments'!$C:$C,'Prop Budget Calc'!$A17)*$AZ$3*(1+Scenarios!$E$9))*(1-$BA$3)</f>
        <v>9838.3957199999986</v>
      </c>
      <c r="BB17" s="6">
        <f>IF(AND($C17="vacant vacant",$E17=1),500,SUMIFS('Employee Enrollments'!$AE:$AE,'Employee Enrollments'!$S:$S,"Health Savings Account",'Employee Enrollments'!$C:$C,'Prop Budget Calc'!$A17))</f>
        <v>500.05</v>
      </c>
      <c r="BC17" s="56">
        <f t="shared" si="25"/>
        <v>10338.445719999998</v>
      </c>
      <c r="BD17" s="6">
        <f>IF(AND($C17="vacant vacant",$E17=1),$BD$2*$AZ$3,SUMIFS('Employee Enrollments'!$AE:$AE,'Employee Enrollments'!$S:$S,"Dental Plan",'Employee Enrollments'!$C:$C,'Prop Budget Calc'!$A17)*$AZ$3)</f>
        <v>434.76</v>
      </c>
      <c r="BE17" s="6">
        <f t="shared" si="26"/>
        <v>10958.529219999999</v>
      </c>
      <c r="BF17" s="6">
        <f t="shared" si="27"/>
        <v>21846.870745333334</v>
      </c>
      <c r="BG17" s="6">
        <f t="shared" si="28"/>
        <v>65871.037412000005</v>
      </c>
      <c r="BH17" s="14"/>
      <c r="BI17" s="56"/>
      <c r="BJ17" s="93">
        <f t="shared" si="29"/>
        <v>10450.235999999999</v>
      </c>
      <c r="BK17" s="10">
        <f>IF(SUMIFS('Employee Enrollments'!AB:AB,'Employee Enrollments'!C:C,'Prop Budget Calc'!$A17,'Employee Enrollments'!Q:Q,"Medical")*12=0,'Employee Enrollments'!$AN$1,(SUMIFS('Employee Enrollments'!AB:AB,'Employee Enrollments'!C:C,'Prop Budget Calc'!$A17,'Employee Enrollments'!Q:Q,"Medical")*12))</f>
        <v>307.56</v>
      </c>
      <c r="BL17" s="10">
        <f>SUMIFS('Employee Enrollments'!AB:AB,'Employee Enrollments'!C:C,'Prop Budget Calc'!$A17,'Employee Enrollments'!Q:Q,"Dental")*12</f>
        <v>0</v>
      </c>
    </row>
    <row r="18" spans="1:64" ht="12.75" customHeight="1">
      <c r="A18" s="20" t="s">
        <v>1271</v>
      </c>
      <c r="B18" s="3" t="str">
        <f>IF(IFERROR(VLOOKUP($A18,'Base Pay Report'!$A:$V,'Prop Budget Calc'!B$2,FALSE),"NO")="No","Update",PROPER(VLOOKUP($A18,'Base Pay Report'!$A:$V,'Prop Budget Calc'!B$2,FALSE)))</f>
        <v>Code Enforcement Officer Ii</v>
      </c>
      <c r="C18" s="3" t="str">
        <f>IF(IFERROR(VLOOKUP($A18,'Base Pay Report'!$A:$V,'Prop Budget Calc'!C$2,FALSE),"NO")="No","Update",PROPER(VLOOKUP($A18,'Base Pay Report'!$A:$V,'Prop Budget Calc'!C$2,FALSE)))</f>
        <v>First Name Last Name</v>
      </c>
      <c r="D18" s="3" t="str">
        <f>IF(IFERROR(VLOOKUP($A18,'Base Pay Report'!$A:$V,'Prop Budget Calc'!D$2,FALSE),"NO")="No","Update",PROPER(VLOOKUP($A18,'Base Pay Report'!$A:$V,'Prop Budget Calc'!D$2,FALSE)))</f>
        <v>4511</v>
      </c>
      <c r="E18" s="8">
        <f t="shared" si="0"/>
        <v>1</v>
      </c>
      <c r="F18" s="3" t="str">
        <f>IF(IFERROR(VLOOKUP($A18,'Base Pay Report'!$A:$V,'Prop Budget Calc'!F$2,FALSE),"NO")="No","Update",PROPER(VLOOKUP($A18,'Base Pay Report'!$A:$V,'Prop Budget Calc'!F$2,FALSE)))</f>
        <v>100-20-208-50102</v>
      </c>
      <c r="G18" s="3" t="str">
        <f t="shared" si="1"/>
        <v>100-20-208</v>
      </c>
      <c r="H18" s="49" t="str">
        <f t="shared" si="2"/>
        <v>100</v>
      </c>
      <c r="I18" s="3" t="str">
        <f t="shared" si="3"/>
        <v>50102</v>
      </c>
      <c r="J18" s="3" t="str">
        <f t="shared" si="4"/>
        <v>20</v>
      </c>
      <c r="K18" s="3" t="str">
        <f t="shared" si="5"/>
        <v>208</v>
      </c>
      <c r="L18" s="3">
        <f>IF(SUMIF('Base Pay Report'!$A:$A,'Prop Budget Calc'!$A18,'Base Pay Report'!$I:$I)=80,SUMIF('Base Pay Report'!$A:$A,'Prop Budget Calc'!$A18,'Base Pay Report'!$H:$H)/SUMIF('Base Pay Report'!$A:$A,'Prop Budget Calc'!$A18,'Base Pay Report'!$I:$I),SUMIF('Base Pay Report'!$A:$A,'Prop Budget Calc'!$A18,'Base Pay Report'!$H:$H))</f>
        <v>24.71</v>
      </c>
      <c r="M18" s="3">
        <f t="shared" si="6"/>
        <v>2080</v>
      </c>
      <c r="N18" s="3" t="str">
        <f>IF(IFERROR(VLOOKUP($A18,'Base Pay Report'!$A:$V,'Prop Budget Calc'!N$2,FALSE),"NO")="No","Update",(VLOOKUP($A18,'Base Pay Report'!$A:$V,'Prop Budget Calc'!N$2,FALSE)))</f>
        <v>FT HOURLY - 4-10</v>
      </c>
      <c r="O18" s="6">
        <f t="shared" si="7"/>
        <v>51400</v>
      </c>
      <c r="P18" s="99">
        <f>IF(SUMIF('Base Pay Report'!A:A,$A18,'Base Pay Report'!J:J)=0,$P$1+40,SUMIF('Base Pay Report'!A:A,$A18,'Base Pay Report'!J:J))</f>
        <v>42079</v>
      </c>
      <c r="Q18" s="87" t="str">
        <f>IF($B18='Current Step Plans'!$B$36,HLOOKUP('Prop Budget Calc'!$L18,'Current Step Plans'!$C$36:$Q$42,7,FALSE),IF($B18='Current Step Plans'!$B$37,HLOOKUP('Prop Budget Calc'!$L18,'Current Step Plans'!$C$37:$Q$42,6,FALSE),IF($B18='Current Step Plans'!$B$38,HLOOKUP('Prop Budget Calc'!$L18,'Current Step Plans'!$C$38:$Q$42,5,FALSE),IF($B18='Current Step Plans'!$B$39,HLOOKUP('Prop Budget Calc'!$L18,'Current Step Plans'!$C$39:$Q$42,4,FALSE),IF($B18='Current Step Plans'!$B$40,HLOOKUP('Prop Budget Calc'!$L18,'Current Step Plans'!$C$40:$Q$42,3,FALSE),IF($B18='Current Step Plans'!$B$41,HLOOKUP('Prop Budget Calc'!$L18,'Current Step Plans'!$C$41:$Q$42,2,FALSE),IF($B18='Current Step Plans'!$B$50,HLOOKUP('Prop Budget Calc'!$L18,'Current Step Plans'!$C$50:$Q$56,7,FALSE),IF($B18='Current Step Plans'!$B$51,HLOOKUP('Prop Budget Calc'!$L18,'Current Step Plans'!$C$51:$Q$56,6,FALSE),IF($B18='Current Step Plans'!$B$52,HLOOKUP('Prop Budget Calc'!$L18,'Current Step Plans'!$C$52:$Q$56,5,FALSE), IF($B18='Current Step Plans'!$B$53,HLOOKUP('Prop Budget Calc'!$L18,'Current Step Plans'!$C$53:$Q$56,4,FALSE),IF($B18='Current Step Plans'!$B$54,HLOOKUP('Prop Budget Calc'!$L18,'Current Step Plans'!$C$54:$Q$56,3,FALSE),IF($B18='Current Step Plans'!$B$55,HLOOKUP('Prop Budget Calc'!$L18,'Current Step Plans'!$C$55:$Q$56,2,FALSE),IF($B18='Current Step Plans'!$B$65,HLOOKUP('Prop Budget Calc'!$L18,'Current Step Plans'!$C$65:$Q$75,11,FALSE),IF($B18='Current Step Plans'!$B$66,HLOOKUP('Prop Budget Calc'!$L18,'Current Step Plans'!$C$66:$Q$75,10,FALSE),IF($B18='Current Step Plans'!$B$67,HLOOKUP('Prop Budget Calc'!$L18,'Current Step Plans'!$C$67:$Q$75,9,FALSE),IF($B18='Current Step Plans'!$B$68,HLOOKUP('Prop Budget Calc'!$L18,'Current Step Plans'!$C$68:$Q$75,8,FALSE),IF($B18='Current Step Plans'!$B$69,HLOOKUP('Prop Budget Calc'!$L18,'Current Step Plans'!$C$69:$Q$75,7,FALSE),IF($B18='Current Step Plans'!$B$70,HLOOKUP('Prop Budget Calc'!$L18,'Current Step Plans'!$C$70:$Q$75,6,FALSE),IF($B18='Current Step Plans'!$B$71,HLOOKUP('Prop Budget Calc'!$L18,'Current Step Plans'!$C$71:$Q$75,5,FALSE),IF($B18='Current Step Plans'!$B$72,HLOOKUP('Prop Budget Calc'!$L18,'Current Step Plans'!$C$72:$Q$75,4,FALSE),IF($B18='Current Step Plans'!$B$73,HLOOKUP('Prop Budget Calc'!$L18,'Current Step Plans'!$C$73:$Q$75,3,FALSE),IF($B18='Current Step Plans'!$B$74,HLOOKUP('Prop Budget Calc'!$L18,'Current Step Plans'!$C$74:$Q$75,2,FALSE),"N"))))))))))))))))))))))</f>
        <v>N</v>
      </c>
      <c r="R18" s="9" t="str">
        <f t="shared" si="8"/>
        <v>Y</v>
      </c>
      <c r="S18" s="6">
        <f>IF(Q18="n",0,ROUNDUP(VLOOKUP(B18,'Proposed Step Plans'!B:T,'Prop Budget Calc'!Q18+2,FALSE)*M18,-2)-O18-T18)</f>
        <v>0</v>
      </c>
      <c r="T18" s="6">
        <f>IF(Q18="n",0,ROUNDUP(VLOOKUP(B18,'Current Step Plans'!B:T,'Prop Budget Calc'!Q18+2,FALSE)*M18,0)-O18)</f>
        <v>0</v>
      </c>
      <c r="U18" s="6">
        <f>IF(IFERROR(VLOOKUP($A18,'Market Study'!$A$5:$G$82,7,FALSE),"NA")="NA",0,VLOOKUP($A18,'Market Study'!$A$5:$G$82,7,FALSE))</f>
        <v>0</v>
      </c>
      <c r="V18" s="6">
        <f>IF(OR($T18&lt;&gt;0,$I18="50112",$I18="50109",$S18&lt;&gt;0),0,VLOOKUP($K18,Scenarios!$A$17:$F$73,6,FALSE)*$O18)</f>
        <v>1028</v>
      </c>
      <c r="W18" s="6">
        <f t="shared" si="9"/>
        <v>1028</v>
      </c>
      <c r="X18" s="6">
        <f>IF(OR($T18&lt;&gt;0,$I18="50112",$I18="50109",$S18&lt;&gt;0),0,VLOOKUP($K18,Scenarios!$A$17:$F$73,2,FALSE)*$O18)</f>
        <v>1028</v>
      </c>
      <c r="Y18" s="6">
        <f>IF(OR($T18&lt;&gt;0,$I18="50110",$I18="50109",$S18&lt;&gt;0),0,VLOOKUP($K18,Scenarios!$A$17:$F$73,3,FALSE))</f>
        <v>1175</v>
      </c>
      <c r="Z18" s="6">
        <f>IF(OR($T18&lt;&gt;0,$I18="50112",$I18="50109",$S18&lt;&gt;0),0,VLOOKUP($K18,Scenarios!$A$17:$F$73,4,FALSE))</f>
        <v>0</v>
      </c>
      <c r="AA18" s="6">
        <f t="shared" si="10"/>
        <v>1175</v>
      </c>
      <c r="AB18" s="6">
        <f>IF(OR($T18&lt;&gt;0,$I18="50112",$I18="50109",$S18&lt;&gt;0),0,VLOOKUP($K18,Scenarios!$A$17:$F$73,5,FALSE))</f>
        <v>0</v>
      </c>
      <c r="AC18" s="6">
        <f t="shared" si="30"/>
        <v>2203</v>
      </c>
      <c r="AD18" s="6">
        <f t="shared" si="11"/>
        <v>53603</v>
      </c>
      <c r="AE18" s="84">
        <f t="shared" si="12"/>
        <v>4.2859922178988263E-2</v>
      </c>
      <c r="AF18" s="6">
        <f t="shared" si="13"/>
        <v>119.26666666666667</v>
      </c>
      <c r="AG18" s="6">
        <f>IF(AND(OR(I18="50101",I18="50102"),$AF18&gt;12),IF($AF18&gt;=300,(300*Scenarios!$B$14)*$E18,($AF18*Scenarios!$B$14)*$E18),0)</f>
        <v>596.33333333333337</v>
      </c>
      <c r="AH18" s="6">
        <f>IF($R18="y",IF($T18&gt;0,Scenarios!$B$10*'Prop Budget Calc'!$E18,Scenarios!$B$13*'Prop Budget Calc'!$E18))</f>
        <v>0</v>
      </c>
      <c r="AI18" s="6">
        <f>SUMIFS('Deduction Valuation'!$G:$G,'Deduction Valuation'!$F:$F,"CT - Certifications",'Deduction Valuation'!$B:$B,'Prop Budget Calc'!$A18)*$AI$3</f>
        <v>0</v>
      </c>
      <c r="AJ18" s="6">
        <f>SUMIFS('Deduction Valuation'!$G:$G,'Deduction Valuation'!$F:$F,"RP - Regional Pay",'Deduction Valuation'!$B:$B,'Prop Budget Calc'!$A18)*$AI$3</f>
        <v>0</v>
      </c>
      <c r="AK18" s="6">
        <f t="shared" si="14"/>
        <v>0</v>
      </c>
      <c r="AL18" s="6">
        <f>SUMIFS('Deduction Valuation'!$G:$G,'Deduction Valuation'!$F:$F,"CR - Car Allowance",'Deduction Valuation'!$B:$B,'Prop Budget Calc'!$A18)*$AI$3</f>
        <v>0</v>
      </c>
      <c r="AM18" s="6">
        <f>SUMIFS('Deduction Valuation'!$G:$G,'Deduction Valuation'!$F:$F,"DA - Device Allow",'Deduction Valuation'!$B:$B,'Prop Budget Calc'!$A18)*$AI$3</f>
        <v>540</v>
      </c>
      <c r="AN18" s="6">
        <f>SUMIFS('Deduction Valuation'!$G:$G,'Deduction Valuation'!$F:$F,"RA - Replace Allow",'Deduction Valuation'!$B:$B,'Prop Budget Calc'!$A18)</f>
        <v>75</v>
      </c>
      <c r="AO18" s="94">
        <f t="shared" si="15"/>
        <v>615</v>
      </c>
      <c r="AP18" s="94">
        <f t="shared" si="16"/>
        <v>54814.333333333336</v>
      </c>
      <c r="AQ18" s="10">
        <f>IF(OR($I18="50101", $I18="50102", $I18="50109", $I18="50140"),AP18*Scenarios!$H$8,0)</f>
        <v>9285.5480666666663</v>
      </c>
      <c r="AR18" s="9">
        <f>VLOOKUP($D18,WKCMP!$A$1:$C$15,3,FALSE)*AP18</f>
        <v>160.23325919999999</v>
      </c>
      <c r="AS18" s="10">
        <f t="shared" si="17"/>
        <v>794.80783333333341</v>
      </c>
      <c r="AT18" s="11">
        <f t="shared" si="18"/>
        <v>3398.4886666666666</v>
      </c>
      <c r="AU18" s="10">
        <f t="shared" si="19"/>
        <v>4200</v>
      </c>
      <c r="AV18" s="6">
        <f t="shared" si="20"/>
        <v>98.665800000000004</v>
      </c>
      <c r="AW18" s="19">
        <f t="shared" si="21"/>
        <v>79.2</v>
      </c>
      <c r="AX18" s="19">
        <f t="shared" si="22"/>
        <v>15.6</v>
      </c>
      <c r="AY18" s="19">
        <f t="shared" si="23"/>
        <v>11.28</v>
      </c>
      <c r="AZ18" s="88">
        <f t="shared" si="24"/>
        <v>204.7458</v>
      </c>
      <c r="BA18" s="6">
        <f>IF(AND($C18="vacant vacant",$E18=1),$BA$2*$AZ$3,SUMIFS('Employee Enrollments'!$AE:$AE,'Employee Enrollments'!$S:$S,"Medical HDHP",'Employee Enrollments'!$C:$C,'Prop Budget Calc'!$A18)*$AZ$3*(1+Scenarios!$E$9))*(1-$BA$3)</f>
        <v>9797.7907439999999</v>
      </c>
      <c r="BB18" s="6">
        <f>IF(AND($C18="vacant vacant",$E18=1),500,SUMIFS('Employee Enrollments'!$AE:$AE,'Employee Enrollments'!$S:$S,"Health Savings Account",'Employee Enrollments'!$C:$C,'Prop Budget Calc'!$A18))</f>
        <v>500.05</v>
      </c>
      <c r="BC18" s="56">
        <f t="shared" si="25"/>
        <v>10297.840743999999</v>
      </c>
      <c r="BD18" s="6">
        <f>IF(AND($C18="vacant vacant",$E18=1),$BD$2*$AZ$3,SUMIFS('Employee Enrollments'!$AE:$AE,'Employee Enrollments'!$S:$S,"Dental Plan",'Employee Enrollments'!$C:$C,'Prop Budget Calc'!$A18)*$AZ$3)</f>
        <v>434.76</v>
      </c>
      <c r="BE18" s="6">
        <f t="shared" si="26"/>
        <v>10937.346544</v>
      </c>
      <c r="BF18" s="6">
        <f t="shared" si="27"/>
        <v>24583.127869866665</v>
      </c>
      <c r="BG18" s="6">
        <f t="shared" si="28"/>
        <v>79397.4612032</v>
      </c>
      <c r="BH18" s="14"/>
      <c r="BI18" s="56"/>
      <c r="BJ18" s="93">
        <f t="shared" si="29"/>
        <v>10449.415200000001</v>
      </c>
      <c r="BK18" s="10">
        <f>IF(SUMIFS('Employee Enrollments'!AB:AB,'Employee Enrollments'!C:C,'Prop Budget Calc'!$A18,'Employee Enrollments'!Q:Q,"Medical")*12=0,'Employee Enrollments'!$AN$1,(SUMIFS('Employee Enrollments'!AB:AB,'Employee Enrollments'!C:C,'Prop Budget Calc'!$A18,'Employee Enrollments'!Q:Q,"Medical")*12))</f>
        <v>348.6</v>
      </c>
      <c r="BL18" s="10">
        <f>SUMIFS('Employee Enrollments'!AB:AB,'Employee Enrollments'!C:C,'Prop Budget Calc'!$A18,'Employee Enrollments'!Q:Q,"Dental")*12</f>
        <v>0</v>
      </c>
    </row>
    <row r="19" spans="1:64" ht="12.75" customHeight="1">
      <c r="A19" s="20" t="s">
        <v>1450</v>
      </c>
      <c r="B19" s="8" t="str">
        <f>IF(IFERROR(VLOOKUP($A19,'Base Pay Report'!$A:$V,'Prop Budget Calc'!B$2,FALSE),"NO")="No","Update",PROPER(VLOOKUP($A19,'Base Pay Report'!$A:$V,'Prop Budget Calc'!B$2,FALSE)))</f>
        <v>Police Corporal</v>
      </c>
      <c r="C19" s="8" t="str">
        <f>IF(IFERROR(VLOOKUP($A19,'Base Pay Report'!$A:$V,'Prop Budget Calc'!C$2,FALSE),"NO")="No","Update",PROPER(VLOOKUP($A19,'Base Pay Report'!$A:$V,'Prop Budget Calc'!C$2,FALSE)))</f>
        <v>First Name Last Name</v>
      </c>
      <c r="D19" s="3" t="str">
        <f>IF(IFERROR(VLOOKUP($A19,'Base Pay Report'!$A:$V,'Prop Budget Calc'!D$2,FALSE),"NO")="No","Update",PROPER(VLOOKUP($A19,'Base Pay Report'!$A:$V,'Prop Budget Calc'!D$2,FALSE)))</f>
        <v>7720</v>
      </c>
      <c r="E19" s="8">
        <f t="shared" si="0"/>
        <v>1</v>
      </c>
      <c r="F19" s="3" t="str">
        <f>IF(IFERROR(VLOOKUP($A19,'Base Pay Report'!$A:$V,'Prop Budget Calc'!F$2,FALSE),"NO")="No","Update",PROPER(VLOOKUP($A19,'Base Pay Report'!$A:$V,'Prop Budget Calc'!F$2,FALSE)))</f>
        <v>100-30-302-50102</v>
      </c>
      <c r="G19" s="3" t="str">
        <f t="shared" si="1"/>
        <v>100-30-302</v>
      </c>
      <c r="H19" s="49" t="str">
        <f t="shared" si="2"/>
        <v>100</v>
      </c>
      <c r="I19" s="3" t="str">
        <f t="shared" si="3"/>
        <v>50102</v>
      </c>
      <c r="J19" s="3" t="str">
        <f t="shared" si="4"/>
        <v>30</v>
      </c>
      <c r="K19" s="3" t="str">
        <f t="shared" si="5"/>
        <v>302</v>
      </c>
      <c r="L19" s="3">
        <f>IF(SUMIF('Base Pay Report'!$A:$A,'Prop Budget Calc'!$A19,'Base Pay Report'!$I:$I)=80,SUMIF('Base Pay Report'!$A:$A,'Prop Budget Calc'!$A19,'Base Pay Report'!$H:$H)/SUMIF('Base Pay Report'!$A:$A,'Prop Budget Calc'!$A19,'Base Pay Report'!$I:$I),SUMIF('Base Pay Report'!$A:$A,'Prop Budget Calc'!$A19,'Base Pay Report'!$H:$H))</f>
        <v>43.52</v>
      </c>
      <c r="M19" s="3">
        <f t="shared" si="6"/>
        <v>2080</v>
      </c>
      <c r="N19" s="3" t="str">
        <f>IF(IFERROR(VLOOKUP($A19,'Base Pay Report'!$A:$V,'Prop Budget Calc'!N$2,FALSE),"NO")="No","Update",(VLOOKUP($A19,'Base Pay Report'!$A:$V,'Prop Budget Calc'!N$2,FALSE)))</f>
        <v>FT HOURLY - PD-SPDO 12</v>
      </c>
      <c r="O19" s="6">
        <f t="shared" si="7"/>
        <v>90530</v>
      </c>
      <c r="P19" s="99">
        <f>IF(SUMIF('Base Pay Report'!A:A,$A19,'Base Pay Report'!J:J)=0,$P$1+40,SUMIF('Base Pay Report'!A:A,$A19,'Base Pay Report'!J:J))</f>
        <v>39951</v>
      </c>
      <c r="Q19" s="87">
        <f>IF($B19='Current Step Plans'!$B$36,HLOOKUP('Prop Budget Calc'!$L19,'Current Step Plans'!$C$36:$Q$42,7,FALSE),IF($B19='Current Step Plans'!$B$37,HLOOKUP('Prop Budget Calc'!$L19,'Current Step Plans'!$C$37:$Q$42,6,FALSE),IF($B19='Current Step Plans'!$B$38,HLOOKUP('Prop Budget Calc'!$L19,'Current Step Plans'!$C$38:$Q$42,5,FALSE),IF($B19='Current Step Plans'!$B$39,HLOOKUP('Prop Budget Calc'!$L19,'Current Step Plans'!$C$39:$Q$42,4,FALSE),IF($B19='Current Step Plans'!$B$40,HLOOKUP('Prop Budget Calc'!$L19,'Current Step Plans'!$C$40:$Q$42,3,FALSE),IF($B19='Current Step Plans'!$B$41,HLOOKUP('Prop Budget Calc'!$L19,'Current Step Plans'!$C$41:$Q$42,2,FALSE),IF($B19='Current Step Plans'!$B$50,HLOOKUP('Prop Budget Calc'!$L19,'Current Step Plans'!$C$50:$Q$56,7,FALSE),IF($B19='Current Step Plans'!$B$51,HLOOKUP('Prop Budget Calc'!$L19,'Current Step Plans'!$C$51:$Q$56,6,FALSE),IF($B19='Current Step Plans'!$B$52,HLOOKUP('Prop Budget Calc'!$L19,'Current Step Plans'!$C$52:$Q$56,5,FALSE), IF($B19='Current Step Plans'!$B$53,HLOOKUP('Prop Budget Calc'!$L19,'Current Step Plans'!$C$53:$Q$56,4,FALSE),IF($B19='Current Step Plans'!$B$54,HLOOKUP('Prop Budget Calc'!$L19,'Current Step Plans'!$C$54:$Q$56,3,FALSE),IF($B19='Current Step Plans'!$B$55,HLOOKUP('Prop Budget Calc'!$L19,'Current Step Plans'!$C$55:$Q$56,2,FALSE),IF($B19='Current Step Plans'!$B$65,HLOOKUP('Prop Budget Calc'!$L19,'Current Step Plans'!$C$65:$Q$75,11,FALSE),IF($B19='Current Step Plans'!$B$66,HLOOKUP('Prop Budget Calc'!$L19,'Current Step Plans'!$C$66:$Q$75,10,FALSE),IF($B19='Current Step Plans'!$B$67,HLOOKUP('Prop Budget Calc'!$L19,'Current Step Plans'!$C$67:$Q$75,9,FALSE),IF($B19='Current Step Plans'!$B$68,HLOOKUP('Prop Budget Calc'!$L19,'Current Step Plans'!$C$68:$Q$75,8,FALSE),IF($B19='Current Step Plans'!$B$69,HLOOKUP('Prop Budget Calc'!$L19,'Current Step Plans'!$C$69:$Q$75,7,FALSE),IF($B19='Current Step Plans'!$B$70,HLOOKUP('Prop Budget Calc'!$L19,'Current Step Plans'!$C$70:$Q$75,6,FALSE),IF($B19='Current Step Plans'!$B$71,HLOOKUP('Prop Budget Calc'!$L19,'Current Step Plans'!$C$71:$Q$75,5,FALSE),IF($B19='Current Step Plans'!$B$72,HLOOKUP('Prop Budget Calc'!$L19,'Current Step Plans'!$C$72:$Q$75,4,FALSE),IF($B19='Current Step Plans'!$B$73,HLOOKUP('Prop Budget Calc'!$L19,'Current Step Plans'!$C$73:$Q$75,3,FALSE),IF($B19='Current Step Plans'!$B$74,HLOOKUP('Prop Budget Calc'!$L19,'Current Step Plans'!$C$74:$Q$75,2,FALSE),"N"))))))))))))))))))))))</f>
        <v>2</v>
      </c>
      <c r="R19" s="9" t="str">
        <f t="shared" si="8"/>
        <v>Y</v>
      </c>
      <c r="S19" s="6">
        <f>IF(Q19="n",0,ROUNDUP(VLOOKUP(B19,'Proposed Step Plans'!B:T,'Prop Budget Calc'!Q19+2,FALSE)*M19,-2)-O19-T19)</f>
        <v>2868</v>
      </c>
      <c r="T19" s="6">
        <f>IF(Q19="n",0,ROUNDUP(VLOOKUP(B19,'Current Step Plans'!B:T,'Prop Budget Calc'!Q19+2,FALSE)*M19,0)-O19)</f>
        <v>1802</v>
      </c>
      <c r="U19" s="6">
        <f>IF(IFERROR(VLOOKUP($A19,'Market Study'!$A$5:$G$82,7,FALSE),"NA")="NA",0,VLOOKUP($A19,'Market Study'!$A$5:$G$82,7,FALSE))</f>
        <v>0</v>
      </c>
      <c r="V19" s="6">
        <f>IF(OR($T19&lt;&gt;0,$I19="50112",$I19="50109",$S19&lt;&gt;0),0,VLOOKUP($K19,Scenarios!$A$17:$F$73,6,FALSE)*$O19)</f>
        <v>0</v>
      </c>
      <c r="W19" s="6">
        <f t="shared" si="9"/>
        <v>0</v>
      </c>
      <c r="X19" s="6">
        <f>IF(OR($T19&lt;&gt;0,$I19="50112",$I19="50109",$S19&lt;&gt;0),0,VLOOKUP($K19,Scenarios!$A$17:$F$73,2,FALSE)*$O19)</f>
        <v>0</v>
      </c>
      <c r="Y19" s="6">
        <f>IF(OR($T19&lt;&gt;0,$I19="50110",$I19="50109",$S19&lt;&gt;0),0,VLOOKUP($K19,Scenarios!$A$17:$F$73,3,FALSE))</f>
        <v>0</v>
      </c>
      <c r="Z19" s="6">
        <f>IF(OR($T19&lt;&gt;0,$I19="50112",$I19="50109",$S19&lt;&gt;0),0,VLOOKUP($K19,Scenarios!$A$17:$F$73,4,FALSE))</f>
        <v>0</v>
      </c>
      <c r="AA19" s="6">
        <f t="shared" si="10"/>
        <v>0</v>
      </c>
      <c r="AB19" s="6">
        <f>IF(OR($T19&lt;&gt;0,$I19="50112",$I19="50109",$S19&lt;&gt;0),0,VLOOKUP($K19,Scenarios!$A$17:$F$73,5,FALSE))</f>
        <v>0</v>
      </c>
      <c r="AC19" s="6">
        <f t="shared" si="30"/>
        <v>0</v>
      </c>
      <c r="AD19" s="6">
        <f t="shared" si="11"/>
        <v>95200</v>
      </c>
      <c r="AE19" s="84">
        <f t="shared" si="12"/>
        <v>5.1585109908317772E-2</v>
      </c>
      <c r="AF19" s="6">
        <f t="shared" si="13"/>
        <v>190.2</v>
      </c>
      <c r="AG19" s="6">
        <f>IF(AND(OR(I19="50101",I19="50102"),$AF19&gt;12),IF($AF19&gt;=300,(300*Scenarios!$B$14)*$E19,($AF19*Scenarios!$B$14)*$E19),0)</f>
        <v>951</v>
      </c>
      <c r="AH19" s="6">
        <f>IF($R19="y",IF($T19&gt;0,Scenarios!$B$10*'Prop Budget Calc'!$E19,Scenarios!$B$13*'Prop Budget Calc'!$E19))</f>
        <v>0</v>
      </c>
      <c r="AI19" s="6">
        <f>SUMIFS('Deduction Valuation'!$G:$G,'Deduction Valuation'!$F:$F,"CT - Certifications",'Deduction Valuation'!$B:$B,'Prop Budget Calc'!$A19)*$AI$3</f>
        <v>1200</v>
      </c>
      <c r="AJ19" s="6">
        <f>SUMIFS('Deduction Valuation'!$G:$G,'Deduction Valuation'!$F:$F,"RP - Regional Pay",'Deduction Valuation'!$B:$B,'Prop Budget Calc'!$A19)*$AI$3</f>
        <v>0</v>
      </c>
      <c r="AK19" s="6">
        <f t="shared" si="14"/>
        <v>1200</v>
      </c>
      <c r="AL19" s="6">
        <f>SUMIFS('Deduction Valuation'!$G:$G,'Deduction Valuation'!$F:$F,"CR - Car Allowance",'Deduction Valuation'!$B:$B,'Prop Budget Calc'!$A19)*$AI$3</f>
        <v>0</v>
      </c>
      <c r="AM19" s="6">
        <f>SUMIFS('Deduction Valuation'!$G:$G,'Deduction Valuation'!$F:$F,"DA - Device Allow",'Deduction Valuation'!$B:$B,'Prop Budget Calc'!$A19)*$AI$3</f>
        <v>0</v>
      </c>
      <c r="AN19" s="6">
        <f>SUMIFS('Deduction Valuation'!$G:$G,'Deduction Valuation'!$F:$F,"RA - Replace Allow",'Deduction Valuation'!$B:$B,'Prop Budget Calc'!$A19)</f>
        <v>0</v>
      </c>
      <c r="AO19" s="94">
        <f t="shared" si="15"/>
        <v>0</v>
      </c>
      <c r="AP19" s="94">
        <f t="shared" si="16"/>
        <v>97351</v>
      </c>
      <c r="AQ19" s="10">
        <f>IF(OR($I19="50101", $I19="50102", $I19="50109", $I19="50140"),AP19*Scenarios!$H$8,0)</f>
        <v>16491.259399999999</v>
      </c>
      <c r="AR19" s="9">
        <f>VLOOKUP($D19,WKCMP!$A$1:$C$15,3,FALSE)*AP19</f>
        <v>1534.0959983999999</v>
      </c>
      <c r="AS19" s="10">
        <f t="shared" si="17"/>
        <v>1411.5895</v>
      </c>
      <c r="AT19" s="11">
        <f t="shared" si="18"/>
        <v>6035.7619999999997</v>
      </c>
      <c r="AU19" s="10">
        <f t="shared" si="19"/>
        <v>7450</v>
      </c>
      <c r="AV19" s="6">
        <f t="shared" si="20"/>
        <v>175.23179999999999</v>
      </c>
      <c r="AW19" s="19">
        <f t="shared" si="21"/>
        <v>79.2</v>
      </c>
      <c r="AX19" s="19">
        <f t="shared" si="22"/>
        <v>15.6</v>
      </c>
      <c r="AY19" s="19">
        <f t="shared" si="23"/>
        <v>11.28</v>
      </c>
      <c r="AZ19" s="88">
        <f t="shared" si="24"/>
        <v>281.31180000000001</v>
      </c>
      <c r="BA19" s="6">
        <f>IF(AND($C19="vacant vacant",$E19=1),$BA$2*$AZ$3,SUMIFS('Employee Enrollments'!$AE:$AE,'Employee Enrollments'!$S:$S,"Medical HDHP",'Employee Enrollments'!$C:$C,'Prop Budget Calc'!$A19)*$AZ$3*(1+Scenarios!$E$9))*(1-$BA$3)</f>
        <v>16421.388407999999</v>
      </c>
      <c r="BB19" s="6">
        <f>IF(AND($C19="vacant vacant",$E19=1),500,SUMIFS('Employee Enrollments'!$AE:$AE,'Employee Enrollments'!$S:$S,"Health Savings Account",'Employee Enrollments'!$C:$C,'Prop Budget Calc'!$A19))</f>
        <v>1000</v>
      </c>
      <c r="BC19" s="56">
        <f t="shared" si="25"/>
        <v>17421.388407999999</v>
      </c>
      <c r="BD19" s="6">
        <f>IF(AND($C19="vacant vacant",$E19=1),$BD$2*$AZ$3,SUMIFS('Employee Enrollments'!$AE:$AE,'Employee Enrollments'!$S:$S,"Dental Plan",'Employee Enrollments'!$C:$C,'Prop Budget Calc'!$A19)*$AZ$3)</f>
        <v>843.48</v>
      </c>
      <c r="BE19" s="6">
        <f t="shared" si="26"/>
        <v>18546.180207999998</v>
      </c>
      <c r="BF19" s="6">
        <f t="shared" si="27"/>
        <v>44021.535606399993</v>
      </c>
      <c r="BG19" s="6">
        <f t="shared" si="28"/>
        <v>141372.53560639999</v>
      </c>
      <c r="BH19" s="14"/>
      <c r="BI19" s="56"/>
      <c r="BJ19" s="93">
        <f t="shared" si="29"/>
        <v>21720.2664</v>
      </c>
      <c r="BK19" s="10">
        <f>IF(SUMIFS('Employee Enrollments'!AB:AB,'Employee Enrollments'!C:C,'Prop Budget Calc'!$A19,'Employee Enrollments'!Q:Q,"Medical")*12=0,'Employee Enrollments'!$AN$1,(SUMIFS('Employee Enrollments'!AB:AB,'Employee Enrollments'!C:C,'Prop Budget Calc'!$A19,'Employee Enrollments'!Q:Q,"Medical")*12))</f>
        <v>4791</v>
      </c>
      <c r="BL19" s="10">
        <f>SUMIFS('Employee Enrollments'!AB:AB,'Employee Enrollments'!C:C,'Prop Budget Calc'!$A19,'Employee Enrollments'!Q:Q,"Dental")*12</f>
        <v>364.92</v>
      </c>
    </row>
    <row r="20" spans="1:64" ht="12.75" customHeight="1">
      <c r="A20" s="20" t="s">
        <v>1371</v>
      </c>
      <c r="B20" s="3" t="str">
        <f>IF(IFERROR(VLOOKUP($A20,'Base Pay Report'!$A:$V,'Prop Budget Calc'!B$2,FALSE),"NO")="No","Update",PROPER(VLOOKUP($A20,'Base Pay Report'!$A:$V,'Prop Budget Calc'!B$2,FALSE)))</f>
        <v>Police Sergeant</v>
      </c>
      <c r="C20" s="3" t="str">
        <f>IF(IFERROR(VLOOKUP($A20,'Base Pay Report'!$A:$V,'Prop Budget Calc'!C$2,FALSE),"NO")="No","Update",PROPER(VLOOKUP($A20,'Base Pay Report'!$A:$V,'Prop Budget Calc'!C$2,FALSE)))</f>
        <v>First Name Last Name</v>
      </c>
      <c r="D20" s="3" t="str">
        <f>IF(IFERROR(VLOOKUP($A20,'Base Pay Report'!$A:$V,'Prop Budget Calc'!D$2,FALSE),"NO")="No","Update",PROPER(VLOOKUP($A20,'Base Pay Report'!$A:$V,'Prop Budget Calc'!D$2,FALSE)))</f>
        <v>7720</v>
      </c>
      <c r="E20" s="8">
        <f t="shared" si="0"/>
        <v>1</v>
      </c>
      <c r="F20" s="3" t="str">
        <f>IF(IFERROR(VLOOKUP($A20,'Base Pay Report'!$A:$V,'Prop Budget Calc'!F$2,FALSE),"NO")="No","Update",PROPER(VLOOKUP($A20,'Base Pay Report'!$A:$V,'Prop Budget Calc'!F$2,FALSE)))</f>
        <v>100-30-302-50102</v>
      </c>
      <c r="G20" s="3" t="str">
        <f t="shared" si="1"/>
        <v>100-30-302</v>
      </c>
      <c r="H20" s="49" t="str">
        <f t="shared" si="2"/>
        <v>100</v>
      </c>
      <c r="I20" s="3" t="str">
        <f t="shared" si="3"/>
        <v>50102</v>
      </c>
      <c r="J20" s="3" t="str">
        <f t="shared" si="4"/>
        <v>30</v>
      </c>
      <c r="K20" s="3" t="str">
        <f t="shared" si="5"/>
        <v>302</v>
      </c>
      <c r="L20" s="3">
        <f>IF(SUMIF('Base Pay Report'!$A:$A,'Prop Budget Calc'!$A20,'Base Pay Report'!$I:$I)=80,SUMIF('Base Pay Report'!$A:$A,'Prop Budget Calc'!$A20,'Base Pay Report'!$H:$H)/SUMIF('Base Pay Report'!$A:$A,'Prop Budget Calc'!$A20,'Base Pay Report'!$I:$I),SUMIF('Base Pay Report'!$A:$A,'Prop Budget Calc'!$A20,'Base Pay Report'!$H:$H))</f>
        <v>53.06</v>
      </c>
      <c r="M20" s="3">
        <f t="shared" si="6"/>
        <v>2080</v>
      </c>
      <c r="N20" s="3" t="str">
        <f>IF(IFERROR(VLOOKUP($A20,'Base Pay Report'!$A:$V,'Prop Budget Calc'!N$2,FALSE),"NO")="No","Update",(VLOOKUP($A20,'Base Pay Report'!$A:$V,'Prop Budget Calc'!N$2,FALSE)))</f>
        <v>FT HOURLY - PD-SPDO 12</v>
      </c>
      <c r="O20" s="6">
        <f t="shared" si="7"/>
        <v>110370</v>
      </c>
      <c r="P20" s="99">
        <f>IF(SUMIF('Base Pay Report'!A:A,$A20,'Base Pay Report'!J:J)=0,$P$1+40,SUMIF('Base Pay Report'!A:A,$A20,'Base Pay Report'!J:J))</f>
        <v>37291</v>
      </c>
      <c r="Q20" s="87">
        <f>IF($B20='Current Step Plans'!$B$36,HLOOKUP('Prop Budget Calc'!$L20,'Current Step Plans'!$C$36:$Q$42,7,FALSE),IF($B20='Current Step Plans'!$B$37,HLOOKUP('Prop Budget Calc'!$L20,'Current Step Plans'!$C$37:$Q$42,6,FALSE),IF($B20='Current Step Plans'!$B$38,HLOOKUP('Prop Budget Calc'!$L20,'Current Step Plans'!$C$38:$Q$42,5,FALSE),IF($B20='Current Step Plans'!$B$39,HLOOKUP('Prop Budget Calc'!$L20,'Current Step Plans'!$C$39:$Q$42,4,FALSE),IF($B20='Current Step Plans'!$B$40,HLOOKUP('Prop Budget Calc'!$L20,'Current Step Plans'!$C$40:$Q$42,3,FALSE),IF($B20='Current Step Plans'!$B$41,HLOOKUP('Prop Budget Calc'!$L20,'Current Step Plans'!$C$41:$Q$42,2,FALSE),IF($B20='Current Step Plans'!$B$50,HLOOKUP('Prop Budget Calc'!$L20,'Current Step Plans'!$C$50:$Q$56,7,FALSE),IF($B20='Current Step Plans'!$B$51,HLOOKUP('Prop Budget Calc'!$L20,'Current Step Plans'!$C$51:$Q$56,6,FALSE),IF($B20='Current Step Plans'!$B$52,HLOOKUP('Prop Budget Calc'!$L20,'Current Step Plans'!$C$52:$Q$56,5,FALSE), IF($B20='Current Step Plans'!$B$53,HLOOKUP('Prop Budget Calc'!$L20,'Current Step Plans'!$C$53:$Q$56,4,FALSE),IF($B20='Current Step Plans'!$B$54,HLOOKUP('Prop Budget Calc'!$L20,'Current Step Plans'!$C$54:$Q$56,3,FALSE),IF($B20='Current Step Plans'!$B$55,HLOOKUP('Prop Budget Calc'!$L20,'Current Step Plans'!$C$55:$Q$56,2,FALSE),IF($B20='Current Step Plans'!$B$65,HLOOKUP('Prop Budget Calc'!$L20,'Current Step Plans'!$C$65:$Q$75,11,FALSE),IF($B20='Current Step Plans'!$B$66,HLOOKUP('Prop Budget Calc'!$L20,'Current Step Plans'!$C$66:$Q$75,10,FALSE),IF($B20='Current Step Plans'!$B$67,HLOOKUP('Prop Budget Calc'!$L20,'Current Step Plans'!$C$67:$Q$75,9,FALSE),IF($B20='Current Step Plans'!$B$68,HLOOKUP('Prop Budget Calc'!$L20,'Current Step Plans'!$C$68:$Q$75,8,FALSE),IF($B20='Current Step Plans'!$B$69,HLOOKUP('Prop Budget Calc'!$L20,'Current Step Plans'!$C$69:$Q$75,7,FALSE),IF($B20='Current Step Plans'!$B$70,HLOOKUP('Prop Budget Calc'!$L20,'Current Step Plans'!$C$70:$Q$75,6,FALSE),IF($B20='Current Step Plans'!$B$71,HLOOKUP('Prop Budget Calc'!$L20,'Current Step Plans'!$C$71:$Q$75,5,FALSE),IF($B20='Current Step Plans'!$B$72,HLOOKUP('Prop Budget Calc'!$L20,'Current Step Plans'!$C$72:$Q$75,4,FALSE),IF($B20='Current Step Plans'!$B$73,HLOOKUP('Prop Budget Calc'!$L20,'Current Step Plans'!$C$73:$Q$75,3,FALSE),IF($B20='Current Step Plans'!$B$74,HLOOKUP('Prop Budget Calc'!$L20,'Current Step Plans'!$C$74:$Q$75,2,FALSE),"N"))))))))))))))))))))))</f>
        <v>6</v>
      </c>
      <c r="R20" s="9" t="str">
        <f t="shared" si="8"/>
        <v>Y</v>
      </c>
      <c r="S20" s="6">
        <f>IF(Q20="n",0,ROUNDUP(VLOOKUP(B20,'Proposed Step Plans'!B:T,'Prop Budget Calc'!Q20+2,FALSE)*M20,-2)-O20-T20)</f>
        <v>4535</v>
      </c>
      <c r="T20" s="6">
        <f>IF(Q20="n",0,ROUNDUP(VLOOKUP(B20,'Current Step Plans'!B:T,'Prop Budget Calc'!Q20+2,FALSE)*M20,0)-O20)</f>
        <v>-5</v>
      </c>
      <c r="U20" s="6">
        <f>IF(IFERROR(VLOOKUP($A20,'Market Study'!$A$5:$G$82,7,FALSE),"NA")="NA",0,VLOOKUP($A20,'Market Study'!$A$5:$G$82,7,FALSE))</f>
        <v>0</v>
      </c>
      <c r="V20" s="6">
        <f>IF(OR($T20&lt;&gt;0,$I20="50112",$I20="50109",$S20&lt;&gt;0),0,VLOOKUP($K20,Scenarios!$A$17:$F$73,6,FALSE)*$O20)</f>
        <v>0</v>
      </c>
      <c r="W20" s="6">
        <f t="shared" si="9"/>
        <v>0</v>
      </c>
      <c r="X20" s="6">
        <f>IF(OR($T20&lt;&gt;0,$I20="50112",$I20="50109",$S20&lt;&gt;0),0,VLOOKUP($K20,Scenarios!$A$17:$F$73,2,FALSE)*$O20)</f>
        <v>0</v>
      </c>
      <c r="Y20" s="6">
        <f>IF(OR($T20&lt;&gt;0,$I20="50110",$I20="50109",$S20&lt;&gt;0),0,VLOOKUP($K20,Scenarios!$A$17:$F$73,3,FALSE))</f>
        <v>0</v>
      </c>
      <c r="Z20" s="6">
        <f>IF(OR($T20&lt;&gt;0,$I20="50112",$I20="50109",$S20&lt;&gt;0),0,VLOOKUP($K20,Scenarios!$A$17:$F$73,4,FALSE))</f>
        <v>0</v>
      </c>
      <c r="AA20" s="6">
        <f t="shared" si="10"/>
        <v>0</v>
      </c>
      <c r="AB20" s="6">
        <f>IF(OR($T20&lt;&gt;0,$I20="50112",$I20="50109",$S20&lt;&gt;0),0,VLOOKUP($K20,Scenarios!$A$17:$F$73,5,FALSE))</f>
        <v>0</v>
      </c>
      <c r="AC20" s="6">
        <f t="shared" si="30"/>
        <v>0</v>
      </c>
      <c r="AD20" s="6">
        <f t="shared" si="11"/>
        <v>114900</v>
      </c>
      <c r="AE20" s="84">
        <f t="shared" si="12"/>
        <v>4.1043761891818464E-2</v>
      </c>
      <c r="AF20" s="6">
        <f t="shared" si="13"/>
        <v>278.86666666666667</v>
      </c>
      <c r="AG20" s="6">
        <f>IF(AND(OR(I20="50101",I20="50102"),$AF20&gt;12),IF($AF20&gt;=300,(300*Scenarios!$B$14)*$E20,($AF20*Scenarios!$B$14)*$E20),0)</f>
        <v>1394.3333333333335</v>
      </c>
      <c r="AH20" s="6">
        <f>IF($R20="y",IF($T20&gt;0,Scenarios!$B$10*'Prop Budget Calc'!$E20,Scenarios!$B$13*'Prop Budget Calc'!$E20))</f>
        <v>0</v>
      </c>
      <c r="AI20" s="6">
        <f>SUMIFS('Deduction Valuation'!$G:$G,'Deduction Valuation'!$F:$F,"CT - Certifications",'Deduction Valuation'!$B:$B,'Prop Budget Calc'!$A20)*$AI$3</f>
        <v>1200</v>
      </c>
      <c r="AJ20" s="6">
        <f>SUMIFS('Deduction Valuation'!$G:$G,'Deduction Valuation'!$F:$F,"RP - Regional Pay",'Deduction Valuation'!$B:$B,'Prop Budget Calc'!$A20)*$AI$3</f>
        <v>0</v>
      </c>
      <c r="AK20" s="6">
        <f t="shared" si="14"/>
        <v>1200</v>
      </c>
      <c r="AL20" s="6">
        <f>SUMIFS('Deduction Valuation'!$G:$G,'Deduction Valuation'!$F:$F,"CR - Car Allowance",'Deduction Valuation'!$B:$B,'Prop Budget Calc'!$A20)*$AI$3</f>
        <v>0</v>
      </c>
      <c r="AM20" s="6">
        <f>SUMIFS('Deduction Valuation'!$G:$G,'Deduction Valuation'!$F:$F,"DA - Device Allow",'Deduction Valuation'!$B:$B,'Prop Budget Calc'!$A20)*$AI$3</f>
        <v>0</v>
      </c>
      <c r="AN20" s="6">
        <f>SUMIFS('Deduction Valuation'!$G:$G,'Deduction Valuation'!$F:$F,"RA - Replace Allow",'Deduction Valuation'!$B:$B,'Prop Budget Calc'!$A20)</f>
        <v>0</v>
      </c>
      <c r="AO20" s="94">
        <f t="shared" si="15"/>
        <v>0</v>
      </c>
      <c r="AP20" s="94">
        <f t="shared" si="16"/>
        <v>117494.33333333333</v>
      </c>
      <c r="AQ20" s="10">
        <f>IF(OR($I20="50101", $I20="50102", $I20="50109", $I20="50140"),AP20*Scenarios!$H$8,0)</f>
        <v>19903.540066666665</v>
      </c>
      <c r="AR20" s="9">
        <f>VLOOKUP($D20,WKCMP!$A$1:$C$15,3,FALSE)*AP20</f>
        <v>1851.5227023999998</v>
      </c>
      <c r="AS20" s="10">
        <f t="shared" si="17"/>
        <v>1703.6678333333334</v>
      </c>
      <c r="AT20" s="11">
        <f t="shared" si="18"/>
        <v>7284.648666666666</v>
      </c>
      <c r="AU20" s="10">
        <f t="shared" si="19"/>
        <v>8990</v>
      </c>
      <c r="AV20" s="6">
        <f t="shared" si="20"/>
        <v>211.48979999999997</v>
      </c>
      <c r="AW20" s="19">
        <f t="shared" si="21"/>
        <v>79.2</v>
      </c>
      <c r="AX20" s="19">
        <f t="shared" si="22"/>
        <v>15.6</v>
      </c>
      <c r="AY20" s="19">
        <f t="shared" si="23"/>
        <v>11.28</v>
      </c>
      <c r="AZ20" s="88">
        <f t="shared" si="24"/>
        <v>317.56979999999999</v>
      </c>
      <c r="BA20" s="6">
        <f>IF(AND($C20="vacant vacant",$E20=1),$BA$2*$AZ$3,SUMIFS('Employee Enrollments'!$AE:$AE,'Employee Enrollments'!$S:$S,"Medical HDHP",'Employee Enrollments'!$C:$C,'Prop Budget Calc'!$A20)*$AZ$3*(1+Scenarios!$E$9))*(1-$BA$3)</f>
        <v>15109.444008</v>
      </c>
      <c r="BB20" s="6">
        <f>IF(AND($C20="vacant vacant",$E20=1),500,SUMIFS('Employee Enrollments'!$AE:$AE,'Employee Enrollments'!$S:$S,"Health Savings Account",'Employee Enrollments'!$C:$C,'Prop Budget Calc'!$A20))</f>
        <v>1000</v>
      </c>
      <c r="BC20" s="56">
        <f t="shared" si="25"/>
        <v>16109.444008</v>
      </c>
      <c r="BD20" s="6">
        <f>IF(AND($C20="vacant vacant",$E20=1),$BD$2*$AZ$3,SUMIFS('Employee Enrollments'!$AE:$AE,'Employee Enrollments'!$S:$S,"Dental Plan",'Employee Enrollments'!$C:$C,'Prop Budget Calc'!$A20)*$AZ$3)</f>
        <v>843.48</v>
      </c>
      <c r="BE20" s="6">
        <f t="shared" si="26"/>
        <v>17270.493808000003</v>
      </c>
      <c r="BF20" s="6">
        <f t="shared" si="27"/>
        <v>48015.556577066673</v>
      </c>
      <c r="BG20" s="6">
        <f t="shared" si="28"/>
        <v>165509.8899104</v>
      </c>
      <c r="BH20" s="14"/>
      <c r="BI20" s="56"/>
      <c r="BJ20" s="93">
        <f t="shared" si="29"/>
        <v>21693.7464</v>
      </c>
      <c r="BK20" s="10">
        <f>IF(SUMIFS('Employee Enrollments'!AB:AB,'Employee Enrollments'!C:C,'Prop Budget Calc'!$A20,'Employee Enrollments'!Q:Q,"Medical")*12=0,'Employee Enrollments'!$AN$1,(SUMIFS('Employee Enrollments'!AB:AB,'Employee Enrollments'!C:C,'Prop Budget Calc'!$A20,'Employee Enrollments'!Q:Q,"Medical")*12))</f>
        <v>6117</v>
      </c>
      <c r="BL20" s="10">
        <f>SUMIFS('Employee Enrollments'!AB:AB,'Employee Enrollments'!C:C,'Prop Budget Calc'!$A20,'Employee Enrollments'!Q:Q,"Dental")*12</f>
        <v>364.92</v>
      </c>
    </row>
    <row r="21" spans="1:64" ht="12.75" customHeight="1">
      <c r="A21" s="456" t="s">
        <v>1396</v>
      </c>
      <c r="B21" s="3" t="str">
        <f>IF(IFERROR(VLOOKUP($A21,'Base Pay Report'!$A:$V,'Prop Budget Calc'!B$2,FALSE),"NO")="No","Update",PROPER(VLOOKUP($A21,'Base Pay Report'!$A:$V,'Prop Budget Calc'!B$2,FALSE)))</f>
        <v>Police Officer</v>
      </c>
      <c r="C21" s="3" t="str">
        <f>IF(IFERROR(VLOOKUP($A21,'Base Pay Report'!$A:$V,'Prop Budget Calc'!C$2,FALSE),"NO")="No","Update",PROPER(VLOOKUP($A21,'Base Pay Report'!$A:$V,'Prop Budget Calc'!C$2,FALSE)))</f>
        <v>First Name Last Name</v>
      </c>
      <c r="D21" s="3" t="str">
        <f>IF(IFERROR(VLOOKUP($A21,'Base Pay Report'!$A:$V,'Prop Budget Calc'!D$2,FALSE),"NO")="No","Update",PROPER(VLOOKUP($A21,'Base Pay Report'!$A:$V,'Prop Budget Calc'!D$2,FALSE)))</f>
        <v>7720</v>
      </c>
      <c r="E21" s="8">
        <f t="shared" ref="E21:E28" si="31">IF(OR(I21="50101",I21="50102"),1,IF(I21="50110",0.48,IF(I21="50112",0.25,1)))</f>
        <v>1</v>
      </c>
      <c r="F21" s="3" t="str">
        <f>IF(IFERROR(VLOOKUP($A21,'Base Pay Report'!$A:$V,'Prop Budget Calc'!F$2,FALSE),"NO")="No","Update",PROPER(VLOOKUP($A21,'Base Pay Report'!$A:$V,'Prop Budget Calc'!F$2,FALSE)))</f>
        <v>100-30-302-50102</v>
      </c>
      <c r="G21" s="3" t="str">
        <f t="shared" ref="G21:G25" si="32">LEFT(F21,10)</f>
        <v>100-30-302</v>
      </c>
      <c r="H21" s="49" t="str">
        <f t="shared" ref="H21:H25" si="33">LEFT(F21,3)</f>
        <v>100</v>
      </c>
      <c r="I21" s="3" t="str">
        <f t="shared" ref="I21:I25" si="34">MID(F21,12,5)</f>
        <v>50102</v>
      </c>
      <c r="J21" s="3" t="str">
        <f t="shared" ref="J21:J25" si="35">MID(F21,5,2)</f>
        <v>30</v>
      </c>
      <c r="K21" s="3" t="str">
        <f t="shared" ref="K21:K25" si="36">MID(F21,8,3)</f>
        <v>302</v>
      </c>
      <c r="L21" s="3">
        <f>IF(SUMIF('Base Pay Report'!$A:$A,'Prop Budget Calc'!$A21,'Base Pay Report'!$I:$I)=80,SUMIF('Base Pay Report'!$A:$A,'Prop Budget Calc'!$A21,'Base Pay Report'!$H:$H)/SUMIF('Base Pay Report'!$A:$A,'Prop Budget Calc'!$A21,'Base Pay Report'!$I:$I),SUMIF('Base Pay Report'!$A:$A,'Prop Budget Calc'!$A21,'Base Pay Report'!$H:$H))</f>
        <v>32.97</v>
      </c>
      <c r="M21" s="3">
        <f t="shared" ref="M21:M27" si="37">IF(G21="100-35-352",2912,IF(N21=$N$3,36*52,E21*2080))</f>
        <v>2080</v>
      </c>
      <c r="N21" s="3" t="str">
        <f>IF(IFERROR(VLOOKUP($A21,'Base Pay Report'!$A:$V,'Prop Budget Calc'!N$2,FALSE),"NO")="No","Update",(VLOOKUP($A21,'Base Pay Report'!$A:$V,'Prop Budget Calc'!N$2,FALSE)))</f>
        <v>FT HOURLY - PD-SPDO 12</v>
      </c>
      <c r="O21" s="6">
        <f t="shared" ref="O21:O25" si="38">ROUNDUP(L21*M21,-1)</f>
        <v>68580</v>
      </c>
      <c r="P21" s="99">
        <f>IF(SUMIF('Base Pay Report'!A:A,$A21,'Base Pay Report'!J:J)=0,$P$1+40,SUMIF('Base Pay Report'!A:A,$A21,'Base Pay Report'!J:J))</f>
        <v>44867</v>
      </c>
      <c r="Q21" s="87">
        <f>IF($B21='Current Step Plans'!$B$36,HLOOKUP('Prop Budget Calc'!$L21,'Current Step Plans'!$C$36:$Q$42,7,FALSE),IF($B21='Current Step Plans'!$B$37,HLOOKUP('Prop Budget Calc'!$L21,'Current Step Plans'!$C$37:$Q$42,6,FALSE),IF($B21='Current Step Plans'!$B$38,HLOOKUP('Prop Budget Calc'!$L21,'Current Step Plans'!$C$38:$Q$42,5,FALSE),IF($B21='Current Step Plans'!$B$39,HLOOKUP('Prop Budget Calc'!$L21,'Current Step Plans'!$C$39:$Q$42,4,FALSE),IF($B21='Current Step Plans'!$B$40,HLOOKUP('Prop Budget Calc'!$L21,'Current Step Plans'!$C$40:$Q$42,3,FALSE),IF($B21='Current Step Plans'!$B$41,HLOOKUP('Prop Budget Calc'!$L21,'Current Step Plans'!$C$41:$Q$42,2,FALSE),IF($B21='Current Step Plans'!$B$50,HLOOKUP('Prop Budget Calc'!$L21,'Current Step Plans'!$C$50:$Q$56,7,FALSE),IF($B21='Current Step Plans'!$B$51,HLOOKUP('Prop Budget Calc'!$L21,'Current Step Plans'!$C$51:$Q$56,6,FALSE),IF($B21='Current Step Plans'!$B$52,HLOOKUP('Prop Budget Calc'!$L21,'Current Step Plans'!$C$52:$Q$56,5,FALSE), IF($B21='Current Step Plans'!$B$53,HLOOKUP('Prop Budget Calc'!$L21,'Current Step Plans'!$C$53:$Q$56,4,FALSE),IF($B21='Current Step Plans'!$B$54,HLOOKUP('Prop Budget Calc'!$L21,'Current Step Plans'!$C$54:$Q$56,3,FALSE),IF($B21='Current Step Plans'!$B$55,HLOOKUP('Prop Budget Calc'!$L21,'Current Step Plans'!$C$55:$Q$56,2,FALSE),IF($B21='Current Step Plans'!$B$65,HLOOKUP('Prop Budget Calc'!$L21,'Current Step Plans'!$C$65:$Q$75,11,FALSE),IF($B21='Current Step Plans'!$B$66,HLOOKUP('Prop Budget Calc'!$L21,'Current Step Plans'!$C$66:$Q$75,10,FALSE),IF($B21='Current Step Plans'!$B$67,HLOOKUP('Prop Budget Calc'!$L21,'Current Step Plans'!$C$67:$Q$75,9,FALSE),IF($B21='Current Step Plans'!$B$68,HLOOKUP('Prop Budget Calc'!$L21,'Current Step Plans'!$C$68:$Q$75,8,FALSE),IF($B21='Current Step Plans'!$B$69,HLOOKUP('Prop Budget Calc'!$L21,'Current Step Plans'!$C$69:$Q$75,7,FALSE),IF($B21='Current Step Plans'!$B$70,HLOOKUP('Prop Budget Calc'!$L21,'Current Step Plans'!$C$70:$Q$75,6,FALSE),IF($B21='Current Step Plans'!$B$71,HLOOKUP('Prop Budget Calc'!$L21,'Current Step Plans'!$C$71:$Q$75,5,FALSE),IF($B21='Current Step Plans'!$B$72,HLOOKUP('Prop Budget Calc'!$L21,'Current Step Plans'!$C$72:$Q$75,4,FALSE),IF($B21='Current Step Plans'!$B$73,HLOOKUP('Prop Budget Calc'!$L21,'Current Step Plans'!$C$73:$Q$75,3,FALSE),IF($B21='Current Step Plans'!$B$74,HLOOKUP('Prop Budget Calc'!$L21,'Current Step Plans'!$C$74:$Q$75,2,FALSE),"N"))))))))))))))))))))))</f>
        <v>1</v>
      </c>
      <c r="R21" s="9" t="str">
        <f t="shared" ref="R21:R27" si="39">IF(P21&lt;=$R$5,"Y","N")</f>
        <v>Y</v>
      </c>
      <c r="S21" s="6">
        <f>IF(Q21="n",0,ROUNDUP(VLOOKUP(B21,'Proposed Step Plans'!B:T,'Prop Budget Calc'!Q21+2,FALSE)*M21,-2)-O21-T21)</f>
        <v>3549</v>
      </c>
      <c r="T21" s="6">
        <f>IF(Q21="n",0,ROUNDUP(VLOOKUP(B21,'Current Step Plans'!B:T,'Prop Budget Calc'!Q21+2,FALSE)*M21,0)-O21)</f>
        <v>1371</v>
      </c>
      <c r="U21" s="6">
        <f>IF(IFERROR(VLOOKUP($A21,'Market Study'!$A$5:$G$82,7,FALSE),"NA")="NA",0,VLOOKUP($A21,'Market Study'!$A$5:$G$82,7,FALSE))</f>
        <v>0</v>
      </c>
      <c r="V21" s="6">
        <f>IF(OR($T21&lt;&gt;0,$I21="50112",$I21="50109",$S21&lt;&gt;0),0,VLOOKUP($K21,Scenarios!$A$17:$F$73,6,FALSE)*$O21)</f>
        <v>0</v>
      </c>
      <c r="W21" s="6">
        <f t="shared" ref="W21:W27" si="40">IF(U21&gt;V21,U21,V21)</f>
        <v>0</v>
      </c>
      <c r="X21" s="6">
        <f>IF(OR($T21&lt;&gt;0,$I21="50112",$I21="50109",$S21&lt;&gt;0),0,VLOOKUP($K21,Scenarios!$A$17:$F$73,2,FALSE)*$O21)</f>
        <v>0</v>
      </c>
      <c r="Y21" s="6">
        <f>IF(OR($T21&lt;&gt;0,$I21="50110",$I21="50109",$S21&lt;&gt;0),0,VLOOKUP($K21,Scenarios!$A$17:$F$73,3,FALSE))</f>
        <v>0</v>
      </c>
      <c r="Z21" s="6">
        <f>IF(OR($T21&lt;&gt;0,$I21="50112",$I21="50109",$S21&lt;&gt;0),0,VLOOKUP($K21,Scenarios!$A$17:$F$73,4,FALSE))</f>
        <v>0</v>
      </c>
      <c r="AA21" s="6">
        <f t="shared" ref="AA21:AA27" si="41">IF(X21&lt;Y21,Y21,IF(AND(X21&gt;Z21,Z21&gt;1),Z21,X21))</f>
        <v>0</v>
      </c>
      <c r="AB21" s="6">
        <f>IF(OR($T21&lt;&gt;0,$I21="50112",$I21="50109",$S21&lt;&gt;0),0,VLOOKUP($K21,Scenarios!$A$17:$F$73,5,FALSE))</f>
        <v>0</v>
      </c>
      <c r="AC21" s="6">
        <f t="shared" ref="AC21:AC27" si="42">W21+AA21+AB21</f>
        <v>0</v>
      </c>
      <c r="AD21" s="6">
        <f t="shared" ref="AD21:AD27" si="43">ROUNDUP(AA21+S21+AB21+T21+W21+O21,0)</f>
        <v>73500</v>
      </c>
      <c r="AE21" s="84">
        <f t="shared" ref="AE21:AE27" si="44">AD21/O21-1</f>
        <v>7.1741032370953528E-2</v>
      </c>
      <c r="AF21" s="6">
        <f t="shared" ref="AF21:AF27" si="45">_xlfn.DAYS($AF$1,P21)/30</f>
        <v>26.333333333333332</v>
      </c>
      <c r="AG21" s="6">
        <f>IF(AND(OR(I21="50101",I21="50102"),$AF21&gt;12),IF($AF21&gt;=300,(300*Scenarios!$B$14)*$E21,($AF21*Scenarios!$B$14)*$E21),0)</f>
        <v>131.66666666666666</v>
      </c>
      <c r="AH21" s="6">
        <f>IF($R21="y",IF($T21&gt;0,Scenarios!$B$10*'Prop Budget Calc'!$E21,Scenarios!$B$13*'Prop Budget Calc'!$E21))</f>
        <v>0</v>
      </c>
      <c r="AI21" s="6">
        <f>SUMIFS('Deduction Valuation'!$G:$G,'Deduction Valuation'!$F:$F,"CT - Certifications",'Deduction Valuation'!$B:$B,'Prop Budget Calc'!$A21)*$AI$3</f>
        <v>0</v>
      </c>
      <c r="AJ21" s="6">
        <f>SUMIFS('Deduction Valuation'!$G:$G,'Deduction Valuation'!$F:$F,"RP - Regional Pay",'Deduction Valuation'!$B:$B,'Prop Budget Calc'!$A21)*$AI$3</f>
        <v>0</v>
      </c>
      <c r="AK21" s="6">
        <f t="shared" ref="AK21:AK27" si="46">AI21+AJ21</f>
        <v>0</v>
      </c>
      <c r="AL21" s="6">
        <f>SUMIFS('Deduction Valuation'!$G:$G,'Deduction Valuation'!$F:$F,"CR - Car Allowance",'Deduction Valuation'!$B:$B,'Prop Budget Calc'!$A21)*$AI$3</f>
        <v>0</v>
      </c>
      <c r="AM21" s="6">
        <f>SUMIFS('Deduction Valuation'!$G:$G,'Deduction Valuation'!$F:$F,"DA - Device Allow",'Deduction Valuation'!$B:$B,'Prop Budget Calc'!$A21)*$AI$3</f>
        <v>0</v>
      </c>
      <c r="AN21" s="6">
        <f>SUMIFS('Deduction Valuation'!$G:$G,'Deduction Valuation'!$F:$F,"RA - Replace Allow",'Deduction Valuation'!$B:$B,'Prop Budget Calc'!$A21)</f>
        <v>0</v>
      </c>
      <c r="AO21" s="94">
        <f t="shared" ref="AO21:AO27" si="47">AM21+AN21</f>
        <v>0</v>
      </c>
      <c r="AP21" s="94">
        <f t="shared" ref="AP21:AP27" si="48">AD21+AG21+AK21+AL21+AO21+AH21</f>
        <v>73631.666666666672</v>
      </c>
      <c r="AQ21" s="10">
        <f>IF(OR($I21="50101", $I21="50102", $I21="50109", $I21="50140"),AP21*Scenarios!$H$8,0)</f>
        <v>12473.204333333333</v>
      </c>
      <c r="AR21" s="9">
        <f>VLOOKUP($D21,WKCMP!$A$1:$C$15,3,FALSE)*AP21</f>
        <v>1160.317256</v>
      </c>
      <c r="AS21" s="10">
        <f t="shared" ref="AS21:AS27" si="49">AP21*$AS$2</f>
        <v>1067.6591666666668</v>
      </c>
      <c r="AT21" s="11">
        <f t="shared" ref="AT21:AT27" si="50">IF($AP21&lt;$AT$4,$AT$2*AP21,$AT$4*$AT$2*$E21)</f>
        <v>4565.1633333333339</v>
      </c>
      <c r="AU21" s="10">
        <f t="shared" ref="AU21:AU27" si="51">ROUNDUP((AS21+AT21), -1)</f>
        <v>5640</v>
      </c>
      <c r="AV21" s="6">
        <f t="shared" ref="AV21:AV27" si="52">AP21*$AV$2</f>
        <v>132.53700000000001</v>
      </c>
      <c r="AW21" s="19">
        <f t="shared" ref="AW21:AW27" si="53">IF(AND($I21&lt;&gt;"50101", $I21&lt;&gt;"50102"),0,IF($I21="50101",IF(($AP21/52*$AW$3)&gt;$AV$1,$AV$1,$AP21/52*$AW$3),IF(($AD21/52*$AW$3)&gt;$AW$1,$AW$1,$AD21/52*$AW$3)))*E21</f>
        <v>79.2</v>
      </c>
      <c r="AX21" s="19">
        <f t="shared" ref="AX21:AX27" si="54">IF($E21=1,$AX$1,0)</f>
        <v>15.6</v>
      </c>
      <c r="AY21" s="19">
        <f t="shared" ref="AY21:AY27" si="55">IF($E21=1,$AY$1,0)</f>
        <v>11.28</v>
      </c>
      <c r="AZ21" s="88">
        <f t="shared" ref="AZ21:AZ27" si="56">AV21+AW21+AX21+AY21</f>
        <v>238.61700000000002</v>
      </c>
      <c r="BA21" s="6">
        <f>IF(AND($C21="vacant vacant",$E21=1),$BA$2*$AZ$3,SUMIFS('Employee Enrollments'!$AE:$AE,'Employee Enrollments'!$S:$S,"Medical HDHP",'Employee Enrollments'!$C:$C,'Prop Budget Calc'!$A21)*$AZ$3*(1+Scenarios!$E$9))*(1-$BA$3)</f>
        <v>18093.197376</v>
      </c>
      <c r="BB21" s="6">
        <f>IF(AND($C21="vacant vacant",$E21=1),500,SUMIFS('Employee Enrollments'!$AE:$AE,'Employee Enrollments'!$S:$S,"Health Savings Account",'Employee Enrollments'!$C:$C,'Prop Budget Calc'!$A21))</f>
        <v>1000</v>
      </c>
      <c r="BC21" s="56">
        <f t="shared" ref="BC21:BC27" si="57">BA21+BB21</f>
        <v>19093.197376</v>
      </c>
      <c r="BD21" s="6">
        <f>IF(AND($C21="vacant vacant",$E21=1),$BD$2*$AZ$3,SUMIFS('Employee Enrollments'!$AE:$AE,'Employee Enrollments'!$S:$S,"Dental Plan",'Employee Enrollments'!$C:$C,'Prop Budget Calc'!$A21)*$AZ$3)</f>
        <v>843.48</v>
      </c>
      <c r="BE21" s="6">
        <f t="shared" ref="BE21:BE27" si="58">BD21+BC21+AZ21</f>
        <v>20175.294375999998</v>
      </c>
      <c r="BF21" s="6">
        <f t="shared" ref="BF21:BF27" si="59">AU21+BE21+AR21+AQ21</f>
        <v>39448.815965333328</v>
      </c>
      <c r="BG21" s="6">
        <f t="shared" ref="BG21:BG27" si="60">AP21+BF21</f>
        <v>113080.482632</v>
      </c>
      <c r="BH21" s="14"/>
      <c r="BI21" s="56"/>
      <c r="BJ21" s="93">
        <f t="shared" ref="BJ21:BJ27" si="61">BA21/(1-$BA$3)+BK21</f>
        <v>21754.060799999999</v>
      </c>
      <c r="BK21" s="10">
        <f>IF(SUMIFS('Employee Enrollments'!AB:AB,'Employee Enrollments'!C:C,'Prop Budget Calc'!$A21,'Employee Enrollments'!Q:Q,"Medical")*12=0,'Employee Enrollments'!$AN$1,(SUMIFS('Employee Enrollments'!AB:AB,'Employee Enrollments'!C:C,'Prop Budget Calc'!$A21,'Employee Enrollments'!Q:Q,"Medical")*12))</f>
        <v>3101.2799999999997</v>
      </c>
      <c r="BL21" s="10">
        <f>SUMIFS('Employee Enrollments'!AB:AB,'Employee Enrollments'!C:C,'Prop Budget Calc'!$A21,'Employee Enrollments'!Q:Q,"Dental")*12</f>
        <v>364.92</v>
      </c>
    </row>
    <row r="22" spans="1:64" ht="12.75" customHeight="1">
      <c r="A22" s="479" t="s">
        <v>1761</v>
      </c>
      <c r="B22" s="8" t="str">
        <f>IF(IFERROR(VLOOKUP($A22,'Base Pay Report'!$A:$V,'Prop Budget Calc'!B$2,FALSE),"NO")="No","Update",PROPER(VLOOKUP($A22,'Base Pay Report'!$A:$V,'Prop Budget Calc'!B$2,FALSE)))</f>
        <v>Police Officer</v>
      </c>
      <c r="C22" s="8" t="str">
        <f>IF(IFERROR(VLOOKUP($A22,'Base Pay Report'!$A:$V,'Prop Budget Calc'!C$2,FALSE),"NO")="No","Update",PROPER(VLOOKUP($A22,'Base Pay Report'!$A:$V,'Prop Budget Calc'!C$2,FALSE)))</f>
        <v>First Name Last Name</v>
      </c>
      <c r="D22" s="3" t="str">
        <f>IF(IFERROR(VLOOKUP($A22,'Base Pay Report'!$A:$V,'Prop Budget Calc'!D$2,FALSE),"NO")="No","Update",PROPER(VLOOKUP($A22,'Base Pay Report'!$A:$V,'Prop Budget Calc'!D$2,FALSE)))</f>
        <v>7720</v>
      </c>
      <c r="E22" s="8">
        <f t="shared" si="31"/>
        <v>1</v>
      </c>
      <c r="F22" s="3" t="str">
        <f>IF(IFERROR(VLOOKUP($A22,'Base Pay Report'!$A:$V,'Prop Budget Calc'!F$2,FALSE),"NO")="No","Update",PROPER(VLOOKUP($A22,'Base Pay Report'!$A:$V,'Prop Budget Calc'!F$2,FALSE)))</f>
        <v>100-30-302-50102</v>
      </c>
      <c r="G22" s="3" t="str">
        <f t="shared" si="32"/>
        <v>100-30-302</v>
      </c>
      <c r="H22" s="49" t="str">
        <f t="shared" si="33"/>
        <v>100</v>
      </c>
      <c r="I22" s="3" t="str">
        <f t="shared" si="34"/>
        <v>50102</v>
      </c>
      <c r="J22" s="3" t="str">
        <f t="shared" si="35"/>
        <v>30</v>
      </c>
      <c r="K22" s="3" t="str">
        <f t="shared" si="36"/>
        <v>302</v>
      </c>
      <c r="L22" s="3">
        <f>IF(SUMIF('Base Pay Report'!$A:$A,'Prop Budget Calc'!$A22,'Base Pay Report'!$I:$I)=80,SUMIF('Base Pay Report'!$A:$A,'Prop Budget Calc'!$A22,'Base Pay Report'!$H:$H)/SUMIF('Base Pay Report'!$A:$A,'Prop Budget Calc'!$A22,'Base Pay Report'!$I:$I),SUMIF('Base Pay Report'!$A:$A,'Prop Budget Calc'!$A22,'Base Pay Report'!$H:$H))</f>
        <v>33.630000000000003</v>
      </c>
      <c r="M22" s="3">
        <f t="shared" si="37"/>
        <v>2080</v>
      </c>
      <c r="N22" s="3" t="str">
        <f>IF(IFERROR(VLOOKUP($A22,'Base Pay Report'!$A:$V,'Prop Budget Calc'!N$2,FALSE),"NO")="No","Update",(VLOOKUP($A22,'Base Pay Report'!$A:$V,'Prop Budget Calc'!N$2,FALSE)))</f>
        <v>FT HOURLY - PD-SPDO 12</v>
      </c>
      <c r="O22" s="6">
        <f t="shared" si="38"/>
        <v>69960</v>
      </c>
      <c r="P22" s="99">
        <f>IF(SUMIF('Base Pay Report'!A:A,$A22,'Base Pay Report'!J:J)=0,$P$1+40,SUMIF('Base Pay Report'!A:A,$A22,'Base Pay Report'!J:J))</f>
        <v>44977</v>
      </c>
      <c r="Q22" s="87">
        <f>IF($B22='Current Step Plans'!$B$36,HLOOKUP('Prop Budget Calc'!$L22,'Current Step Plans'!$C$36:$Q$42,7,FALSE),IF($B22='Current Step Plans'!$B$37,HLOOKUP('Prop Budget Calc'!$L22,'Current Step Plans'!$C$37:$Q$42,6,FALSE),IF($B22='Current Step Plans'!$B$38,HLOOKUP('Prop Budget Calc'!$L22,'Current Step Plans'!$C$38:$Q$42,5,FALSE),IF($B22='Current Step Plans'!$B$39,HLOOKUP('Prop Budget Calc'!$L22,'Current Step Plans'!$C$39:$Q$42,4,FALSE),IF($B22='Current Step Plans'!$B$40,HLOOKUP('Prop Budget Calc'!$L22,'Current Step Plans'!$C$40:$Q$42,3,FALSE),IF($B22='Current Step Plans'!$B$41,HLOOKUP('Prop Budget Calc'!$L22,'Current Step Plans'!$C$41:$Q$42,2,FALSE),IF($B22='Current Step Plans'!$B$50,HLOOKUP('Prop Budget Calc'!$L22,'Current Step Plans'!$C$50:$Q$56,7,FALSE),IF($B22='Current Step Plans'!$B$51,HLOOKUP('Prop Budget Calc'!$L22,'Current Step Plans'!$C$51:$Q$56,6,FALSE),IF($B22='Current Step Plans'!$B$52,HLOOKUP('Prop Budget Calc'!$L22,'Current Step Plans'!$C$52:$Q$56,5,FALSE), IF($B22='Current Step Plans'!$B$53,HLOOKUP('Prop Budget Calc'!$L22,'Current Step Plans'!$C$53:$Q$56,4,FALSE),IF($B22='Current Step Plans'!$B$54,HLOOKUP('Prop Budget Calc'!$L22,'Current Step Plans'!$C$54:$Q$56,3,FALSE),IF($B22='Current Step Plans'!$B$55,HLOOKUP('Prop Budget Calc'!$L22,'Current Step Plans'!$C$55:$Q$56,2,FALSE),IF($B22='Current Step Plans'!$B$65,HLOOKUP('Prop Budget Calc'!$L22,'Current Step Plans'!$C$65:$Q$75,11,FALSE),IF($B22='Current Step Plans'!$B$66,HLOOKUP('Prop Budget Calc'!$L22,'Current Step Plans'!$C$66:$Q$75,10,FALSE),IF($B22='Current Step Plans'!$B$67,HLOOKUP('Prop Budget Calc'!$L22,'Current Step Plans'!$C$67:$Q$75,9,FALSE),IF($B22='Current Step Plans'!$B$68,HLOOKUP('Prop Budget Calc'!$L22,'Current Step Plans'!$C$68:$Q$75,8,FALSE),IF($B22='Current Step Plans'!$B$69,HLOOKUP('Prop Budget Calc'!$L22,'Current Step Plans'!$C$69:$Q$75,7,FALSE),IF($B22='Current Step Plans'!$B$70,HLOOKUP('Prop Budget Calc'!$L22,'Current Step Plans'!$C$70:$Q$75,6,FALSE),IF($B22='Current Step Plans'!$B$71,HLOOKUP('Prop Budget Calc'!$L22,'Current Step Plans'!$C$71:$Q$75,5,FALSE),IF($B22='Current Step Plans'!$B$72,HLOOKUP('Prop Budget Calc'!$L22,'Current Step Plans'!$C$72:$Q$75,4,FALSE),IF($B22='Current Step Plans'!$B$73,HLOOKUP('Prop Budget Calc'!$L22,'Current Step Plans'!$C$73:$Q$75,3,FALSE),IF($B22='Current Step Plans'!$B$74,HLOOKUP('Prop Budget Calc'!$L22,'Current Step Plans'!$C$74:$Q$75,2,FALSE),"N"))))))))))))))))))))))</f>
        <v>2</v>
      </c>
      <c r="R22" s="9" t="str">
        <f t="shared" si="39"/>
        <v>Y</v>
      </c>
      <c r="S22" s="6">
        <f>IF(Q22="n",0,ROUNDUP(VLOOKUP(B22,'Proposed Step Plans'!B:T,'Prop Budget Calc'!Q22+2,FALSE)*M22,-2)-O22-T22)</f>
        <v>3656</v>
      </c>
      <c r="T22" s="6">
        <f>IF(Q22="n",0,ROUNDUP(VLOOKUP(B22,'Current Step Plans'!B:T,'Prop Budget Calc'!Q22+2,FALSE)*M22,0)-O22)</f>
        <v>1384</v>
      </c>
      <c r="U22" s="6">
        <f>IF(IFERROR(VLOOKUP($A22,'Market Study'!$A$5:$G$82,7,FALSE),"NA")="NA",0,VLOOKUP($A22,'Market Study'!$A$5:$G$82,7,FALSE))</f>
        <v>0</v>
      </c>
      <c r="V22" s="6">
        <f>IF(OR($T22&lt;&gt;0,$I22="50112",$I22="50109",$S22&lt;&gt;0),0,VLOOKUP($K22,Scenarios!$A$17:$F$73,6,FALSE)*$O22)</f>
        <v>0</v>
      </c>
      <c r="W22" s="6">
        <f t="shared" si="40"/>
        <v>0</v>
      </c>
      <c r="X22" s="6">
        <f>IF(OR($T22&lt;&gt;0,$I22="50112",$I22="50109",$S22&lt;&gt;0),0,VLOOKUP($K22,Scenarios!$A$17:$F$73,2,FALSE)*$O22)</f>
        <v>0</v>
      </c>
      <c r="Y22" s="6">
        <f>IF(OR($T22&lt;&gt;0,$I22="50110",$I22="50109",$S22&lt;&gt;0),0,VLOOKUP($K22,Scenarios!$A$17:$F$73,3,FALSE))</f>
        <v>0</v>
      </c>
      <c r="Z22" s="6">
        <f>IF(OR($T22&lt;&gt;0,$I22="50112",$I22="50109",$S22&lt;&gt;0),0,VLOOKUP($K22,Scenarios!$A$17:$F$73,4,FALSE))</f>
        <v>0</v>
      </c>
      <c r="AA22" s="6">
        <f t="shared" si="41"/>
        <v>0</v>
      </c>
      <c r="AB22" s="6">
        <f>IF(OR($T22&lt;&gt;0,$I22="50112",$I22="50109",$S22&lt;&gt;0),0,VLOOKUP($K22,Scenarios!$A$17:$F$73,5,FALSE))</f>
        <v>0</v>
      </c>
      <c r="AC22" s="6">
        <f t="shared" si="42"/>
        <v>0</v>
      </c>
      <c r="AD22" s="6">
        <f t="shared" si="43"/>
        <v>75000</v>
      </c>
      <c r="AE22" s="84">
        <f t="shared" si="44"/>
        <v>7.2041166380788946E-2</v>
      </c>
      <c r="AF22" s="6">
        <f t="shared" si="45"/>
        <v>22.666666666666668</v>
      </c>
      <c r="AG22" s="6">
        <f>IF(AND(OR(I22="50101",I22="50102"),$AF22&gt;12),IF($AF22&gt;=300,(300*Scenarios!$B$14)*$E22,($AF22*Scenarios!$B$14)*$E22),0)</f>
        <v>113.33333333333334</v>
      </c>
      <c r="AH22" s="6">
        <f>IF($R22="y",IF($T22&gt;0,Scenarios!$B$10*'Prop Budget Calc'!$E22,Scenarios!$B$13*'Prop Budget Calc'!$E22))</f>
        <v>0</v>
      </c>
      <c r="AI22" s="6">
        <f>SUMIFS('Deduction Valuation'!$G:$G,'Deduction Valuation'!$F:$F,"CT - Certifications",'Deduction Valuation'!$B:$B,'Prop Budget Calc'!$A22)*$AI$3</f>
        <v>0</v>
      </c>
      <c r="AJ22" s="6">
        <f>SUMIFS('Deduction Valuation'!$G:$G,'Deduction Valuation'!$F:$F,"RP - Regional Pay",'Deduction Valuation'!$B:$B,'Prop Budget Calc'!$A22)*$AI$3</f>
        <v>0</v>
      </c>
      <c r="AK22" s="6">
        <f t="shared" si="46"/>
        <v>0</v>
      </c>
      <c r="AL22" s="6">
        <f>SUMIFS('Deduction Valuation'!$G:$G,'Deduction Valuation'!$F:$F,"CR - Car Allowance",'Deduction Valuation'!$B:$B,'Prop Budget Calc'!$A22)*$AI$3</f>
        <v>0</v>
      </c>
      <c r="AM22" s="6">
        <f>SUMIFS('Deduction Valuation'!$G:$G,'Deduction Valuation'!$F:$F,"DA - Device Allow",'Deduction Valuation'!$B:$B,'Prop Budget Calc'!$A22)*$AI$3</f>
        <v>0</v>
      </c>
      <c r="AN22" s="6">
        <f>SUMIFS('Deduction Valuation'!$G:$G,'Deduction Valuation'!$F:$F,"RA - Replace Allow",'Deduction Valuation'!$B:$B,'Prop Budget Calc'!$A22)</f>
        <v>0</v>
      </c>
      <c r="AO22" s="94">
        <f t="shared" si="47"/>
        <v>0</v>
      </c>
      <c r="AP22" s="94">
        <f t="shared" si="48"/>
        <v>75113.333333333328</v>
      </c>
      <c r="AQ22" s="10">
        <f>IF(OR($I22="50101", $I22="50102", $I22="50109", $I22="50140"),AP22*Scenarios!$H$8,0)</f>
        <v>12724.198666666665</v>
      </c>
      <c r="AR22" s="9">
        <f>VLOOKUP($D22,WKCMP!$A$1:$C$15,3,FALSE)*AP22</f>
        <v>1183.6659519999998</v>
      </c>
      <c r="AS22" s="10">
        <f t="shared" si="49"/>
        <v>1089.1433333333334</v>
      </c>
      <c r="AT22" s="11">
        <f t="shared" si="50"/>
        <v>4657.0266666666666</v>
      </c>
      <c r="AU22" s="10">
        <f t="shared" si="51"/>
        <v>5750</v>
      </c>
      <c r="AV22" s="6">
        <f t="shared" si="52"/>
        <v>135.20399999999998</v>
      </c>
      <c r="AW22" s="19">
        <f t="shared" si="53"/>
        <v>79.2</v>
      </c>
      <c r="AX22" s="19">
        <f t="shared" si="54"/>
        <v>15.6</v>
      </c>
      <c r="AY22" s="19">
        <f t="shared" si="55"/>
        <v>11.28</v>
      </c>
      <c r="AZ22" s="88">
        <f t="shared" si="56"/>
        <v>241.28399999999999</v>
      </c>
      <c r="BA22" s="6">
        <f>IF(AND($C22="vacant vacant",$E22=1),$BA$2*$AZ$3,SUMIFS('Employee Enrollments'!$AE:$AE,'Employee Enrollments'!$S:$S,"Medical HDHP",'Employee Enrollments'!$C:$C,'Prop Budget Calc'!$A22)*$AZ$3*(1+Scenarios!$E$9))*(1-$BA$3)</f>
        <v>9797.7907439999999</v>
      </c>
      <c r="BB22" s="6">
        <f>IF(AND($C22="vacant vacant",$E22=1),500,SUMIFS('Employee Enrollments'!$AE:$AE,'Employee Enrollments'!$S:$S,"Health Savings Account",'Employee Enrollments'!$C:$C,'Prop Budget Calc'!$A22))</f>
        <v>500.05</v>
      </c>
      <c r="BC22" s="56">
        <f t="shared" si="57"/>
        <v>10297.840743999999</v>
      </c>
      <c r="BD22" s="6">
        <f>IF(AND($C22="vacant vacant",$E22=1),$BD$2*$AZ$3,SUMIFS('Employee Enrollments'!$AE:$AE,'Employee Enrollments'!$S:$S,"Dental Plan",'Employee Enrollments'!$C:$C,'Prop Budget Calc'!$A22)*$AZ$3)</f>
        <v>434.76</v>
      </c>
      <c r="BE22" s="6">
        <f t="shared" si="58"/>
        <v>10973.884743999999</v>
      </c>
      <c r="BF22" s="6">
        <f t="shared" si="59"/>
        <v>30631.749362666662</v>
      </c>
      <c r="BG22" s="6">
        <f t="shared" si="60"/>
        <v>105745.082696</v>
      </c>
      <c r="BH22" s="14"/>
      <c r="BI22" s="56"/>
      <c r="BJ22" s="93">
        <f t="shared" si="61"/>
        <v>10449.415200000001</v>
      </c>
      <c r="BK22" s="10">
        <f>IF(SUMIFS('Employee Enrollments'!AB:AB,'Employee Enrollments'!C:C,'Prop Budget Calc'!$A22,'Employee Enrollments'!Q:Q,"Medical")*12=0,'Employee Enrollments'!$AN$1,(SUMIFS('Employee Enrollments'!AB:AB,'Employee Enrollments'!C:C,'Prop Budget Calc'!$A22,'Employee Enrollments'!Q:Q,"Medical")*12))</f>
        <v>348.6</v>
      </c>
      <c r="BL22" s="10">
        <f>SUMIFS('Employee Enrollments'!AB:AB,'Employee Enrollments'!C:C,'Prop Budget Calc'!$A22,'Employee Enrollments'!Q:Q,"Dental")*12</f>
        <v>0</v>
      </c>
    </row>
    <row r="23" spans="1:64" ht="12.75" customHeight="1">
      <c r="A23" s="20" t="s">
        <v>1472</v>
      </c>
      <c r="B23" s="3" t="str">
        <f>IF(IFERROR(VLOOKUP($A23,'Base Pay Report'!$A:$V,'Prop Budget Calc'!B$2,FALSE),"NO")="No","Update",PROPER(VLOOKUP($A23,'Base Pay Report'!$A:$V,'Prop Budget Calc'!B$2,FALSE)))</f>
        <v>Criminal Investigator</v>
      </c>
      <c r="C23" s="3" t="str">
        <f>IF(IFERROR(VLOOKUP($A23,'Base Pay Report'!$A:$V,'Prop Budget Calc'!C$2,FALSE),"NO")="No","Update",PROPER(VLOOKUP($A23,'Base Pay Report'!$A:$V,'Prop Budget Calc'!C$2,FALSE)))</f>
        <v>First Name Last Name</v>
      </c>
      <c r="D23" s="3" t="str">
        <f>IF(IFERROR(VLOOKUP($A23,'Base Pay Report'!$A:$V,'Prop Budget Calc'!D$2,FALSE),"NO")="No","Update",PROPER(VLOOKUP($A23,'Base Pay Report'!$A:$V,'Prop Budget Calc'!D$2,FALSE)))</f>
        <v>7720</v>
      </c>
      <c r="E23" s="8">
        <f t="shared" si="31"/>
        <v>1</v>
      </c>
      <c r="F23" s="3" t="str">
        <f>IF(IFERROR(VLOOKUP($A23,'Base Pay Report'!$A:$V,'Prop Budget Calc'!F$2,FALSE),"NO")="No","Update",PROPER(VLOOKUP($A23,'Base Pay Report'!$A:$V,'Prop Budget Calc'!F$2,FALSE)))</f>
        <v>100-30-302-50102</v>
      </c>
      <c r="G23" s="3" t="str">
        <f t="shared" si="32"/>
        <v>100-30-302</v>
      </c>
      <c r="H23" s="49" t="str">
        <f t="shared" si="33"/>
        <v>100</v>
      </c>
      <c r="I23" s="3" t="str">
        <f t="shared" si="34"/>
        <v>50102</v>
      </c>
      <c r="J23" s="3" t="str">
        <f t="shared" si="35"/>
        <v>30</v>
      </c>
      <c r="K23" s="3" t="str">
        <f t="shared" si="36"/>
        <v>302</v>
      </c>
      <c r="L23" s="3">
        <f>IF(SUMIF('Base Pay Report'!$A:$A,'Prop Budget Calc'!$A23,'Base Pay Report'!$I:$I)=80,SUMIF('Base Pay Report'!$A:$A,'Prop Budget Calc'!$A23,'Base Pay Report'!$H:$H)/SUMIF('Base Pay Report'!$A:$A,'Prop Budget Calc'!$A23,'Base Pay Report'!$I:$I),SUMIF('Base Pay Report'!$A:$A,'Prop Budget Calc'!$A23,'Base Pay Report'!$H:$H))</f>
        <v>41.83</v>
      </c>
      <c r="M23" s="3">
        <f t="shared" si="37"/>
        <v>2080</v>
      </c>
      <c r="N23" s="3" t="str">
        <f>IF(IFERROR(VLOOKUP($A23,'Base Pay Report'!$A:$V,'Prop Budget Calc'!N$2,FALSE),"NO")="No","Update",(VLOOKUP($A23,'Base Pay Report'!$A:$V,'Prop Budget Calc'!N$2,FALSE)))</f>
        <v>FT HOURLY - PD-SPDO 8</v>
      </c>
      <c r="O23" s="6">
        <f t="shared" si="38"/>
        <v>87010</v>
      </c>
      <c r="P23" s="99">
        <f>IF(SUMIF('Base Pay Report'!A:A,$A23,'Base Pay Report'!J:J)=0,$P$1+40,SUMIF('Base Pay Report'!A:A,$A23,'Base Pay Report'!J:J))</f>
        <v>39279</v>
      </c>
      <c r="Q23" s="87">
        <f>IF($B23='Current Step Plans'!$B$36,HLOOKUP('Prop Budget Calc'!$L23,'Current Step Plans'!$C$36:$Q$42,7,FALSE),IF($B23='Current Step Plans'!$B$37,HLOOKUP('Prop Budget Calc'!$L23,'Current Step Plans'!$C$37:$Q$42,6,FALSE),IF($B23='Current Step Plans'!$B$38,HLOOKUP('Prop Budget Calc'!$L23,'Current Step Plans'!$C$38:$Q$42,5,FALSE),IF($B23='Current Step Plans'!$B$39,HLOOKUP('Prop Budget Calc'!$L23,'Current Step Plans'!$C$39:$Q$42,4,FALSE),IF($B23='Current Step Plans'!$B$40,HLOOKUP('Prop Budget Calc'!$L23,'Current Step Plans'!$C$40:$Q$42,3,FALSE),IF($B23='Current Step Plans'!$B$41,HLOOKUP('Prop Budget Calc'!$L23,'Current Step Plans'!$C$41:$Q$42,2,FALSE),IF($B23='Current Step Plans'!$B$50,HLOOKUP('Prop Budget Calc'!$L23,'Current Step Plans'!$C$50:$Q$56,7,FALSE),IF($B23='Current Step Plans'!$B$51,HLOOKUP('Prop Budget Calc'!$L23,'Current Step Plans'!$C$51:$Q$56,6,FALSE),IF($B23='Current Step Plans'!$B$52,HLOOKUP('Prop Budget Calc'!$L23,'Current Step Plans'!$C$52:$Q$56,5,FALSE), IF($B23='Current Step Plans'!$B$53,HLOOKUP('Prop Budget Calc'!$L23,'Current Step Plans'!$C$53:$Q$56,4,FALSE),IF($B23='Current Step Plans'!$B$54,HLOOKUP('Prop Budget Calc'!$L23,'Current Step Plans'!$C$54:$Q$56,3,FALSE),IF($B23='Current Step Plans'!$B$55,HLOOKUP('Prop Budget Calc'!$L23,'Current Step Plans'!$C$55:$Q$56,2,FALSE),IF($B23='Current Step Plans'!$B$65,HLOOKUP('Prop Budget Calc'!$L23,'Current Step Plans'!$C$65:$Q$75,11,FALSE),IF($B23='Current Step Plans'!$B$66,HLOOKUP('Prop Budget Calc'!$L23,'Current Step Plans'!$C$66:$Q$75,10,FALSE),IF($B23='Current Step Plans'!$B$67,HLOOKUP('Prop Budget Calc'!$L23,'Current Step Plans'!$C$67:$Q$75,9,FALSE),IF($B23='Current Step Plans'!$B$68,HLOOKUP('Prop Budget Calc'!$L23,'Current Step Plans'!$C$68:$Q$75,8,FALSE),IF($B23='Current Step Plans'!$B$69,HLOOKUP('Prop Budget Calc'!$L23,'Current Step Plans'!$C$69:$Q$75,7,FALSE),IF($B23='Current Step Plans'!$B$70,HLOOKUP('Prop Budget Calc'!$L23,'Current Step Plans'!$C$70:$Q$75,6,FALSE),IF($B23='Current Step Plans'!$B$71,HLOOKUP('Prop Budget Calc'!$L23,'Current Step Plans'!$C$71:$Q$75,5,FALSE),IF($B23='Current Step Plans'!$B$72,HLOOKUP('Prop Budget Calc'!$L23,'Current Step Plans'!$C$72:$Q$75,4,FALSE),IF($B23='Current Step Plans'!$B$73,HLOOKUP('Prop Budget Calc'!$L23,'Current Step Plans'!$C$73:$Q$75,3,FALSE),IF($B23='Current Step Plans'!$B$74,HLOOKUP('Prop Budget Calc'!$L23,'Current Step Plans'!$C$74:$Q$75,2,FALSE),"N"))))))))))))))))))))))</f>
        <v>13</v>
      </c>
      <c r="R23" s="9" t="str">
        <f t="shared" si="39"/>
        <v>Y</v>
      </c>
      <c r="S23" s="6">
        <f>IF(Q23="n",0,ROUNDUP(VLOOKUP(B23,'Proposed Step Plans'!B:T,'Prop Budget Calc'!Q23+2,FALSE)*M23,-2)-O23-T23)</f>
        <v>3593</v>
      </c>
      <c r="T23" s="6">
        <f>IF(Q23="n",0,ROUNDUP(VLOOKUP(B23,'Current Step Plans'!B:T,'Prop Budget Calc'!Q23+2,FALSE)*M23,0)-O23)</f>
        <v>-3</v>
      </c>
      <c r="U23" s="6">
        <f>IF(IFERROR(VLOOKUP($A23,'Market Study'!$A$5:$G$82,7,FALSE),"NA")="NA",0,VLOOKUP($A23,'Market Study'!$A$5:$G$82,7,FALSE))</f>
        <v>0</v>
      </c>
      <c r="V23" s="6">
        <f>IF(OR($T23&lt;&gt;0,$I23="50112",$I23="50109",$S23&lt;&gt;0),0,VLOOKUP($K23,Scenarios!$A$17:$F$73,6,FALSE)*$O23)</f>
        <v>0</v>
      </c>
      <c r="W23" s="6">
        <f t="shared" si="40"/>
        <v>0</v>
      </c>
      <c r="X23" s="6">
        <f>IF(OR($T23&lt;&gt;0,$I23="50112",$I23="50109",$S23&lt;&gt;0),0,VLOOKUP($K23,Scenarios!$A$17:$F$73,2,FALSE)*$O23)</f>
        <v>0</v>
      </c>
      <c r="Y23" s="6">
        <f>IF(OR($T23&lt;&gt;0,$I23="50110",$I23="50109",$S23&lt;&gt;0),0,VLOOKUP($K23,Scenarios!$A$17:$F$73,3,FALSE))</f>
        <v>0</v>
      </c>
      <c r="Z23" s="6">
        <f>IF(OR($T23&lt;&gt;0,$I23="50112",$I23="50109",$S23&lt;&gt;0),0,VLOOKUP($K23,Scenarios!$A$17:$F$73,4,FALSE))</f>
        <v>0</v>
      </c>
      <c r="AA23" s="6">
        <f t="shared" si="41"/>
        <v>0</v>
      </c>
      <c r="AB23" s="6">
        <f>IF(OR($T23&lt;&gt;0,$I23="50112",$I23="50109",$S23&lt;&gt;0),0,VLOOKUP($K23,Scenarios!$A$17:$F$73,5,FALSE))</f>
        <v>0</v>
      </c>
      <c r="AC23" s="6">
        <f t="shared" si="42"/>
        <v>0</v>
      </c>
      <c r="AD23" s="6">
        <f t="shared" si="43"/>
        <v>90600</v>
      </c>
      <c r="AE23" s="84">
        <f t="shared" si="44"/>
        <v>4.1259625330421823E-2</v>
      </c>
      <c r="AF23" s="6">
        <f t="shared" si="45"/>
        <v>212.6</v>
      </c>
      <c r="AG23" s="6">
        <f>IF(AND(OR(I23="50101",I23="50102"),$AF23&gt;12),IF($AF23&gt;=300,(300*Scenarios!$B$14)*$E23,($AF23*Scenarios!$B$14)*$E23),0)</f>
        <v>1063</v>
      </c>
      <c r="AH23" s="6">
        <f>IF($R23="y",IF($T23&gt;0,Scenarios!$B$10*'Prop Budget Calc'!$E23,Scenarios!$B$13*'Prop Budget Calc'!$E23))</f>
        <v>0</v>
      </c>
      <c r="AI23" s="6">
        <f>SUMIFS('Deduction Valuation'!$G:$G,'Deduction Valuation'!$F:$F,"CT - Certifications",'Deduction Valuation'!$B:$B,'Prop Budget Calc'!$A23)*$AI$3</f>
        <v>1200</v>
      </c>
      <c r="AJ23" s="6">
        <f>SUMIFS('Deduction Valuation'!$G:$G,'Deduction Valuation'!$F:$F,"RP - Regional Pay",'Deduction Valuation'!$B:$B,'Prop Budget Calc'!$A23)*$AI$3</f>
        <v>0</v>
      </c>
      <c r="AK23" s="6">
        <f t="shared" si="46"/>
        <v>1200</v>
      </c>
      <c r="AL23" s="6">
        <f>SUMIFS('Deduction Valuation'!$G:$G,'Deduction Valuation'!$F:$F,"CR - Car Allowance",'Deduction Valuation'!$B:$B,'Prop Budget Calc'!$A23)*$AI$3</f>
        <v>0</v>
      </c>
      <c r="AM23" s="6">
        <f>SUMIFS('Deduction Valuation'!$G:$G,'Deduction Valuation'!$F:$F,"DA - Device Allow",'Deduction Valuation'!$B:$B,'Prop Budget Calc'!$A23)*$AI$3</f>
        <v>0</v>
      </c>
      <c r="AN23" s="6">
        <f>SUMIFS('Deduction Valuation'!$G:$G,'Deduction Valuation'!$F:$F,"RA - Replace Allow",'Deduction Valuation'!$B:$B,'Prop Budget Calc'!$A23)</f>
        <v>0</v>
      </c>
      <c r="AO23" s="94">
        <f t="shared" si="47"/>
        <v>0</v>
      </c>
      <c r="AP23" s="94">
        <f t="shared" si="48"/>
        <v>92863</v>
      </c>
      <c r="AQ23" s="10">
        <f>IF(OR($I23="50101", $I23="50102", $I23="50109", $I23="50140"),AP23*Scenarios!$H$8,0)</f>
        <v>15730.992199999999</v>
      </c>
      <c r="AR23" s="9">
        <f>VLOOKUP($D23,WKCMP!$A$1:$C$15,3,FALSE)*AP23</f>
        <v>1463.3722991999998</v>
      </c>
      <c r="AS23" s="10">
        <f t="shared" si="49"/>
        <v>1346.5135</v>
      </c>
      <c r="AT23" s="11">
        <f t="shared" si="50"/>
        <v>5757.5060000000003</v>
      </c>
      <c r="AU23" s="10">
        <f t="shared" si="51"/>
        <v>7110</v>
      </c>
      <c r="AV23" s="6">
        <f t="shared" si="52"/>
        <v>167.1534</v>
      </c>
      <c r="AW23" s="19">
        <f t="shared" si="53"/>
        <v>79.2</v>
      </c>
      <c r="AX23" s="19">
        <f t="shared" si="54"/>
        <v>15.6</v>
      </c>
      <c r="AY23" s="19">
        <f t="shared" si="55"/>
        <v>11.28</v>
      </c>
      <c r="AZ23" s="88">
        <f t="shared" si="56"/>
        <v>273.23340000000002</v>
      </c>
      <c r="BA23" s="6">
        <f>IF(AND($C23="vacant vacant",$E23=1),$BA$2*$AZ$3,SUMIFS('Employee Enrollments'!$AE:$AE,'Employee Enrollments'!$S:$S,"Medical HDHP",'Employee Enrollments'!$C:$C,'Prop Budget Calc'!$A23)*$AZ$3*(1+Scenarios!$E$9))*(1-$BA$3)</f>
        <v>15681.356784</v>
      </c>
      <c r="BB23" s="6">
        <f>IF(AND($C23="vacant vacant",$E23=1),500,SUMIFS('Employee Enrollments'!$AE:$AE,'Employee Enrollments'!$S:$S,"Health Savings Account",'Employee Enrollments'!$C:$C,'Prop Budget Calc'!$A23))</f>
        <v>1000</v>
      </c>
      <c r="BC23" s="56">
        <f t="shared" si="57"/>
        <v>16681.356784</v>
      </c>
      <c r="BD23" s="6">
        <f>IF(AND($C23="vacant vacant",$E23=1),$BD$2*$AZ$3,SUMIFS('Employee Enrollments'!$AE:$AE,'Employee Enrollments'!$S:$S,"Dental Plan",'Employee Enrollments'!$C:$C,'Prop Budget Calc'!$A23)*$AZ$3)</f>
        <v>843.48</v>
      </c>
      <c r="BE23" s="6">
        <f t="shared" si="58"/>
        <v>17798.070184</v>
      </c>
      <c r="BF23" s="6">
        <f t="shared" si="59"/>
        <v>42102.434683200001</v>
      </c>
      <c r="BG23" s="6">
        <f t="shared" si="60"/>
        <v>134965.4346832</v>
      </c>
      <c r="BH23" s="14"/>
      <c r="BI23" s="56"/>
      <c r="BJ23" s="93">
        <f t="shared" si="61"/>
        <v>19764.067200000001</v>
      </c>
      <c r="BK23" s="10">
        <f>IF(SUMIFS('Employee Enrollments'!AB:AB,'Employee Enrollments'!C:C,'Prop Budget Calc'!$A23,'Employee Enrollments'!Q:Q,"Medical")*12=0,'Employee Enrollments'!$AN$1,(SUMIFS('Employee Enrollments'!AB:AB,'Employee Enrollments'!C:C,'Prop Budget Calc'!$A23,'Employee Enrollments'!Q:Q,"Medical")*12))</f>
        <v>3597.7200000000003</v>
      </c>
      <c r="BL23" s="10">
        <f>SUMIFS('Employee Enrollments'!AB:AB,'Employee Enrollments'!C:C,'Prop Budget Calc'!$A23,'Employee Enrollments'!Q:Q,"Dental")*12</f>
        <v>364.92</v>
      </c>
    </row>
    <row r="24" spans="1:64" ht="12.75" customHeight="1">
      <c r="A24" s="529" t="s">
        <v>2437</v>
      </c>
      <c r="B24" s="3" t="str">
        <f>IF(IFERROR(VLOOKUP($A24,'Base Pay Report'!$A:$V,'Prop Budget Calc'!B$2,FALSE),"NO")="No","Update",PROPER(VLOOKUP($A24,'Base Pay Report'!$A:$V,'Prop Budget Calc'!B$2,FALSE)))</f>
        <v>Police Officer</v>
      </c>
      <c r="C24" s="3" t="str">
        <f>IF(IFERROR(VLOOKUP($A24,'Base Pay Report'!$A:$V,'Prop Budget Calc'!C$2,FALSE),"NO")="No","Update",PROPER(VLOOKUP($A24,'Base Pay Report'!$A:$V,'Prop Budget Calc'!C$2,FALSE)))</f>
        <v>First Name Last Name</v>
      </c>
      <c r="D24" s="3" t="str">
        <f>IF(IFERROR(VLOOKUP($A24,'Base Pay Report'!$A:$V,'Prop Budget Calc'!D$2,FALSE),"NO")="No","Update",PROPER(VLOOKUP($A24,'Base Pay Report'!$A:$V,'Prop Budget Calc'!D$2,FALSE)))</f>
        <v>7720</v>
      </c>
      <c r="E24" s="8">
        <f t="shared" ref="E24" si="62">IF(OR(I24="50101",I24="50102"),1,IF(I24="50110",0.48,IF(I24="50112",0.25,1)))</f>
        <v>1</v>
      </c>
      <c r="F24" s="3" t="str">
        <f>IF(IFERROR(VLOOKUP($A24,'Base Pay Report'!$A:$V,'Prop Budget Calc'!F$2,FALSE),"NO")="No","Update",PROPER(VLOOKUP($A24,'Base Pay Report'!$A:$V,'Prop Budget Calc'!F$2,FALSE)))</f>
        <v>100-30-302-50102</v>
      </c>
      <c r="G24" s="3" t="str">
        <f t="shared" ref="G24" si="63">LEFT(F24,10)</f>
        <v>100-30-302</v>
      </c>
      <c r="H24" s="49" t="str">
        <f t="shared" ref="H24" si="64">LEFT(F24,3)</f>
        <v>100</v>
      </c>
      <c r="I24" s="3" t="str">
        <f t="shared" ref="I24" si="65">MID(F24,12,5)</f>
        <v>50102</v>
      </c>
      <c r="J24" s="3" t="str">
        <f t="shared" ref="J24" si="66">MID(F24,5,2)</f>
        <v>30</v>
      </c>
      <c r="K24" s="3" t="str">
        <f t="shared" ref="K24" si="67">MID(F24,8,3)</f>
        <v>302</v>
      </c>
      <c r="L24" s="3">
        <f>IF(SUMIF('Base Pay Report'!$A:$A,'Prop Budget Calc'!$A24,'Base Pay Report'!$I:$I)=80,SUMIF('Base Pay Report'!$A:$A,'Prop Budget Calc'!$A24,'Base Pay Report'!$H:$H)/SUMIF('Base Pay Report'!$A:$A,'Prop Budget Calc'!$A24,'Base Pay Report'!$I:$I),SUMIF('Base Pay Report'!$A:$A,'Prop Budget Calc'!$A24,'Base Pay Report'!$H:$H))</f>
        <v>32.97</v>
      </c>
      <c r="M24" s="3">
        <f t="shared" si="37"/>
        <v>2080</v>
      </c>
      <c r="N24" s="3" t="str">
        <f>IF(IFERROR(VLOOKUP($A24,'Base Pay Report'!$A:$V,'Prop Budget Calc'!N$2,FALSE),"NO")="No","Update",(VLOOKUP($A24,'Base Pay Report'!$A:$V,'Prop Budget Calc'!N$2,FALSE)))</f>
        <v>FT HOURLY - PD-SPDO 8</v>
      </c>
      <c r="O24" s="6">
        <f t="shared" ref="O24" si="68">ROUNDUP(L24*M24,-1)</f>
        <v>68580</v>
      </c>
      <c r="P24" s="99">
        <f>IF(SUMIF('Base Pay Report'!A:A,$A24,'Base Pay Report'!J:J)=0,$P$1+40,SUMIF('Base Pay Report'!A:A,$A24,'Base Pay Report'!J:J))</f>
        <v>45092</v>
      </c>
      <c r="Q24" s="87">
        <f>IF($B24='Current Step Plans'!$B$36,HLOOKUP('Prop Budget Calc'!$L24,'Current Step Plans'!$C$36:$Q$42,7,FALSE),IF($B24='Current Step Plans'!$B$37,HLOOKUP('Prop Budget Calc'!$L24,'Current Step Plans'!$C$37:$Q$42,6,FALSE),IF($B24='Current Step Plans'!$B$38,HLOOKUP('Prop Budget Calc'!$L24,'Current Step Plans'!$C$38:$Q$42,5,FALSE),IF($B24='Current Step Plans'!$B$39,HLOOKUP('Prop Budget Calc'!$L24,'Current Step Plans'!$C$39:$Q$42,4,FALSE),IF($B24='Current Step Plans'!$B$40,HLOOKUP('Prop Budget Calc'!$L24,'Current Step Plans'!$C$40:$Q$42,3,FALSE),IF($B24='Current Step Plans'!$B$41,HLOOKUP('Prop Budget Calc'!$L24,'Current Step Plans'!$C$41:$Q$42,2,FALSE),IF($B24='Current Step Plans'!$B$50,HLOOKUP('Prop Budget Calc'!$L24,'Current Step Plans'!$C$50:$Q$56,7,FALSE),IF($B24='Current Step Plans'!$B$51,HLOOKUP('Prop Budget Calc'!$L24,'Current Step Plans'!$C$51:$Q$56,6,FALSE),IF($B24='Current Step Plans'!$B$52,HLOOKUP('Prop Budget Calc'!$L24,'Current Step Plans'!$C$52:$Q$56,5,FALSE), IF($B24='Current Step Plans'!$B$53,HLOOKUP('Prop Budget Calc'!$L24,'Current Step Plans'!$C$53:$Q$56,4,FALSE),IF($B24='Current Step Plans'!$B$54,HLOOKUP('Prop Budget Calc'!$L24,'Current Step Plans'!$C$54:$Q$56,3,FALSE),IF($B24='Current Step Plans'!$B$55,HLOOKUP('Prop Budget Calc'!$L24,'Current Step Plans'!$C$55:$Q$56,2,FALSE),IF($B24='Current Step Plans'!$B$65,HLOOKUP('Prop Budget Calc'!$L24,'Current Step Plans'!$C$65:$Q$75,11,FALSE),IF($B24='Current Step Plans'!$B$66,HLOOKUP('Prop Budget Calc'!$L24,'Current Step Plans'!$C$66:$Q$75,10,FALSE),IF($B24='Current Step Plans'!$B$67,HLOOKUP('Prop Budget Calc'!$L24,'Current Step Plans'!$C$67:$Q$75,9,FALSE),IF($B24='Current Step Plans'!$B$68,HLOOKUP('Prop Budget Calc'!$L24,'Current Step Plans'!$C$68:$Q$75,8,FALSE),IF($B24='Current Step Plans'!$B$69,HLOOKUP('Prop Budget Calc'!$L24,'Current Step Plans'!$C$69:$Q$75,7,FALSE),IF($B24='Current Step Plans'!$B$70,HLOOKUP('Prop Budget Calc'!$L24,'Current Step Plans'!$C$70:$Q$75,6,FALSE),IF($B24='Current Step Plans'!$B$71,HLOOKUP('Prop Budget Calc'!$L24,'Current Step Plans'!$C$71:$Q$75,5,FALSE),IF($B24='Current Step Plans'!$B$72,HLOOKUP('Prop Budget Calc'!$L24,'Current Step Plans'!$C$72:$Q$75,4,FALSE),IF($B24='Current Step Plans'!$B$73,HLOOKUP('Prop Budget Calc'!$L24,'Current Step Plans'!$C$73:$Q$75,3,FALSE),IF($B24='Current Step Plans'!$B$74,HLOOKUP('Prop Budget Calc'!$L24,'Current Step Plans'!$C$74:$Q$75,2,FALSE),"N"))))))))))))))))))))))</f>
        <v>1</v>
      </c>
      <c r="R24" s="9" t="str">
        <f t="shared" si="39"/>
        <v>N</v>
      </c>
      <c r="S24" s="6">
        <f>IF(Q24="n",0,ROUNDUP(VLOOKUP(B24,'Proposed Step Plans'!B:T,'Prop Budget Calc'!Q24+2,FALSE)*M24,-2)-O24-T24)</f>
        <v>3549</v>
      </c>
      <c r="T24" s="6">
        <f>IF(Q24="n",0,ROUNDUP(VLOOKUP(B24,'Current Step Plans'!B:T,'Prop Budget Calc'!Q24+2,FALSE)*M24,0)-O24)</f>
        <v>1371</v>
      </c>
      <c r="U24" s="6">
        <f>IF(IFERROR(VLOOKUP($A24,'Market Study'!$A$5:$G$82,7,FALSE),"NA")="NA",0,VLOOKUP($A24,'Market Study'!$A$5:$G$82,7,FALSE))</f>
        <v>0</v>
      </c>
      <c r="V24" s="6">
        <f>IF(OR($T24&lt;&gt;0,$I24="50112",$I24="50109",$S24&lt;&gt;0),0,VLOOKUP($K24,Scenarios!$A$17:$F$73,6,FALSE)*$O24)</f>
        <v>0</v>
      </c>
      <c r="W24" s="6">
        <f t="shared" si="40"/>
        <v>0</v>
      </c>
      <c r="X24" s="6">
        <f>IF(OR($T24&lt;&gt;0,$I24="50112",$I24="50109",$S24&lt;&gt;0),0,VLOOKUP($K24,Scenarios!$A$17:$F$73,2,FALSE)*$O24)</f>
        <v>0</v>
      </c>
      <c r="Y24" s="6">
        <f>IF(OR($T24&lt;&gt;0,$I24="50110",$I24="50109",$S24&lt;&gt;0),0,VLOOKUP($K24,Scenarios!$A$17:$F$73,3,FALSE))</f>
        <v>0</v>
      </c>
      <c r="Z24" s="6">
        <f>IF(OR($T24&lt;&gt;0,$I24="50112",$I24="50109",$S24&lt;&gt;0),0,VLOOKUP($K24,Scenarios!$A$17:$F$73,4,FALSE))</f>
        <v>0</v>
      </c>
      <c r="AA24" s="6">
        <f t="shared" si="41"/>
        <v>0</v>
      </c>
      <c r="AB24" s="6">
        <f>IF(OR($T24&lt;&gt;0,$I24="50112",$I24="50109",$S24&lt;&gt;0),0,VLOOKUP($K24,Scenarios!$A$17:$F$73,5,FALSE))</f>
        <v>0</v>
      </c>
      <c r="AC24" s="6">
        <f t="shared" ref="AC24" si="69">W24+AA24+AB24</f>
        <v>0</v>
      </c>
      <c r="AD24" s="6">
        <f t="shared" si="43"/>
        <v>73500</v>
      </c>
      <c r="AE24" s="84">
        <f t="shared" si="44"/>
        <v>7.1741032370953528E-2</v>
      </c>
      <c r="AF24" s="6">
        <f t="shared" si="45"/>
        <v>18.833333333333332</v>
      </c>
      <c r="AG24" s="6">
        <f>IF(AND(OR(I24="50101",I24="50102"),$AF24&gt;12),IF($AF24&gt;=300,(300*Scenarios!$B$14)*$E24,($AF24*Scenarios!$B$14)*$E24),0)</f>
        <v>94.166666666666657</v>
      </c>
      <c r="AH24" s="6" t="b">
        <f>IF($R24="y",IF($T24&gt;0,Scenarios!$B$10*'Prop Budget Calc'!$E24,Scenarios!$B$13*'Prop Budget Calc'!$E24))</f>
        <v>0</v>
      </c>
      <c r="AI24" s="6">
        <f>SUMIFS('Deduction Valuation'!$G:$G,'Deduction Valuation'!$F:$F,"CT - Certifications",'Deduction Valuation'!$B:$B,'Prop Budget Calc'!$A24)*$AI$3</f>
        <v>0</v>
      </c>
      <c r="AJ24" s="6">
        <f>SUMIFS('Deduction Valuation'!$G:$G,'Deduction Valuation'!$F:$F,"RP - Regional Pay",'Deduction Valuation'!$B:$B,'Prop Budget Calc'!$A24)*$AI$3</f>
        <v>0</v>
      </c>
      <c r="AK24" s="6">
        <f t="shared" si="46"/>
        <v>0</v>
      </c>
      <c r="AL24" s="6">
        <f>SUMIFS('Deduction Valuation'!$G:$G,'Deduction Valuation'!$F:$F,"CR - Car Allowance",'Deduction Valuation'!$B:$B,'Prop Budget Calc'!$A24)*$AI$3</f>
        <v>0</v>
      </c>
      <c r="AM24" s="6">
        <f>SUMIFS('Deduction Valuation'!$G:$G,'Deduction Valuation'!$F:$F,"DA - Device Allow",'Deduction Valuation'!$B:$B,'Prop Budget Calc'!$A24)*$AI$3</f>
        <v>0</v>
      </c>
      <c r="AN24" s="6">
        <f>SUMIFS('Deduction Valuation'!$G:$G,'Deduction Valuation'!$F:$F,"RA - Replace Allow",'Deduction Valuation'!$B:$B,'Prop Budget Calc'!$A24)</f>
        <v>0</v>
      </c>
      <c r="AO24" s="94">
        <f t="shared" si="47"/>
        <v>0</v>
      </c>
      <c r="AP24" s="94">
        <f t="shared" si="48"/>
        <v>73594.166666666672</v>
      </c>
      <c r="AQ24" s="10">
        <f>IF(OR($I24="50101", $I24="50102", $I24="50109", $I24="50140"),AP24*Scenarios!$H$8,0)</f>
        <v>12466.851833333334</v>
      </c>
      <c r="AR24" s="9">
        <f>VLOOKUP($D24,WKCMP!$A$1:$C$15,3,FALSE)*AP24</f>
        <v>1159.726316</v>
      </c>
      <c r="AS24" s="10">
        <f t="shared" si="49"/>
        <v>1067.1154166666668</v>
      </c>
      <c r="AT24" s="11">
        <f t="shared" si="50"/>
        <v>4562.838333333334</v>
      </c>
      <c r="AU24" s="10">
        <f t="shared" si="51"/>
        <v>5630</v>
      </c>
      <c r="AV24" s="6">
        <f t="shared" si="52"/>
        <v>132.46950000000001</v>
      </c>
      <c r="AW24" s="19">
        <f t="shared" si="53"/>
        <v>79.2</v>
      </c>
      <c r="AX24" s="19">
        <f t="shared" si="54"/>
        <v>15.6</v>
      </c>
      <c r="AY24" s="19">
        <f t="shared" si="55"/>
        <v>11.28</v>
      </c>
      <c r="AZ24" s="88">
        <f t="shared" si="56"/>
        <v>238.54950000000002</v>
      </c>
      <c r="BA24" s="6">
        <f>IF(AND($C24="vacant vacant",$E24=1),$BA$2*$AZ$3,SUMIFS('Employee Enrollments'!$AE:$AE,'Employee Enrollments'!$S:$S,"Medical HDHP",'Employee Enrollments'!$C:$C,'Prop Budget Calc'!$A24)*$AZ$3*(1+Scenarios!$E$9))*(1-$BA$3)</f>
        <v>9797.7907439999999</v>
      </c>
      <c r="BB24" s="6">
        <f>IF(AND($C24="vacant vacant",$E24=1),500,SUMIFS('Employee Enrollments'!$AE:$AE,'Employee Enrollments'!$S:$S,"Health Savings Account",'Employee Enrollments'!$C:$C,'Prop Budget Calc'!$A24))</f>
        <v>500.05</v>
      </c>
      <c r="BC24" s="56">
        <f t="shared" si="57"/>
        <v>10297.840743999999</v>
      </c>
      <c r="BD24" s="6">
        <f>IF(AND($C24="vacant vacant",$E24=1),$BD$2*$AZ$3,SUMIFS('Employee Enrollments'!$AE:$AE,'Employee Enrollments'!$S:$S,"Dental Plan",'Employee Enrollments'!$C:$C,'Prop Budget Calc'!$A24)*$AZ$3)</f>
        <v>434.76</v>
      </c>
      <c r="BE24" s="6">
        <f t="shared" si="58"/>
        <v>10971.150243999999</v>
      </c>
      <c r="BF24" s="6">
        <f t="shared" si="59"/>
        <v>30227.728393333331</v>
      </c>
      <c r="BG24" s="6">
        <f t="shared" si="60"/>
        <v>103821.89506000001</v>
      </c>
      <c r="BH24" s="14"/>
      <c r="BI24" s="56"/>
      <c r="BJ24" s="93">
        <f t="shared" si="61"/>
        <v>10449.415200000001</v>
      </c>
      <c r="BK24" s="10">
        <f>IF(SUMIFS('Employee Enrollments'!AB:AB,'Employee Enrollments'!C:C,'Prop Budget Calc'!$A24,'Employee Enrollments'!Q:Q,"Medical")*12=0,'Employee Enrollments'!$AN$1,(SUMIFS('Employee Enrollments'!AB:AB,'Employee Enrollments'!C:C,'Prop Budget Calc'!$A24,'Employee Enrollments'!Q:Q,"Medical")*12))</f>
        <v>348.6</v>
      </c>
      <c r="BL24" s="10">
        <f>SUMIFS('Employee Enrollments'!AB:AB,'Employee Enrollments'!C:C,'Prop Budget Calc'!$A24,'Employee Enrollments'!Q:Q,"Dental")*12</f>
        <v>0</v>
      </c>
    </row>
    <row r="25" spans="1:64" ht="12.75" customHeight="1">
      <c r="A25" s="535" t="s">
        <v>2493</v>
      </c>
      <c r="B25" s="3" t="str">
        <f>IF(IFERROR(VLOOKUP($A25,'Base Pay Report'!$A:$V,'Prop Budget Calc'!B$2,FALSE),"NO")="No","Update",PROPER(VLOOKUP($A25,'Base Pay Report'!$A:$V,'Prop Budget Calc'!B$2,FALSE)))</f>
        <v>Emergency Communications Specialist</v>
      </c>
      <c r="C25" s="3" t="str">
        <f>IF(IFERROR(VLOOKUP($A25,'Base Pay Report'!$A:$V,'Prop Budget Calc'!C$2,FALSE),"NO")="No","Update",PROPER(VLOOKUP($A25,'Base Pay Report'!$A:$V,'Prop Budget Calc'!C$2,FALSE)))</f>
        <v>First Name Last Name</v>
      </c>
      <c r="D25" s="3" t="str">
        <f>IF(IFERROR(VLOOKUP($A25,'Base Pay Report'!$A:$V,'Prop Budget Calc'!D$2,FALSE),"NO")="No","Update",PROPER(VLOOKUP($A25,'Base Pay Report'!$A:$V,'Prop Budget Calc'!D$2,FALSE)))</f>
        <v>8810</v>
      </c>
      <c r="E25" s="8">
        <f t="shared" si="31"/>
        <v>1</v>
      </c>
      <c r="F25" s="3" t="str">
        <f>IF(IFERROR(VLOOKUP($A25,'Base Pay Report'!$A:$V,'Prop Budget Calc'!F$2,FALSE),"NO")="No","Update",PROPER(VLOOKUP($A25,'Base Pay Report'!$A:$V,'Prop Budget Calc'!F$2,FALSE)))</f>
        <v>100-30-303-50102</v>
      </c>
      <c r="G25" s="3" t="str">
        <f t="shared" si="32"/>
        <v>100-30-303</v>
      </c>
      <c r="H25" s="49" t="str">
        <f t="shared" si="33"/>
        <v>100</v>
      </c>
      <c r="I25" s="3" t="str">
        <f t="shared" si="34"/>
        <v>50102</v>
      </c>
      <c r="J25" s="3" t="str">
        <f t="shared" si="35"/>
        <v>30</v>
      </c>
      <c r="K25" s="3" t="str">
        <f t="shared" si="36"/>
        <v>303</v>
      </c>
      <c r="L25" s="3">
        <f>IF(SUMIF('Base Pay Report'!$A:$A,'Prop Budget Calc'!$A25,'Base Pay Report'!$I:$I)=80,SUMIF('Base Pay Report'!$A:$A,'Prop Budget Calc'!$A25,'Base Pay Report'!$H:$H)/SUMIF('Base Pay Report'!$A:$A,'Prop Budget Calc'!$A25,'Base Pay Report'!$I:$I),SUMIF('Base Pay Report'!$A:$A,'Prop Budget Calc'!$A25,'Base Pay Report'!$H:$H))</f>
        <v>24.97</v>
      </c>
      <c r="M25" s="3">
        <f t="shared" si="37"/>
        <v>2080</v>
      </c>
      <c r="N25" s="3" t="str">
        <f>IF(IFERROR(VLOOKUP($A25,'Base Pay Report'!$A:$V,'Prop Budget Calc'!N$2,FALSE),"NO")="No","Update",(VLOOKUP($A25,'Base Pay Report'!$A:$V,'Prop Budget Calc'!N$2,FALSE)))</f>
        <v>FT HOURLY - PD 12</v>
      </c>
      <c r="O25" s="6">
        <f t="shared" si="38"/>
        <v>51940</v>
      </c>
      <c r="P25" s="99">
        <f>IF(SUMIF('Base Pay Report'!A:A,$A25,'Base Pay Report'!J:J)=0,$P$1+40,SUMIF('Base Pay Report'!A:A,$A25,'Base Pay Report'!J:J))</f>
        <v>45201</v>
      </c>
      <c r="Q25" s="87">
        <f>IF($B25='Current Step Plans'!$B$36,HLOOKUP('Prop Budget Calc'!$L25,'Current Step Plans'!$C$36:$Q$42,7,FALSE),IF($B25='Current Step Plans'!$B$37,HLOOKUP('Prop Budget Calc'!$L25,'Current Step Plans'!$C$37:$Q$42,6,FALSE),IF($B25='Current Step Plans'!$B$38,HLOOKUP('Prop Budget Calc'!$L25,'Current Step Plans'!$C$38:$Q$42,5,FALSE),IF($B25='Current Step Plans'!$B$39,HLOOKUP('Prop Budget Calc'!$L25,'Current Step Plans'!$C$39:$Q$42,4,FALSE),IF($B25='Current Step Plans'!$B$40,HLOOKUP('Prop Budget Calc'!$L25,'Current Step Plans'!$C$40:$Q$42,3,FALSE),IF($B25='Current Step Plans'!$B$41,HLOOKUP('Prop Budget Calc'!$L25,'Current Step Plans'!$C$41:$Q$42,2,FALSE),IF($B25='Current Step Plans'!$B$50,HLOOKUP('Prop Budget Calc'!$L25,'Current Step Plans'!$C$50:$Q$56,7,FALSE),IF($B25='Current Step Plans'!$B$51,HLOOKUP('Prop Budget Calc'!$L25,'Current Step Plans'!$C$51:$Q$56,6,FALSE),IF($B25='Current Step Plans'!$B$52,HLOOKUP('Prop Budget Calc'!$L25,'Current Step Plans'!$C$52:$Q$56,5,FALSE), IF($B25='Current Step Plans'!$B$53,HLOOKUP('Prop Budget Calc'!$L25,'Current Step Plans'!$C$53:$Q$56,4,FALSE),IF($B25='Current Step Plans'!$B$54,HLOOKUP('Prop Budget Calc'!$L25,'Current Step Plans'!$C$54:$Q$56,3,FALSE),IF($B25='Current Step Plans'!$B$55,HLOOKUP('Prop Budget Calc'!$L25,'Current Step Plans'!$C$55:$Q$56,2,FALSE),IF($B25='Current Step Plans'!$B$65,HLOOKUP('Prop Budget Calc'!$L25,'Current Step Plans'!$C$65:$Q$75,11,FALSE),IF($B25='Current Step Plans'!$B$66,HLOOKUP('Prop Budget Calc'!$L25,'Current Step Plans'!$C$66:$Q$75,10,FALSE),IF($B25='Current Step Plans'!$B$67,HLOOKUP('Prop Budget Calc'!$L25,'Current Step Plans'!$C$67:$Q$75,9,FALSE),IF($B25='Current Step Plans'!$B$68,HLOOKUP('Prop Budget Calc'!$L25,'Current Step Plans'!$C$68:$Q$75,8,FALSE),IF($B25='Current Step Plans'!$B$69,HLOOKUP('Prop Budget Calc'!$L25,'Current Step Plans'!$C$69:$Q$75,7,FALSE),IF($B25='Current Step Plans'!$B$70,HLOOKUP('Prop Budget Calc'!$L25,'Current Step Plans'!$C$70:$Q$75,6,FALSE),IF($B25='Current Step Plans'!$B$71,HLOOKUP('Prop Budget Calc'!$L25,'Current Step Plans'!$C$71:$Q$75,5,FALSE),IF($B25='Current Step Plans'!$B$72,HLOOKUP('Prop Budget Calc'!$L25,'Current Step Plans'!$C$72:$Q$75,4,FALSE),IF($B25='Current Step Plans'!$B$73,HLOOKUP('Prop Budget Calc'!$L25,'Current Step Plans'!$C$73:$Q$75,3,FALSE),IF($B25='Current Step Plans'!$B$74,HLOOKUP('Prop Budget Calc'!$L25,'Current Step Plans'!$C$74:$Q$75,2,FALSE),"N"))))))))))))))))))))))</f>
        <v>1</v>
      </c>
      <c r="R25" s="9" t="str">
        <f t="shared" si="39"/>
        <v>N</v>
      </c>
      <c r="S25" s="6">
        <f>IF(Q25="n",0,ROUNDUP(VLOOKUP(B25,'Proposed Step Plans'!B:T,'Prop Budget Calc'!Q25+2,FALSE)*M25,-2)-O25-T25)</f>
        <v>2722</v>
      </c>
      <c r="T25" s="6">
        <f>IF(Q25="n",0,ROUNDUP(VLOOKUP(B25,'Current Step Plans'!B:T,'Prop Budget Calc'!Q25+2,FALSE)*M25,0)-O25)</f>
        <v>1038</v>
      </c>
      <c r="U25" s="6">
        <f>IF(IFERROR(VLOOKUP($A25,'Market Study'!$A$5:$G$82,7,FALSE),"NA")="NA",0,VLOOKUP($A25,'Market Study'!$A$5:$G$82,7,FALSE))</f>
        <v>0</v>
      </c>
      <c r="V25" s="6">
        <f>IF(OR($T25&lt;&gt;0,$I25="50112",$I25="50109",$S25&lt;&gt;0),0,VLOOKUP($K25,Scenarios!$A$17:$F$73,6,FALSE)*$O25)</f>
        <v>0</v>
      </c>
      <c r="W25" s="6">
        <f t="shared" si="40"/>
        <v>0</v>
      </c>
      <c r="X25" s="6">
        <f>IF(OR($T25&lt;&gt;0,$I25="50112",$I25="50109",$S25&lt;&gt;0),0,VLOOKUP($K25,Scenarios!$A$17:$F$73,2,FALSE)*$O25)</f>
        <v>0</v>
      </c>
      <c r="Y25" s="6">
        <f>IF(OR($T25&lt;&gt;0,$I25="50110",$I25="50109",$S25&lt;&gt;0),0,VLOOKUP($K25,Scenarios!$A$17:$F$73,3,FALSE))</f>
        <v>0</v>
      </c>
      <c r="Z25" s="6">
        <f>IF(OR($T25&lt;&gt;0,$I25="50112",$I25="50109",$S25&lt;&gt;0),0,VLOOKUP($K25,Scenarios!$A$17:$F$73,4,FALSE))</f>
        <v>0</v>
      </c>
      <c r="AA25" s="6">
        <f t="shared" si="41"/>
        <v>0</v>
      </c>
      <c r="AB25" s="6">
        <f>IF(OR($T25&lt;&gt;0,$I25="50112",$I25="50109",$S25&lt;&gt;0),0,VLOOKUP($K25,Scenarios!$A$17:$F$73,5,FALSE))</f>
        <v>0</v>
      </c>
      <c r="AC25" s="6">
        <f t="shared" si="42"/>
        <v>0</v>
      </c>
      <c r="AD25" s="6">
        <f t="shared" si="43"/>
        <v>55700</v>
      </c>
      <c r="AE25" s="84">
        <f t="shared" si="44"/>
        <v>7.2391220639199005E-2</v>
      </c>
      <c r="AF25" s="6">
        <f t="shared" si="45"/>
        <v>15.2</v>
      </c>
      <c r="AG25" s="6">
        <f>IF(AND(OR(I25="50101",I25="50102"),$AF25&gt;12),IF($AF25&gt;=300,(300*Scenarios!$B$14)*$E25,($AF25*Scenarios!$B$14)*$E25),0)</f>
        <v>76</v>
      </c>
      <c r="AH25" s="6" t="b">
        <f>IF($R25="y",IF($T25&gt;0,Scenarios!$B$10*'Prop Budget Calc'!$E25,Scenarios!$B$13*'Prop Budget Calc'!$E25))</f>
        <v>0</v>
      </c>
      <c r="AI25" s="6">
        <f>SUMIFS('Deduction Valuation'!$G:$G,'Deduction Valuation'!$F:$F,"CT - Certifications",'Deduction Valuation'!$B:$B,'Prop Budget Calc'!$A25)*$AI$3</f>
        <v>0</v>
      </c>
      <c r="AJ25" s="6">
        <f>SUMIFS('Deduction Valuation'!$G:$G,'Deduction Valuation'!$F:$F,"RP - Regional Pay",'Deduction Valuation'!$B:$B,'Prop Budget Calc'!$A25)*$AI$3</f>
        <v>4000.08</v>
      </c>
      <c r="AK25" s="6">
        <f t="shared" si="46"/>
        <v>4000.08</v>
      </c>
      <c r="AL25" s="6">
        <f>SUMIFS('Deduction Valuation'!$G:$G,'Deduction Valuation'!$F:$F,"CR - Car Allowance",'Deduction Valuation'!$B:$B,'Prop Budget Calc'!$A25)*$AI$3</f>
        <v>0</v>
      </c>
      <c r="AM25" s="6">
        <f>SUMIFS('Deduction Valuation'!$G:$G,'Deduction Valuation'!$F:$F,"DA - Device Allow",'Deduction Valuation'!$B:$B,'Prop Budget Calc'!$A25)*$AI$3</f>
        <v>0</v>
      </c>
      <c r="AN25" s="6">
        <f>SUMIFS('Deduction Valuation'!$G:$G,'Deduction Valuation'!$F:$F,"RA - Replace Allow",'Deduction Valuation'!$B:$B,'Prop Budget Calc'!$A25)</f>
        <v>0</v>
      </c>
      <c r="AO25" s="94">
        <f t="shared" si="47"/>
        <v>0</v>
      </c>
      <c r="AP25" s="94">
        <f t="shared" si="48"/>
        <v>59776.08</v>
      </c>
      <c r="AQ25" s="10">
        <f>IF(OR($I25="50101", $I25="50102", $I25="50109", $I25="50140"),AP25*Scenarios!$H$8,0)</f>
        <v>10126.067951999999</v>
      </c>
      <c r="AR25" s="9">
        <f>VLOOKUP($D25,WKCMP!$A$1:$C$15,3,FALSE)*AP25</f>
        <v>82.347527808000024</v>
      </c>
      <c r="AS25" s="10">
        <f t="shared" si="49"/>
        <v>866.75316000000009</v>
      </c>
      <c r="AT25" s="11">
        <f t="shared" si="50"/>
        <v>3706.1169600000003</v>
      </c>
      <c r="AU25" s="10">
        <f t="shared" si="51"/>
        <v>4580</v>
      </c>
      <c r="AV25" s="6">
        <f t="shared" si="52"/>
        <v>107.59694399999999</v>
      </c>
      <c r="AW25" s="19">
        <f t="shared" si="53"/>
        <v>79.2</v>
      </c>
      <c r="AX25" s="19">
        <f t="shared" si="54"/>
        <v>15.6</v>
      </c>
      <c r="AY25" s="19">
        <f t="shared" si="55"/>
        <v>11.28</v>
      </c>
      <c r="AZ25" s="88">
        <f t="shared" si="56"/>
        <v>213.67694399999999</v>
      </c>
      <c r="BA25" s="6">
        <f>IF(AND($C25="vacant vacant",$E25=1),$BA$2*$AZ$3,SUMIFS('Employee Enrollments'!$AE:$AE,'Employee Enrollments'!$S:$S,"Medical HDHP",'Employee Enrollments'!$C:$C,'Prop Budget Calc'!$A25)*$AZ$3*(1+Scenarios!$E$9))*(1-$BA$3)</f>
        <v>9797.7907439999999</v>
      </c>
      <c r="BB25" s="6">
        <f>IF(AND($C25="vacant vacant",$E25=1),500,SUMIFS('Employee Enrollments'!$AE:$AE,'Employee Enrollments'!$S:$S,"Health Savings Account",'Employee Enrollments'!$C:$C,'Prop Budget Calc'!$A25))</f>
        <v>500.05</v>
      </c>
      <c r="BC25" s="56">
        <f t="shared" si="57"/>
        <v>10297.840743999999</v>
      </c>
      <c r="BD25" s="6">
        <f>IF(AND($C25="vacant vacant",$E25=1),$BD$2*$AZ$3,SUMIFS('Employee Enrollments'!$AE:$AE,'Employee Enrollments'!$S:$S,"Dental Plan",'Employee Enrollments'!$C:$C,'Prop Budget Calc'!$A25)*$AZ$3)</f>
        <v>434.76</v>
      </c>
      <c r="BE25" s="6">
        <f t="shared" si="58"/>
        <v>10946.277688</v>
      </c>
      <c r="BF25" s="6">
        <f t="shared" si="59"/>
        <v>25734.693167808</v>
      </c>
      <c r="BG25" s="6">
        <f t="shared" si="60"/>
        <v>85510.773167808002</v>
      </c>
      <c r="BH25" s="14"/>
      <c r="BI25" s="56"/>
      <c r="BJ25" s="93">
        <f t="shared" si="61"/>
        <v>10449.415200000001</v>
      </c>
      <c r="BK25" s="10">
        <f>IF(SUMIFS('Employee Enrollments'!AB:AB,'Employee Enrollments'!C:C,'Prop Budget Calc'!$A25,'Employee Enrollments'!Q:Q,"Medical")*12=0,'Employee Enrollments'!$AN$1,(SUMIFS('Employee Enrollments'!AB:AB,'Employee Enrollments'!C:C,'Prop Budget Calc'!$A25,'Employee Enrollments'!Q:Q,"Medical")*12))</f>
        <v>348.6</v>
      </c>
      <c r="BL25" s="10">
        <f>SUMIFS('Employee Enrollments'!AB:AB,'Employee Enrollments'!C:C,'Prop Budget Calc'!$A25,'Employee Enrollments'!Q:Q,"Dental")*12</f>
        <v>0</v>
      </c>
    </row>
    <row r="26" spans="1:64" ht="15.6" customHeight="1">
      <c r="A26" s="419" t="s">
        <v>1784</v>
      </c>
      <c r="B26" s="3" t="str">
        <f>IF(IFERROR(VLOOKUP($A26,'Base Pay Report'!$A:$V,'Prop Budget Calc'!B$2,FALSE),"NO")="No","Update",PROPER(VLOOKUP($A26,'Base Pay Report'!$A:$V,'Prop Budget Calc'!B$2,FALSE)))</f>
        <v>Emergency Communications Supervisor</v>
      </c>
      <c r="C26" s="3" t="str">
        <f>IF(IFERROR(VLOOKUP($A26,'Base Pay Report'!$A:$V,'Prop Budget Calc'!C$2,FALSE),"NO")="No","Update",PROPER(VLOOKUP($A26,'Base Pay Report'!$A:$V,'Prop Budget Calc'!C$2,FALSE)))</f>
        <v>Vacant Vacant</v>
      </c>
      <c r="D26" s="3" t="str">
        <f>IF(IFERROR(VLOOKUP($A26,'Base Pay Report'!$A:$V,'Prop Budget Calc'!D$2,FALSE),"NO")="No","Update",PROPER(VLOOKUP($A26,'Base Pay Report'!$A:$V,'Prop Budget Calc'!D$2,FALSE)))</f>
        <v>8810</v>
      </c>
      <c r="E26" s="8">
        <f t="shared" si="31"/>
        <v>1</v>
      </c>
      <c r="F26" s="3" t="str">
        <f>IF(IFERROR(VLOOKUP($A26,'Base Pay Report'!$A:$V,'Prop Budget Calc'!F$2,FALSE),"NO")="No","Update",PROPER(VLOOKUP($A26,'Base Pay Report'!$A:$V,'Prop Budget Calc'!F$2,FALSE)))</f>
        <v>100-30-303-50102</v>
      </c>
      <c r="G26" s="3" t="str">
        <f t="shared" ref="G26:G28" si="70">LEFT(F26,10)</f>
        <v>100-30-303</v>
      </c>
      <c r="H26" s="49" t="str">
        <f t="shared" ref="H26:H28" si="71">LEFT(F26,3)</f>
        <v>100</v>
      </c>
      <c r="I26" s="3" t="str">
        <f t="shared" ref="I26:I28" si="72">MID(F26,12,5)</f>
        <v>50102</v>
      </c>
      <c r="J26" s="3" t="str">
        <f t="shared" ref="J26:J28" si="73">MID(F26,5,2)</f>
        <v>30</v>
      </c>
      <c r="K26" s="3" t="str">
        <f t="shared" ref="K26:K28" si="74">MID(F26,8,3)</f>
        <v>303</v>
      </c>
      <c r="L26" s="3">
        <f>IF(SUMIF('Base Pay Report'!$A:$A,'Prop Budget Calc'!$A26,'Base Pay Report'!$I:$I)=80,SUMIF('Base Pay Report'!$A:$A,'Prop Budget Calc'!$A26,'Base Pay Report'!$H:$H)/SUMIF('Base Pay Report'!$A:$A,'Prop Budget Calc'!$A26,'Base Pay Report'!$I:$I),SUMIF('Base Pay Report'!$A:$A,'Prop Budget Calc'!$A26,'Base Pay Report'!$H:$H))</f>
        <v>33.914999999999999</v>
      </c>
      <c r="M26" s="3">
        <f t="shared" si="37"/>
        <v>2080</v>
      </c>
      <c r="N26" s="3" t="str">
        <f>IF(IFERROR(VLOOKUP($A26,'Base Pay Report'!$A:$V,'Prop Budget Calc'!N$2,FALSE),"NO")="No","Update",(VLOOKUP($A26,'Base Pay Report'!$A:$V,'Prop Budget Calc'!N$2,FALSE)))</f>
        <v>FT HOURLY - PD 12</v>
      </c>
      <c r="O26" s="6">
        <f t="shared" ref="O26:O28" si="75">ROUNDUP(L26*M26,-1)</f>
        <v>70550</v>
      </c>
      <c r="P26" s="99">
        <f>IF(SUMIF('Base Pay Report'!A:A,$A26,'Base Pay Report'!J:J)=0,$P$1+40,SUMIF('Base Pay Report'!A:A,$A26,'Base Pay Report'!J:J))</f>
        <v>45027</v>
      </c>
      <c r="Q26" s="87">
        <f>IF($B26='Current Step Plans'!$B$36,HLOOKUP('Prop Budget Calc'!$L26,'Current Step Plans'!$C$36:$Q$42,7,FALSE),IF($B26='Current Step Plans'!$B$37,HLOOKUP('Prop Budget Calc'!$L26,'Current Step Plans'!$C$37:$Q$42,6,FALSE),IF($B26='Current Step Plans'!$B$38,HLOOKUP('Prop Budget Calc'!$L26,'Current Step Plans'!$C$38:$Q$42,5,FALSE),IF($B26='Current Step Plans'!$B$39,HLOOKUP('Prop Budget Calc'!$L26,'Current Step Plans'!$C$39:$Q$42,4,FALSE),IF($B26='Current Step Plans'!$B$40,HLOOKUP('Prop Budget Calc'!$L26,'Current Step Plans'!$C$40:$Q$42,3,FALSE),IF($B26='Current Step Plans'!$B$41,HLOOKUP('Prop Budget Calc'!$L26,'Current Step Plans'!$C$41:$Q$42,2,FALSE),IF($B26='Current Step Plans'!$B$50,HLOOKUP('Prop Budget Calc'!$L26,'Current Step Plans'!$C$50:$Q$56,7,FALSE),IF($B26='Current Step Plans'!$B$51,HLOOKUP('Prop Budget Calc'!$L26,'Current Step Plans'!$C$51:$Q$56,6,FALSE),IF($B26='Current Step Plans'!$B$52,HLOOKUP('Prop Budget Calc'!$L26,'Current Step Plans'!$C$52:$Q$56,5,FALSE), IF($B26='Current Step Plans'!$B$53,HLOOKUP('Prop Budget Calc'!$L26,'Current Step Plans'!$C$53:$Q$56,4,FALSE),IF($B26='Current Step Plans'!$B$54,HLOOKUP('Prop Budget Calc'!$L26,'Current Step Plans'!$C$54:$Q$56,3,FALSE),IF($B26='Current Step Plans'!$B$55,HLOOKUP('Prop Budget Calc'!$L26,'Current Step Plans'!$C$55:$Q$56,2,FALSE),IF($B26='Current Step Plans'!$B$65,HLOOKUP('Prop Budget Calc'!$L26,'Current Step Plans'!$C$65:$Q$75,11,FALSE),IF($B26='Current Step Plans'!$B$66,HLOOKUP('Prop Budget Calc'!$L26,'Current Step Plans'!$C$66:$Q$75,10,FALSE),IF($B26='Current Step Plans'!$B$67,HLOOKUP('Prop Budget Calc'!$L26,'Current Step Plans'!$C$67:$Q$75,9,FALSE),IF($B26='Current Step Plans'!$B$68,HLOOKUP('Prop Budget Calc'!$L26,'Current Step Plans'!$C$68:$Q$75,8,FALSE),IF($B26='Current Step Plans'!$B$69,HLOOKUP('Prop Budget Calc'!$L26,'Current Step Plans'!$C$69:$Q$75,7,FALSE),IF($B26='Current Step Plans'!$B$70,HLOOKUP('Prop Budget Calc'!$L26,'Current Step Plans'!$C$70:$Q$75,6,FALSE),IF($B26='Current Step Plans'!$B$71,HLOOKUP('Prop Budget Calc'!$L26,'Current Step Plans'!$C$71:$Q$75,5,FALSE),IF($B26='Current Step Plans'!$B$72,HLOOKUP('Prop Budget Calc'!$L26,'Current Step Plans'!$C$72:$Q$75,4,FALSE),IF($B26='Current Step Plans'!$B$73,HLOOKUP('Prop Budget Calc'!$L26,'Current Step Plans'!$C$73:$Q$75,3,FALSE),IF($B26='Current Step Plans'!$B$74,HLOOKUP('Prop Budget Calc'!$L26,'Current Step Plans'!$C$74:$Q$75,2,FALSE),"N"))))))))))))))))))))))</f>
        <v>1</v>
      </c>
      <c r="R26" s="9" t="str">
        <f t="shared" si="39"/>
        <v>N</v>
      </c>
      <c r="S26" s="6">
        <f>IF(Q26="n",0,ROUNDUP(VLOOKUP(B26,'Proposed Step Plans'!B:T,'Prop Budget Calc'!Q26+2,FALSE)*M26,-2)-O26-T26)</f>
        <v>3652</v>
      </c>
      <c r="T26" s="6">
        <f>IF(Q26="n",0,ROUNDUP(VLOOKUP(B26,'Current Step Plans'!B:T,'Prop Budget Calc'!Q26+2,FALSE)*M26,0)-O26)</f>
        <v>1398</v>
      </c>
      <c r="U26" s="6">
        <f>IF(IFERROR(VLOOKUP($A26,'Market Study'!$A$5:$G$82,7,FALSE),"NA")="NA",0,VLOOKUP($A26,'Market Study'!$A$5:$G$82,7,FALSE))</f>
        <v>0</v>
      </c>
      <c r="V26" s="6">
        <f>IF(OR($T26&lt;&gt;0,$I26="50112",$I26="50109",$S26&lt;&gt;0),0,VLOOKUP($K26,Scenarios!$A$17:$F$73,6,FALSE)*$O26)</f>
        <v>0</v>
      </c>
      <c r="W26" s="6">
        <f t="shared" si="40"/>
        <v>0</v>
      </c>
      <c r="X26" s="6">
        <f>IF(OR($T26&lt;&gt;0,$I26="50112",$I26="50109",$S26&lt;&gt;0),0,VLOOKUP($K26,Scenarios!$A$17:$F$73,2,FALSE)*$O26)</f>
        <v>0</v>
      </c>
      <c r="Y26" s="6">
        <f>IF(OR($T26&lt;&gt;0,$I26="50110",$I26="50109",$S26&lt;&gt;0),0,VLOOKUP($K26,Scenarios!$A$17:$F$73,3,FALSE))</f>
        <v>0</v>
      </c>
      <c r="Z26" s="6">
        <f>IF(OR($T26&lt;&gt;0,$I26="50112",$I26="50109",$S26&lt;&gt;0),0,VLOOKUP($K26,Scenarios!$A$17:$F$73,4,FALSE))</f>
        <v>0</v>
      </c>
      <c r="AA26" s="6">
        <f t="shared" si="41"/>
        <v>0</v>
      </c>
      <c r="AB26" s="6">
        <f>IF(OR($T26&lt;&gt;0,$I26="50112",$I26="50109",$S26&lt;&gt;0),0,VLOOKUP($K26,Scenarios!$A$17:$F$73,5,FALSE))</f>
        <v>0</v>
      </c>
      <c r="AC26" s="6">
        <f t="shared" si="42"/>
        <v>0</v>
      </c>
      <c r="AD26" s="6">
        <f t="shared" si="43"/>
        <v>75600</v>
      </c>
      <c r="AE26" s="84">
        <f t="shared" si="44"/>
        <v>7.1580439404677509E-2</v>
      </c>
      <c r="AF26" s="6">
        <f t="shared" si="45"/>
        <v>21</v>
      </c>
      <c r="AG26" s="6">
        <f>IF(AND(OR(I26="50101",I26="50102"),$AF26&gt;12),IF($AF26&gt;=300,(300*Scenarios!$B$14)*$E26,($AF26*Scenarios!$B$14)*$E26),0)</f>
        <v>105</v>
      </c>
      <c r="AH26" s="6" t="b">
        <f>IF($R26="y",IF($T26&gt;0,Scenarios!$B$10*'Prop Budget Calc'!$E26,Scenarios!$B$13*'Prop Budget Calc'!$E26))</f>
        <v>0</v>
      </c>
      <c r="AI26" s="6">
        <f>SUMIFS('Deduction Valuation'!$G:$G,'Deduction Valuation'!$F:$F,"CT - Certifications",'Deduction Valuation'!$B:$B,'Prop Budget Calc'!$A26)*$AI$3</f>
        <v>0</v>
      </c>
      <c r="AJ26" s="6">
        <f>SUMIFS('Deduction Valuation'!$G:$G,'Deduction Valuation'!$F:$F,"RP - Regional Pay",'Deduction Valuation'!$B:$B,'Prop Budget Calc'!$A26)*$AI$3</f>
        <v>0</v>
      </c>
      <c r="AK26" s="6">
        <f t="shared" si="46"/>
        <v>0</v>
      </c>
      <c r="AL26" s="6">
        <f>SUMIFS('Deduction Valuation'!$G:$G,'Deduction Valuation'!$F:$F,"CR - Car Allowance",'Deduction Valuation'!$B:$B,'Prop Budget Calc'!$A26)*$AI$3</f>
        <v>0</v>
      </c>
      <c r="AM26" s="6">
        <f>SUMIFS('Deduction Valuation'!$G:$G,'Deduction Valuation'!$F:$F,"DA - Device Allow",'Deduction Valuation'!$B:$B,'Prop Budget Calc'!$A26)*$AI$3</f>
        <v>0</v>
      </c>
      <c r="AN26" s="6">
        <f>SUMIFS('Deduction Valuation'!$G:$G,'Deduction Valuation'!$F:$F,"RA - Replace Allow",'Deduction Valuation'!$B:$B,'Prop Budget Calc'!$A26)</f>
        <v>0</v>
      </c>
      <c r="AO26" s="94">
        <f t="shared" si="47"/>
        <v>0</v>
      </c>
      <c r="AP26" s="94">
        <f t="shared" si="48"/>
        <v>75705</v>
      </c>
      <c r="AQ26" s="10">
        <f>IF(OR($I26="50101", $I26="50102", $I26="50109", $I26="50140"),AP26*Scenarios!$H$8,0)</f>
        <v>12824.427</v>
      </c>
      <c r="AR26" s="9">
        <f>VLOOKUP($D26,WKCMP!$A$1:$C$15,3,FALSE)*AP26</f>
        <v>104.29120800000003</v>
      </c>
      <c r="AS26" s="10">
        <f t="shared" si="49"/>
        <v>1097.7225000000001</v>
      </c>
      <c r="AT26" s="11">
        <f t="shared" si="50"/>
        <v>4693.71</v>
      </c>
      <c r="AU26" s="10">
        <f t="shared" si="51"/>
        <v>5800</v>
      </c>
      <c r="AV26" s="6">
        <f t="shared" si="52"/>
        <v>136.26900000000001</v>
      </c>
      <c r="AW26" s="19">
        <f t="shared" si="53"/>
        <v>79.2</v>
      </c>
      <c r="AX26" s="19">
        <f t="shared" si="54"/>
        <v>15.6</v>
      </c>
      <c r="AY26" s="19">
        <f t="shared" si="55"/>
        <v>11.28</v>
      </c>
      <c r="AZ26" s="88">
        <f t="shared" si="56"/>
        <v>242.34899999999999</v>
      </c>
      <c r="BA26" s="6">
        <f>IF(AND($C26="vacant vacant",$E26=1),$BA$2*$AZ$3,SUMIFS('Employee Enrollments'!$AE:$AE,'Employee Enrollments'!$S:$S,"Medical HDHP",'Employee Enrollments'!$C:$C,'Prop Budget Calc'!$A26)*$AZ$3*(1+Scenarios!$E$9))*(1-$BA$3)</f>
        <v>13438.438387310343</v>
      </c>
      <c r="BB26" s="6">
        <f>IF(AND($C26="vacant vacant",$E26=1),500,SUMIFS('Employee Enrollments'!$AE:$AE,'Employee Enrollments'!$S:$S,"Health Savings Account",'Employee Enrollments'!$C:$C,'Prop Budget Calc'!$A26))</f>
        <v>500</v>
      </c>
      <c r="BC26" s="56">
        <f t="shared" si="57"/>
        <v>13938.438387310343</v>
      </c>
      <c r="BD26" s="6">
        <f>IF(AND($C26="vacant vacant",$E26=1),$BD$2*$AZ$3,SUMIFS('Employee Enrollments'!$AE:$AE,'Employee Enrollments'!$S:$S,"Dental Plan",'Employee Enrollments'!$C:$C,'Prop Budget Calc'!$A26)*$AZ$3)</f>
        <v>628.6782481751826</v>
      </c>
      <c r="BE26" s="6">
        <f t="shared" si="58"/>
        <v>14809.465635485527</v>
      </c>
      <c r="BF26" s="6">
        <f t="shared" si="59"/>
        <v>33538.183843485524</v>
      </c>
      <c r="BG26" s="6">
        <f t="shared" si="60"/>
        <v>109243.18384348552</v>
      </c>
      <c r="BH26" s="14"/>
      <c r="BI26" s="56"/>
      <c r="BJ26" s="93">
        <f t="shared" si="61"/>
        <v>14985.927855938697</v>
      </c>
      <c r="BK26" s="10">
        <f>IF(SUMIFS('Employee Enrollments'!AB:AB,'Employee Enrollments'!C:C,'Prop Budget Calc'!$A26,'Employee Enrollments'!Q:Q,"Medical")*12=0,'Employee Enrollments'!$AN$1,(SUMIFS('Employee Enrollments'!AB:AB,'Employee Enrollments'!C:C,'Prop Budget Calc'!$A26,'Employee Enrollments'!Q:Q,"Medical")*12))</f>
        <v>1131.8676628352489</v>
      </c>
      <c r="BL26" s="10">
        <f>SUMIFS('Employee Enrollments'!AB:AB,'Employee Enrollments'!C:C,'Prop Budget Calc'!$A26,'Employee Enrollments'!Q:Q,"Dental")*12</f>
        <v>0</v>
      </c>
    </row>
    <row r="27" spans="1:64" ht="12.75" customHeight="1">
      <c r="A27" s="535" t="s">
        <v>2484</v>
      </c>
      <c r="B27" s="3" t="str">
        <f>IF(IFERROR(VLOOKUP($A27,'Base Pay Report'!$A:$V,'Prop Budget Calc'!B$2,FALSE),"NO")="No","Update",PROPER(VLOOKUP($A27,'Base Pay Report'!$A:$V,'Prop Budget Calc'!B$2,FALSE)))</f>
        <v>Animal Control Officer I</v>
      </c>
      <c r="C27" s="3" t="str">
        <f>IF(IFERROR(VLOOKUP($A27,'Base Pay Report'!$A:$V,'Prop Budget Calc'!C$2,FALSE),"NO")="No","Update",PROPER(VLOOKUP($A27,'Base Pay Report'!$A:$V,'Prop Budget Calc'!C$2,FALSE)))</f>
        <v>First Name Last Name</v>
      </c>
      <c r="D27" s="3" t="str">
        <f>IF(IFERROR(VLOOKUP($A27,'Base Pay Report'!$A:$V,'Prop Budget Calc'!D$2,FALSE),"NO")="No","Update",PROPER(VLOOKUP($A27,'Base Pay Report'!$A:$V,'Prop Budget Calc'!D$2,FALSE)))</f>
        <v>8831</v>
      </c>
      <c r="E27" s="8">
        <f t="shared" si="31"/>
        <v>1</v>
      </c>
      <c r="F27" s="3" t="str">
        <f>IF(IFERROR(VLOOKUP($A27,'Base Pay Report'!$A:$V,'Prop Budget Calc'!F$2,FALSE),"NO")="No","Update",PROPER(VLOOKUP($A27,'Base Pay Report'!$A:$V,'Prop Budget Calc'!F$2,FALSE)))</f>
        <v>100-30-304-50102</v>
      </c>
      <c r="G27" s="3" t="str">
        <f t="shared" si="70"/>
        <v>100-30-304</v>
      </c>
      <c r="H27" s="49" t="str">
        <f t="shared" si="71"/>
        <v>100</v>
      </c>
      <c r="I27" s="3" t="str">
        <f t="shared" si="72"/>
        <v>50102</v>
      </c>
      <c r="J27" s="3" t="str">
        <f t="shared" si="73"/>
        <v>30</v>
      </c>
      <c r="K27" s="3" t="str">
        <f t="shared" si="74"/>
        <v>304</v>
      </c>
      <c r="L27" s="3">
        <f>IF(SUMIF('Base Pay Report'!$A:$A,'Prop Budget Calc'!$A27,'Base Pay Report'!$I:$I)=80,SUMIF('Base Pay Report'!$A:$A,'Prop Budget Calc'!$A27,'Base Pay Report'!$H:$H)/SUMIF('Base Pay Report'!$A:$A,'Prop Budget Calc'!$A27,'Base Pay Report'!$I:$I),SUMIF('Base Pay Report'!$A:$A,'Prop Budget Calc'!$A27,'Base Pay Report'!$H:$H))</f>
        <v>18.04</v>
      </c>
      <c r="M27" s="3">
        <f t="shared" si="37"/>
        <v>2080</v>
      </c>
      <c r="N27" s="3" t="str">
        <f>IF(IFERROR(VLOOKUP($A27,'Base Pay Report'!$A:$V,'Prop Budget Calc'!N$2,FALSE),"NO")="No","Update",(VLOOKUP($A27,'Base Pay Report'!$A:$V,'Prop Budget Calc'!N$2,FALSE)))</f>
        <v>FT HOURLY - PD-SPDO 8</v>
      </c>
      <c r="O27" s="6">
        <f t="shared" si="75"/>
        <v>37530</v>
      </c>
      <c r="P27" s="99">
        <f>IF(SUMIF('Base Pay Report'!A:A,$A27,'Base Pay Report'!J:J)=0,$P$1+40,SUMIF('Base Pay Report'!A:A,$A27,'Base Pay Report'!J:J))</f>
        <v>45124</v>
      </c>
      <c r="Q27" s="87" t="str">
        <f>IF($B27='Current Step Plans'!$B$36,HLOOKUP('Prop Budget Calc'!$L27,'Current Step Plans'!$C$36:$Q$42,7,FALSE),IF($B27='Current Step Plans'!$B$37,HLOOKUP('Prop Budget Calc'!$L27,'Current Step Plans'!$C$37:$Q$42,6,FALSE),IF($B27='Current Step Plans'!$B$38,HLOOKUP('Prop Budget Calc'!$L27,'Current Step Plans'!$C$38:$Q$42,5,FALSE),IF($B27='Current Step Plans'!$B$39,HLOOKUP('Prop Budget Calc'!$L27,'Current Step Plans'!$C$39:$Q$42,4,FALSE),IF($B27='Current Step Plans'!$B$40,HLOOKUP('Prop Budget Calc'!$L27,'Current Step Plans'!$C$40:$Q$42,3,FALSE),IF($B27='Current Step Plans'!$B$41,HLOOKUP('Prop Budget Calc'!$L27,'Current Step Plans'!$C$41:$Q$42,2,FALSE),IF($B27='Current Step Plans'!$B$50,HLOOKUP('Prop Budget Calc'!$L27,'Current Step Plans'!$C$50:$Q$56,7,FALSE),IF($B27='Current Step Plans'!$B$51,HLOOKUP('Prop Budget Calc'!$L27,'Current Step Plans'!$C$51:$Q$56,6,FALSE),IF($B27='Current Step Plans'!$B$52,HLOOKUP('Prop Budget Calc'!$L27,'Current Step Plans'!$C$52:$Q$56,5,FALSE), IF($B27='Current Step Plans'!$B$53,HLOOKUP('Prop Budget Calc'!$L27,'Current Step Plans'!$C$53:$Q$56,4,FALSE),IF($B27='Current Step Plans'!$B$54,HLOOKUP('Prop Budget Calc'!$L27,'Current Step Plans'!$C$54:$Q$56,3,FALSE),IF($B27='Current Step Plans'!$B$55,HLOOKUP('Prop Budget Calc'!$L27,'Current Step Plans'!$C$55:$Q$56,2,FALSE),IF($B27='Current Step Plans'!$B$65,HLOOKUP('Prop Budget Calc'!$L27,'Current Step Plans'!$C$65:$Q$75,11,FALSE),IF($B27='Current Step Plans'!$B$66,HLOOKUP('Prop Budget Calc'!$L27,'Current Step Plans'!$C$66:$Q$75,10,FALSE),IF($B27='Current Step Plans'!$B$67,HLOOKUP('Prop Budget Calc'!$L27,'Current Step Plans'!$C$67:$Q$75,9,FALSE),IF($B27='Current Step Plans'!$B$68,HLOOKUP('Prop Budget Calc'!$L27,'Current Step Plans'!$C$68:$Q$75,8,FALSE),IF($B27='Current Step Plans'!$B$69,HLOOKUP('Prop Budget Calc'!$L27,'Current Step Plans'!$C$69:$Q$75,7,FALSE),IF($B27='Current Step Plans'!$B$70,HLOOKUP('Prop Budget Calc'!$L27,'Current Step Plans'!$C$70:$Q$75,6,FALSE),IF($B27='Current Step Plans'!$B$71,HLOOKUP('Prop Budget Calc'!$L27,'Current Step Plans'!$C$71:$Q$75,5,FALSE),IF($B27='Current Step Plans'!$B$72,HLOOKUP('Prop Budget Calc'!$L27,'Current Step Plans'!$C$72:$Q$75,4,FALSE),IF($B27='Current Step Plans'!$B$73,HLOOKUP('Prop Budget Calc'!$L27,'Current Step Plans'!$C$73:$Q$75,3,FALSE),IF($B27='Current Step Plans'!$B$74,HLOOKUP('Prop Budget Calc'!$L27,'Current Step Plans'!$C$74:$Q$75,2,FALSE),"N"))))))))))))))))))))))</f>
        <v>N</v>
      </c>
      <c r="R27" s="9" t="str">
        <f t="shared" si="39"/>
        <v>N</v>
      </c>
      <c r="S27" s="6">
        <f>IF(Q27="n",0,ROUNDUP(VLOOKUP(B27,'Proposed Step Plans'!B:T,'Prop Budget Calc'!Q27+2,FALSE)*M27,-2)-O27-T27)</f>
        <v>0</v>
      </c>
      <c r="T27" s="6">
        <f>IF(Q27="n",0,ROUNDUP(VLOOKUP(B27,'Current Step Plans'!B:T,'Prop Budget Calc'!Q27+2,FALSE)*M27,0)-O27)</f>
        <v>0</v>
      </c>
      <c r="U27" s="6">
        <f>IF(IFERROR(VLOOKUP($A27,'Market Study'!$A$5:$G$82,7,FALSE),"NA")="NA",0,VLOOKUP($A27,'Market Study'!$A$5:$G$82,7,FALSE))</f>
        <v>5254.5800000000017</v>
      </c>
      <c r="V27" s="6">
        <f>IF(OR($T27&lt;&gt;0,$I27="50112",$I27="50109",$S27&lt;&gt;0),0,VLOOKUP($K27,Scenarios!$A$17:$F$73,6,FALSE)*$O27)</f>
        <v>750.6</v>
      </c>
      <c r="W27" s="6">
        <f t="shared" si="40"/>
        <v>5254.5800000000017</v>
      </c>
      <c r="X27" s="6">
        <f>IF(OR($T27&lt;&gt;0,$I27="50112",$I27="50109",$S27&lt;&gt;0),0,VLOOKUP($K27,Scenarios!$A$17:$F$73,2,FALSE)*$O27)</f>
        <v>750.6</v>
      </c>
      <c r="Y27" s="6">
        <f>IF(OR($T27&lt;&gt;0,$I27="50110",$I27="50109",$S27&lt;&gt;0),0,VLOOKUP($K27,Scenarios!$A$17:$F$73,3,FALSE))</f>
        <v>1175</v>
      </c>
      <c r="Z27" s="6">
        <f>IF(OR($T27&lt;&gt;0,$I27="50112",$I27="50109",$S27&lt;&gt;0),0,VLOOKUP($K27,Scenarios!$A$17:$F$73,4,FALSE))</f>
        <v>0</v>
      </c>
      <c r="AA27" s="6">
        <f t="shared" si="41"/>
        <v>1175</v>
      </c>
      <c r="AB27" s="6">
        <f>IF(OR($T27&lt;&gt;0,$I27="50112",$I27="50109",$S27&lt;&gt;0),0,VLOOKUP($K27,Scenarios!$A$17:$F$73,5,FALSE))</f>
        <v>0</v>
      </c>
      <c r="AC27" s="6">
        <f t="shared" si="42"/>
        <v>6429.5800000000017</v>
      </c>
      <c r="AD27" s="6">
        <f t="shared" si="43"/>
        <v>43960</v>
      </c>
      <c r="AE27" s="84">
        <f t="shared" si="44"/>
        <v>0.17132960298427924</v>
      </c>
      <c r="AF27" s="6">
        <f t="shared" si="45"/>
        <v>17.766666666666666</v>
      </c>
      <c r="AG27" s="6">
        <f>IF(AND(OR(I27="50101",I27="50102"),$AF27&gt;12),IF($AF27&gt;=300,(300*Scenarios!$B$14)*$E27,($AF27*Scenarios!$B$14)*$E27),0)</f>
        <v>88.833333333333329</v>
      </c>
      <c r="AH27" s="6" t="b">
        <f>IF($R27="y",IF($T27&gt;0,Scenarios!$B$10*'Prop Budget Calc'!$E27,Scenarios!$B$13*'Prop Budget Calc'!$E27))</f>
        <v>0</v>
      </c>
      <c r="AI27" s="6">
        <f>SUMIFS('Deduction Valuation'!$G:$G,'Deduction Valuation'!$F:$F,"CT - Certifications",'Deduction Valuation'!$B:$B,'Prop Budget Calc'!$A27)*$AI$3</f>
        <v>0</v>
      </c>
      <c r="AJ27" s="6">
        <f>SUMIFS('Deduction Valuation'!$G:$G,'Deduction Valuation'!$F:$F,"RP - Regional Pay",'Deduction Valuation'!$B:$B,'Prop Budget Calc'!$A27)*$AI$3</f>
        <v>4000.08</v>
      </c>
      <c r="AK27" s="6">
        <f t="shared" si="46"/>
        <v>4000.08</v>
      </c>
      <c r="AL27" s="6">
        <f>SUMIFS('Deduction Valuation'!$G:$G,'Deduction Valuation'!$F:$F,"CR - Car Allowance",'Deduction Valuation'!$B:$B,'Prop Budget Calc'!$A27)*$AI$3</f>
        <v>0</v>
      </c>
      <c r="AM27" s="6">
        <f>SUMIFS('Deduction Valuation'!$G:$G,'Deduction Valuation'!$F:$F,"DA - Device Allow",'Deduction Valuation'!$B:$B,'Prop Budget Calc'!$A27)*$AI$3</f>
        <v>0</v>
      </c>
      <c r="AN27" s="6">
        <f>SUMIFS('Deduction Valuation'!$G:$G,'Deduction Valuation'!$F:$F,"RA - Replace Allow",'Deduction Valuation'!$B:$B,'Prop Budget Calc'!$A27)</f>
        <v>0</v>
      </c>
      <c r="AO27" s="94">
        <f t="shared" si="47"/>
        <v>0</v>
      </c>
      <c r="AP27" s="94">
        <f t="shared" si="48"/>
        <v>48048.913333333338</v>
      </c>
      <c r="AQ27" s="10">
        <f>IF(OR($I27="50101", $I27="50102", $I27="50109", $I27="50140"),AP27*Scenarios!$H$8,0)</f>
        <v>8139.4859186666672</v>
      </c>
      <c r="AR27" s="9">
        <f>VLOOKUP($D27,WKCMP!$A$1:$C$15,3,FALSE)*AP27</f>
        <v>1030.0149453440001</v>
      </c>
      <c r="AS27" s="10">
        <f t="shared" si="49"/>
        <v>696.70924333333346</v>
      </c>
      <c r="AT27" s="11">
        <f t="shared" si="50"/>
        <v>2979.0326266666671</v>
      </c>
      <c r="AU27" s="10">
        <f t="shared" si="51"/>
        <v>3680</v>
      </c>
      <c r="AV27" s="6">
        <f t="shared" si="52"/>
        <v>86.488044000000002</v>
      </c>
      <c r="AW27" s="19">
        <f t="shared" si="53"/>
        <v>79.2</v>
      </c>
      <c r="AX27" s="19">
        <f t="shared" si="54"/>
        <v>15.6</v>
      </c>
      <c r="AY27" s="19">
        <f t="shared" si="55"/>
        <v>11.28</v>
      </c>
      <c r="AZ27" s="88">
        <f t="shared" si="56"/>
        <v>192.56804399999999</v>
      </c>
      <c r="BA27" s="6">
        <f>IF(AND($C27="vacant vacant",$E27=1),$BA$2*$AZ$3,SUMIFS('Employee Enrollments'!$AE:$AE,'Employee Enrollments'!$S:$S,"Medical HDHP",'Employee Enrollments'!$C:$C,'Prop Budget Calc'!$A27)*$AZ$3*(1+Scenarios!$E$9))*(1-$BA$3)</f>
        <v>9838.3957199999986</v>
      </c>
      <c r="BB27" s="6">
        <f>IF(AND($C27="vacant vacant",$E27=1),500,SUMIFS('Employee Enrollments'!$AE:$AE,'Employee Enrollments'!$S:$S,"Health Savings Account",'Employee Enrollments'!$C:$C,'Prop Budget Calc'!$A27))</f>
        <v>500.05</v>
      </c>
      <c r="BC27" s="56">
        <f t="shared" si="57"/>
        <v>10338.445719999998</v>
      </c>
      <c r="BD27" s="6">
        <f>IF(AND($C27="vacant vacant",$E27=1),$BD$2*$AZ$3,SUMIFS('Employee Enrollments'!$AE:$AE,'Employee Enrollments'!$S:$S,"Dental Plan",'Employee Enrollments'!$C:$C,'Prop Budget Calc'!$A27)*$AZ$3)</f>
        <v>434.76</v>
      </c>
      <c r="BE27" s="6">
        <f t="shared" si="58"/>
        <v>10965.773763999998</v>
      </c>
      <c r="BF27" s="6">
        <f t="shared" si="59"/>
        <v>23815.274628010666</v>
      </c>
      <c r="BG27" s="6">
        <f t="shared" si="60"/>
        <v>71864.187961343996</v>
      </c>
      <c r="BH27" s="14"/>
      <c r="BI27" s="56"/>
      <c r="BJ27" s="93">
        <f t="shared" si="61"/>
        <v>10450.235999999999</v>
      </c>
      <c r="BK27" s="10">
        <f>IF(SUMIFS('Employee Enrollments'!AB:AB,'Employee Enrollments'!C:C,'Prop Budget Calc'!$A27,'Employee Enrollments'!Q:Q,"Medical")*12=0,'Employee Enrollments'!$AN$1,(SUMIFS('Employee Enrollments'!AB:AB,'Employee Enrollments'!C:C,'Prop Budget Calc'!$A27,'Employee Enrollments'!Q:Q,"Medical")*12))</f>
        <v>307.56</v>
      </c>
      <c r="BL27" s="10">
        <f>SUMIFS('Employee Enrollments'!AB:AB,'Employee Enrollments'!C:C,'Prop Budget Calc'!$A27,'Employee Enrollments'!Q:Q,"Dental")*12</f>
        <v>0</v>
      </c>
    </row>
    <row r="28" spans="1:64" ht="12.75" customHeight="1">
      <c r="A28" s="535" t="s">
        <v>2495</v>
      </c>
      <c r="B28" s="3" t="str">
        <f>IF(IFERROR(VLOOKUP($A28,'Base Pay Report'!$A:$V,'Prop Budget Calc'!B$2,FALSE),"NO")="No","Update",PROPER(VLOOKUP($A28,'Base Pay Report'!$A:$V,'Prop Budget Calc'!B$2,FALSE)))</f>
        <v>Detention Officer</v>
      </c>
      <c r="C28" s="3" t="str">
        <f>IF(IFERROR(VLOOKUP($A28,'Base Pay Report'!$A:$V,'Prop Budget Calc'!C$2,FALSE),"NO")="No","Update",PROPER(VLOOKUP($A28,'Base Pay Report'!$A:$V,'Prop Budget Calc'!C$2,FALSE)))</f>
        <v>First Name Last Name</v>
      </c>
      <c r="D28" s="3" t="str">
        <f>IF(IFERROR(VLOOKUP($A28,'Base Pay Report'!$A:$V,'Prop Budget Calc'!D$2,FALSE),"NO")="No","Update",PROPER(VLOOKUP($A28,'Base Pay Report'!$A:$V,'Prop Budget Calc'!D$2,FALSE)))</f>
        <v>7720</v>
      </c>
      <c r="E28" s="8">
        <f t="shared" si="31"/>
        <v>1</v>
      </c>
      <c r="F28" s="3" t="str">
        <f>IF(IFERROR(VLOOKUP($A28,'Base Pay Report'!$A:$V,'Prop Budget Calc'!F$2,FALSE),"NO")="No","Update",PROPER(VLOOKUP($A28,'Base Pay Report'!$A:$V,'Prop Budget Calc'!F$2,FALSE)))</f>
        <v>100-30-305-50102</v>
      </c>
      <c r="G28" s="3" t="str">
        <f t="shared" si="70"/>
        <v>100-30-305</v>
      </c>
      <c r="H28" s="49" t="str">
        <f t="shared" si="71"/>
        <v>100</v>
      </c>
      <c r="I28" s="3" t="str">
        <f t="shared" si="72"/>
        <v>50102</v>
      </c>
      <c r="J28" s="3" t="str">
        <f t="shared" si="73"/>
        <v>30</v>
      </c>
      <c r="K28" s="3" t="str">
        <f t="shared" si="74"/>
        <v>305</v>
      </c>
      <c r="L28" s="3">
        <f>IF(SUMIF('Base Pay Report'!$A:$A,'Prop Budget Calc'!$A28,'Base Pay Report'!$I:$I)=80,SUMIF('Base Pay Report'!$A:$A,'Prop Budget Calc'!$A28,'Base Pay Report'!$H:$H)/SUMIF('Base Pay Report'!$A:$A,'Prop Budget Calc'!$A28,'Base Pay Report'!$I:$I),SUMIF('Base Pay Report'!$A:$A,'Prop Budget Calc'!$A28,'Base Pay Report'!$H:$H))</f>
        <v>20.28</v>
      </c>
      <c r="M28" s="3">
        <f t="shared" ref="M28:M33" si="76">IF(G28="100-35-352",2912,IF(N28=$N$3,36*52,E28*2080))</f>
        <v>2080</v>
      </c>
      <c r="N28" s="3" t="str">
        <f>IF(IFERROR(VLOOKUP($A28,'Base Pay Report'!$A:$V,'Prop Budget Calc'!N$2,FALSE),"NO")="No","Update",(VLOOKUP($A28,'Base Pay Report'!$A:$V,'Prop Budget Calc'!N$2,FALSE)))</f>
        <v>FT HOURLY - PD-SPDO 12</v>
      </c>
      <c r="O28" s="6">
        <f t="shared" si="75"/>
        <v>42190</v>
      </c>
      <c r="P28" s="99">
        <f>IF(SUMIF('Base Pay Report'!A:A,$A28,'Base Pay Report'!J:J)=0,$P$1+40,SUMIF('Base Pay Report'!A:A,$A28,'Base Pay Report'!J:J))</f>
        <v>45201</v>
      </c>
      <c r="Q28" s="87">
        <f>IF($B28='Current Step Plans'!$B$36,HLOOKUP('Prop Budget Calc'!$L28,'Current Step Plans'!$C$36:$Q$42,7,FALSE),IF($B28='Current Step Plans'!$B$37,HLOOKUP('Prop Budget Calc'!$L28,'Current Step Plans'!$C$37:$Q$42,6,FALSE),IF($B28='Current Step Plans'!$B$38,HLOOKUP('Prop Budget Calc'!$L28,'Current Step Plans'!$C$38:$Q$42,5,FALSE),IF($B28='Current Step Plans'!$B$39,HLOOKUP('Prop Budget Calc'!$L28,'Current Step Plans'!$C$39:$Q$42,4,FALSE),IF($B28='Current Step Plans'!$B$40,HLOOKUP('Prop Budget Calc'!$L28,'Current Step Plans'!$C$40:$Q$42,3,FALSE),IF($B28='Current Step Plans'!$B$41,HLOOKUP('Prop Budget Calc'!$L28,'Current Step Plans'!$C$41:$Q$42,2,FALSE),IF($B28='Current Step Plans'!$B$50,HLOOKUP('Prop Budget Calc'!$L28,'Current Step Plans'!$C$50:$Q$56,7,FALSE),IF($B28='Current Step Plans'!$B$51,HLOOKUP('Prop Budget Calc'!$L28,'Current Step Plans'!$C$51:$Q$56,6,FALSE),IF($B28='Current Step Plans'!$B$52,HLOOKUP('Prop Budget Calc'!$L28,'Current Step Plans'!$C$52:$Q$56,5,FALSE), IF($B28='Current Step Plans'!$B$53,HLOOKUP('Prop Budget Calc'!$L28,'Current Step Plans'!$C$53:$Q$56,4,FALSE),IF($B28='Current Step Plans'!$B$54,HLOOKUP('Prop Budget Calc'!$L28,'Current Step Plans'!$C$54:$Q$56,3,FALSE),IF($B28='Current Step Plans'!$B$55,HLOOKUP('Prop Budget Calc'!$L28,'Current Step Plans'!$C$55:$Q$56,2,FALSE),IF($B28='Current Step Plans'!$B$65,HLOOKUP('Prop Budget Calc'!$L28,'Current Step Plans'!$C$65:$Q$75,11,FALSE),IF($B28='Current Step Plans'!$B$66,HLOOKUP('Prop Budget Calc'!$L28,'Current Step Plans'!$C$66:$Q$75,10,FALSE),IF($B28='Current Step Plans'!$B$67,HLOOKUP('Prop Budget Calc'!$L28,'Current Step Plans'!$C$67:$Q$75,9,FALSE),IF($B28='Current Step Plans'!$B$68,HLOOKUP('Prop Budget Calc'!$L28,'Current Step Plans'!$C$68:$Q$75,8,FALSE),IF($B28='Current Step Plans'!$B$69,HLOOKUP('Prop Budget Calc'!$L28,'Current Step Plans'!$C$69:$Q$75,7,FALSE),IF($B28='Current Step Plans'!$B$70,HLOOKUP('Prop Budget Calc'!$L28,'Current Step Plans'!$C$70:$Q$75,6,FALSE),IF($B28='Current Step Plans'!$B$71,HLOOKUP('Prop Budget Calc'!$L28,'Current Step Plans'!$C$71:$Q$75,5,FALSE),IF($B28='Current Step Plans'!$B$72,HLOOKUP('Prop Budget Calc'!$L28,'Current Step Plans'!$C$72:$Q$75,4,FALSE),IF($B28='Current Step Plans'!$B$73,HLOOKUP('Prop Budget Calc'!$L28,'Current Step Plans'!$C$73:$Q$75,3,FALSE),IF($B28='Current Step Plans'!$B$74,HLOOKUP('Prop Budget Calc'!$L28,'Current Step Plans'!$C$74:$Q$75,2,FALSE),"N"))))))))))))))))))))))</f>
        <v>1</v>
      </c>
      <c r="R28" s="9" t="str">
        <f t="shared" ref="R28:R33" si="77">IF(P28&lt;=$R$5,"Y","N")</f>
        <v>N</v>
      </c>
      <c r="S28" s="6">
        <f>IF(Q28="n",0,ROUNDUP(VLOOKUP(B28,'Proposed Step Plans'!B:T,'Prop Budget Calc'!Q28+2,FALSE)*M28,-2)-O28-T28)</f>
        <v>2664</v>
      </c>
      <c r="T28" s="6">
        <f>IF(Q28="n",0,ROUNDUP(VLOOKUP(B28,'Current Step Plans'!B:T,'Prop Budget Calc'!Q28+2,FALSE)*M28,0)-O28)</f>
        <v>846</v>
      </c>
      <c r="U28" s="6">
        <f>IF(IFERROR(VLOOKUP($A28,'Market Study'!$A$5:$G$82,7,FALSE),"NA")="NA",0,VLOOKUP($A28,'Market Study'!$A$5:$G$82,7,FALSE))</f>
        <v>0</v>
      </c>
      <c r="V28" s="6">
        <f>IF(OR($T28&lt;&gt;0,$I28="50112",$I28="50109",$S28&lt;&gt;0),0,VLOOKUP($K28,Scenarios!$A$17:$F$73,6,FALSE)*$O28)</f>
        <v>0</v>
      </c>
      <c r="W28" s="6">
        <f t="shared" ref="W28:W33" si="78">IF(U28&gt;V28,U28,V28)</f>
        <v>0</v>
      </c>
      <c r="X28" s="6">
        <f>IF(OR($T28&lt;&gt;0,$I28="50112",$I28="50109",$S28&lt;&gt;0),0,VLOOKUP($K28,Scenarios!$A$17:$F$73,2,FALSE)*$O28)</f>
        <v>0</v>
      </c>
      <c r="Y28" s="6">
        <f>IF(OR($T28&lt;&gt;0,$I28="50110",$I28="50109",$S28&lt;&gt;0),0,VLOOKUP($K28,Scenarios!$A$17:$F$73,3,FALSE))</f>
        <v>0</v>
      </c>
      <c r="Z28" s="6">
        <f>IF(OR($T28&lt;&gt;0,$I28="50112",$I28="50109",$S28&lt;&gt;0),0,VLOOKUP($K28,Scenarios!$A$17:$F$73,4,FALSE))</f>
        <v>0</v>
      </c>
      <c r="AA28" s="6">
        <f t="shared" ref="AA28:AA33" si="79">IF(X28&lt;Y28,Y28,IF(AND(X28&gt;Z28,Z28&gt;1),Z28,X28))</f>
        <v>0</v>
      </c>
      <c r="AB28" s="6">
        <f>IF(OR($T28&lt;&gt;0,$I28="50112",$I28="50109",$S28&lt;&gt;0),0,VLOOKUP($K28,Scenarios!$A$17:$F$73,5,FALSE))</f>
        <v>0</v>
      </c>
      <c r="AC28" s="6">
        <f t="shared" ref="AC28:AC35" si="80">W28+AA28+AB28</f>
        <v>0</v>
      </c>
      <c r="AD28" s="6">
        <f t="shared" ref="AD28:AD33" si="81">ROUNDUP(AA28+S28+AB28+T28+W28+O28,0)</f>
        <v>45700</v>
      </c>
      <c r="AE28" s="84">
        <f t="shared" ref="AE28:AE33" si="82">AD28/O28-1</f>
        <v>8.3195069921782494E-2</v>
      </c>
      <c r="AF28" s="6">
        <f t="shared" ref="AF28:AF33" si="83">_xlfn.DAYS($AF$1,P28)/30</f>
        <v>15.2</v>
      </c>
      <c r="AG28" s="6">
        <f>IF(AND(OR(I28="50101",I28="50102"),$AF28&gt;12),IF($AF28&gt;=300,(300*Scenarios!$B$14)*$E28,($AF28*Scenarios!$B$14)*$E28),0)</f>
        <v>76</v>
      </c>
      <c r="AH28" s="6" t="b">
        <f>IF($R28="y",IF($T28&gt;0,Scenarios!$B$10*'Prop Budget Calc'!$E28,Scenarios!$B$13*'Prop Budget Calc'!$E28))</f>
        <v>0</v>
      </c>
      <c r="AI28" s="6">
        <f>SUMIFS('Deduction Valuation'!$G:$G,'Deduction Valuation'!$F:$F,"CT - Certifications",'Deduction Valuation'!$B:$B,'Prop Budget Calc'!$A28)*$AI$3</f>
        <v>0</v>
      </c>
      <c r="AJ28" s="6">
        <f>SUMIFS('Deduction Valuation'!$G:$G,'Deduction Valuation'!$F:$F,"RP - Regional Pay",'Deduction Valuation'!$B:$B,'Prop Budget Calc'!$A28)*$AI$3</f>
        <v>4000.08</v>
      </c>
      <c r="AK28" s="6">
        <f t="shared" ref="AK28:AK33" si="84">AI28+AJ28</f>
        <v>4000.08</v>
      </c>
      <c r="AL28" s="6">
        <f>SUMIFS('Deduction Valuation'!$G:$G,'Deduction Valuation'!$F:$F,"CR - Car Allowance",'Deduction Valuation'!$B:$B,'Prop Budget Calc'!$A28)*$AI$3</f>
        <v>0</v>
      </c>
      <c r="AM28" s="6">
        <f>SUMIFS('Deduction Valuation'!$G:$G,'Deduction Valuation'!$F:$F,"DA - Device Allow",'Deduction Valuation'!$B:$B,'Prop Budget Calc'!$A28)*$AI$3</f>
        <v>0</v>
      </c>
      <c r="AN28" s="6">
        <f>SUMIFS('Deduction Valuation'!$G:$G,'Deduction Valuation'!$F:$F,"RA - Replace Allow",'Deduction Valuation'!$B:$B,'Prop Budget Calc'!$A28)</f>
        <v>0</v>
      </c>
      <c r="AO28" s="94">
        <f t="shared" ref="AO28:AO33" si="85">AM28+AN28</f>
        <v>0</v>
      </c>
      <c r="AP28" s="94">
        <f t="shared" ref="AP28:AP33" si="86">AD28+AG28+AK28+AL28+AO28+AH28</f>
        <v>49776.08</v>
      </c>
      <c r="AQ28" s="10">
        <f>IF(OR($I28="50101", $I28="50102", $I28="50109", $I28="50140"),AP28*Scenarios!$H$8,0)</f>
        <v>8432.0679519999994</v>
      </c>
      <c r="AR28" s="9">
        <f>VLOOKUP($D28,WKCMP!$A$1:$C$15,3,FALSE)*AP28</f>
        <v>784.39137907199995</v>
      </c>
      <c r="AS28" s="10">
        <f t="shared" ref="AS28:AS33" si="87">AP28*$AS$2</f>
        <v>721.75316000000009</v>
      </c>
      <c r="AT28" s="11">
        <f t="shared" ref="AT28:AT33" si="88">IF($AP28&lt;$AT$4,$AT$2*AP28,$AT$4*$AT$2*$E28)</f>
        <v>3086.1169600000003</v>
      </c>
      <c r="AU28" s="10">
        <f t="shared" ref="AU28:AU33" si="89">ROUNDUP((AS28+AT28), -1)</f>
        <v>3810</v>
      </c>
      <c r="AV28" s="6">
        <f t="shared" ref="AV28:AV33" si="90">AP28*$AV$2</f>
        <v>89.596944000000008</v>
      </c>
      <c r="AW28" s="19">
        <f t="shared" ref="AW28:AW33" si="91">IF(AND($I28&lt;&gt;"50101", $I28&lt;&gt;"50102"),0,IF($I28="50101",IF(($AP28/52*$AW$3)&gt;$AV$1,$AV$1,$AP28/52*$AW$3),IF(($AD28/52*$AW$3)&gt;$AW$1,$AW$1,$AD28/52*$AW$3)))*E28</f>
        <v>79.2</v>
      </c>
      <c r="AX28" s="19">
        <f t="shared" ref="AX28:AX32" si="92">IF($E28=1,$AX$1,0)</f>
        <v>15.6</v>
      </c>
      <c r="AY28" s="19">
        <f t="shared" ref="AY28:AY32" si="93">IF($E28=1,$AY$1,0)</f>
        <v>11.28</v>
      </c>
      <c r="AZ28" s="88">
        <f t="shared" ref="AZ28:AZ33" si="94">AV28+AW28+AX28+AY28</f>
        <v>195.67694399999999</v>
      </c>
      <c r="BA28" s="6">
        <f>IF(AND($C28="vacant vacant",$E28=1),$BA$2*$AZ$3,SUMIFS('Employee Enrollments'!$AE:$AE,'Employee Enrollments'!$S:$S,"Medical HDHP",'Employee Enrollments'!$C:$C,'Prop Budget Calc'!$A28)*$AZ$3*(1+Scenarios!$E$9))*(1-$BA$3)</f>
        <v>9838.3957199999986</v>
      </c>
      <c r="BB28" s="6">
        <f>IF(AND($C28="vacant vacant",$E28=1),500,SUMIFS('Employee Enrollments'!$AE:$AE,'Employee Enrollments'!$S:$S,"Health Savings Account",'Employee Enrollments'!$C:$C,'Prop Budget Calc'!$A28))</f>
        <v>500.05</v>
      </c>
      <c r="BC28" s="56">
        <f t="shared" ref="BC28:BC33" si="95">BA28+BB28</f>
        <v>10338.445719999998</v>
      </c>
      <c r="BD28" s="6">
        <f>IF(AND($C28="vacant vacant",$E28=1),$BD$2*$AZ$3,SUMIFS('Employee Enrollments'!$AE:$AE,'Employee Enrollments'!$S:$S,"Dental Plan",'Employee Enrollments'!$C:$C,'Prop Budget Calc'!$A28)*$AZ$3)</f>
        <v>434.76</v>
      </c>
      <c r="BE28" s="6">
        <f t="shared" ref="BE28:BE33" si="96">BD28+BC28+AZ28</f>
        <v>10968.882663999999</v>
      </c>
      <c r="BF28" s="6">
        <f t="shared" ref="BF28:BF33" si="97">AU28+BE28+AR28+AQ28</f>
        <v>23995.341995071998</v>
      </c>
      <c r="BG28" s="6">
        <f t="shared" ref="BG28:BG33" si="98">AP28+BF28</f>
        <v>73771.421995072</v>
      </c>
      <c r="BH28" s="14"/>
      <c r="BI28" s="56"/>
      <c r="BJ28" s="93">
        <f t="shared" ref="BJ28:BJ33" si="99">BA28/(1-$BA$3)+BK28</f>
        <v>10450.235999999999</v>
      </c>
      <c r="BK28" s="10">
        <f>IF(SUMIFS('Employee Enrollments'!AB:AB,'Employee Enrollments'!C:C,'Prop Budget Calc'!$A28,'Employee Enrollments'!Q:Q,"Medical")*12=0,'Employee Enrollments'!$AN$1,(SUMIFS('Employee Enrollments'!AB:AB,'Employee Enrollments'!C:C,'Prop Budget Calc'!$A28,'Employee Enrollments'!Q:Q,"Medical")*12))</f>
        <v>307.56</v>
      </c>
      <c r="BL28" s="10">
        <f>SUMIFS('Employee Enrollments'!AB:AB,'Employee Enrollments'!C:C,'Prop Budget Calc'!$A28,'Employee Enrollments'!Q:Q,"Dental")*12</f>
        <v>0</v>
      </c>
    </row>
    <row r="29" spans="1:64" ht="12.75" customHeight="1">
      <c r="A29" s="465" t="s">
        <v>1597</v>
      </c>
      <c r="B29" s="3" t="str">
        <f>IF(IFERROR(VLOOKUP($A29,'Base Pay Report'!$A:$V,'Prop Budget Calc'!B$2,FALSE),"NO")="No","Update",PROPER(VLOOKUP($A29,'Base Pay Report'!$A:$V,'Prop Budget Calc'!B$2,FALSE)))</f>
        <v>Firefighter/Paramedic Or Paramedic</v>
      </c>
      <c r="C29" s="3" t="str">
        <f>IF(IFERROR(VLOOKUP($A29,'Base Pay Report'!$A:$V,'Prop Budget Calc'!C$2,FALSE),"NO")="No","Update",PROPER(VLOOKUP($A29,'Base Pay Report'!$A:$V,'Prop Budget Calc'!C$2,FALSE)))</f>
        <v>First Name Last Name</v>
      </c>
      <c r="D29" s="3" t="str">
        <f>IF(IFERROR(VLOOKUP($A29,'Base Pay Report'!$A:$V,'Prop Budget Calc'!D$2,FALSE),"NO")="No","Update",PROPER(VLOOKUP($A29,'Base Pay Report'!$A:$V,'Prop Budget Calc'!D$2,FALSE)))</f>
        <v>7704</v>
      </c>
      <c r="E29" s="8">
        <f t="shared" ref="E29:E35" si="100">IF(OR(I29="50101",I29="50102"),1,IF(I29="50110",0.48,IF(I29="50112",0.25,1)))</f>
        <v>1</v>
      </c>
      <c r="F29" s="3" t="str">
        <f>IF(IFERROR(VLOOKUP($A29,'Base Pay Report'!$A:$V,'Prop Budget Calc'!F$2,FALSE),"NO")="No","Update",PROPER(VLOOKUP($A29,'Base Pay Report'!$A:$V,'Prop Budget Calc'!F$2,FALSE)))</f>
        <v>100-35-352-50102</v>
      </c>
      <c r="G29" s="3" t="str">
        <f t="shared" ref="G29:G35" si="101">LEFT(F29,10)</f>
        <v>100-35-352</v>
      </c>
      <c r="H29" s="49" t="str">
        <f t="shared" ref="H29:H35" si="102">LEFT(F29,3)</f>
        <v>100</v>
      </c>
      <c r="I29" s="3" t="str">
        <f t="shared" ref="I29:I35" si="103">MID(F29,12,5)</f>
        <v>50102</v>
      </c>
      <c r="J29" s="3" t="str">
        <f t="shared" ref="J29:J35" si="104">MID(F29,5,2)</f>
        <v>35</v>
      </c>
      <c r="K29" s="3" t="str">
        <f t="shared" ref="K29:K35" si="105">MID(F29,8,3)</f>
        <v>352</v>
      </c>
      <c r="L29" s="3">
        <f>IF(SUMIF('Base Pay Report'!$A:$A,'Prop Budget Calc'!$A29,'Base Pay Report'!$I:$I)=80,SUMIF('Base Pay Report'!$A:$A,'Prop Budget Calc'!$A29,'Base Pay Report'!$H:$H)/SUMIF('Base Pay Report'!$A:$A,'Prop Budget Calc'!$A29,'Base Pay Report'!$I:$I),SUMIF('Base Pay Report'!$A:$A,'Prop Budget Calc'!$A29,'Base Pay Report'!$H:$H))</f>
        <v>24.44</v>
      </c>
      <c r="M29" s="3">
        <f t="shared" si="76"/>
        <v>2912</v>
      </c>
      <c r="N29" s="3" t="str">
        <f>IF(IFERROR(VLOOKUP($A29,'Base Pay Report'!$A:$V,'Prop Budget Calc'!N$2,FALSE),"NO")="No","Update",(VLOOKUP($A29,'Base Pay Report'!$A:$V,'Prop Budget Calc'!N$2,FALSE)))</f>
        <v>NON-TIME</v>
      </c>
      <c r="O29" s="6">
        <f t="shared" ref="O29:O35" si="106">ROUNDUP(L29*M29,-1)</f>
        <v>71170</v>
      </c>
      <c r="P29" s="99">
        <f>IF(SUMIF('Base Pay Report'!A:A,$A29,'Base Pay Report'!J:J)=0,$P$1+40,SUMIF('Base Pay Report'!A:A,$A29,'Base Pay Report'!J:J))</f>
        <v>44305</v>
      </c>
      <c r="Q29" s="87">
        <f>IF($B29='Current Step Plans'!$B$36,HLOOKUP('Prop Budget Calc'!$L29,'Current Step Plans'!$C$36:$Q$42,7,FALSE),IF($B29='Current Step Plans'!$B$37,HLOOKUP('Prop Budget Calc'!$L29,'Current Step Plans'!$C$37:$Q$42,6,FALSE),IF($B29='Current Step Plans'!$B$38,HLOOKUP('Prop Budget Calc'!$L29,'Current Step Plans'!$C$38:$Q$42,5,FALSE),IF($B29='Current Step Plans'!$B$39,HLOOKUP('Prop Budget Calc'!$L29,'Current Step Plans'!$C$39:$Q$42,4,FALSE),IF($B29='Current Step Plans'!$B$40,HLOOKUP('Prop Budget Calc'!$L29,'Current Step Plans'!$C$40:$Q$42,3,FALSE),IF($B29='Current Step Plans'!$B$41,HLOOKUP('Prop Budget Calc'!$L29,'Current Step Plans'!$C$41:$Q$42,2,FALSE),IF($B29='Current Step Plans'!$B$50,HLOOKUP('Prop Budget Calc'!$L29,'Current Step Plans'!$C$50:$Q$56,7,FALSE),IF($B29='Current Step Plans'!$B$51,HLOOKUP('Prop Budget Calc'!$L29,'Current Step Plans'!$C$51:$Q$56,6,FALSE),IF($B29='Current Step Plans'!$B$52,HLOOKUP('Prop Budget Calc'!$L29,'Current Step Plans'!$C$52:$Q$56,5,FALSE), IF($B29='Current Step Plans'!$B$53,HLOOKUP('Prop Budget Calc'!$L29,'Current Step Plans'!$C$53:$Q$56,4,FALSE),IF($B29='Current Step Plans'!$B$54,HLOOKUP('Prop Budget Calc'!$L29,'Current Step Plans'!$C$54:$Q$56,3,FALSE),IF($B29='Current Step Plans'!$B$55,HLOOKUP('Prop Budget Calc'!$L29,'Current Step Plans'!$C$55:$Q$56,2,FALSE),IF($B29='Current Step Plans'!$B$65,HLOOKUP('Prop Budget Calc'!$L29,'Current Step Plans'!$C$65:$Q$75,11,FALSE),IF($B29='Current Step Plans'!$B$66,HLOOKUP('Prop Budget Calc'!$L29,'Current Step Plans'!$C$66:$Q$75,10,FALSE),IF($B29='Current Step Plans'!$B$67,HLOOKUP('Prop Budget Calc'!$L29,'Current Step Plans'!$C$67:$Q$75,9,FALSE),IF($B29='Current Step Plans'!$B$68,HLOOKUP('Prop Budget Calc'!$L29,'Current Step Plans'!$C$68:$Q$75,8,FALSE),IF($B29='Current Step Plans'!$B$69,HLOOKUP('Prop Budget Calc'!$L29,'Current Step Plans'!$C$69:$Q$75,7,FALSE),IF($B29='Current Step Plans'!$B$70,HLOOKUP('Prop Budget Calc'!$L29,'Current Step Plans'!$C$70:$Q$75,6,FALSE),IF($B29='Current Step Plans'!$B$71,HLOOKUP('Prop Budget Calc'!$L29,'Current Step Plans'!$C$71:$Q$75,5,FALSE),IF($B29='Current Step Plans'!$B$72,HLOOKUP('Prop Budget Calc'!$L29,'Current Step Plans'!$C$72:$Q$75,4,FALSE),IF($B29='Current Step Plans'!$B$73,HLOOKUP('Prop Budget Calc'!$L29,'Current Step Plans'!$C$73:$Q$75,3,FALSE),IF($B29='Current Step Plans'!$B$74,HLOOKUP('Prop Budget Calc'!$L29,'Current Step Plans'!$C$74:$Q$75,2,FALSE),"N"))))))))))))))))))))))</f>
        <v>3</v>
      </c>
      <c r="R29" s="9" t="str">
        <f t="shared" si="77"/>
        <v>Y</v>
      </c>
      <c r="S29" s="6">
        <f>IF(Q29="n",0,ROUNDUP(VLOOKUP(B29,'Proposed Step Plans'!B:T,'Prop Budget Calc'!Q29+2,FALSE)*M29,-2)-O29-T29)</f>
        <v>3703</v>
      </c>
      <c r="T29" s="6">
        <f>IF(Q29="n",0,ROUNDUP(VLOOKUP(B29,'Current Step Plans'!B:T,'Prop Budget Calc'!Q29+2,FALSE)*M29,0)-O29)</f>
        <v>1427</v>
      </c>
      <c r="U29" s="6">
        <f>IF(IFERROR(VLOOKUP($A29,'Market Study'!$A$5:$G$82,7,FALSE),"NA")="NA",0,VLOOKUP($A29,'Market Study'!$A$5:$G$82,7,FALSE))</f>
        <v>0</v>
      </c>
      <c r="V29" s="6">
        <f>IF(OR($T29&lt;&gt;0,$I29="50112",$I29="50109",$S29&lt;&gt;0),0,VLOOKUP($K29,Scenarios!$A$17:$F$73,6,FALSE)*$O29)</f>
        <v>0</v>
      </c>
      <c r="W29" s="6">
        <f t="shared" si="78"/>
        <v>0</v>
      </c>
      <c r="X29" s="6">
        <f>IF(OR($T29&lt;&gt;0,$I29="50112",$I29="50109",$S29&lt;&gt;0),0,VLOOKUP($K29,Scenarios!$A$17:$F$73,2,FALSE)*$O29)</f>
        <v>0</v>
      </c>
      <c r="Y29" s="6">
        <f>IF(OR($T29&lt;&gt;0,$I29="50110",$I29="50109",$S29&lt;&gt;0),0,VLOOKUP($K29,Scenarios!$A$17:$F$73,3,FALSE))</f>
        <v>0</v>
      </c>
      <c r="Z29" s="6">
        <f>IF(OR($T29&lt;&gt;0,$I29="50112",$I29="50109",$S29&lt;&gt;0),0,VLOOKUP($K29,Scenarios!$A$17:$F$73,4,FALSE))</f>
        <v>0</v>
      </c>
      <c r="AA29" s="6">
        <f t="shared" si="79"/>
        <v>0</v>
      </c>
      <c r="AB29" s="6">
        <f>IF(OR($T29&lt;&gt;0,$I29="50112",$I29="50109",$S29&lt;&gt;0),0,VLOOKUP($K29,Scenarios!$A$17:$F$73,5,FALSE))</f>
        <v>0</v>
      </c>
      <c r="AC29" s="6">
        <f t="shared" si="80"/>
        <v>0</v>
      </c>
      <c r="AD29" s="6">
        <f t="shared" si="81"/>
        <v>76300</v>
      </c>
      <c r="AE29" s="84">
        <f t="shared" si="82"/>
        <v>7.2080932977378165E-2</v>
      </c>
      <c r="AF29" s="6">
        <f t="shared" si="83"/>
        <v>45.06666666666667</v>
      </c>
      <c r="AG29" s="6">
        <f>IF(AND(OR(I29="50101",I29="50102"),$AF29&gt;12),IF($AF29&gt;=300,(300*Scenarios!$B$14)*$E29,($AF29*Scenarios!$B$14)*$E29),0)</f>
        <v>225.33333333333334</v>
      </c>
      <c r="AH29" s="6">
        <f>IF($R29="y",IF($T29&gt;0,Scenarios!$B$10*'Prop Budget Calc'!$E29,Scenarios!$B$13*'Prop Budget Calc'!$E29))</f>
        <v>0</v>
      </c>
      <c r="AI29" s="6">
        <f>SUMIFS('Deduction Valuation'!$G:$G,'Deduction Valuation'!$F:$F,"CT - Certifications",'Deduction Valuation'!$B:$B,'Prop Budget Calc'!$A29)*$AI$3</f>
        <v>0</v>
      </c>
      <c r="AJ29" s="6">
        <f>SUMIFS('Deduction Valuation'!$G:$G,'Deduction Valuation'!$F:$F,"RP - Regional Pay",'Deduction Valuation'!$B:$B,'Prop Budget Calc'!$A29)*$AI$3</f>
        <v>0</v>
      </c>
      <c r="AK29" s="6">
        <f t="shared" si="84"/>
        <v>0</v>
      </c>
      <c r="AL29" s="6">
        <f>SUMIFS('Deduction Valuation'!$G:$G,'Deduction Valuation'!$F:$F,"CR - Car Allowance",'Deduction Valuation'!$B:$B,'Prop Budget Calc'!$A29)*$AI$3</f>
        <v>0</v>
      </c>
      <c r="AM29" s="6">
        <f>SUMIFS('Deduction Valuation'!$G:$G,'Deduction Valuation'!$F:$F,"DA - Device Allow",'Deduction Valuation'!$B:$B,'Prop Budget Calc'!$A29)*$AI$3</f>
        <v>0</v>
      </c>
      <c r="AN29" s="6">
        <f>SUMIFS('Deduction Valuation'!$G:$G,'Deduction Valuation'!$F:$F,"RA - Replace Allow",'Deduction Valuation'!$B:$B,'Prop Budget Calc'!$A29)</f>
        <v>0</v>
      </c>
      <c r="AO29" s="94">
        <f t="shared" si="85"/>
        <v>0</v>
      </c>
      <c r="AP29" s="94">
        <f t="shared" si="86"/>
        <v>76525.333333333328</v>
      </c>
      <c r="AQ29" s="10">
        <f>IF(OR($I29="50101", $I29="50102", $I29="50109", $I29="50140"),AP29*Scenarios!$H$8,0)</f>
        <v>12963.391466666666</v>
      </c>
      <c r="AR29" s="9">
        <f>VLOOKUP($D29,WKCMP!$A$1:$C$15,3,FALSE)*AP29</f>
        <v>1362.763136</v>
      </c>
      <c r="AS29" s="10">
        <f t="shared" si="87"/>
        <v>1109.6173333333334</v>
      </c>
      <c r="AT29" s="11">
        <f t="shared" si="88"/>
        <v>4744.5706666666665</v>
      </c>
      <c r="AU29" s="10">
        <f t="shared" si="89"/>
        <v>5860</v>
      </c>
      <c r="AV29" s="6">
        <f t="shared" si="90"/>
        <v>137.7456</v>
      </c>
      <c r="AW29" s="19">
        <f t="shared" si="91"/>
        <v>79.2</v>
      </c>
      <c r="AX29" s="19">
        <f t="shared" si="92"/>
        <v>15.6</v>
      </c>
      <c r="AY29" s="19">
        <f t="shared" si="93"/>
        <v>11.28</v>
      </c>
      <c r="AZ29" s="88">
        <f t="shared" si="94"/>
        <v>243.82560000000001</v>
      </c>
      <c r="BA29" s="6">
        <f>IF(AND($C29="vacant vacant",$E29=1),$BA$2*$AZ$3,SUMIFS('Employee Enrollments'!$AE:$AE,'Employee Enrollments'!$S:$S,"Medical HDHP",'Employee Enrollments'!$C:$C,'Prop Budget Calc'!$A29)*$AZ$3*(1+Scenarios!$E$9))*(1-$BA$3)</f>
        <v>19663.018992000001</v>
      </c>
      <c r="BB29" s="6">
        <f>IF(AND($C29="vacant vacant",$E29=1),500,SUMIFS('Employee Enrollments'!$AE:$AE,'Employee Enrollments'!$S:$S,"Health Savings Account",'Employee Enrollments'!$C:$C,'Prop Budget Calc'!$A29))</f>
        <v>1000</v>
      </c>
      <c r="BC29" s="56">
        <f t="shared" si="95"/>
        <v>20663.018992000001</v>
      </c>
      <c r="BD29" s="6">
        <f>IF(AND($C29="vacant vacant",$E29=1),$BD$2*$AZ$3,SUMIFS('Employee Enrollments'!$AE:$AE,'Employee Enrollments'!$S:$S,"Dental Plan",'Employee Enrollments'!$C:$C,'Prop Budget Calc'!$A29)*$AZ$3)</f>
        <v>843.48</v>
      </c>
      <c r="BE29" s="6">
        <f t="shared" si="96"/>
        <v>21750.324592000001</v>
      </c>
      <c r="BF29" s="6">
        <f t="shared" si="97"/>
        <v>41936.479194666666</v>
      </c>
      <c r="BG29" s="6">
        <f t="shared" si="98"/>
        <v>118461.81252799999</v>
      </c>
      <c r="BH29" s="14"/>
      <c r="BI29" s="56"/>
      <c r="BJ29" s="93">
        <f t="shared" si="99"/>
        <v>25974.993600000002</v>
      </c>
      <c r="BK29" s="10">
        <f>IF(SUMIFS('Employee Enrollments'!AB:AB,'Employee Enrollments'!C:C,'Prop Budget Calc'!$A29,'Employee Enrollments'!Q:Q,"Medical")*12=0,'Employee Enrollments'!$AN$1,(SUMIFS('Employee Enrollments'!AB:AB,'Employee Enrollments'!C:C,'Prop Budget Calc'!$A29,'Employee Enrollments'!Q:Q,"Medical")*12))</f>
        <v>5703.84</v>
      </c>
      <c r="BL29" s="10">
        <f>SUMIFS('Employee Enrollments'!AB:AB,'Employee Enrollments'!C:C,'Prop Budget Calc'!$A29,'Employee Enrollments'!Q:Q,"Dental")*12</f>
        <v>364.92</v>
      </c>
    </row>
    <row r="30" spans="1:64" ht="12.75" customHeight="1">
      <c r="A30" s="20" t="s">
        <v>1353</v>
      </c>
      <c r="B30" s="3" t="str">
        <f>IF(IFERROR(VLOOKUP($A30,'Base Pay Report'!$A:$V,'Prop Budget Calc'!B$2,FALSE),"NO")="No","Update",PROPER(VLOOKUP($A30,'Base Pay Report'!$A:$V,'Prop Budget Calc'!B$2,FALSE)))</f>
        <v>Fire Captain</v>
      </c>
      <c r="C30" s="3" t="str">
        <f>IF(IFERROR(VLOOKUP($A30,'Base Pay Report'!$A:$V,'Prop Budget Calc'!C$2,FALSE),"NO")="No","Update",PROPER(VLOOKUP($A30,'Base Pay Report'!$A:$V,'Prop Budget Calc'!C$2,FALSE)))</f>
        <v>First Name Last Name</v>
      </c>
      <c r="D30" s="3" t="str">
        <f>IF(IFERROR(VLOOKUP($A30,'Base Pay Report'!$A:$V,'Prop Budget Calc'!D$2,FALSE),"NO")="No","Update",PROPER(VLOOKUP($A30,'Base Pay Report'!$A:$V,'Prop Budget Calc'!D$2,FALSE)))</f>
        <v>7704</v>
      </c>
      <c r="E30" s="8">
        <f t="shared" si="100"/>
        <v>1</v>
      </c>
      <c r="F30" s="3" t="str">
        <f>IF(IFERROR(VLOOKUP($A30,'Base Pay Report'!$A:$V,'Prop Budget Calc'!F$2,FALSE),"NO")="No","Update",PROPER(VLOOKUP($A30,'Base Pay Report'!$A:$V,'Prop Budget Calc'!F$2,FALSE)))</f>
        <v>100-35-352-50102</v>
      </c>
      <c r="G30" s="3" t="str">
        <f t="shared" si="101"/>
        <v>100-35-352</v>
      </c>
      <c r="H30" s="49" t="str">
        <f t="shared" si="102"/>
        <v>100</v>
      </c>
      <c r="I30" s="3" t="str">
        <f t="shared" si="103"/>
        <v>50102</v>
      </c>
      <c r="J30" s="3" t="str">
        <f t="shared" si="104"/>
        <v>35</v>
      </c>
      <c r="K30" s="3" t="str">
        <f t="shared" si="105"/>
        <v>352</v>
      </c>
      <c r="L30" s="3">
        <f>IF(SUMIF('Base Pay Report'!$A:$A,'Prop Budget Calc'!$A30,'Base Pay Report'!$I:$I)=80,SUMIF('Base Pay Report'!$A:$A,'Prop Budget Calc'!$A30,'Base Pay Report'!$H:$H)/SUMIF('Base Pay Report'!$A:$A,'Prop Budget Calc'!$A30,'Base Pay Report'!$I:$I),SUMIF('Base Pay Report'!$A:$A,'Prop Budget Calc'!$A30,'Base Pay Report'!$H:$H))</f>
        <v>34.69</v>
      </c>
      <c r="M30" s="3">
        <f t="shared" si="76"/>
        <v>2912</v>
      </c>
      <c r="N30" s="3" t="str">
        <f>IF(IFERROR(VLOOKUP($A30,'Base Pay Report'!$A:$V,'Prop Budget Calc'!N$2,FALSE),"NO")="No","Update",(VLOOKUP($A30,'Base Pay Report'!$A:$V,'Prop Budget Calc'!N$2,FALSE)))</f>
        <v>NON-TIME</v>
      </c>
      <c r="O30" s="6">
        <f t="shared" si="106"/>
        <v>101020</v>
      </c>
      <c r="P30" s="99">
        <f>IF(SUMIF('Base Pay Report'!A:A,$A30,'Base Pay Report'!J:J)=0,$P$1+40,SUMIF('Base Pay Report'!A:A,$A30,'Base Pay Report'!J:J))</f>
        <v>40553</v>
      </c>
      <c r="Q30" s="87">
        <f>IF($B30='Current Step Plans'!$B$36,HLOOKUP('Prop Budget Calc'!$L30,'Current Step Plans'!$C$36:$Q$42,7,FALSE),IF($B30='Current Step Plans'!$B$37,HLOOKUP('Prop Budget Calc'!$L30,'Current Step Plans'!$C$37:$Q$42,6,FALSE),IF($B30='Current Step Plans'!$B$38,HLOOKUP('Prop Budget Calc'!$L30,'Current Step Plans'!$C$38:$Q$42,5,FALSE),IF($B30='Current Step Plans'!$B$39,HLOOKUP('Prop Budget Calc'!$L30,'Current Step Plans'!$C$39:$Q$42,4,FALSE),IF($B30='Current Step Plans'!$B$40,HLOOKUP('Prop Budget Calc'!$L30,'Current Step Plans'!$C$40:$Q$42,3,FALSE),IF($B30='Current Step Plans'!$B$41,HLOOKUP('Prop Budget Calc'!$L30,'Current Step Plans'!$C$41:$Q$42,2,FALSE),IF($B30='Current Step Plans'!$B$50,HLOOKUP('Prop Budget Calc'!$L30,'Current Step Plans'!$C$50:$Q$56,7,FALSE),IF($B30='Current Step Plans'!$B$51,HLOOKUP('Prop Budget Calc'!$L30,'Current Step Plans'!$C$51:$Q$56,6,FALSE),IF($B30='Current Step Plans'!$B$52,HLOOKUP('Prop Budget Calc'!$L30,'Current Step Plans'!$C$52:$Q$56,5,FALSE), IF($B30='Current Step Plans'!$B$53,HLOOKUP('Prop Budget Calc'!$L30,'Current Step Plans'!$C$53:$Q$56,4,FALSE),IF($B30='Current Step Plans'!$B$54,HLOOKUP('Prop Budget Calc'!$L30,'Current Step Plans'!$C$54:$Q$56,3,FALSE),IF($B30='Current Step Plans'!$B$55,HLOOKUP('Prop Budget Calc'!$L30,'Current Step Plans'!$C$55:$Q$56,2,FALSE),IF($B30='Current Step Plans'!$B$65,HLOOKUP('Prop Budget Calc'!$L30,'Current Step Plans'!$C$65:$Q$75,11,FALSE),IF($B30='Current Step Plans'!$B$66,HLOOKUP('Prop Budget Calc'!$L30,'Current Step Plans'!$C$66:$Q$75,10,FALSE),IF($B30='Current Step Plans'!$B$67,HLOOKUP('Prop Budget Calc'!$L30,'Current Step Plans'!$C$67:$Q$75,9,FALSE),IF($B30='Current Step Plans'!$B$68,HLOOKUP('Prop Budget Calc'!$L30,'Current Step Plans'!$C$68:$Q$75,8,FALSE),IF($B30='Current Step Plans'!$B$69,HLOOKUP('Prop Budget Calc'!$L30,'Current Step Plans'!$C$69:$Q$75,7,FALSE),IF($B30='Current Step Plans'!$B$70,HLOOKUP('Prop Budget Calc'!$L30,'Current Step Plans'!$C$70:$Q$75,6,FALSE),IF($B30='Current Step Plans'!$B$71,HLOOKUP('Prop Budget Calc'!$L30,'Current Step Plans'!$C$71:$Q$75,5,FALSE),IF($B30='Current Step Plans'!$B$72,HLOOKUP('Prop Budget Calc'!$L30,'Current Step Plans'!$C$72:$Q$75,4,FALSE),IF($B30='Current Step Plans'!$B$73,HLOOKUP('Prop Budget Calc'!$L30,'Current Step Plans'!$C$73:$Q$75,3,FALSE),IF($B30='Current Step Plans'!$B$74,HLOOKUP('Prop Budget Calc'!$L30,'Current Step Plans'!$C$74:$Q$75,2,FALSE),"N"))))))))))))))))))))))</f>
        <v>2</v>
      </c>
      <c r="R30" s="9" t="str">
        <f t="shared" si="77"/>
        <v>Y</v>
      </c>
      <c r="S30" s="6">
        <f>IF(Q30="n",0,ROUNDUP(VLOOKUP(B30,'Proposed Step Plans'!B:T,'Prop Budget Calc'!Q30+2,FALSE)*M30,-2)-O30-T30)</f>
        <v>3073</v>
      </c>
      <c r="T30" s="6">
        <f>IF(Q30="n",0,ROUNDUP(VLOOKUP(B30,'Current Step Plans'!B:T,'Prop Budget Calc'!Q30+2,FALSE)*M30,0)-O30)</f>
        <v>2007</v>
      </c>
      <c r="U30" s="6">
        <f>IF(IFERROR(VLOOKUP($A30,'Market Study'!$A$5:$G$82,7,FALSE),"NA")="NA",0,VLOOKUP($A30,'Market Study'!$A$5:$G$82,7,FALSE))</f>
        <v>0</v>
      </c>
      <c r="V30" s="6">
        <f>IF(OR($T30&lt;&gt;0,$I30="50112",$I30="50109",$S30&lt;&gt;0),0,VLOOKUP($K30,Scenarios!$A$17:$F$73,6,FALSE)*$O30)</f>
        <v>0</v>
      </c>
      <c r="W30" s="6">
        <f t="shared" si="78"/>
        <v>0</v>
      </c>
      <c r="X30" s="6">
        <f>IF(OR($T30&lt;&gt;0,$I30="50112",$I30="50109",$S30&lt;&gt;0),0,VLOOKUP($K30,Scenarios!$A$17:$F$73,2,FALSE)*$O30)</f>
        <v>0</v>
      </c>
      <c r="Y30" s="6">
        <f>IF(OR($T30&lt;&gt;0,$I30="50110",$I30="50109",$S30&lt;&gt;0),0,VLOOKUP($K30,Scenarios!$A$17:$F$73,3,FALSE))</f>
        <v>0</v>
      </c>
      <c r="Z30" s="6">
        <f>IF(OR($T30&lt;&gt;0,$I30="50112",$I30="50109",$S30&lt;&gt;0),0,VLOOKUP($K30,Scenarios!$A$17:$F$73,4,FALSE))</f>
        <v>0</v>
      </c>
      <c r="AA30" s="6">
        <f t="shared" si="79"/>
        <v>0</v>
      </c>
      <c r="AB30" s="6">
        <f>IF(OR($T30&lt;&gt;0,$I30="50112",$I30="50109",$S30&lt;&gt;0),0,VLOOKUP($K30,Scenarios!$A$17:$F$73,5,FALSE))</f>
        <v>0</v>
      </c>
      <c r="AC30" s="6">
        <f t="shared" si="80"/>
        <v>0</v>
      </c>
      <c r="AD30" s="6">
        <f t="shared" si="81"/>
        <v>106100</v>
      </c>
      <c r="AE30" s="84">
        <f t="shared" si="82"/>
        <v>5.0287071866957023E-2</v>
      </c>
      <c r="AF30" s="6">
        <f t="shared" si="83"/>
        <v>170.13333333333333</v>
      </c>
      <c r="AG30" s="6">
        <f>IF(AND(OR(I30="50101",I30="50102"),$AF30&gt;12),IF($AF30&gt;=300,(300*Scenarios!$B$14)*$E30,($AF30*Scenarios!$B$14)*$E30),0)</f>
        <v>850.66666666666663</v>
      </c>
      <c r="AH30" s="6">
        <f>IF($R30="y",IF($T30&gt;0,Scenarios!$B$10*'Prop Budget Calc'!$E30,Scenarios!$B$13*'Prop Budget Calc'!$E30))</f>
        <v>0</v>
      </c>
      <c r="AI30" s="6">
        <f>SUMIFS('Deduction Valuation'!$G:$G,'Deduction Valuation'!$F:$F,"CT - Certifications",'Deduction Valuation'!$B:$B,'Prop Budget Calc'!$A30)*$AI$3</f>
        <v>1200</v>
      </c>
      <c r="AJ30" s="6">
        <f>SUMIFS('Deduction Valuation'!$G:$G,'Deduction Valuation'!$F:$F,"RP - Regional Pay",'Deduction Valuation'!$B:$B,'Prop Budget Calc'!$A30)*$AI$3</f>
        <v>0</v>
      </c>
      <c r="AK30" s="6">
        <f t="shared" si="84"/>
        <v>1200</v>
      </c>
      <c r="AL30" s="6">
        <f>SUMIFS('Deduction Valuation'!$G:$G,'Deduction Valuation'!$F:$F,"CR - Car Allowance",'Deduction Valuation'!$B:$B,'Prop Budget Calc'!$A30)*$AI$3</f>
        <v>0</v>
      </c>
      <c r="AM30" s="6">
        <f>SUMIFS('Deduction Valuation'!$G:$G,'Deduction Valuation'!$F:$F,"DA - Device Allow",'Deduction Valuation'!$B:$B,'Prop Budget Calc'!$A30)*$AI$3</f>
        <v>540</v>
      </c>
      <c r="AN30" s="6">
        <f>SUMIFS('Deduction Valuation'!$G:$G,'Deduction Valuation'!$F:$F,"RA - Replace Allow",'Deduction Valuation'!$B:$B,'Prop Budget Calc'!$A30)</f>
        <v>75</v>
      </c>
      <c r="AO30" s="94">
        <f t="shared" si="85"/>
        <v>615</v>
      </c>
      <c r="AP30" s="94">
        <f t="shared" si="86"/>
        <v>108765.66666666667</v>
      </c>
      <c r="AQ30" s="10">
        <f>IF(OR($I30="50101", $I30="50102", $I30="50109", $I30="50140"),AP30*Scenarios!$H$8,0)</f>
        <v>18424.903933333335</v>
      </c>
      <c r="AR30" s="9">
        <f>VLOOKUP($D30,WKCMP!$A$1:$C$15,3,FALSE)*AP30</f>
        <v>1936.8989920000001</v>
      </c>
      <c r="AS30" s="10">
        <f t="shared" si="87"/>
        <v>1577.1021666666668</v>
      </c>
      <c r="AT30" s="11">
        <f t="shared" si="88"/>
        <v>6743.4713333333339</v>
      </c>
      <c r="AU30" s="10">
        <f t="shared" si="89"/>
        <v>8330</v>
      </c>
      <c r="AV30" s="6">
        <f t="shared" si="90"/>
        <v>195.7782</v>
      </c>
      <c r="AW30" s="19">
        <f t="shared" si="91"/>
        <v>79.2</v>
      </c>
      <c r="AX30" s="19">
        <f t="shared" si="92"/>
        <v>15.6</v>
      </c>
      <c r="AY30" s="19">
        <f t="shared" si="93"/>
        <v>11.28</v>
      </c>
      <c r="AZ30" s="88">
        <f t="shared" si="94"/>
        <v>301.85820000000001</v>
      </c>
      <c r="BA30" s="6">
        <f>IF(AND($C30="vacant vacant",$E30=1),$BA$2*$AZ$3,SUMIFS('Employee Enrollments'!$AE:$AE,'Employee Enrollments'!$S:$S,"Medical HDHP",'Employee Enrollments'!$C:$C,'Prop Budget Calc'!$A30)*$AZ$3*(1+Scenarios!$E$9))*(1-$BA$3)</f>
        <v>19663.018992000001</v>
      </c>
      <c r="BB30" s="6">
        <f>IF(AND($C30="vacant vacant",$E30=1),500,SUMIFS('Employee Enrollments'!$AE:$AE,'Employee Enrollments'!$S:$S,"Health Savings Account",'Employee Enrollments'!$C:$C,'Prop Budget Calc'!$A30))</f>
        <v>1000</v>
      </c>
      <c r="BC30" s="56">
        <f t="shared" si="95"/>
        <v>20663.018992000001</v>
      </c>
      <c r="BD30" s="6">
        <f>IF(AND($C30="vacant vacant",$E30=1),$BD$2*$AZ$3,SUMIFS('Employee Enrollments'!$AE:$AE,'Employee Enrollments'!$S:$S,"Dental Plan",'Employee Enrollments'!$C:$C,'Prop Budget Calc'!$A30)*$AZ$3)</f>
        <v>843.48</v>
      </c>
      <c r="BE30" s="6">
        <f t="shared" si="96"/>
        <v>21808.357191999999</v>
      </c>
      <c r="BF30" s="6">
        <f t="shared" si="97"/>
        <v>50500.160117333333</v>
      </c>
      <c r="BG30" s="6">
        <f t="shared" si="98"/>
        <v>159265.826784</v>
      </c>
      <c r="BH30" s="14"/>
      <c r="BI30" s="56"/>
      <c r="BJ30" s="93">
        <f t="shared" si="99"/>
        <v>25974.993600000002</v>
      </c>
      <c r="BK30" s="10">
        <f>IF(SUMIFS('Employee Enrollments'!AB:AB,'Employee Enrollments'!C:C,'Prop Budget Calc'!$A30,'Employee Enrollments'!Q:Q,"Medical")*12=0,'Employee Enrollments'!$AN$1,(SUMIFS('Employee Enrollments'!AB:AB,'Employee Enrollments'!C:C,'Prop Budget Calc'!$A30,'Employee Enrollments'!Q:Q,"Medical")*12))</f>
        <v>5703.84</v>
      </c>
      <c r="BL30" s="10">
        <f>SUMIFS('Employee Enrollments'!AB:AB,'Employee Enrollments'!C:C,'Prop Budget Calc'!$A30,'Employee Enrollments'!Q:Q,"Dental")*12</f>
        <v>364.92</v>
      </c>
    </row>
    <row r="31" spans="1:64" ht="12.75" customHeight="1">
      <c r="A31" s="20" t="s">
        <v>1431</v>
      </c>
      <c r="B31" s="3" t="str">
        <f>IF(IFERROR(VLOOKUP($A31,'Base Pay Report'!$A:$V,'Prop Budget Calc'!B$2,FALSE),"NO")="No","Update",PROPER(VLOOKUP($A31,'Base Pay Report'!$A:$V,'Prop Budget Calc'!B$2,FALSE)))</f>
        <v>Driver/Engineer</v>
      </c>
      <c r="C31" s="3" t="str">
        <f>IF(IFERROR(VLOOKUP($A31,'Base Pay Report'!$A:$V,'Prop Budget Calc'!C$2,FALSE),"NO")="No","Update",PROPER(VLOOKUP($A31,'Base Pay Report'!$A:$V,'Prop Budget Calc'!C$2,FALSE)))</f>
        <v>First Name Last Name</v>
      </c>
      <c r="D31" s="3" t="str">
        <f>IF(IFERROR(VLOOKUP($A31,'Base Pay Report'!$A:$V,'Prop Budget Calc'!D$2,FALSE),"NO")="No","Update",PROPER(VLOOKUP($A31,'Base Pay Report'!$A:$V,'Prop Budget Calc'!D$2,FALSE)))</f>
        <v>7704</v>
      </c>
      <c r="E31" s="8">
        <f t="shared" si="100"/>
        <v>1</v>
      </c>
      <c r="F31" s="3" t="str">
        <f>IF(IFERROR(VLOOKUP($A31,'Base Pay Report'!$A:$V,'Prop Budget Calc'!F$2,FALSE),"NO")="No","Update",PROPER(VLOOKUP($A31,'Base Pay Report'!$A:$V,'Prop Budget Calc'!F$2,FALSE)))</f>
        <v>100-35-352-50102</v>
      </c>
      <c r="G31" s="3" t="str">
        <f t="shared" si="101"/>
        <v>100-35-352</v>
      </c>
      <c r="H31" s="49" t="str">
        <f t="shared" si="102"/>
        <v>100</v>
      </c>
      <c r="I31" s="3" t="str">
        <f t="shared" si="103"/>
        <v>50102</v>
      </c>
      <c r="J31" s="3" t="str">
        <f t="shared" si="104"/>
        <v>35</v>
      </c>
      <c r="K31" s="3" t="str">
        <f t="shared" si="105"/>
        <v>352</v>
      </c>
      <c r="L31" s="3">
        <f>IF(SUMIF('Base Pay Report'!$A:$A,'Prop Budget Calc'!$A31,'Base Pay Report'!$I:$I)=80,SUMIF('Base Pay Report'!$A:$A,'Prop Budget Calc'!$A31,'Base Pay Report'!$H:$H)/SUMIF('Base Pay Report'!$A:$A,'Prop Budget Calc'!$A31,'Base Pay Report'!$I:$I),SUMIF('Base Pay Report'!$A:$A,'Prop Budget Calc'!$A31,'Base Pay Report'!$H:$H))</f>
        <v>33.53</v>
      </c>
      <c r="M31" s="3">
        <f t="shared" si="76"/>
        <v>2912</v>
      </c>
      <c r="N31" s="3" t="str">
        <f>IF(IFERROR(VLOOKUP($A31,'Base Pay Report'!$A:$V,'Prop Budget Calc'!N$2,FALSE),"NO")="No","Update",(VLOOKUP($A31,'Base Pay Report'!$A:$V,'Prop Budget Calc'!N$2,FALSE)))</f>
        <v>NON-TIME</v>
      </c>
      <c r="O31" s="6">
        <f t="shared" si="106"/>
        <v>97640</v>
      </c>
      <c r="P31" s="99">
        <f>IF(SUMIF('Base Pay Report'!A:A,$A31,'Base Pay Report'!J:J)=0,$P$1+40,SUMIF('Base Pay Report'!A:A,$A31,'Base Pay Report'!J:J))</f>
        <v>37154</v>
      </c>
      <c r="Q31" s="87">
        <f>IF($B31='Current Step Plans'!$B$36,HLOOKUP('Prop Budget Calc'!$L31,'Current Step Plans'!$C$36:$Q$42,7,FALSE),IF($B31='Current Step Plans'!$B$37,HLOOKUP('Prop Budget Calc'!$L31,'Current Step Plans'!$C$37:$Q$42,6,FALSE),IF($B31='Current Step Plans'!$B$38,HLOOKUP('Prop Budget Calc'!$L31,'Current Step Plans'!$C$38:$Q$42,5,FALSE),IF($B31='Current Step Plans'!$B$39,HLOOKUP('Prop Budget Calc'!$L31,'Current Step Plans'!$C$39:$Q$42,4,FALSE),IF($B31='Current Step Plans'!$B$40,HLOOKUP('Prop Budget Calc'!$L31,'Current Step Plans'!$C$40:$Q$42,3,FALSE),IF($B31='Current Step Plans'!$B$41,HLOOKUP('Prop Budget Calc'!$L31,'Current Step Plans'!$C$41:$Q$42,2,FALSE),IF($B31='Current Step Plans'!$B$50,HLOOKUP('Prop Budget Calc'!$L31,'Current Step Plans'!$C$50:$Q$56,7,FALSE),IF($B31='Current Step Plans'!$B$51,HLOOKUP('Prop Budget Calc'!$L31,'Current Step Plans'!$C$51:$Q$56,6,FALSE),IF($B31='Current Step Plans'!$B$52,HLOOKUP('Prop Budget Calc'!$L31,'Current Step Plans'!$C$52:$Q$56,5,FALSE), IF($B31='Current Step Plans'!$B$53,HLOOKUP('Prop Budget Calc'!$L31,'Current Step Plans'!$C$53:$Q$56,4,FALSE),IF($B31='Current Step Plans'!$B$54,HLOOKUP('Prop Budget Calc'!$L31,'Current Step Plans'!$C$54:$Q$56,3,FALSE),IF($B31='Current Step Plans'!$B$55,HLOOKUP('Prop Budget Calc'!$L31,'Current Step Plans'!$C$55:$Q$56,2,FALSE),IF($B31='Current Step Plans'!$B$65,HLOOKUP('Prop Budget Calc'!$L31,'Current Step Plans'!$C$65:$Q$75,11,FALSE),IF($B31='Current Step Plans'!$B$66,HLOOKUP('Prop Budget Calc'!$L31,'Current Step Plans'!$C$66:$Q$75,10,FALSE),IF($B31='Current Step Plans'!$B$67,HLOOKUP('Prop Budget Calc'!$L31,'Current Step Plans'!$C$67:$Q$75,9,FALSE),IF($B31='Current Step Plans'!$B$68,HLOOKUP('Prop Budget Calc'!$L31,'Current Step Plans'!$C$68:$Q$75,8,FALSE),IF($B31='Current Step Plans'!$B$69,HLOOKUP('Prop Budget Calc'!$L31,'Current Step Plans'!$C$69:$Q$75,7,FALSE),IF($B31='Current Step Plans'!$B$70,HLOOKUP('Prop Budget Calc'!$L31,'Current Step Plans'!$C$70:$Q$75,6,FALSE),IF($B31='Current Step Plans'!$B$71,HLOOKUP('Prop Budget Calc'!$L31,'Current Step Plans'!$C$71:$Q$75,5,FALSE),IF($B31='Current Step Plans'!$B$72,HLOOKUP('Prop Budget Calc'!$L31,'Current Step Plans'!$C$72:$Q$75,4,FALSE),IF($B31='Current Step Plans'!$B$73,HLOOKUP('Prop Budget Calc'!$L31,'Current Step Plans'!$C$73:$Q$75,3,FALSE),IF($B31='Current Step Plans'!$B$74,HLOOKUP('Prop Budget Calc'!$L31,'Current Step Plans'!$C$74:$Q$75,2,FALSE),"N"))))))))))))))))))))))</f>
        <v>9</v>
      </c>
      <c r="R31" s="9" t="str">
        <f t="shared" si="77"/>
        <v>Y</v>
      </c>
      <c r="S31" s="6">
        <f>IF(Q31="n",0,ROUNDUP(VLOOKUP(B31,'Proposed Step Plans'!B:T,'Prop Budget Calc'!Q31+2,FALSE)*M31,-2)-O31-T31)</f>
        <v>3960</v>
      </c>
      <c r="T31" s="6">
        <f>IF(Q31="n",0,ROUNDUP(VLOOKUP(B31,'Current Step Plans'!B:T,'Prop Budget Calc'!Q31+2,FALSE)*M31,0)-O31)</f>
        <v>0</v>
      </c>
      <c r="U31" s="6">
        <f>IF(IFERROR(VLOOKUP($A31,'Market Study'!$A$5:$G$82,7,FALSE),"NA")="NA",0,VLOOKUP($A31,'Market Study'!$A$5:$G$82,7,FALSE))</f>
        <v>0</v>
      </c>
      <c r="V31" s="6">
        <f>IF(OR($T31&lt;&gt;0,$I31="50112",$I31="50109",$S31&lt;&gt;0),0,VLOOKUP($K31,Scenarios!$A$17:$F$73,6,FALSE)*$O31)</f>
        <v>0</v>
      </c>
      <c r="W31" s="6">
        <f t="shared" si="78"/>
        <v>0</v>
      </c>
      <c r="X31" s="6">
        <f>IF(OR($T31&lt;&gt;0,$I31="50112",$I31="50109",$S31&lt;&gt;0),0,VLOOKUP($K31,Scenarios!$A$17:$F$73,2,FALSE)*$O31)</f>
        <v>0</v>
      </c>
      <c r="Y31" s="6">
        <f>IF(OR($T31&lt;&gt;0,$I31="50110",$I31="50109",$S31&lt;&gt;0),0,VLOOKUP($K31,Scenarios!$A$17:$F$73,3,FALSE))</f>
        <v>0</v>
      </c>
      <c r="Z31" s="6">
        <f>IF(OR($T31&lt;&gt;0,$I31="50112",$I31="50109",$S31&lt;&gt;0),0,VLOOKUP($K31,Scenarios!$A$17:$F$73,4,FALSE))</f>
        <v>0</v>
      </c>
      <c r="AA31" s="6">
        <f t="shared" si="79"/>
        <v>0</v>
      </c>
      <c r="AB31" s="6">
        <f>IF(OR($T31&lt;&gt;0,$I31="50112",$I31="50109",$S31&lt;&gt;0),0,VLOOKUP($K31,Scenarios!$A$17:$F$73,5,FALSE))</f>
        <v>0</v>
      </c>
      <c r="AC31" s="6">
        <f t="shared" si="80"/>
        <v>0</v>
      </c>
      <c r="AD31" s="6">
        <f t="shared" si="81"/>
        <v>101600</v>
      </c>
      <c r="AE31" s="84">
        <f t="shared" si="82"/>
        <v>4.0557148709545299E-2</v>
      </c>
      <c r="AF31" s="6">
        <f t="shared" si="83"/>
        <v>283.43333333333334</v>
      </c>
      <c r="AG31" s="6">
        <f>IF(AND(OR(I31="50101",I31="50102"),$AF31&gt;12),IF($AF31&gt;=300,(300*Scenarios!$B$14)*$E31,($AF31*Scenarios!$B$14)*$E31),0)</f>
        <v>1417.1666666666667</v>
      </c>
      <c r="AH31" s="6">
        <f>IF($R31="y",IF($T31&gt;0,Scenarios!$B$10*'Prop Budget Calc'!$E31,Scenarios!$B$13*'Prop Budget Calc'!$E31))</f>
        <v>0</v>
      </c>
      <c r="AI31" s="6">
        <f>SUMIFS('Deduction Valuation'!$G:$G,'Deduction Valuation'!$F:$F,"CT - Certifications",'Deduction Valuation'!$B:$B,'Prop Budget Calc'!$A31)*$AI$3</f>
        <v>900</v>
      </c>
      <c r="AJ31" s="6">
        <f>SUMIFS('Deduction Valuation'!$G:$G,'Deduction Valuation'!$F:$F,"RP - Regional Pay",'Deduction Valuation'!$B:$B,'Prop Budget Calc'!$A31)*$AI$3</f>
        <v>0</v>
      </c>
      <c r="AK31" s="6">
        <f t="shared" si="84"/>
        <v>900</v>
      </c>
      <c r="AL31" s="6">
        <f>SUMIFS('Deduction Valuation'!$G:$G,'Deduction Valuation'!$F:$F,"CR - Car Allowance",'Deduction Valuation'!$B:$B,'Prop Budget Calc'!$A31)*$AI$3</f>
        <v>0</v>
      </c>
      <c r="AM31" s="6">
        <f>SUMIFS('Deduction Valuation'!$G:$G,'Deduction Valuation'!$F:$F,"DA - Device Allow",'Deduction Valuation'!$B:$B,'Prop Budget Calc'!$A31)*$AI$3</f>
        <v>0</v>
      </c>
      <c r="AN31" s="6">
        <f>SUMIFS('Deduction Valuation'!$G:$G,'Deduction Valuation'!$F:$F,"RA - Replace Allow",'Deduction Valuation'!$B:$B,'Prop Budget Calc'!$A31)</f>
        <v>0</v>
      </c>
      <c r="AO31" s="94">
        <f t="shared" si="85"/>
        <v>0</v>
      </c>
      <c r="AP31" s="94">
        <f t="shared" si="86"/>
        <v>103917.16666666667</v>
      </c>
      <c r="AQ31" s="10">
        <f>IF(OR($I31="50101", $I31="50102", $I31="50109", $I31="50140"),AP31*Scenarios!$H$8,0)</f>
        <v>17603.568033333333</v>
      </c>
      <c r="AR31" s="9">
        <f>VLOOKUP($D31,WKCMP!$A$1:$C$15,3,FALSE)*AP31</f>
        <v>1850.5569040000003</v>
      </c>
      <c r="AS31" s="10">
        <f t="shared" si="87"/>
        <v>1506.7989166666669</v>
      </c>
      <c r="AT31" s="11">
        <f t="shared" si="88"/>
        <v>6442.8643333333339</v>
      </c>
      <c r="AU31" s="10">
        <f t="shared" si="89"/>
        <v>7950</v>
      </c>
      <c r="AV31" s="6">
        <f t="shared" si="90"/>
        <v>187.05090000000001</v>
      </c>
      <c r="AW31" s="19">
        <f t="shared" si="91"/>
        <v>79.2</v>
      </c>
      <c r="AX31" s="19">
        <f t="shared" si="92"/>
        <v>15.6</v>
      </c>
      <c r="AY31" s="19">
        <f t="shared" si="93"/>
        <v>11.28</v>
      </c>
      <c r="AZ31" s="88">
        <f t="shared" si="94"/>
        <v>293.1309</v>
      </c>
      <c r="BA31" s="6">
        <f>IF(AND($C31="vacant vacant",$E31=1),$BA$2*$AZ$3,SUMIFS('Employee Enrollments'!$AE:$AE,'Employee Enrollments'!$S:$S,"Medical HDHP",'Employee Enrollments'!$C:$C,'Prop Budget Calc'!$A31)*$AZ$3*(1+Scenarios!$E$9))*(1-$BA$3)</f>
        <v>19663.018992000001</v>
      </c>
      <c r="BB31" s="6">
        <f>IF(AND($C31="vacant vacant",$E31=1),500,SUMIFS('Employee Enrollments'!$AE:$AE,'Employee Enrollments'!$S:$S,"Health Savings Account",'Employee Enrollments'!$C:$C,'Prop Budget Calc'!$A31))</f>
        <v>1000</v>
      </c>
      <c r="BC31" s="56">
        <f t="shared" si="95"/>
        <v>20663.018992000001</v>
      </c>
      <c r="BD31" s="6">
        <f>IF(AND($C31="vacant vacant",$E31=1),$BD$2*$AZ$3,SUMIFS('Employee Enrollments'!$AE:$AE,'Employee Enrollments'!$S:$S,"Dental Plan",'Employee Enrollments'!$C:$C,'Prop Budget Calc'!$A31)*$AZ$3)</f>
        <v>843.48</v>
      </c>
      <c r="BE31" s="6">
        <f t="shared" si="96"/>
        <v>21799.629892000001</v>
      </c>
      <c r="BF31" s="6">
        <f t="shared" si="97"/>
        <v>49203.754829333338</v>
      </c>
      <c r="BG31" s="6">
        <f t="shared" si="98"/>
        <v>153120.92149600002</v>
      </c>
      <c r="BH31" s="14"/>
      <c r="BI31" s="56"/>
      <c r="BJ31" s="93">
        <f t="shared" si="99"/>
        <v>25974.993600000002</v>
      </c>
      <c r="BK31" s="10">
        <f>IF(SUMIFS('Employee Enrollments'!AB:AB,'Employee Enrollments'!C:C,'Prop Budget Calc'!$A31,'Employee Enrollments'!Q:Q,"Medical")*12=0,'Employee Enrollments'!$AN$1,(SUMIFS('Employee Enrollments'!AB:AB,'Employee Enrollments'!C:C,'Prop Budget Calc'!$A31,'Employee Enrollments'!Q:Q,"Medical")*12))</f>
        <v>5703.84</v>
      </c>
      <c r="BL31" s="10">
        <f>SUMIFS('Employee Enrollments'!AB:AB,'Employee Enrollments'!C:C,'Prop Budget Calc'!$A31,'Employee Enrollments'!Q:Q,"Dental")*12</f>
        <v>364.92</v>
      </c>
    </row>
    <row r="32" spans="1:64" ht="12.75" customHeight="1">
      <c r="A32" s="456" t="s">
        <v>1924</v>
      </c>
      <c r="B32" s="3" t="str">
        <f>IF(IFERROR(VLOOKUP($A32,'Base Pay Report'!$A:$V,'Prop Budget Calc'!B$2,FALSE),"NO")="No","Update",PROPER(VLOOKUP($A32,'Base Pay Report'!$A:$V,'Prop Budget Calc'!B$2,FALSE)))</f>
        <v>Firefighter/Emt</v>
      </c>
      <c r="C32" s="3" t="str">
        <f>IF(IFERROR(VLOOKUP($A32,'Base Pay Report'!$A:$V,'Prop Budget Calc'!C$2,FALSE),"NO")="No","Update",PROPER(VLOOKUP($A32,'Base Pay Report'!$A:$V,'Prop Budget Calc'!C$2,FALSE)))</f>
        <v>First Name Last Name</v>
      </c>
      <c r="D32" s="3" t="str">
        <f>IF(IFERROR(VLOOKUP($A32,'Base Pay Report'!$A:$V,'Prop Budget Calc'!D$2,FALSE),"NO")="No","Update",PROPER(VLOOKUP($A32,'Base Pay Report'!$A:$V,'Prop Budget Calc'!D$2,FALSE)))</f>
        <v>7704</v>
      </c>
      <c r="E32" s="8">
        <f t="shared" si="100"/>
        <v>1</v>
      </c>
      <c r="F32" s="3" t="str">
        <f>IF(IFERROR(VLOOKUP($A32,'Base Pay Report'!$A:$V,'Prop Budget Calc'!F$2,FALSE),"NO")="No","Update",PROPER(VLOOKUP($A32,'Base Pay Report'!$A:$V,'Prop Budget Calc'!F$2,FALSE)))</f>
        <v>100-35-352-50102</v>
      </c>
      <c r="G32" s="3" t="str">
        <f t="shared" si="101"/>
        <v>100-35-352</v>
      </c>
      <c r="H32" s="49" t="str">
        <f t="shared" si="102"/>
        <v>100</v>
      </c>
      <c r="I32" s="3" t="str">
        <f t="shared" si="103"/>
        <v>50102</v>
      </c>
      <c r="J32" s="3" t="str">
        <f t="shared" si="104"/>
        <v>35</v>
      </c>
      <c r="K32" s="3" t="str">
        <f t="shared" si="105"/>
        <v>352</v>
      </c>
      <c r="L32" s="3">
        <f>IF(SUMIF('Base Pay Report'!$A:$A,'Prop Budget Calc'!$A32,'Base Pay Report'!$I:$I)=80,SUMIF('Base Pay Report'!$A:$A,'Prop Budget Calc'!$A32,'Base Pay Report'!$H:$H)/SUMIF('Base Pay Report'!$A:$A,'Prop Budget Calc'!$A32,'Base Pay Report'!$I:$I),SUMIF('Base Pay Report'!$A:$A,'Prop Budget Calc'!$A32,'Base Pay Report'!$H:$H))</f>
        <v>21.88</v>
      </c>
      <c r="M32" s="3">
        <f t="shared" si="76"/>
        <v>2912</v>
      </c>
      <c r="N32" s="3" t="str">
        <f>IF(IFERROR(VLOOKUP($A32,'Base Pay Report'!$A:$V,'Prop Budget Calc'!N$2,FALSE),"NO")="No","Update",(VLOOKUP($A32,'Base Pay Report'!$A:$V,'Prop Budget Calc'!N$2,FALSE)))</f>
        <v>NON-TIME</v>
      </c>
      <c r="O32" s="6">
        <f t="shared" si="106"/>
        <v>63720</v>
      </c>
      <c r="P32" s="99">
        <f>IF(SUMIF('Base Pay Report'!A:A,$A32,'Base Pay Report'!J:J)=0,$P$1+40,SUMIF('Base Pay Report'!A:A,$A32,'Base Pay Report'!J:J))</f>
        <v>45019</v>
      </c>
      <c r="Q32" s="87">
        <f>IF($B32='Current Step Plans'!$B$36,HLOOKUP('Prop Budget Calc'!$L32,'Current Step Plans'!$C$36:$Q$42,7,FALSE),IF($B32='Current Step Plans'!$B$37,HLOOKUP('Prop Budget Calc'!$L32,'Current Step Plans'!$C$37:$Q$42,6,FALSE),IF($B32='Current Step Plans'!$B$38,HLOOKUP('Prop Budget Calc'!$L32,'Current Step Plans'!$C$38:$Q$42,5,FALSE),IF($B32='Current Step Plans'!$B$39,HLOOKUP('Prop Budget Calc'!$L32,'Current Step Plans'!$C$39:$Q$42,4,FALSE),IF($B32='Current Step Plans'!$B$40,HLOOKUP('Prop Budget Calc'!$L32,'Current Step Plans'!$C$40:$Q$42,3,FALSE),IF($B32='Current Step Plans'!$B$41,HLOOKUP('Prop Budget Calc'!$L32,'Current Step Plans'!$C$41:$Q$42,2,FALSE),IF($B32='Current Step Plans'!$B$50,HLOOKUP('Prop Budget Calc'!$L32,'Current Step Plans'!$C$50:$Q$56,7,FALSE),IF($B32='Current Step Plans'!$B$51,HLOOKUP('Prop Budget Calc'!$L32,'Current Step Plans'!$C$51:$Q$56,6,FALSE),IF($B32='Current Step Plans'!$B$52,HLOOKUP('Prop Budget Calc'!$L32,'Current Step Plans'!$C$52:$Q$56,5,FALSE), IF($B32='Current Step Plans'!$B$53,HLOOKUP('Prop Budget Calc'!$L32,'Current Step Plans'!$C$53:$Q$56,4,FALSE),IF($B32='Current Step Plans'!$B$54,HLOOKUP('Prop Budget Calc'!$L32,'Current Step Plans'!$C$54:$Q$56,3,FALSE),IF($B32='Current Step Plans'!$B$55,HLOOKUP('Prop Budget Calc'!$L32,'Current Step Plans'!$C$55:$Q$56,2,FALSE),IF($B32='Current Step Plans'!$B$65,HLOOKUP('Prop Budget Calc'!$L32,'Current Step Plans'!$C$65:$Q$75,11,FALSE),IF($B32='Current Step Plans'!$B$66,HLOOKUP('Prop Budget Calc'!$L32,'Current Step Plans'!$C$66:$Q$75,10,FALSE),IF($B32='Current Step Plans'!$B$67,HLOOKUP('Prop Budget Calc'!$L32,'Current Step Plans'!$C$67:$Q$75,9,FALSE),IF($B32='Current Step Plans'!$B$68,HLOOKUP('Prop Budget Calc'!$L32,'Current Step Plans'!$C$68:$Q$75,8,FALSE),IF($B32='Current Step Plans'!$B$69,HLOOKUP('Prop Budget Calc'!$L32,'Current Step Plans'!$C$69:$Q$75,7,FALSE),IF($B32='Current Step Plans'!$B$70,HLOOKUP('Prop Budget Calc'!$L32,'Current Step Plans'!$C$70:$Q$75,6,FALSE),IF($B32='Current Step Plans'!$B$71,HLOOKUP('Prop Budget Calc'!$L32,'Current Step Plans'!$C$71:$Q$75,5,FALSE),IF($B32='Current Step Plans'!$B$72,HLOOKUP('Prop Budget Calc'!$L32,'Current Step Plans'!$C$72:$Q$75,4,FALSE),IF($B32='Current Step Plans'!$B$73,HLOOKUP('Prop Budget Calc'!$L32,'Current Step Plans'!$C$73:$Q$75,3,FALSE),IF($B32='Current Step Plans'!$B$74,HLOOKUP('Prop Budget Calc'!$L32,'Current Step Plans'!$C$74:$Q$75,2,FALSE),"N"))))))))))))))))))))))</f>
        <v>1</v>
      </c>
      <c r="R32" s="9" t="str">
        <f t="shared" si="77"/>
        <v>N</v>
      </c>
      <c r="S32" s="6">
        <f>IF(Q32="n",0,ROUNDUP(VLOOKUP(B32,'Proposed Step Plans'!B:T,'Prop Budget Calc'!Q32+2,FALSE)*M32,-2)-O32-T32)</f>
        <v>3304</v>
      </c>
      <c r="T32" s="6">
        <f>IF(Q32="n",0,ROUNDUP(VLOOKUP(B32,'Current Step Plans'!B:T,'Prop Budget Calc'!Q32+2,FALSE)*M32,0)-O32)</f>
        <v>1276</v>
      </c>
      <c r="U32" s="6">
        <f>IF(IFERROR(VLOOKUP($A32,'Market Study'!$A$5:$G$82,7,FALSE),"NA")="NA",0,VLOOKUP($A32,'Market Study'!$A$5:$G$82,7,FALSE))</f>
        <v>0</v>
      </c>
      <c r="V32" s="6">
        <f>IF(OR($T32&lt;&gt;0,$I32="50112",$I32="50109",$S32&lt;&gt;0),0,VLOOKUP($K32,Scenarios!$A$17:$F$73,6,FALSE)*$O32)</f>
        <v>0</v>
      </c>
      <c r="W32" s="6">
        <f t="shared" si="78"/>
        <v>0</v>
      </c>
      <c r="X32" s="6">
        <f>IF(OR($T32&lt;&gt;0,$I32="50112",$I32="50109",$S32&lt;&gt;0),0,VLOOKUP($K32,Scenarios!$A$17:$F$73,2,FALSE)*$O32)</f>
        <v>0</v>
      </c>
      <c r="Y32" s="6">
        <f>IF(OR($T32&lt;&gt;0,$I32="50110",$I32="50109",$S32&lt;&gt;0),0,VLOOKUP($K32,Scenarios!$A$17:$F$73,3,FALSE))</f>
        <v>0</v>
      </c>
      <c r="Z32" s="6">
        <f>IF(OR($T32&lt;&gt;0,$I32="50112",$I32="50109",$S32&lt;&gt;0),0,VLOOKUP($K32,Scenarios!$A$17:$F$73,4,FALSE))</f>
        <v>0</v>
      </c>
      <c r="AA32" s="6">
        <f t="shared" si="79"/>
        <v>0</v>
      </c>
      <c r="AB32" s="6">
        <f>IF(OR($T32&lt;&gt;0,$I32="50112",$I32="50109",$S32&lt;&gt;0),0,VLOOKUP($K32,Scenarios!$A$17:$F$73,5,FALSE))</f>
        <v>0</v>
      </c>
      <c r="AC32" s="6">
        <f t="shared" si="80"/>
        <v>0</v>
      </c>
      <c r="AD32" s="6">
        <f t="shared" si="81"/>
        <v>68300</v>
      </c>
      <c r="AE32" s="84">
        <f t="shared" si="82"/>
        <v>7.1876961707470155E-2</v>
      </c>
      <c r="AF32" s="6">
        <f t="shared" si="83"/>
        <v>21.266666666666666</v>
      </c>
      <c r="AG32" s="6">
        <f>IF(AND(OR(I32="50101",I32="50102"),$AF32&gt;12),IF($AF32&gt;=300,(300*Scenarios!$B$14)*$E32,($AF32*Scenarios!$B$14)*$E32),0)</f>
        <v>106.33333333333333</v>
      </c>
      <c r="AH32" s="6" t="b">
        <f>IF($R32="y",IF($T32&gt;0,Scenarios!$B$10*'Prop Budget Calc'!$E32,Scenarios!$B$13*'Prop Budget Calc'!$E32))</f>
        <v>0</v>
      </c>
      <c r="AI32" s="6">
        <f>SUMIFS('Deduction Valuation'!$G:$G,'Deduction Valuation'!$F:$F,"CT - Certifications",'Deduction Valuation'!$B:$B,'Prop Budget Calc'!$A32)*$AI$3</f>
        <v>0</v>
      </c>
      <c r="AJ32" s="6">
        <f>SUMIFS('Deduction Valuation'!$G:$G,'Deduction Valuation'!$F:$F,"RP - Regional Pay",'Deduction Valuation'!$B:$B,'Prop Budget Calc'!$A32)*$AI$3</f>
        <v>0</v>
      </c>
      <c r="AK32" s="6">
        <f t="shared" si="84"/>
        <v>0</v>
      </c>
      <c r="AL32" s="6">
        <f>SUMIFS('Deduction Valuation'!$G:$G,'Deduction Valuation'!$F:$F,"CR - Car Allowance",'Deduction Valuation'!$B:$B,'Prop Budget Calc'!$A32)*$AI$3</f>
        <v>0</v>
      </c>
      <c r="AM32" s="6">
        <f>SUMIFS('Deduction Valuation'!$G:$G,'Deduction Valuation'!$F:$F,"DA - Device Allow",'Deduction Valuation'!$B:$B,'Prop Budget Calc'!$A32)*$AI$3</f>
        <v>0</v>
      </c>
      <c r="AN32" s="6">
        <f>SUMIFS('Deduction Valuation'!$G:$G,'Deduction Valuation'!$F:$F,"RA - Replace Allow",'Deduction Valuation'!$B:$B,'Prop Budget Calc'!$A32)</f>
        <v>0</v>
      </c>
      <c r="AO32" s="94">
        <f t="shared" si="85"/>
        <v>0</v>
      </c>
      <c r="AP32" s="94">
        <f t="shared" si="86"/>
        <v>68406.333333333328</v>
      </c>
      <c r="AQ32" s="10">
        <f>IF(OR($I32="50101", $I32="50102", $I32="50109", $I32="50140"),AP32*Scenarios!$H$8,0)</f>
        <v>11588.032866666665</v>
      </c>
      <c r="AR32" s="9">
        <f>VLOOKUP($D32,WKCMP!$A$1:$C$15,3,FALSE)*AP32</f>
        <v>1218.1799839999999</v>
      </c>
      <c r="AS32" s="10">
        <f t="shared" si="87"/>
        <v>991.89183333333335</v>
      </c>
      <c r="AT32" s="11">
        <f t="shared" si="88"/>
        <v>4241.1926666666659</v>
      </c>
      <c r="AU32" s="10">
        <f t="shared" si="89"/>
        <v>5240</v>
      </c>
      <c r="AV32" s="6">
        <f t="shared" si="90"/>
        <v>123.13139999999999</v>
      </c>
      <c r="AW32" s="19">
        <f t="shared" si="91"/>
        <v>79.2</v>
      </c>
      <c r="AX32" s="19">
        <f t="shared" si="92"/>
        <v>15.6</v>
      </c>
      <c r="AY32" s="19">
        <f t="shared" si="93"/>
        <v>11.28</v>
      </c>
      <c r="AZ32" s="88">
        <f t="shared" si="94"/>
        <v>229.21139999999997</v>
      </c>
      <c r="BA32" s="6">
        <f>IF(AND($C32="vacant vacant",$E32=1),$BA$2*$AZ$3,SUMIFS('Employee Enrollments'!$AE:$AE,'Employee Enrollments'!$S:$S,"Medical HDHP",'Employee Enrollments'!$C:$C,'Prop Budget Calc'!$A32)*$AZ$3*(1+Scenarios!$E$9))*(1-$BA$3)</f>
        <v>20751.279839999999</v>
      </c>
      <c r="BB32" s="6">
        <f>IF(AND($C32="vacant vacant",$E32=1),500,SUMIFS('Employee Enrollments'!$AE:$AE,'Employee Enrollments'!$S:$S,"Health Savings Account",'Employee Enrollments'!$C:$C,'Prop Budget Calc'!$A32))</f>
        <v>1000</v>
      </c>
      <c r="BC32" s="56">
        <f t="shared" si="95"/>
        <v>21751.279839999999</v>
      </c>
      <c r="BD32" s="6">
        <f>IF(AND($C32="vacant vacant",$E32=1),$BD$2*$AZ$3,SUMIFS('Employee Enrollments'!$AE:$AE,'Employee Enrollments'!$S:$S,"Dental Plan",'Employee Enrollments'!$C:$C,'Prop Budget Calc'!$A32)*$AZ$3)</f>
        <v>843.48</v>
      </c>
      <c r="BE32" s="6">
        <f t="shared" si="96"/>
        <v>22823.971239999999</v>
      </c>
      <c r="BF32" s="6">
        <f t="shared" si="97"/>
        <v>40870.184090666662</v>
      </c>
      <c r="BG32" s="6">
        <f t="shared" si="98"/>
        <v>109276.51742399999</v>
      </c>
      <c r="BH32" s="14"/>
      <c r="BI32" s="56"/>
      <c r="BJ32" s="93">
        <f t="shared" si="99"/>
        <v>25996.991999999998</v>
      </c>
      <c r="BK32" s="10">
        <f>IF(SUMIFS('Employee Enrollments'!AB:AB,'Employee Enrollments'!C:C,'Prop Budget Calc'!$A32,'Employee Enrollments'!Q:Q,"Medical")*12=0,'Employee Enrollments'!$AN$1,(SUMIFS('Employee Enrollments'!AB:AB,'Employee Enrollments'!C:C,'Prop Budget Calc'!$A32,'Employee Enrollments'!Q:Q,"Medical")*12))</f>
        <v>4603.92</v>
      </c>
      <c r="BL32" s="10">
        <f>SUMIFS('Employee Enrollments'!AB:AB,'Employee Enrollments'!C:C,'Prop Budget Calc'!$A32,'Employee Enrollments'!Q:Q,"Dental")*12</f>
        <v>364.92</v>
      </c>
    </row>
    <row r="33" spans="1:88" ht="12.75" customHeight="1">
      <c r="A33" s="20" t="s">
        <v>1419</v>
      </c>
      <c r="B33" s="3" t="str">
        <f>IF(IFERROR(VLOOKUP($A33,'Base Pay Report'!$A:$V,'Prop Budget Calc'!B$2,FALSE),"NO")="No","Update",PROPER(VLOOKUP($A33,'Base Pay Report'!$A:$V,'Prop Budget Calc'!B$2,FALSE)))</f>
        <v>Battalion Chief</v>
      </c>
      <c r="C33" s="3" t="str">
        <f>IF(IFERROR(VLOOKUP($A33,'Base Pay Report'!$A:$V,'Prop Budget Calc'!C$2,FALSE),"NO")="No","Update",PROPER(VLOOKUP($A33,'Base Pay Report'!$A:$V,'Prop Budget Calc'!C$2,FALSE)))</f>
        <v>First Name Last Name</v>
      </c>
      <c r="D33" s="3" t="str">
        <f>IF(IFERROR(VLOOKUP($A33,'Base Pay Report'!$A:$V,'Prop Budget Calc'!D$2,FALSE),"NO")="No","Update",PROPER(VLOOKUP($A33,'Base Pay Report'!$A:$V,'Prop Budget Calc'!D$2,FALSE)))</f>
        <v>7704</v>
      </c>
      <c r="E33" s="8">
        <f t="shared" si="100"/>
        <v>1</v>
      </c>
      <c r="F33" s="3" t="str">
        <f>IF(IFERROR(VLOOKUP($A33,'Base Pay Report'!$A:$V,'Prop Budget Calc'!F$2,FALSE),"NO")="No","Update",PROPER(VLOOKUP($A33,'Base Pay Report'!$A:$V,'Prop Budget Calc'!F$2,FALSE)))</f>
        <v>100-35-352-50102</v>
      </c>
      <c r="G33" s="3" t="str">
        <f t="shared" si="101"/>
        <v>100-35-352</v>
      </c>
      <c r="H33" s="49" t="str">
        <f t="shared" si="102"/>
        <v>100</v>
      </c>
      <c r="I33" s="3" t="str">
        <f t="shared" si="103"/>
        <v>50102</v>
      </c>
      <c r="J33" s="3" t="str">
        <f t="shared" si="104"/>
        <v>35</v>
      </c>
      <c r="K33" s="3" t="str">
        <f t="shared" si="105"/>
        <v>352</v>
      </c>
      <c r="L33" s="3">
        <f>IF(SUMIF('Base Pay Report'!$A:$A,'Prop Budget Calc'!$A33,'Base Pay Report'!$I:$I)=80,SUMIF('Base Pay Report'!$A:$A,'Prop Budget Calc'!$A33,'Base Pay Report'!$H:$H)/SUMIF('Base Pay Report'!$A:$A,'Prop Budget Calc'!$A33,'Base Pay Report'!$I:$I),SUMIF('Base Pay Report'!$A:$A,'Prop Budget Calc'!$A33,'Base Pay Report'!$H:$H))</f>
        <v>43.74</v>
      </c>
      <c r="M33" s="3">
        <f t="shared" si="76"/>
        <v>2912</v>
      </c>
      <c r="N33" s="3" t="str">
        <f>IF(IFERROR(VLOOKUP($A33,'Base Pay Report'!$A:$V,'Prop Budget Calc'!N$2,FALSE),"NO")="No","Update",(VLOOKUP($A33,'Base Pay Report'!$A:$V,'Prop Budget Calc'!N$2,FALSE)))</f>
        <v>NON-TIME</v>
      </c>
      <c r="O33" s="6">
        <f t="shared" si="106"/>
        <v>127380</v>
      </c>
      <c r="P33" s="99">
        <f>IF(SUMIF('Base Pay Report'!A:A,$A33,'Base Pay Report'!J:J)=0,$P$1+40,SUMIF('Base Pay Report'!A:A,$A33,'Base Pay Report'!J:J))</f>
        <v>32741</v>
      </c>
      <c r="Q33" s="87">
        <f>IF($B33='Current Step Plans'!$B$36,HLOOKUP('Prop Budget Calc'!$L33,'Current Step Plans'!$C$36:$Q$42,7,FALSE),IF($B33='Current Step Plans'!$B$37,HLOOKUP('Prop Budget Calc'!$L33,'Current Step Plans'!$C$37:$Q$42,6,FALSE),IF($B33='Current Step Plans'!$B$38,HLOOKUP('Prop Budget Calc'!$L33,'Current Step Plans'!$C$38:$Q$42,5,FALSE),IF($B33='Current Step Plans'!$B$39,HLOOKUP('Prop Budget Calc'!$L33,'Current Step Plans'!$C$39:$Q$42,4,FALSE),IF($B33='Current Step Plans'!$B$40,HLOOKUP('Prop Budget Calc'!$L33,'Current Step Plans'!$C$40:$Q$42,3,FALSE),IF($B33='Current Step Plans'!$B$41,HLOOKUP('Prop Budget Calc'!$L33,'Current Step Plans'!$C$41:$Q$42,2,FALSE),IF($B33='Current Step Plans'!$B$50,HLOOKUP('Prop Budget Calc'!$L33,'Current Step Plans'!$C$50:$Q$56,7,FALSE),IF($B33='Current Step Plans'!$B$51,HLOOKUP('Prop Budget Calc'!$L33,'Current Step Plans'!$C$51:$Q$56,6,FALSE),IF($B33='Current Step Plans'!$B$52,HLOOKUP('Prop Budget Calc'!$L33,'Current Step Plans'!$C$52:$Q$56,5,FALSE), IF($B33='Current Step Plans'!$B$53,HLOOKUP('Prop Budget Calc'!$L33,'Current Step Plans'!$C$53:$Q$56,4,FALSE),IF($B33='Current Step Plans'!$B$54,HLOOKUP('Prop Budget Calc'!$L33,'Current Step Plans'!$C$54:$Q$56,3,FALSE),IF($B33='Current Step Plans'!$B$55,HLOOKUP('Prop Budget Calc'!$L33,'Current Step Plans'!$C$55:$Q$56,2,FALSE),IF($B33='Current Step Plans'!$B$65,HLOOKUP('Prop Budget Calc'!$L33,'Current Step Plans'!$C$65:$Q$75,11,FALSE),IF($B33='Current Step Plans'!$B$66,HLOOKUP('Prop Budget Calc'!$L33,'Current Step Plans'!$C$66:$Q$75,10,FALSE),IF($B33='Current Step Plans'!$B$67,HLOOKUP('Prop Budget Calc'!$L33,'Current Step Plans'!$C$67:$Q$75,9,FALSE),IF($B33='Current Step Plans'!$B$68,HLOOKUP('Prop Budget Calc'!$L33,'Current Step Plans'!$C$68:$Q$75,8,FALSE),IF($B33='Current Step Plans'!$B$69,HLOOKUP('Prop Budget Calc'!$L33,'Current Step Plans'!$C$69:$Q$75,7,FALSE),IF($B33='Current Step Plans'!$B$70,HLOOKUP('Prop Budget Calc'!$L33,'Current Step Plans'!$C$70:$Q$75,6,FALSE),IF($B33='Current Step Plans'!$B$71,HLOOKUP('Prop Budget Calc'!$L33,'Current Step Plans'!$C$71:$Q$75,5,FALSE),IF($B33='Current Step Plans'!$B$72,HLOOKUP('Prop Budget Calc'!$L33,'Current Step Plans'!$C$72:$Q$75,4,FALSE),IF($B33='Current Step Plans'!$B$73,HLOOKUP('Prop Budget Calc'!$L33,'Current Step Plans'!$C$73:$Q$75,3,FALSE),IF($B33='Current Step Plans'!$B$74,HLOOKUP('Prop Budget Calc'!$L33,'Current Step Plans'!$C$74:$Q$75,2,FALSE),"N"))))))))))))))))))))))</f>
        <v>7</v>
      </c>
      <c r="R33" s="9" t="str">
        <f t="shared" si="77"/>
        <v>Y</v>
      </c>
      <c r="S33" s="6">
        <f>IF(Q33="n",0,ROUNDUP(VLOOKUP(B33,'Proposed Step Plans'!B:T,'Prop Budget Calc'!Q33+2,FALSE)*M33,-2)-O33-T33)</f>
        <v>5029</v>
      </c>
      <c r="T33" s="6">
        <f>IF(Q33="n",0,ROUNDUP(VLOOKUP(B33,'Current Step Plans'!B:T,'Prop Budget Calc'!Q33+2,FALSE)*M33,0)-O33)</f>
        <v>-9</v>
      </c>
      <c r="U33" s="6">
        <f>IF(IFERROR(VLOOKUP($A33,'Market Study'!$A$5:$G$82,7,FALSE),"NA")="NA",0,VLOOKUP($A33,'Market Study'!$A$5:$G$82,7,FALSE))</f>
        <v>0</v>
      </c>
      <c r="V33" s="6">
        <f>IF(OR($T33&lt;&gt;0,$I33="50112",$I33="50109",$S33&lt;&gt;0),0,VLOOKUP($K33,Scenarios!$A$17:$F$73,6,FALSE)*$O33)</f>
        <v>0</v>
      </c>
      <c r="W33" s="6">
        <f t="shared" si="78"/>
        <v>0</v>
      </c>
      <c r="X33" s="6">
        <f>IF(OR($T33&lt;&gt;0,$I33="50112",$I33="50109",$S33&lt;&gt;0),0,VLOOKUP($K33,Scenarios!$A$17:$F$73,2,FALSE)*$O33)</f>
        <v>0</v>
      </c>
      <c r="Y33" s="6">
        <f>IF(OR($T33&lt;&gt;0,$I33="50110",$I33="50109",$S33&lt;&gt;0),0,VLOOKUP($K33,Scenarios!$A$17:$F$73,3,FALSE))</f>
        <v>0</v>
      </c>
      <c r="Z33" s="6">
        <f>IF(OR($T33&lt;&gt;0,$I33="50112",$I33="50109",$S33&lt;&gt;0),0,VLOOKUP($K33,Scenarios!$A$17:$F$73,4,FALSE))</f>
        <v>0</v>
      </c>
      <c r="AA33" s="6">
        <f t="shared" si="79"/>
        <v>0</v>
      </c>
      <c r="AB33" s="6">
        <f>IF(OR($T33&lt;&gt;0,$I33="50112",$I33="50109",$S33&lt;&gt;0),0,VLOOKUP($K33,Scenarios!$A$17:$F$73,5,FALSE))</f>
        <v>0</v>
      </c>
      <c r="AC33" s="6">
        <f t="shared" si="80"/>
        <v>0</v>
      </c>
      <c r="AD33" s="6">
        <f t="shared" si="81"/>
        <v>132400</v>
      </c>
      <c r="AE33" s="84">
        <f t="shared" si="82"/>
        <v>3.9409640445909888E-2</v>
      </c>
      <c r="AF33" s="6">
        <f t="shared" si="83"/>
        <v>430.53333333333336</v>
      </c>
      <c r="AG33" s="6">
        <f>IF(AND(OR(I33="50101",I33="50102"),$AF33&gt;12),IF($AF33&gt;=300,(300*Scenarios!$B$14)*$E33,($AF33*Scenarios!$B$14)*$E33),0)</f>
        <v>1500</v>
      </c>
      <c r="AH33" s="6">
        <f>IF($R33="y",IF($T33&gt;0,Scenarios!$B$10*'Prop Budget Calc'!$E33,Scenarios!$B$13*'Prop Budget Calc'!$E33))</f>
        <v>0</v>
      </c>
      <c r="AI33" s="6">
        <f>SUMIFS('Deduction Valuation'!$G:$G,'Deduction Valuation'!$F:$F,"CT - Certifications",'Deduction Valuation'!$B:$B,'Prop Budget Calc'!$A33)*$AI$3</f>
        <v>1200</v>
      </c>
      <c r="AJ33" s="6">
        <f>SUMIFS('Deduction Valuation'!$G:$G,'Deduction Valuation'!$F:$F,"RP - Regional Pay",'Deduction Valuation'!$B:$B,'Prop Budget Calc'!$A33)*$AI$3</f>
        <v>0</v>
      </c>
      <c r="AK33" s="6">
        <f t="shared" si="84"/>
        <v>1200</v>
      </c>
      <c r="AL33" s="6">
        <f>SUMIFS('Deduction Valuation'!$G:$G,'Deduction Valuation'!$F:$F,"CR - Car Allowance",'Deduction Valuation'!$B:$B,'Prop Budget Calc'!$A33)*$AI$3</f>
        <v>0</v>
      </c>
      <c r="AM33" s="6">
        <f>SUMIFS('Deduction Valuation'!$G:$G,'Deduction Valuation'!$F:$F,"DA - Device Allow",'Deduction Valuation'!$B:$B,'Prop Budget Calc'!$A33)*$AI$3</f>
        <v>420</v>
      </c>
      <c r="AN33" s="6">
        <f>SUMIFS('Deduction Valuation'!$G:$G,'Deduction Valuation'!$F:$F,"RA - Replace Allow",'Deduction Valuation'!$B:$B,'Prop Budget Calc'!$A33)</f>
        <v>75</v>
      </c>
      <c r="AO33" s="94">
        <f t="shared" si="85"/>
        <v>495</v>
      </c>
      <c r="AP33" s="94">
        <f t="shared" si="86"/>
        <v>135595</v>
      </c>
      <c r="AQ33" s="10">
        <f>IF(OR($I33="50101", $I33="50102", $I33="50109", $I33="50140"),AP33*Scenarios!$H$8,0)</f>
        <v>22969.792999999998</v>
      </c>
      <c r="AR33" s="9">
        <f>VLOOKUP($D33,WKCMP!$A$1:$C$15,3,FALSE)*AP33</f>
        <v>2414.6757600000001</v>
      </c>
      <c r="AS33" s="10">
        <f t="shared" si="87"/>
        <v>1966.1275000000001</v>
      </c>
      <c r="AT33" s="11">
        <f t="shared" si="88"/>
        <v>8020.5060000000012</v>
      </c>
      <c r="AU33" s="10">
        <f t="shared" si="89"/>
        <v>9990</v>
      </c>
      <c r="AV33" s="6">
        <f t="shared" si="90"/>
        <v>244.071</v>
      </c>
      <c r="AW33" s="19">
        <f t="shared" si="91"/>
        <v>79.2</v>
      </c>
      <c r="AX33" s="19">
        <f t="shared" ref="AX33:AX43" si="107">IF($E33=1,$AX$1,0)</f>
        <v>15.6</v>
      </c>
      <c r="AY33" s="19">
        <f t="shared" ref="AY33:AY43" si="108">IF($E33=1,$AY$1,0)</f>
        <v>11.28</v>
      </c>
      <c r="AZ33" s="88">
        <f t="shared" si="94"/>
        <v>350.15100000000001</v>
      </c>
      <c r="BA33" s="6">
        <f>IF(AND($C33="vacant vacant",$E33=1),$BA$2*$AZ$3,SUMIFS('Employee Enrollments'!$AE:$AE,'Employee Enrollments'!$S:$S,"Medical HDHP",'Employee Enrollments'!$C:$C,'Prop Budget Calc'!$A33)*$AZ$3*(1+Scenarios!$E$9))*(1-$BA$3)</f>
        <v>15109.444008</v>
      </c>
      <c r="BB33" s="6">
        <f>IF(AND($C33="vacant vacant",$E33=1),500,SUMIFS('Employee Enrollments'!$AE:$AE,'Employee Enrollments'!$S:$S,"Health Savings Account",'Employee Enrollments'!$C:$C,'Prop Budget Calc'!$A33))</f>
        <v>1000</v>
      </c>
      <c r="BC33" s="56">
        <f t="shared" si="95"/>
        <v>16109.444008</v>
      </c>
      <c r="BD33" s="6">
        <f>IF(AND($C33="vacant vacant",$E33=1),$BD$2*$AZ$3,SUMIFS('Employee Enrollments'!$AE:$AE,'Employee Enrollments'!$S:$S,"Dental Plan",'Employee Enrollments'!$C:$C,'Prop Budget Calc'!$A33)*$AZ$3)</f>
        <v>843.48</v>
      </c>
      <c r="BE33" s="6">
        <f t="shared" si="96"/>
        <v>17303.075008000003</v>
      </c>
      <c r="BF33" s="6">
        <f t="shared" si="97"/>
        <v>52677.543768000003</v>
      </c>
      <c r="BG33" s="6">
        <f t="shared" si="98"/>
        <v>188272.543768</v>
      </c>
      <c r="BH33" s="14"/>
      <c r="BI33" s="56"/>
      <c r="BJ33" s="93">
        <f t="shared" si="99"/>
        <v>21693.7464</v>
      </c>
      <c r="BK33" s="10">
        <f>IF(SUMIFS('Employee Enrollments'!AB:AB,'Employee Enrollments'!C:C,'Prop Budget Calc'!$A33,'Employee Enrollments'!Q:Q,"Medical")*12=0,'Employee Enrollments'!$AN$1,(SUMIFS('Employee Enrollments'!AB:AB,'Employee Enrollments'!C:C,'Prop Budget Calc'!$A33,'Employee Enrollments'!Q:Q,"Medical")*12))</f>
        <v>6117</v>
      </c>
      <c r="BL33" s="10">
        <f>SUMIFS('Employee Enrollments'!AB:AB,'Employee Enrollments'!C:C,'Prop Budget Calc'!$A33,'Employee Enrollments'!Q:Q,"Dental")*12</f>
        <v>364.92</v>
      </c>
    </row>
    <row r="34" spans="1:88" ht="12.75" customHeight="1">
      <c r="A34" s="20" t="s">
        <v>1557</v>
      </c>
      <c r="B34" s="3" t="str">
        <f>IF(IFERROR(VLOOKUP($A34,'Base Pay Report'!$A:$V,'Prop Budget Calc'!B$2,FALSE),"NO")="No","Update",PROPER(VLOOKUP($A34,'Base Pay Report'!$A:$V,'Prop Budget Calc'!B$2,FALSE)))</f>
        <v>Capital Projects Manager</v>
      </c>
      <c r="C34" s="3" t="str">
        <f>IF(IFERROR(VLOOKUP($A34,'Base Pay Report'!$A:$V,'Prop Budget Calc'!C$2,FALSE),"NO")="No","Update",PROPER(VLOOKUP($A34,'Base Pay Report'!$A:$V,'Prop Budget Calc'!C$2,FALSE)))</f>
        <v>First Name Last Name</v>
      </c>
      <c r="D34" s="3" t="str">
        <f>IF(IFERROR(VLOOKUP($A34,'Base Pay Report'!$A:$V,'Prop Budget Calc'!D$2,FALSE),"NO")="No","Update",PROPER(VLOOKUP($A34,'Base Pay Report'!$A:$V,'Prop Budget Calc'!D$2,FALSE)))</f>
        <v>8601</v>
      </c>
      <c r="E34" s="8">
        <f t="shared" si="100"/>
        <v>1</v>
      </c>
      <c r="F34" s="3" t="str">
        <f>IF(IFERROR(VLOOKUP($A34,'Base Pay Report'!$A:$V,'Prop Budget Calc'!F$2,FALSE),"NO")="No","Update",PROPER(VLOOKUP($A34,'Base Pay Report'!$A:$V,'Prop Budget Calc'!F$2,FALSE)))</f>
        <v>100-50-502-50101</v>
      </c>
      <c r="G34" s="3" t="str">
        <f t="shared" si="101"/>
        <v>100-50-502</v>
      </c>
      <c r="H34" s="49" t="str">
        <f t="shared" si="102"/>
        <v>100</v>
      </c>
      <c r="I34" s="3" t="str">
        <f t="shared" si="103"/>
        <v>50101</v>
      </c>
      <c r="J34" s="3" t="str">
        <f t="shared" si="104"/>
        <v>50</v>
      </c>
      <c r="K34" s="3" t="str">
        <f t="shared" si="105"/>
        <v>502</v>
      </c>
      <c r="L34" s="3">
        <f>IF(SUMIF('Base Pay Report'!$A:$A,'Prop Budget Calc'!$A34,'Base Pay Report'!$I:$I)=80,SUMIF('Base Pay Report'!$A:$A,'Prop Budget Calc'!$A34,'Base Pay Report'!$H:$H)/SUMIF('Base Pay Report'!$A:$A,'Prop Budget Calc'!$A34,'Base Pay Report'!$I:$I),SUMIF('Base Pay Report'!$A:$A,'Prop Budget Calc'!$A34,'Base Pay Report'!$H:$H))</f>
        <v>45.076250000000002</v>
      </c>
      <c r="M34" s="3">
        <f t="shared" ref="M34:M43" si="109">IF(G34="100-35-352",2912,IF(N34=$N$3,36*52,E34*2080))</f>
        <v>2080</v>
      </c>
      <c r="N34" s="3" t="str">
        <f>IF(IFERROR(VLOOKUP($A34,'Base Pay Report'!$A:$V,'Prop Budget Calc'!N$2,FALSE),"NO")="No","Update",(VLOOKUP($A34,'Base Pay Report'!$A:$V,'Prop Budget Calc'!N$2,FALSE)))</f>
        <v>SALARY - 4-10</v>
      </c>
      <c r="O34" s="6">
        <f t="shared" si="106"/>
        <v>93760</v>
      </c>
      <c r="P34" s="99">
        <f>IF(SUMIF('Base Pay Report'!A:A,$A34,'Base Pay Report'!J:J)=0,$P$1+40,SUMIF('Base Pay Report'!A:A,$A34,'Base Pay Report'!J:J))</f>
        <v>43801</v>
      </c>
      <c r="Q34" s="87" t="str">
        <f>IF($B34='Current Step Plans'!$B$36,HLOOKUP('Prop Budget Calc'!$L34,'Current Step Plans'!$C$36:$Q$42,7,FALSE),IF($B34='Current Step Plans'!$B$37,HLOOKUP('Prop Budget Calc'!$L34,'Current Step Plans'!$C$37:$Q$42,6,FALSE),IF($B34='Current Step Plans'!$B$38,HLOOKUP('Prop Budget Calc'!$L34,'Current Step Plans'!$C$38:$Q$42,5,FALSE),IF($B34='Current Step Plans'!$B$39,HLOOKUP('Prop Budget Calc'!$L34,'Current Step Plans'!$C$39:$Q$42,4,FALSE),IF($B34='Current Step Plans'!$B$40,HLOOKUP('Prop Budget Calc'!$L34,'Current Step Plans'!$C$40:$Q$42,3,FALSE),IF($B34='Current Step Plans'!$B$41,HLOOKUP('Prop Budget Calc'!$L34,'Current Step Plans'!$C$41:$Q$42,2,FALSE),IF($B34='Current Step Plans'!$B$50,HLOOKUP('Prop Budget Calc'!$L34,'Current Step Plans'!$C$50:$Q$56,7,FALSE),IF($B34='Current Step Plans'!$B$51,HLOOKUP('Prop Budget Calc'!$L34,'Current Step Plans'!$C$51:$Q$56,6,FALSE),IF($B34='Current Step Plans'!$B$52,HLOOKUP('Prop Budget Calc'!$L34,'Current Step Plans'!$C$52:$Q$56,5,FALSE), IF($B34='Current Step Plans'!$B$53,HLOOKUP('Prop Budget Calc'!$L34,'Current Step Plans'!$C$53:$Q$56,4,FALSE),IF($B34='Current Step Plans'!$B$54,HLOOKUP('Prop Budget Calc'!$L34,'Current Step Plans'!$C$54:$Q$56,3,FALSE),IF($B34='Current Step Plans'!$B$55,HLOOKUP('Prop Budget Calc'!$L34,'Current Step Plans'!$C$55:$Q$56,2,FALSE),IF($B34='Current Step Plans'!$B$65,HLOOKUP('Prop Budget Calc'!$L34,'Current Step Plans'!$C$65:$Q$75,11,FALSE),IF($B34='Current Step Plans'!$B$66,HLOOKUP('Prop Budget Calc'!$L34,'Current Step Plans'!$C$66:$Q$75,10,FALSE),IF($B34='Current Step Plans'!$B$67,HLOOKUP('Prop Budget Calc'!$L34,'Current Step Plans'!$C$67:$Q$75,9,FALSE),IF($B34='Current Step Plans'!$B$68,HLOOKUP('Prop Budget Calc'!$L34,'Current Step Plans'!$C$68:$Q$75,8,FALSE),IF($B34='Current Step Plans'!$B$69,HLOOKUP('Prop Budget Calc'!$L34,'Current Step Plans'!$C$69:$Q$75,7,FALSE),IF($B34='Current Step Plans'!$B$70,HLOOKUP('Prop Budget Calc'!$L34,'Current Step Plans'!$C$70:$Q$75,6,FALSE),IF($B34='Current Step Plans'!$B$71,HLOOKUP('Prop Budget Calc'!$L34,'Current Step Plans'!$C$71:$Q$75,5,FALSE),IF($B34='Current Step Plans'!$B$72,HLOOKUP('Prop Budget Calc'!$L34,'Current Step Plans'!$C$72:$Q$75,4,FALSE),IF($B34='Current Step Plans'!$B$73,HLOOKUP('Prop Budget Calc'!$L34,'Current Step Plans'!$C$73:$Q$75,3,FALSE),IF($B34='Current Step Plans'!$B$74,HLOOKUP('Prop Budget Calc'!$L34,'Current Step Plans'!$C$74:$Q$75,2,FALSE),"N"))))))))))))))))))))))</f>
        <v>N</v>
      </c>
      <c r="R34" s="9" t="str">
        <f t="shared" ref="R34:R43" si="110">IF(P34&lt;=$R$5,"Y","N")</f>
        <v>Y</v>
      </c>
      <c r="S34" s="6">
        <f>IF(Q34="n",0,ROUNDUP(VLOOKUP(B34,'Proposed Step Plans'!B:T,'Prop Budget Calc'!Q34+2,FALSE)*M34,-2)-O34-T34)</f>
        <v>0</v>
      </c>
      <c r="T34" s="6">
        <f>IF(Q34="n",0,ROUNDUP(VLOOKUP(B34,'Current Step Plans'!B:T,'Prop Budget Calc'!Q34+2,FALSE)*M34,0)-O34)</f>
        <v>0</v>
      </c>
      <c r="U34" s="6">
        <f>IF(IFERROR(VLOOKUP($A34,'Market Study'!$A$5:$G$82,7,FALSE),"NA")="NA",0,VLOOKUP($A34,'Market Study'!$A$5:$G$82,7,FALSE))</f>
        <v>0</v>
      </c>
      <c r="V34" s="6">
        <f>IF(OR($T34&lt;&gt;0,$I34="50112",$I34="50109",$S34&lt;&gt;0),0,VLOOKUP($K34,Scenarios!$A$17:$F$73,6,FALSE)*$O34)</f>
        <v>1875.2</v>
      </c>
      <c r="W34" s="6">
        <f t="shared" ref="W34:W43" si="111">IF(U34&gt;V34,U34,V34)</f>
        <v>1875.2</v>
      </c>
      <c r="X34" s="6">
        <f>IF(OR($T34&lt;&gt;0,$I34="50112",$I34="50109",$S34&lt;&gt;0),0,VLOOKUP($K34,Scenarios!$A$17:$F$73,2,FALSE)*$O34)</f>
        <v>1875.2</v>
      </c>
      <c r="Y34" s="6">
        <f>IF(OR($T34&lt;&gt;0,$I34="50110",$I34="50109",$S34&lt;&gt;0),0,VLOOKUP($K34,Scenarios!$A$17:$F$73,3,FALSE))</f>
        <v>1175</v>
      </c>
      <c r="Z34" s="6">
        <f>IF(OR($T34&lt;&gt;0,$I34="50112",$I34="50109",$S34&lt;&gt;0),0,VLOOKUP($K34,Scenarios!$A$17:$F$73,4,FALSE))</f>
        <v>0</v>
      </c>
      <c r="AA34" s="6">
        <f t="shared" ref="AA34:AA43" si="112">IF(X34&lt;Y34,Y34,IF(AND(X34&gt;Z34,Z34&gt;1),Z34,X34))</f>
        <v>1875.2</v>
      </c>
      <c r="AB34" s="6">
        <f>IF(OR($T34&lt;&gt;0,$I34="50112",$I34="50109",$S34&lt;&gt;0),0,VLOOKUP($K34,Scenarios!$A$17:$F$73,5,FALSE))</f>
        <v>0</v>
      </c>
      <c r="AC34" s="6">
        <f t="shared" si="80"/>
        <v>3750.4</v>
      </c>
      <c r="AD34" s="6">
        <f t="shared" ref="AD34:AD43" si="113">ROUNDUP(AA34+S34+AB34+T34+W34+O34,0)</f>
        <v>97511</v>
      </c>
      <c r="AE34" s="84">
        <f t="shared" ref="AE34:AE43" si="114">AD34/O34-1</f>
        <v>4.0006399317406238E-2</v>
      </c>
      <c r="AF34" s="6">
        <f t="shared" ref="AF34:AF43" si="115">_xlfn.DAYS($AF$1,P34)/30</f>
        <v>61.866666666666667</v>
      </c>
      <c r="AG34" s="6">
        <f>IF(AND(OR(I34="50101",I34="50102"),$AF34&gt;12),IF($AF34&gt;=300,(300*Scenarios!$B$14)*$E34,($AF34*Scenarios!$B$14)*$E34),0)</f>
        <v>309.33333333333331</v>
      </c>
      <c r="AH34" s="6">
        <f>IF($R34="y",IF($T34&gt;0,Scenarios!$B$10*'Prop Budget Calc'!$E34,Scenarios!$B$13*'Prop Budget Calc'!$E34))</f>
        <v>0</v>
      </c>
      <c r="AI34" s="6">
        <f>SUMIFS('Deduction Valuation'!$G:$G,'Deduction Valuation'!$F:$F,"CT - Certifications",'Deduction Valuation'!$B:$B,'Prop Budget Calc'!$A34)*$AI$3</f>
        <v>0</v>
      </c>
      <c r="AJ34" s="6">
        <f>SUMIFS('Deduction Valuation'!$G:$G,'Deduction Valuation'!$F:$F,"RP - Regional Pay",'Deduction Valuation'!$B:$B,'Prop Budget Calc'!$A34)*$AI$3</f>
        <v>0</v>
      </c>
      <c r="AK34" s="6">
        <f t="shared" ref="AK34:AK43" si="116">AI34+AJ34</f>
        <v>0</v>
      </c>
      <c r="AL34" s="6">
        <f>SUMIFS('Deduction Valuation'!$G:$G,'Deduction Valuation'!$F:$F,"CR - Car Allowance",'Deduction Valuation'!$B:$B,'Prop Budget Calc'!$A34)*$AI$3</f>
        <v>0</v>
      </c>
      <c r="AM34" s="6">
        <f>SUMIFS('Deduction Valuation'!$G:$G,'Deduction Valuation'!$F:$F,"DA - Device Allow",'Deduction Valuation'!$B:$B,'Prop Budget Calc'!$A34)*$AI$3</f>
        <v>960</v>
      </c>
      <c r="AN34" s="6">
        <f>SUMIFS('Deduction Valuation'!$G:$G,'Deduction Valuation'!$F:$F,"RA - Replace Allow",'Deduction Valuation'!$B:$B,'Prop Budget Calc'!$A34)</f>
        <v>75</v>
      </c>
      <c r="AO34" s="94">
        <f t="shared" ref="AO34:AO43" si="117">AM34+AN34</f>
        <v>1035</v>
      </c>
      <c r="AP34" s="94">
        <f t="shared" ref="AP34:AP43" si="118">AD34+AG34+AK34+AL34+AO34+AH34</f>
        <v>98855.333333333328</v>
      </c>
      <c r="AQ34" s="10">
        <f>IF(OR($I34="50101", $I34="50102", $I34="50109", $I34="50140"),AP34*Scenarios!$H$8,0)</f>
        <v>16746.093466666665</v>
      </c>
      <c r="AR34" s="9">
        <f>VLOOKUP($D34,WKCMP!$A$1:$C$15,3,FALSE)*AP34</f>
        <v>279.00929279999997</v>
      </c>
      <c r="AS34" s="10">
        <f t="shared" ref="AS34:AS43" si="119">AP34*$AS$2</f>
        <v>1433.4023333333334</v>
      </c>
      <c r="AT34" s="11">
        <f t="shared" ref="AT34:AT43" si="120">IF($AP34&lt;$AT$4,$AT$2*AP34,$AT$4*$AT$2*$E34)</f>
        <v>6129.0306666666665</v>
      </c>
      <c r="AU34" s="10">
        <f t="shared" ref="AU34:AU43" si="121">ROUNDUP((AS34+AT34), -1)</f>
        <v>7570</v>
      </c>
      <c r="AV34" s="6">
        <f t="shared" ref="AV34:AV43" si="122">AP34*$AV$2</f>
        <v>177.93959999999998</v>
      </c>
      <c r="AW34" s="19">
        <f t="shared" ref="AW34:AW43" si="123">IF(AND($I34&lt;&gt;"50101", $I34&lt;&gt;"50102"),0,IF($I34="50101",IF(($AP34/52*$AW$3)&gt;$AV$1,$AV$1,$AP34/52*$AW$3),IF(($AD34/52*$AW$3)&gt;$AW$1,$AW$1,$AD34/52*$AW$3)))*E34</f>
        <v>158.4</v>
      </c>
      <c r="AX34" s="19">
        <f t="shared" si="107"/>
        <v>15.6</v>
      </c>
      <c r="AY34" s="19">
        <f t="shared" si="108"/>
        <v>11.28</v>
      </c>
      <c r="AZ34" s="88">
        <f t="shared" ref="AZ34:AZ43" si="124">AV34+AW34+AX34+AY34</f>
        <v>363.21960000000001</v>
      </c>
      <c r="BA34" s="6">
        <f>IF(AND($C34="vacant vacant",$E34=1),$BA$2*$AZ$3,SUMIFS('Employee Enrollments'!$AE:$AE,'Employee Enrollments'!$S:$S,"Medical HDHP",'Employee Enrollments'!$C:$C,'Prop Budget Calc'!$A34)*$AZ$3*(1+Scenarios!$E$9))*(1-$BA$3)</f>
        <v>9726.7914000000001</v>
      </c>
      <c r="BB34" s="6">
        <f>IF(AND($C34="vacant vacant",$E34=1),500,SUMIFS('Employee Enrollments'!$AE:$AE,'Employee Enrollments'!$S:$S,"Health Savings Account",'Employee Enrollments'!$C:$C,'Prop Budget Calc'!$A34))</f>
        <v>500.05</v>
      </c>
      <c r="BC34" s="56">
        <f t="shared" ref="BC34:BC43" si="125">BA34+BB34</f>
        <v>10226.841399999999</v>
      </c>
      <c r="BD34" s="6">
        <f>IF(AND($C34="vacant vacant",$E34=1),$BD$2*$AZ$3,SUMIFS('Employee Enrollments'!$AE:$AE,'Employee Enrollments'!$S:$S,"Dental Plan",'Employee Enrollments'!$C:$C,'Prop Budget Calc'!$A34)*$AZ$3)</f>
        <v>434.76</v>
      </c>
      <c r="BE34" s="6">
        <f t="shared" ref="BE34:BE43" si="126">BD34+BC34+AZ34</f>
        <v>11024.821</v>
      </c>
      <c r="BF34" s="6">
        <f t="shared" ref="BF34:BF43" si="127">AU34+BE34+AR34+AQ34</f>
        <v>35619.923759466663</v>
      </c>
      <c r="BG34" s="6">
        <f t="shared" ref="BG34:BG43" si="128">AP34+BF34</f>
        <v>134475.25709279999</v>
      </c>
      <c r="BH34" s="14"/>
      <c r="BI34" s="56"/>
      <c r="BJ34" s="93">
        <f t="shared" ref="BJ34:BJ43" si="129">BA34/(1-$BA$3)+BK34</f>
        <v>10447.980000000001</v>
      </c>
      <c r="BK34" s="10">
        <f>IF(SUMIFS('Employee Enrollments'!AB:AB,'Employee Enrollments'!C:C,'Prop Budget Calc'!$A34,'Employee Enrollments'!Q:Q,"Medical")*12=0,'Employee Enrollments'!$AN$1,(SUMIFS('Employee Enrollments'!AB:AB,'Employee Enrollments'!C:C,'Prop Budget Calc'!$A34,'Employee Enrollments'!Q:Q,"Medical")*12))</f>
        <v>420.36</v>
      </c>
      <c r="BL34" s="10">
        <f>SUMIFS('Employee Enrollments'!AB:AB,'Employee Enrollments'!C:C,'Prop Budget Calc'!$A34,'Employee Enrollments'!Q:Q,"Dental")*12</f>
        <v>0</v>
      </c>
    </row>
    <row r="35" spans="1:88" ht="12.75" customHeight="1">
      <c r="A35" s="474" t="s">
        <v>1877</v>
      </c>
      <c r="B35" s="3" t="str">
        <f>IF(IFERROR(VLOOKUP($A35,'Base Pay Report'!$A:$V,'Prop Budget Calc'!B$2,FALSE),"NO")="No","Update",PROPER(VLOOKUP($A35,'Base Pay Report'!$A:$V,'Prop Budget Calc'!B$2,FALSE)))</f>
        <v>Engineering Technician</v>
      </c>
      <c r="C35" s="3" t="str">
        <f>IF(IFERROR(VLOOKUP($A35,'Base Pay Report'!$A:$V,'Prop Budget Calc'!C$2,FALSE),"NO")="No","Update",PROPER(VLOOKUP($A35,'Base Pay Report'!$A:$V,'Prop Budget Calc'!C$2,FALSE)))</f>
        <v>Vacant Vacant</v>
      </c>
      <c r="D35" s="3" t="str">
        <f>IF(IFERROR(VLOOKUP($A35,'Base Pay Report'!$A:$V,'Prop Budget Calc'!D$2,FALSE),"NO")="No","Update",PROPER(VLOOKUP($A35,'Base Pay Report'!$A:$V,'Prop Budget Calc'!D$2,FALSE)))</f>
        <v>8810</v>
      </c>
      <c r="E35" s="8">
        <f t="shared" si="100"/>
        <v>1</v>
      </c>
      <c r="F35" s="3" t="str">
        <f>IF(IFERROR(VLOOKUP($A35,'Base Pay Report'!$A:$V,'Prop Budget Calc'!F$2,FALSE),"NO")="No","Update",PROPER(VLOOKUP($A35,'Base Pay Report'!$A:$V,'Prop Budget Calc'!F$2,FALSE)))</f>
        <v>100-50-502-50102</v>
      </c>
      <c r="G35" s="3" t="str">
        <f t="shared" si="101"/>
        <v>100-50-502</v>
      </c>
      <c r="H35" s="49" t="str">
        <f t="shared" si="102"/>
        <v>100</v>
      </c>
      <c r="I35" s="3" t="str">
        <f t="shared" si="103"/>
        <v>50102</v>
      </c>
      <c r="J35" s="3" t="str">
        <f t="shared" si="104"/>
        <v>50</v>
      </c>
      <c r="K35" s="3" t="str">
        <f t="shared" si="105"/>
        <v>502</v>
      </c>
      <c r="L35" s="3">
        <f>IF(SUMIF('Base Pay Report'!$A:$A,'Prop Budget Calc'!$A35,'Base Pay Report'!$I:$I)=80,SUMIF('Base Pay Report'!$A:$A,'Prop Budget Calc'!$A35,'Base Pay Report'!$H:$H)/SUMIF('Base Pay Report'!$A:$A,'Prop Budget Calc'!$A35,'Base Pay Report'!$I:$I),SUMIF('Base Pay Report'!$A:$A,'Prop Budget Calc'!$A35,'Base Pay Report'!$H:$H))</f>
        <v>27.66</v>
      </c>
      <c r="M35" s="3">
        <f t="shared" si="109"/>
        <v>2080</v>
      </c>
      <c r="N35" s="3" t="str">
        <f>IF(IFERROR(VLOOKUP($A35,'Base Pay Report'!$A:$V,'Prop Budget Calc'!N$2,FALSE),"NO")="No","Update",(VLOOKUP($A35,'Base Pay Report'!$A:$V,'Prop Budget Calc'!N$2,FALSE)))</f>
        <v>SALARY - 4-10</v>
      </c>
      <c r="O35" s="6">
        <f t="shared" si="106"/>
        <v>57540</v>
      </c>
      <c r="P35" s="99">
        <f>IF(SUMIF('Base Pay Report'!A:A,$A35,'Base Pay Report'!J:J)=0,$P$1+40,SUMIF('Base Pay Report'!A:A,$A35,'Base Pay Report'!J:J))</f>
        <v>45027</v>
      </c>
      <c r="Q35" s="87" t="str">
        <f>IF($B35='Current Step Plans'!$B$36,HLOOKUP('Prop Budget Calc'!$L35,'Current Step Plans'!$C$36:$Q$42,7,FALSE),IF($B35='Current Step Plans'!$B$37,HLOOKUP('Prop Budget Calc'!$L35,'Current Step Plans'!$C$37:$Q$42,6,FALSE),IF($B35='Current Step Plans'!$B$38,HLOOKUP('Prop Budget Calc'!$L35,'Current Step Plans'!$C$38:$Q$42,5,FALSE),IF($B35='Current Step Plans'!$B$39,HLOOKUP('Prop Budget Calc'!$L35,'Current Step Plans'!$C$39:$Q$42,4,FALSE),IF($B35='Current Step Plans'!$B$40,HLOOKUP('Prop Budget Calc'!$L35,'Current Step Plans'!$C$40:$Q$42,3,FALSE),IF($B35='Current Step Plans'!$B$41,HLOOKUP('Prop Budget Calc'!$L35,'Current Step Plans'!$C$41:$Q$42,2,FALSE),IF($B35='Current Step Plans'!$B$50,HLOOKUP('Prop Budget Calc'!$L35,'Current Step Plans'!$C$50:$Q$56,7,FALSE),IF($B35='Current Step Plans'!$B$51,HLOOKUP('Prop Budget Calc'!$L35,'Current Step Plans'!$C$51:$Q$56,6,FALSE),IF($B35='Current Step Plans'!$B$52,HLOOKUP('Prop Budget Calc'!$L35,'Current Step Plans'!$C$52:$Q$56,5,FALSE), IF($B35='Current Step Plans'!$B$53,HLOOKUP('Prop Budget Calc'!$L35,'Current Step Plans'!$C$53:$Q$56,4,FALSE),IF($B35='Current Step Plans'!$B$54,HLOOKUP('Prop Budget Calc'!$L35,'Current Step Plans'!$C$54:$Q$56,3,FALSE),IF($B35='Current Step Plans'!$B$55,HLOOKUP('Prop Budget Calc'!$L35,'Current Step Plans'!$C$55:$Q$56,2,FALSE),IF($B35='Current Step Plans'!$B$65,HLOOKUP('Prop Budget Calc'!$L35,'Current Step Plans'!$C$65:$Q$75,11,FALSE),IF($B35='Current Step Plans'!$B$66,HLOOKUP('Prop Budget Calc'!$L35,'Current Step Plans'!$C$66:$Q$75,10,FALSE),IF($B35='Current Step Plans'!$B$67,HLOOKUP('Prop Budget Calc'!$L35,'Current Step Plans'!$C$67:$Q$75,9,FALSE),IF($B35='Current Step Plans'!$B$68,HLOOKUP('Prop Budget Calc'!$L35,'Current Step Plans'!$C$68:$Q$75,8,FALSE),IF($B35='Current Step Plans'!$B$69,HLOOKUP('Prop Budget Calc'!$L35,'Current Step Plans'!$C$69:$Q$75,7,FALSE),IF($B35='Current Step Plans'!$B$70,HLOOKUP('Prop Budget Calc'!$L35,'Current Step Plans'!$C$70:$Q$75,6,FALSE),IF($B35='Current Step Plans'!$B$71,HLOOKUP('Prop Budget Calc'!$L35,'Current Step Plans'!$C$71:$Q$75,5,FALSE),IF($B35='Current Step Plans'!$B$72,HLOOKUP('Prop Budget Calc'!$L35,'Current Step Plans'!$C$72:$Q$75,4,FALSE),IF($B35='Current Step Plans'!$B$73,HLOOKUP('Prop Budget Calc'!$L35,'Current Step Plans'!$C$73:$Q$75,3,FALSE),IF($B35='Current Step Plans'!$B$74,HLOOKUP('Prop Budget Calc'!$L35,'Current Step Plans'!$C$74:$Q$75,2,FALSE),"N"))))))))))))))))))))))</f>
        <v>N</v>
      </c>
      <c r="R35" s="9" t="str">
        <f t="shared" si="110"/>
        <v>N</v>
      </c>
      <c r="S35" s="6">
        <f>IF(Q35="n",0,ROUNDUP(VLOOKUP(B35,'Proposed Step Plans'!B:T,'Prop Budget Calc'!Q35+2,FALSE)*M35,-2)-O35-T35)</f>
        <v>0</v>
      </c>
      <c r="T35" s="6">
        <f>IF(Q35="n",0,ROUNDUP(VLOOKUP(B35,'Current Step Plans'!B:T,'Prop Budget Calc'!Q35+2,FALSE)*M35,0)-O35)</f>
        <v>0</v>
      </c>
      <c r="U35" s="6">
        <f>IF(IFERROR(VLOOKUP($A35,'Market Study'!$A$5:$G$82,7,FALSE),"NA")="NA",0,VLOOKUP($A35,'Market Study'!$A$5:$G$82,7,FALSE))</f>
        <v>0</v>
      </c>
      <c r="V35" s="6">
        <f>IF(OR($T35&lt;&gt;0,$I35="50112",$I35="50109",$S35&lt;&gt;0),0,VLOOKUP($K35,Scenarios!$A$17:$F$73,6,FALSE)*$O35)</f>
        <v>1150.8</v>
      </c>
      <c r="W35" s="6">
        <f t="shared" si="111"/>
        <v>1150.8</v>
      </c>
      <c r="X35" s="6">
        <f>IF(OR($T35&lt;&gt;0,$I35="50112",$I35="50109",$S35&lt;&gt;0),0,VLOOKUP($K35,Scenarios!$A$17:$F$73,2,FALSE)*$O35)</f>
        <v>1150.8</v>
      </c>
      <c r="Y35" s="6">
        <f>IF(OR($T35&lt;&gt;0,$I35="50110",$I35="50109",$S35&lt;&gt;0),0,VLOOKUP($K35,Scenarios!$A$17:$F$73,3,FALSE))</f>
        <v>1175</v>
      </c>
      <c r="Z35" s="6">
        <f>IF(OR($T35&lt;&gt;0,$I35="50112",$I35="50109",$S35&lt;&gt;0),0,VLOOKUP($K35,Scenarios!$A$17:$F$73,4,FALSE))</f>
        <v>0</v>
      </c>
      <c r="AA35" s="6">
        <f t="shared" si="112"/>
        <v>1175</v>
      </c>
      <c r="AB35" s="6">
        <f>IF(OR($T35&lt;&gt;0,$I35="50112",$I35="50109",$S35&lt;&gt;0),0,VLOOKUP($K35,Scenarios!$A$17:$F$73,5,FALSE))</f>
        <v>0</v>
      </c>
      <c r="AC35" s="6">
        <f t="shared" si="80"/>
        <v>2325.8000000000002</v>
      </c>
      <c r="AD35" s="6">
        <f t="shared" si="113"/>
        <v>59866</v>
      </c>
      <c r="AE35" s="84">
        <f t="shared" si="114"/>
        <v>4.0424052832811919E-2</v>
      </c>
      <c r="AF35" s="6">
        <f t="shared" si="115"/>
        <v>21</v>
      </c>
      <c r="AG35" s="6">
        <f>IF(AND(OR(I35="50101",I35="50102"),$AF35&gt;12),IF($AF35&gt;=300,(300*Scenarios!$B$14)*$E35,($AF35*Scenarios!$B$14)*$E35),0)</f>
        <v>105</v>
      </c>
      <c r="AH35" s="6" t="b">
        <f>IF($R35="y",IF($T35&gt;0,Scenarios!$B$10*'Prop Budget Calc'!$E35,Scenarios!$B$13*'Prop Budget Calc'!$E35))</f>
        <v>0</v>
      </c>
      <c r="AI35" s="6">
        <f>SUMIFS('Deduction Valuation'!$G:$G,'Deduction Valuation'!$F:$F,"CT - Certifications",'Deduction Valuation'!$B:$B,'Prop Budget Calc'!$A35)*$AI$3</f>
        <v>0</v>
      </c>
      <c r="AJ35" s="6">
        <f>SUMIFS('Deduction Valuation'!$G:$G,'Deduction Valuation'!$F:$F,"RP - Regional Pay",'Deduction Valuation'!$B:$B,'Prop Budget Calc'!$A35)*$AI$3</f>
        <v>0</v>
      </c>
      <c r="AK35" s="6">
        <f t="shared" si="116"/>
        <v>0</v>
      </c>
      <c r="AL35" s="6">
        <f>SUMIFS('Deduction Valuation'!$G:$G,'Deduction Valuation'!$F:$F,"CR - Car Allowance",'Deduction Valuation'!$B:$B,'Prop Budget Calc'!$A35)*$AI$3</f>
        <v>0</v>
      </c>
      <c r="AM35" s="6">
        <f>SUMIFS('Deduction Valuation'!$G:$G,'Deduction Valuation'!$F:$F,"DA - Device Allow",'Deduction Valuation'!$B:$B,'Prop Budget Calc'!$A35)*$AI$3</f>
        <v>0</v>
      </c>
      <c r="AN35" s="6">
        <f>SUMIFS('Deduction Valuation'!$G:$G,'Deduction Valuation'!$F:$F,"RA - Replace Allow",'Deduction Valuation'!$B:$B,'Prop Budget Calc'!$A35)</f>
        <v>0</v>
      </c>
      <c r="AO35" s="94">
        <f t="shared" si="117"/>
        <v>0</v>
      </c>
      <c r="AP35" s="94">
        <f t="shared" si="118"/>
        <v>59971</v>
      </c>
      <c r="AQ35" s="10">
        <f>IF(OR($I35="50101", $I35="50102", $I35="50109", $I35="50140"),AP35*Scenarios!$H$8,0)</f>
        <v>10159.0874</v>
      </c>
      <c r="AR35" s="9">
        <f>VLOOKUP($D35,WKCMP!$A$1:$C$15,3,FALSE)*AP35</f>
        <v>82.616049600000025</v>
      </c>
      <c r="AS35" s="10">
        <f t="shared" si="119"/>
        <v>869.57950000000005</v>
      </c>
      <c r="AT35" s="11">
        <f t="shared" si="120"/>
        <v>3718.2019999999998</v>
      </c>
      <c r="AU35" s="10">
        <f t="shared" si="121"/>
        <v>4590</v>
      </c>
      <c r="AV35" s="6">
        <f t="shared" si="122"/>
        <v>107.9478</v>
      </c>
      <c r="AW35" s="19">
        <f t="shared" si="123"/>
        <v>79.2</v>
      </c>
      <c r="AX35" s="19">
        <f t="shared" si="107"/>
        <v>15.6</v>
      </c>
      <c r="AY35" s="19">
        <f t="shared" si="108"/>
        <v>11.28</v>
      </c>
      <c r="AZ35" s="88">
        <f t="shared" si="124"/>
        <v>214.02780000000001</v>
      </c>
      <c r="BA35" s="6">
        <f>IF(AND($C35="vacant vacant",$E35=1),$BA$2*$AZ$3,SUMIFS('Employee Enrollments'!$AE:$AE,'Employee Enrollments'!$S:$S,"Medical HDHP",'Employee Enrollments'!$C:$C,'Prop Budget Calc'!$A35)*$AZ$3*(1+Scenarios!$E$9))*(1-$BA$3)</f>
        <v>13438.438387310343</v>
      </c>
      <c r="BB35" s="6">
        <f>IF(AND($C35="vacant vacant",$E35=1),500,SUMIFS('Employee Enrollments'!$AE:$AE,'Employee Enrollments'!$S:$S,"Health Savings Account",'Employee Enrollments'!$C:$C,'Prop Budget Calc'!$A35))</f>
        <v>500</v>
      </c>
      <c r="BC35" s="56">
        <f t="shared" si="125"/>
        <v>13938.438387310343</v>
      </c>
      <c r="BD35" s="6">
        <f>IF(AND($C35="vacant vacant",$E35=1),$BD$2*$AZ$3,SUMIFS('Employee Enrollments'!$AE:$AE,'Employee Enrollments'!$S:$S,"Dental Plan",'Employee Enrollments'!$C:$C,'Prop Budget Calc'!$A35)*$AZ$3)</f>
        <v>628.6782481751826</v>
      </c>
      <c r="BE35" s="6">
        <f t="shared" si="126"/>
        <v>14781.144435485527</v>
      </c>
      <c r="BF35" s="6">
        <f t="shared" si="127"/>
        <v>29612.847885085528</v>
      </c>
      <c r="BG35" s="6">
        <f t="shared" si="128"/>
        <v>89583.847885085532</v>
      </c>
      <c r="BH35" s="14"/>
      <c r="BI35" s="56"/>
      <c r="BJ35" s="93">
        <f t="shared" si="129"/>
        <v>14985.927855938697</v>
      </c>
      <c r="BK35" s="10">
        <f>IF(SUMIFS('Employee Enrollments'!AB:AB,'Employee Enrollments'!C:C,'Prop Budget Calc'!$A35,'Employee Enrollments'!Q:Q,"Medical")*12=0,'Employee Enrollments'!$AN$1,(SUMIFS('Employee Enrollments'!AB:AB,'Employee Enrollments'!C:C,'Prop Budget Calc'!$A35,'Employee Enrollments'!Q:Q,"Medical")*12))</f>
        <v>1131.8676628352489</v>
      </c>
      <c r="BL35" s="10">
        <f>SUMIFS('Employee Enrollments'!AB:AB,'Employee Enrollments'!C:C,'Prop Budget Calc'!$A35,'Employee Enrollments'!Q:Q,"Dental")*12</f>
        <v>0</v>
      </c>
    </row>
    <row r="36" spans="1:88" ht="12.75" customHeight="1">
      <c r="A36" s="535" t="s">
        <v>2577</v>
      </c>
      <c r="B36" s="3" t="str">
        <f>IF(IFERROR(VLOOKUP($A36,'Base Pay Report'!$A:$V,'Prop Budget Calc'!B$2,FALSE),"NO")="No","Update",PROPER(VLOOKUP($A36,'Base Pay Report'!$A:$V,'Prop Budget Calc'!B$2,FALSE)))</f>
        <v>Administrative Assistant Ii - Public Works</v>
      </c>
      <c r="C36" s="3" t="str">
        <f>IF(IFERROR(VLOOKUP($A36,'Base Pay Report'!$A:$V,'Prop Budget Calc'!C$2,FALSE),"NO")="No","Update",PROPER(VLOOKUP($A36,'Base Pay Report'!$A:$V,'Prop Budget Calc'!C$2,FALSE)))</f>
        <v>First Name Last Name</v>
      </c>
      <c r="D36" s="3" t="str">
        <f>IF(IFERROR(VLOOKUP($A36,'Base Pay Report'!$A:$V,'Prop Budget Calc'!D$2,FALSE),"NO")="No","Update",PROPER(VLOOKUP($A36,'Base Pay Report'!$A:$V,'Prop Budget Calc'!D$2,FALSE)))</f>
        <v>8810</v>
      </c>
      <c r="E36" s="8">
        <f t="shared" ref="E36:E46" si="130">IF(OR(I36="50101",I36="50102"),1,IF(I36="50110",0.48,IF(I36="50112",0.25,1)))</f>
        <v>1</v>
      </c>
      <c r="F36" s="3" t="str">
        <f>IF(IFERROR(VLOOKUP($A36,'Base Pay Report'!$A:$V,'Prop Budget Calc'!F$2,FALSE),"NO")="No","Update",PROPER(VLOOKUP($A36,'Base Pay Report'!$A:$V,'Prop Budget Calc'!F$2,FALSE)))</f>
        <v>100-50-502-50102</v>
      </c>
      <c r="G36" s="3" t="str">
        <f t="shared" ref="G36:G46" si="131">LEFT(F36,10)</f>
        <v>100-50-502</v>
      </c>
      <c r="H36" s="49" t="str">
        <f t="shared" ref="H36:H46" si="132">LEFT(F36,3)</f>
        <v>100</v>
      </c>
      <c r="I36" s="3" t="str">
        <f t="shared" ref="I36:I46" si="133">MID(F36,12,5)</f>
        <v>50102</v>
      </c>
      <c r="J36" s="3" t="str">
        <f t="shared" ref="J36:J46" si="134">MID(F36,5,2)</f>
        <v>50</v>
      </c>
      <c r="K36" s="3" t="str">
        <f t="shared" ref="K36:K46" si="135">MID(F36,8,3)</f>
        <v>502</v>
      </c>
      <c r="L36" s="3">
        <f>IF(SUMIF('Base Pay Report'!$A:$A,'Prop Budget Calc'!$A36,'Base Pay Report'!$I:$I)=80,SUMIF('Base Pay Report'!$A:$A,'Prop Budget Calc'!$A36,'Base Pay Report'!$H:$H)/SUMIF('Base Pay Report'!$A:$A,'Prop Budget Calc'!$A36,'Base Pay Report'!$I:$I),SUMIF('Base Pay Report'!$A:$A,'Prop Budget Calc'!$A36,'Base Pay Report'!$H:$H))</f>
        <v>20.16</v>
      </c>
      <c r="M36" s="3">
        <f t="shared" si="109"/>
        <v>2080</v>
      </c>
      <c r="N36" s="3" t="str">
        <f>IF(IFERROR(VLOOKUP($A36,'Base Pay Report'!$A:$V,'Prop Budget Calc'!N$2,FALSE),"NO")="No","Update",(VLOOKUP($A36,'Base Pay Report'!$A:$V,'Prop Budget Calc'!N$2,FALSE)))</f>
        <v>FT HOURLY - 4-10</v>
      </c>
      <c r="O36" s="6">
        <f t="shared" ref="O36:O46" si="136">ROUNDUP(L36*M36,-1)</f>
        <v>41940</v>
      </c>
      <c r="P36" s="99">
        <f>IF(SUMIF('Base Pay Report'!A:A,$A36,'Base Pay Report'!J:J)=0,$P$1+40,SUMIF('Base Pay Report'!A:A,$A36,'Base Pay Report'!J:J))</f>
        <v>45364</v>
      </c>
      <c r="Q36" s="87" t="str">
        <f>IF($B36='Current Step Plans'!$B$36,HLOOKUP('Prop Budget Calc'!$L36,'Current Step Plans'!$C$36:$Q$42,7,FALSE),IF($B36='Current Step Plans'!$B$37,HLOOKUP('Prop Budget Calc'!$L36,'Current Step Plans'!$C$37:$Q$42,6,FALSE),IF($B36='Current Step Plans'!$B$38,HLOOKUP('Prop Budget Calc'!$L36,'Current Step Plans'!$C$38:$Q$42,5,FALSE),IF($B36='Current Step Plans'!$B$39,HLOOKUP('Prop Budget Calc'!$L36,'Current Step Plans'!$C$39:$Q$42,4,FALSE),IF($B36='Current Step Plans'!$B$40,HLOOKUP('Prop Budget Calc'!$L36,'Current Step Plans'!$C$40:$Q$42,3,FALSE),IF($B36='Current Step Plans'!$B$41,HLOOKUP('Prop Budget Calc'!$L36,'Current Step Plans'!$C$41:$Q$42,2,FALSE),IF($B36='Current Step Plans'!$B$50,HLOOKUP('Prop Budget Calc'!$L36,'Current Step Plans'!$C$50:$Q$56,7,FALSE),IF($B36='Current Step Plans'!$B$51,HLOOKUP('Prop Budget Calc'!$L36,'Current Step Plans'!$C$51:$Q$56,6,FALSE),IF($B36='Current Step Plans'!$B$52,HLOOKUP('Prop Budget Calc'!$L36,'Current Step Plans'!$C$52:$Q$56,5,FALSE), IF($B36='Current Step Plans'!$B$53,HLOOKUP('Prop Budget Calc'!$L36,'Current Step Plans'!$C$53:$Q$56,4,FALSE),IF($B36='Current Step Plans'!$B$54,HLOOKUP('Prop Budget Calc'!$L36,'Current Step Plans'!$C$54:$Q$56,3,FALSE),IF($B36='Current Step Plans'!$B$55,HLOOKUP('Prop Budget Calc'!$L36,'Current Step Plans'!$C$55:$Q$56,2,FALSE),IF($B36='Current Step Plans'!$B$65,HLOOKUP('Prop Budget Calc'!$L36,'Current Step Plans'!$C$65:$Q$75,11,FALSE),IF($B36='Current Step Plans'!$B$66,HLOOKUP('Prop Budget Calc'!$L36,'Current Step Plans'!$C$66:$Q$75,10,FALSE),IF($B36='Current Step Plans'!$B$67,HLOOKUP('Prop Budget Calc'!$L36,'Current Step Plans'!$C$67:$Q$75,9,FALSE),IF($B36='Current Step Plans'!$B$68,HLOOKUP('Prop Budget Calc'!$L36,'Current Step Plans'!$C$68:$Q$75,8,FALSE),IF($B36='Current Step Plans'!$B$69,HLOOKUP('Prop Budget Calc'!$L36,'Current Step Plans'!$C$69:$Q$75,7,FALSE),IF($B36='Current Step Plans'!$B$70,HLOOKUP('Prop Budget Calc'!$L36,'Current Step Plans'!$C$70:$Q$75,6,FALSE),IF($B36='Current Step Plans'!$B$71,HLOOKUP('Prop Budget Calc'!$L36,'Current Step Plans'!$C$71:$Q$75,5,FALSE),IF($B36='Current Step Plans'!$B$72,HLOOKUP('Prop Budget Calc'!$L36,'Current Step Plans'!$C$72:$Q$75,4,FALSE),IF($B36='Current Step Plans'!$B$73,HLOOKUP('Prop Budget Calc'!$L36,'Current Step Plans'!$C$73:$Q$75,3,FALSE),IF($B36='Current Step Plans'!$B$74,HLOOKUP('Prop Budget Calc'!$L36,'Current Step Plans'!$C$74:$Q$75,2,FALSE),"N"))))))))))))))))))))))</f>
        <v>N</v>
      </c>
      <c r="R36" s="9" t="str">
        <f t="shared" si="110"/>
        <v>N</v>
      </c>
      <c r="S36" s="6">
        <f>IF(Q36="n",0,ROUNDUP(VLOOKUP(B36,'Proposed Step Plans'!B:T,'Prop Budget Calc'!Q36+2,FALSE)*M36,-2)-O36-T36)</f>
        <v>0</v>
      </c>
      <c r="T36" s="6">
        <f>IF(Q36="n",0,ROUNDUP(VLOOKUP(B36,'Current Step Plans'!B:T,'Prop Budget Calc'!Q36+2,FALSE)*M36,0)-O36)</f>
        <v>0</v>
      </c>
      <c r="U36" s="6">
        <f>IF(IFERROR(VLOOKUP($A36,'Market Study'!$A$5:$G$82,7,FALSE),"NA")="NA",0,VLOOKUP($A36,'Market Study'!$A$5:$G$82,7,FALSE))</f>
        <v>0</v>
      </c>
      <c r="V36" s="6">
        <f>IF(OR($T36&lt;&gt;0,$I36="50112",$I36="50109",$S36&lt;&gt;0),0,VLOOKUP($K36,Scenarios!$A$17:$F$73,6,FALSE)*$O36)</f>
        <v>838.80000000000007</v>
      </c>
      <c r="W36" s="6">
        <f t="shared" si="111"/>
        <v>838.80000000000007</v>
      </c>
      <c r="X36" s="6">
        <f>IF(OR($T36&lt;&gt;0,$I36="50112",$I36="50109",$S36&lt;&gt;0),0,VLOOKUP($K36,Scenarios!$A$17:$F$73,2,FALSE)*$O36)</f>
        <v>838.80000000000007</v>
      </c>
      <c r="Y36" s="6">
        <f>IF(OR($T36&lt;&gt;0,$I36="50110",$I36="50109",$S36&lt;&gt;0),0,VLOOKUP($K36,Scenarios!$A$17:$F$73,3,FALSE))</f>
        <v>1175</v>
      </c>
      <c r="Z36" s="6">
        <f>IF(OR($T36&lt;&gt;0,$I36="50112",$I36="50109",$S36&lt;&gt;0),0,VLOOKUP($K36,Scenarios!$A$17:$F$73,4,FALSE))</f>
        <v>0</v>
      </c>
      <c r="AA36" s="6">
        <f t="shared" si="112"/>
        <v>1175</v>
      </c>
      <c r="AB36" s="6">
        <f>IF(OR($T36&lt;&gt;0,$I36="50112",$I36="50109",$S36&lt;&gt;0),0,VLOOKUP($K36,Scenarios!$A$17:$F$73,5,FALSE))</f>
        <v>0</v>
      </c>
      <c r="AC36" s="6">
        <f t="shared" ref="AC36:AC46" si="137">W36+AA36+AB36</f>
        <v>2013.8000000000002</v>
      </c>
      <c r="AD36" s="6">
        <f t="shared" si="113"/>
        <v>43954</v>
      </c>
      <c r="AE36" s="84">
        <f t="shared" si="114"/>
        <v>4.8020982355746256E-2</v>
      </c>
      <c r="AF36" s="6">
        <f t="shared" si="115"/>
        <v>9.7666666666666675</v>
      </c>
      <c r="AG36" s="6">
        <f>IF(AND(OR(I36="50101",I36="50102"),$AF36&gt;12),IF($AF36&gt;=300,(300*Scenarios!$B$14)*$E36,($AF36*Scenarios!$B$14)*$E36),0)</f>
        <v>0</v>
      </c>
      <c r="AH36" s="6" t="b">
        <f>IF($R36="y",IF($T36&gt;0,Scenarios!$B$10*'Prop Budget Calc'!$E36,Scenarios!$B$13*'Prop Budget Calc'!$E36))</f>
        <v>0</v>
      </c>
      <c r="AI36" s="6">
        <f>SUMIFS('Deduction Valuation'!$G:$G,'Deduction Valuation'!$F:$F,"CT - Certifications",'Deduction Valuation'!$B:$B,'Prop Budget Calc'!$A36)*$AI$3</f>
        <v>0</v>
      </c>
      <c r="AJ36" s="6">
        <f>SUMIFS('Deduction Valuation'!$G:$G,'Deduction Valuation'!$F:$F,"RP - Regional Pay",'Deduction Valuation'!$B:$B,'Prop Budget Calc'!$A36)*$AI$3</f>
        <v>0</v>
      </c>
      <c r="AK36" s="6">
        <f t="shared" si="116"/>
        <v>0</v>
      </c>
      <c r="AL36" s="6">
        <f>SUMIFS('Deduction Valuation'!$G:$G,'Deduction Valuation'!$F:$F,"CR - Car Allowance",'Deduction Valuation'!$B:$B,'Prop Budget Calc'!$A36)*$AI$3</f>
        <v>0</v>
      </c>
      <c r="AM36" s="6">
        <f>SUMIFS('Deduction Valuation'!$G:$G,'Deduction Valuation'!$F:$F,"DA - Device Allow",'Deduction Valuation'!$B:$B,'Prop Budget Calc'!$A36)*$AI$3</f>
        <v>0</v>
      </c>
      <c r="AN36" s="6">
        <f>SUMIFS('Deduction Valuation'!$G:$G,'Deduction Valuation'!$F:$F,"RA - Replace Allow",'Deduction Valuation'!$B:$B,'Prop Budget Calc'!$A36)</f>
        <v>0</v>
      </c>
      <c r="AO36" s="94">
        <f t="shared" si="117"/>
        <v>0</v>
      </c>
      <c r="AP36" s="94">
        <f t="shared" si="118"/>
        <v>43954</v>
      </c>
      <c r="AQ36" s="10">
        <f>IF(OR($I36="50101", $I36="50102", $I36="50109", $I36="50140"),AP36*Scenarios!$H$8,0)</f>
        <v>7445.8076000000001</v>
      </c>
      <c r="AR36" s="9">
        <f>VLOOKUP($D36,WKCMP!$A$1:$C$15,3,FALSE)*AP36</f>
        <v>60.551030400000016</v>
      </c>
      <c r="AS36" s="10">
        <f t="shared" si="119"/>
        <v>637.33300000000008</v>
      </c>
      <c r="AT36" s="11">
        <f t="shared" si="120"/>
        <v>2725.1480000000001</v>
      </c>
      <c r="AU36" s="10">
        <f t="shared" si="121"/>
        <v>3370</v>
      </c>
      <c r="AV36" s="6">
        <f t="shared" si="122"/>
        <v>79.117199999999997</v>
      </c>
      <c r="AW36" s="19">
        <f t="shared" si="123"/>
        <v>79.2</v>
      </c>
      <c r="AX36" s="19">
        <f t="shared" si="107"/>
        <v>15.6</v>
      </c>
      <c r="AY36" s="19">
        <f t="shared" si="108"/>
        <v>11.28</v>
      </c>
      <c r="AZ36" s="88">
        <f t="shared" si="124"/>
        <v>185.19720000000001</v>
      </c>
      <c r="BA36" s="6">
        <f>IF(AND($C36="vacant vacant",$E36=1),$BA$2*$AZ$3,SUMIFS('Employee Enrollments'!$AE:$AE,'Employee Enrollments'!$S:$S,"Medical HDHP",'Employee Enrollments'!$C:$C,'Prop Budget Calc'!$A36)*$AZ$3*(1+Scenarios!$E$9))*(1-$BA$3)</f>
        <v>9838.3957199999986</v>
      </c>
      <c r="BB36" s="6">
        <f>IF(AND($C36="vacant vacant",$E36=1),500,SUMIFS('Employee Enrollments'!$AE:$AE,'Employee Enrollments'!$S:$S,"Health Savings Account",'Employee Enrollments'!$C:$C,'Prop Budget Calc'!$A36))</f>
        <v>500.05</v>
      </c>
      <c r="BC36" s="56">
        <f t="shared" si="125"/>
        <v>10338.445719999998</v>
      </c>
      <c r="BD36" s="6">
        <f>IF(AND($C36="vacant vacant",$E36=1),$BD$2*$AZ$3,SUMIFS('Employee Enrollments'!$AE:$AE,'Employee Enrollments'!$S:$S,"Dental Plan",'Employee Enrollments'!$C:$C,'Prop Budget Calc'!$A36)*$AZ$3)</f>
        <v>434.76</v>
      </c>
      <c r="BE36" s="6">
        <f t="shared" si="126"/>
        <v>10958.402919999999</v>
      </c>
      <c r="BF36" s="6">
        <f t="shared" si="127"/>
        <v>21834.761550399999</v>
      </c>
      <c r="BG36" s="6">
        <f t="shared" si="128"/>
        <v>65788.761550399999</v>
      </c>
      <c r="BH36" s="14"/>
      <c r="BI36" s="56"/>
      <c r="BJ36" s="93">
        <f t="shared" si="129"/>
        <v>10450.235999999999</v>
      </c>
      <c r="BK36" s="10">
        <f>IF(SUMIFS('Employee Enrollments'!AB:AB,'Employee Enrollments'!C:C,'Prop Budget Calc'!$A36,'Employee Enrollments'!Q:Q,"Medical")*12=0,'Employee Enrollments'!$AN$1,(SUMIFS('Employee Enrollments'!AB:AB,'Employee Enrollments'!C:C,'Prop Budget Calc'!$A36,'Employee Enrollments'!Q:Q,"Medical")*12))</f>
        <v>307.56</v>
      </c>
      <c r="BL36" s="10">
        <f>SUMIFS('Employee Enrollments'!AB:AB,'Employee Enrollments'!C:C,'Prop Budget Calc'!$A36,'Employee Enrollments'!Q:Q,"Dental")*12</f>
        <v>0</v>
      </c>
    </row>
    <row r="37" spans="1:88" ht="12.75" customHeight="1">
      <c r="A37" s="419" t="s">
        <v>1787</v>
      </c>
      <c r="B37" s="3" t="str">
        <f>IF(IFERROR(VLOOKUP($A37,'Base Pay Report'!$A:$V,'Prop Budget Calc'!B$2,FALSE),"NO")="No","Update",PROPER(VLOOKUP($A37,'Base Pay Report'!$A:$V,'Prop Budget Calc'!B$2,FALSE)))</f>
        <v>Street Maintenance Worker</v>
      </c>
      <c r="C37" s="3" t="str">
        <f>IF(IFERROR(VLOOKUP($A37,'Base Pay Report'!$A:$V,'Prop Budget Calc'!C$2,FALSE),"NO")="No","Update",PROPER(VLOOKUP($A37,'Base Pay Report'!$A:$V,'Prop Budget Calc'!C$2,FALSE)))</f>
        <v>Vacant Vacant</v>
      </c>
      <c r="D37" s="3" t="str">
        <f>IF(IFERROR(VLOOKUP($A37,'Base Pay Report'!$A:$V,'Prop Budget Calc'!D$2,FALSE),"NO")="No","Update",PROPER(VLOOKUP($A37,'Base Pay Report'!$A:$V,'Prop Budget Calc'!D$2,FALSE)))</f>
        <v>5506</v>
      </c>
      <c r="E37" s="8">
        <f t="shared" si="130"/>
        <v>1</v>
      </c>
      <c r="F37" s="3" t="str">
        <f>IF(IFERROR(VLOOKUP($A37,'Base Pay Report'!$A:$V,'Prop Budget Calc'!F$2,FALSE),"NO")="No","Update",PROPER(VLOOKUP($A37,'Base Pay Report'!$A:$V,'Prop Budget Calc'!F$2,FALSE)))</f>
        <v>100-50-503-50102</v>
      </c>
      <c r="G37" s="3" t="str">
        <f t="shared" si="131"/>
        <v>100-50-503</v>
      </c>
      <c r="H37" s="49" t="str">
        <f t="shared" si="132"/>
        <v>100</v>
      </c>
      <c r="I37" s="3" t="str">
        <f t="shared" si="133"/>
        <v>50102</v>
      </c>
      <c r="J37" s="3" t="str">
        <f t="shared" si="134"/>
        <v>50</v>
      </c>
      <c r="K37" s="3" t="str">
        <f t="shared" si="135"/>
        <v>503</v>
      </c>
      <c r="L37" s="3">
        <f>IF(SUMIF('Base Pay Report'!$A:$A,'Prop Budget Calc'!$A37,'Base Pay Report'!$I:$I)=80,SUMIF('Base Pay Report'!$A:$A,'Prop Budget Calc'!$A37,'Base Pay Report'!$H:$H)/SUMIF('Base Pay Report'!$A:$A,'Prop Budget Calc'!$A37,'Base Pay Report'!$I:$I),SUMIF('Base Pay Report'!$A:$A,'Prop Budget Calc'!$A37,'Base Pay Report'!$H:$H))</f>
        <v>17.34</v>
      </c>
      <c r="M37" s="3">
        <f t="shared" si="109"/>
        <v>2080</v>
      </c>
      <c r="N37" s="3" t="str">
        <f>IF(IFERROR(VLOOKUP($A37,'Base Pay Report'!$A:$V,'Prop Budget Calc'!N$2,FALSE),"NO")="No","Update",(VLOOKUP($A37,'Base Pay Report'!$A:$V,'Prop Budget Calc'!N$2,FALSE)))</f>
        <v>Update</v>
      </c>
      <c r="O37" s="6">
        <f t="shared" si="136"/>
        <v>36070</v>
      </c>
      <c r="P37" s="99">
        <f>IF(SUMIF('Base Pay Report'!A:A,$A37,'Base Pay Report'!J:J)=0,$P$1+40,SUMIF('Base Pay Report'!A:A,$A37,'Base Pay Report'!J:J))</f>
        <v>45027</v>
      </c>
      <c r="Q37" s="87" t="str">
        <f>IF($B37='Current Step Plans'!$B$36,HLOOKUP('Prop Budget Calc'!$L37,'Current Step Plans'!$C$36:$Q$42,7,FALSE),IF($B37='Current Step Plans'!$B$37,HLOOKUP('Prop Budget Calc'!$L37,'Current Step Plans'!$C$37:$Q$42,6,FALSE),IF($B37='Current Step Plans'!$B$38,HLOOKUP('Prop Budget Calc'!$L37,'Current Step Plans'!$C$38:$Q$42,5,FALSE),IF($B37='Current Step Plans'!$B$39,HLOOKUP('Prop Budget Calc'!$L37,'Current Step Plans'!$C$39:$Q$42,4,FALSE),IF($B37='Current Step Plans'!$B$40,HLOOKUP('Prop Budget Calc'!$L37,'Current Step Plans'!$C$40:$Q$42,3,FALSE),IF($B37='Current Step Plans'!$B$41,HLOOKUP('Prop Budget Calc'!$L37,'Current Step Plans'!$C$41:$Q$42,2,FALSE),IF($B37='Current Step Plans'!$B$50,HLOOKUP('Prop Budget Calc'!$L37,'Current Step Plans'!$C$50:$Q$56,7,FALSE),IF($B37='Current Step Plans'!$B$51,HLOOKUP('Prop Budget Calc'!$L37,'Current Step Plans'!$C$51:$Q$56,6,FALSE),IF($B37='Current Step Plans'!$B$52,HLOOKUP('Prop Budget Calc'!$L37,'Current Step Plans'!$C$52:$Q$56,5,FALSE), IF($B37='Current Step Plans'!$B$53,HLOOKUP('Prop Budget Calc'!$L37,'Current Step Plans'!$C$53:$Q$56,4,FALSE),IF($B37='Current Step Plans'!$B$54,HLOOKUP('Prop Budget Calc'!$L37,'Current Step Plans'!$C$54:$Q$56,3,FALSE),IF($B37='Current Step Plans'!$B$55,HLOOKUP('Prop Budget Calc'!$L37,'Current Step Plans'!$C$55:$Q$56,2,FALSE),IF($B37='Current Step Plans'!$B$65,HLOOKUP('Prop Budget Calc'!$L37,'Current Step Plans'!$C$65:$Q$75,11,FALSE),IF($B37='Current Step Plans'!$B$66,HLOOKUP('Prop Budget Calc'!$L37,'Current Step Plans'!$C$66:$Q$75,10,FALSE),IF($B37='Current Step Plans'!$B$67,HLOOKUP('Prop Budget Calc'!$L37,'Current Step Plans'!$C$67:$Q$75,9,FALSE),IF($B37='Current Step Plans'!$B$68,HLOOKUP('Prop Budget Calc'!$L37,'Current Step Plans'!$C$68:$Q$75,8,FALSE),IF($B37='Current Step Plans'!$B$69,HLOOKUP('Prop Budget Calc'!$L37,'Current Step Plans'!$C$69:$Q$75,7,FALSE),IF($B37='Current Step Plans'!$B$70,HLOOKUP('Prop Budget Calc'!$L37,'Current Step Plans'!$C$70:$Q$75,6,FALSE),IF($B37='Current Step Plans'!$B$71,HLOOKUP('Prop Budget Calc'!$L37,'Current Step Plans'!$C$71:$Q$75,5,FALSE),IF($B37='Current Step Plans'!$B$72,HLOOKUP('Prop Budget Calc'!$L37,'Current Step Plans'!$C$72:$Q$75,4,FALSE),IF($B37='Current Step Plans'!$B$73,HLOOKUP('Prop Budget Calc'!$L37,'Current Step Plans'!$C$73:$Q$75,3,FALSE),IF($B37='Current Step Plans'!$B$74,HLOOKUP('Prop Budget Calc'!$L37,'Current Step Plans'!$C$74:$Q$75,2,FALSE),"N"))))))))))))))))))))))</f>
        <v>N</v>
      </c>
      <c r="R37" s="9" t="str">
        <f t="shared" si="110"/>
        <v>N</v>
      </c>
      <c r="S37" s="6">
        <f>IF(Q37="n",0,ROUNDUP(VLOOKUP(B37,'Proposed Step Plans'!B:T,'Prop Budget Calc'!Q37+2,FALSE)*M37,-2)-O37-T37)</f>
        <v>0</v>
      </c>
      <c r="T37" s="6">
        <f>IF(Q37="n",0,ROUNDUP(VLOOKUP(B37,'Current Step Plans'!B:T,'Prop Budget Calc'!Q37+2,FALSE)*M37,0)-O37)</f>
        <v>0</v>
      </c>
      <c r="U37" s="6">
        <f>IF(IFERROR(VLOOKUP($A37,'Market Study'!$A$5:$G$82,7,FALSE),"NA")="NA",0,VLOOKUP($A37,'Market Study'!$A$5:$G$82,7,FALSE))</f>
        <v>0</v>
      </c>
      <c r="V37" s="6">
        <f>IF(OR($T37&lt;&gt;0,$I37="50112",$I37="50109",$S37&lt;&gt;0),0,VLOOKUP($K37,Scenarios!$A$17:$F$73,6,FALSE)*$O37)</f>
        <v>721.4</v>
      </c>
      <c r="W37" s="6">
        <f t="shared" si="111"/>
        <v>721.4</v>
      </c>
      <c r="X37" s="6">
        <f>IF(OR($T37&lt;&gt;0,$I37="50112",$I37="50109",$S37&lt;&gt;0),0,VLOOKUP($K37,Scenarios!$A$17:$F$73,2,FALSE)*$O37)</f>
        <v>721.4</v>
      </c>
      <c r="Y37" s="6">
        <f>IF(OR($T37&lt;&gt;0,$I37="50110",$I37="50109",$S37&lt;&gt;0),0,VLOOKUP($K37,Scenarios!$A$17:$F$73,3,FALSE))</f>
        <v>1175</v>
      </c>
      <c r="Z37" s="6">
        <f>IF(OR($T37&lt;&gt;0,$I37="50112",$I37="50109",$S37&lt;&gt;0),0,VLOOKUP($K37,Scenarios!$A$17:$F$73,4,FALSE))</f>
        <v>0</v>
      </c>
      <c r="AA37" s="6">
        <f t="shared" si="112"/>
        <v>1175</v>
      </c>
      <c r="AB37" s="6">
        <f>IF(OR($T37&lt;&gt;0,$I37="50112",$I37="50109",$S37&lt;&gt;0),0,VLOOKUP($K37,Scenarios!$A$17:$F$73,5,FALSE))</f>
        <v>0</v>
      </c>
      <c r="AC37" s="6">
        <f t="shared" si="137"/>
        <v>1896.4</v>
      </c>
      <c r="AD37" s="6">
        <f t="shared" si="113"/>
        <v>37967</v>
      </c>
      <c r="AE37" s="84">
        <f t="shared" si="114"/>
        <v>5.2592181868588828E-2</v>
      </c>
      <c r="AF37" s="6">
        <f t="shared" si="115"/>
        <v>21</v>
      </c>
      <c r="AG37" s="6">
        <f>IF(AND(OR(I37="50101",I37="50102"),$AF37&gt;12),IF($AF37&gt;=300,(300*Scenarios!$B$14)*$E37,($AF37*Scenarios!$B$14)*$E37),0)</f>
        <v>105</v>
      </c>
      <c r="AH37" s="6" t="b">
        <f>IF($R37="y",IF($T37&gt;0,Scenarios!$B$10*'Prop Budget Calc'!$E37,Scenarios!$B$13*'Prop Budget Calc'!$E37))</f>
        <v>0</v>
      </c>
      <c r="AI37" s="6">
        <f>SUMIFS('Deduction Valuation'!$G:$G,'Deduction Valuation'!$F:$F,"CT - Certifications",'Deduction Valuation'!$B:$B,'Prop Budget Calc'!$A37)*$AI$3</f>
        <v>0</v>
      </c>
      <c r="AJ37" s="6">
        <f>SUMIFS('Deduction Valuation'!$G:$G,'Deduction Valuation'!$F:$F,"RP - Regional Pay",'Deduction Valuation'!$B:$B,'Prop Budget Calc'!$A37)*$AI$3</f>
        <v>0</v>
      </c>
      <c r="AK37" s="6">
        <f t="shared" si="116"/>
        <v>0</v>
      </c>
      <c r="AL37" s="6">
        <f>SUMIFS('Deduction Valuation'!$G:$G,'Deduction Valuation'!$F:$F,"CR - Car Allowance",'Deduction Valuation'!$B:$B,'Prop Budget Calc'!$A37)*$AI$3</f>
        <v>0</v>
      </c>
      <c r="AM37" s="6">
        <f>SUMIFS('Deduction Valuation'!$G:$G,'Deduction Valuation'!$F:$F,"DA - Device Allow",'Deduction Valuation'!$B:$B,'Prop Budget Calc'!$A37)*$AI$3</f>
        <v>0</v>
      </c>
      <c r="AN37" s="6">
        <f>SUMIFS('Deduction Valuation'!$G:$G,'Deduction Valuation'!$F:$F,"RA - Replace Allow",'Deduction Valuation'!$B:$B,'Prop Budget Calc'!$A37)</f>
        <v>0</v>
      </c>
      <c r="AO37" s="94">
        <f t="shared" si="117"/>
        <v>0</v>
      </c>
      <c r="AP37" s="94">
        <f t="shared" si="118"/>
        <v>38072</v>
      </c>
      <c r="AQ37" s="10">
        <f>IF(OR($I37="50101", $I37="50102", $I37="50109", $I37="50140"),AP37*Scenarios!$H$8,0)</f>
        <v>6449.3967999999995</v>
      </c>
      <c r="AR37" s="9">
        <f>VLOOKUP($D37,WKCMP!$A$1:$C$15,3,FALSE)*AP37</f>
        <v>926.15470080000023</v>
      </c>
      <c r="AS37" s="10">
        <f t="shared" si="119"/>
        <v>552.04399999999998</v>
      </c>
      <c r="AT37" s="11">
        <f t="shared" si="120"/>
        <v>2360.4639999999999</v>
      </c>
      <c r="AU37" s="10">
        <f t="shared" si="121"/>
        <v>2920</v>
      </c>
      <c r="AV37" s="6">
        <f t="shared" si="122"/>
        <v>68.529600000000002</v>
      </c>
      <c r="AW37" s="19">
        <f t="shared" si="123"/>
        <v>79.2</v>
      </c>
      <c r="AX37" s="19">
        <f t="shared" si="107"/>
        <v>15.6</v>
      </c>
      <c r="AY37" s="19">
        <f t="shared" si="108"/>
        <v>11.28</v>
      </c>
      <c r="AZ37" s="88">
        <f t="shared" si="124"/>
        <v>174.6096</v>
      </c>
      <c r="BA37" s="6">
        <f>IF(AND($C37="vacant vacant",$E37=1),$BA$2*$AZ$3,SUMIFS('Employee Enrollments'!$AE:$AE,'Employee Enrollments'!$S:$S,"Medical HDHP",'Employee Enrollments'!$C:$C,'Prop Budget Calc'!$A37)*$AZ$3*(1+Scenarios!$E$9))*(1-$BA$3)</f>
        <v>13438.438387310343</v>
      </c>
      <c r="BB37" s="6">
        <f>IF(AND($C37="vacant vacant",$E37=1),500,SUMIFS('Employee Enrollments'!$AE:$AE,'Employee Enrollments'!$S:$S,"Health Savings Account",'Employee Enrollments'!$C:$C,'Prop Budget Calc'!$A37))</f>
        <v>500</v>
      </c>
      <c r="BC37" s="56">
        <f t="shared" si="125"/>
        <v>13938.438387310343</v>
      </c>
      <c r="BD37" s="6">
        <f>IF(AND($C37="vacant vacant",$E37=1),$BD$2*$AZ$3,SUMIFS('Employee Enrollments'!$AE:$AE,'Employee Enrollments'!$S:$S,"Dental Plan",'Employee Enrollments'!$C:$C,'Prop Budget Calc'!$A37)*$AZ$3)</f>
        <v>628.6782481751826</v>
      </c>
      <c r="BE37" s="6">
        <f t="shared" si="126"/>
        <v>14741.726235485527</v>
      </c>
      <c r="BF37" s="6">
        <f t="shared" si="127"/>
        <v>25037.277736285527</v>
      </c>
      <c r="BG37" s="6">
        <f t="shared" si="128"/>
        <v>63109.277736285527</v>
      </c>
      <c r="BH37" s="14"/>
      <c r="BI37" s="56"/>
      <c r="BJ37" s="93">
        <f t="shared" si="129"/>
        <v>14985.927855938697</v>
      </c>
      <c r="BK37" s="10">
        <f>IF(SUMIFS('Employee Enrollments'!AB:AB,'Employee Enrollments'!C:C,'Prop Budget Calc'!$A37,'Employee Enrollments'!Q:Q,"Medical")*12=0,'Employee Enrollments'!$AN$1,(SUMIFS('Employee Enrollments'!AB:AB,'Employee Enrollments'!C:C,'Prop Budget Calc'!$A37,'Employee Enrollments'!Q:Q,"Medical")*12))</f>
        <v>1131.8676628352489</v>
      </c>
      <c r="BL37" s="10">
        <f>SUMIFS('Employee Enrollments'!AB:AB,'Employee Enrollments'!C:C,'Prop Budget Calc'!$A37,'Employee Enrollments'!Q:Q,"Dental")*12</f>
        <v>0</v>
      </c>
    </row>
    <row r="38" spans="1:88" ht="12.75" customHeight="1">
      <c r="A38" s="529" t="s">
        <v>2434</v>
      </c>
      <c r="B38" s="3" t="str">
        <f>IF(IFERROR(VLOOKUP($A38,'Base Pay Report'!$A:$V,'Prop Budget Calc'!B$2,FALSE),"NO")="No","Update",PROPER(VLOOKUP($A38,'Base Pay Report'!$A:$V,'Prop Budget Calc'!B$2,FALSE)))</f>
        <v>Supervisor - Streets</v>
      </c>
      <c r="C38" s="3" t="str">
        <f>IF(IFERROR(VLOOKUP($A38,'Base Pay Report'!$A:$V,'Prop Budget Calc'!C$2,FALSE),"NO")="No","Update",PROPER(VLOOKUP($A38,'Base Pay Report'!$A:$V,'Prop Budget Calc'!C$2,FALSE)))</f>
        <v>First Name Last Name</v>
      </c>
      <c r="D38" s="3" t="str">
        <f>IF(IFERROR(VLOOKUP($A38,'Base Pay Report'!$A:$V,'Prop Budget Calc'!D$2,FALSE),"NO")="No","Update",PROPER(VLOOKUP($A38,'Base Pay Report'!$A:$V,'Prop Budget Calc'!D$2,FALSE)))</f>
        <v>5506</v>
      </c>
      <c r="E38" s="8">
        <f t="shared" si="130"/>
        <v>1</v>
      </c>
      <c r="F38" s="3" t="str">
        <f>IF(IFERROR(VLOOKUP($A38,'Base Pay Report'!$A:$V,'Prop Budget Calc'!F$2,FALSE),"NO")="No","Update",PROPER(VLOOKUP($A38,'Base Pay Report'!$A:$V,'Prop Budget Calc'!F$2,FALSE)))</f>
        <v>100-50-503-50102</v>
      </c>
      <c r="G38" s="3" t="str">
        <f t="shared" si="131"/>
        <v>100-50-503</v>
      </c>
      <c r="H38" s="49" t="str">
        <f t="shared" si="132"/>
        <v>100</v>
      </c>
      <c r="I38" s="3" t="str">
        <f t="shared" si="133"/>
        <v>50102</v>
      </c>
      <c r="J38" s="3" t="str">
        <f t="shared" si="134"/>
        <v>50</v>
      </c>
      <c r="K38" s="3" t="str">
        <f t="shared" si="135"/>
        <v>503</v>
      </c>
      <c r="L38" s="3">
        <f>IF(SUMIF('Base Pay Report'!$A:$A,'Prop Budget Calc'!$A38,'Base Pay Report'!$I:$I)=80,SUMIF('Base Pay Report'!$A:$A,'Prop Budget Calc'!$A38,'Base Pay Report'!$H:$H)/SUMIF('Base Pay Report'!$A:$A,'Prop Budget Calc'!$A38,'Base Pay Report'!$I:$I),SUMIF('Base Pay Report'!$A:$A,'Prop Budget Calc'!$A38,'Base Pay Report'!$H:$H))</f>
        <v>35.700000000000003</v>
      </c>
      <c r="M38" s="3">
        <f t="shared" si="109"/>
        <v>1872</v>
      </c>
      <c r="N38" s="3" t="str">
        <f>IF(IFERROR(VLOOKUP($A38,'Base Pay Report'!$A:$V,'Prop Budget Calc'!N$2,FALSE),"NO")="No","Update",(VLOOKUP($A38,'Base Pay Report'!$A:$V,'Prop Budget Calc'!N$2,FALSE)))</f>
        <v>FT HOURLY- 4-9</v>
      </c>
      <c r="O38" s="6">
        <f t="shared" si="136"/>
        <v>66840</v>
      </c>
      <c r="P38" s="99">
        <f>IF(SUMIF('Base Pay Report'!A:A,$A38,'Base Pay Report'!J:J)=0,$P$1+40,SUMIF('Base Pay Report'!A:A,$A38,'Base Pay Report'!J:J))</f>
        <v>45089</v>
      </c>
      <c r="Q38" s="87" t="str">
        <f>IF($B38='Current Step Plans'!$B$36,HLOOKUP('Prop Budget Calc'!$L38,'Current Step Plans'!$C$36:$Q$42,7,FALSE),IF($B38='Current Step Plans'!$B$37,HLOOKUP('Prop Budget Calc'!$L38,'Current Step Plans'!$C$37:$Q$42,6,FALSE),IF($B38='Current Step Plans'!$B$38,HLOOKUP('Prop Budget Calc'!$L38,'Current Step Plans'!$C$38:$Q$42,5,FALSE),IF($B38='Current Step Plans'!$B$39,HLOOKUP('Prop Budget Calc'!$L38,'Current Step Plans'!$C$39:$Q$42,4,FALSE),IF($B38='Current Step Plans'!$B$40,HLOOKUP('Prop Budget Calc'!$L38,'Current Step Plans'!$C$40:$Q$42,3,FALSE),IF($B38='Current Step Plans'!$B$41,HLOOKUP('Prop Budget Calc'!$L38,'Current Step Plans'!$C$41:$Q$42,2,FALSE),IF($B38='Current Step Plans'!$B$50,HLOOKUP('Prop Budget Calc'!$L38,'Current Step Plans'!$C$50:$Q$56,7,FALSE),IF($B38='Current Step Plans'!$B$51,HLOOKUP('Prop Budget Calc'!$L38,'Current Step Plans'!$C$51:$Q$56,6,FALSE),IF($B38='Current Step Plans'!$B$52,HLOOKUP('Prop Budget Calc'!$L38,'Current Step Plans'!$C$52:$Q$56,5,FALSE), IF($B38='Current Step Plans'!$B$53,HLOOKUP('Prop Budget Calc'!$L38,'Current Step Plans'!$C$53:$Q$56,4,FALSE),IF($B38='Current Step Plans'!$B$54,HLOOKUP('Prop Budget Calc'!$L38,'Current Step Plans'!$C$54:$Q$56,3,FALSE),IF($B38='Current Step Plans'!$B$55,HLOOKUP('Prop Budget Calc'!$L38,'Current Step Plans'!$C$55:$Q$56,2,FALSE),IF($B38='Current Step Plans'!$B$65,HLOOKUP('Prop Budget Calc'!$L38,'Current Step Plans'!$C$65:$Q$75,11,FALSE),IF($B38='Current Step Plans'!$B$66,HLOOKUP('Prop Budget Calc'!$L38,'Current Step Plans'!$C$66:$Q$75,10,FALSE),IF($B38='Current Step Plans'!$B$67,HLOOKUP('Prop Budget Calc'!$L38,'Current Step Plans'!$C$67:$Q$75,9,FALSE),IF($B38='Current Step Plans'!$B$68,HLOOKUP('Prop Budget Calc'!$L38,'Current Step Plans'!$C$68:$Q$75,8,FALSE),IF($B38='Current Step Plans'!$B$69,HLOOKUP('Prop Budget Calc'!$L38,'Current Step Plans'!$C$69:$Q$75,7,FALSE),IF($B38='Current Step Plans'!$B$70,HLOOKUP('Prop Budget Calc'!$L38,'Current Step Plans'!$C$70:$Q$75,6,FALSE),IF($B38='Current Step Plans'!$B$71,HLOOKUP('Prop Budget Calc'!$L38,'Current Step Plans'!$C$71:$Q$75,5,FALSE),IF($B38='Current Step Plans'!$B$72,HLOOKUP('Prop Budget Calc'!$L38,'Current Step Plans'!$C$72:$Q$75,4,FALSE),IF($B38='Current Step Plans'!$B$73,HLOOKUP('Prop Budget Calc'!$L38,'Current Step Plans'!$C$73:$Q$75,3,FALSE),IF($B38='Current Step Plans'!$B$74,HLOOKUP('Prop Budget Calc'!$L38,'Current Step Plans'!$C$74:$Q$75,2,FALSE),"N"))))))))))))))))))))))</f>
        <v>N</v>
      </c>
      <c r="R38" s="9" t="str">
        <f t="shared" si="110"/>
        <v>N</v>
      </c>
      <c r="S38" s="6">
        <f>IF(Q38="n",0,ROUNDUP(VLOOKUP(B38,'Proposed Step Plans'!B:T,'Prop Budget Calc'!Q38+2,FALSE)*M38,-2)-O38-T38)</f>
        <v>0</v>
      </c>
      <c r="T38" s="6">
        <f>IF(Q38="n",0,ROUNDUP(VLOOKUP(B38,'Current Step Plans'!B:T,'Prop Budget Calc'!Q38+2,FALSE)*M38,0)-O38)</f>
        <v>0</v>
      </c>
      <c r="U38" s="6">
        <f>IF(IFERROR(VLOOKUP($A38,'Market Study'!$A$5:$G$82,7,FALSE),"NA")="NA",0,VLOOKUP($A38,'Market Study'!$A$5:$G$82,7,FALSE))</f>
        <v>0</v>
      </c>
      <c r="V38" s="6">
        <f>IF(OR($T38&lt;&gt;0,$I38="50112",$I38="50109",$S38&lt;&gt;0),0,VLOOKUP($K38,Scenarios!$A$17:$F$73,6,FALSE)*$O38)</f>
        <v>1336.8</v>
      </c>
      <c r="W38" s="6">
        <f t="shared" si="111"/>
        <v>1336.8</v>
      </c>
      <c r="X38" s="6">
        <f>IF(OR($T38&lt;&gt;0,$I38="50112",$I38="50109",$S38&lt;&gt;0),0,VLOOKUP($K38,Scenarios!$A$17:$F$73,2,FALSE)*$O38)</f>
        <v>1336.8</v>
      </c>
      <c r="Y38" s="6">
        <f>IF(OR($T38&lt;&gt;0,$I38="50110",$I38="50109",$S38&lt;&gt;0),0,VLOOKUP($K38,Scenarios!$A$17:$F$73,3,FALSE))</f>
        <v>1175</v>
      </c>
      <c r="Z38" s="6">
        <f>IF(OR($T38&lt;&gt;0,$I38="50112",$I38="50109",$S38&lt;&gt;0),0,VLOOKUP($K38,Scenarios!$A$17:$F$73,4,FALSE))</f>
        <v>0</v>
      </c>
      <c r="AA38" s="6">
        <f t="shared" si="112"/>
        <v>1336.8</v>
      </c>
      <c r="AB38" s="6">
        <f>IF(OR($T38&lt;&gt;0,$I38="50112",$I38="50109",$S38&lt;&gt;0),0,VLOOKUP($K38,Scenarios!$A$17:$F$73,5,FALSE))</f>
        <v>0</v>
      </c>
      <c r="AC38" s="6">
        <f t="shared" si="137"/>
        <v>2673.6</v>
      </c>
      <c r="AD38" s="6">
        <f t="shared" si="113"/>
        <v>69514</v>
      </c>
      <c r="AE38" s="84">
        <f t="shared" si="114"/>
        <v>4.0005984440454778E-2</v>
      </c>
      <c r="AF38" s="6">
        <f t="shared" si="115"/>
        <v>18.933333333333334</v>
      </c>
      <c r="AG38" s="6">
        <f>IF(AND(OR(I38="50101",I38="50102"),$AF38&gt;12),IF($AF38&gt;=300,(300*Scenarios!$B$14)*$E38,($AF38*Scenarios!$B$14)*$E38),0)</f>
        <v>94.666666666666671</v>
      </c>
      <c r="AH38" s="6" t="b">
        <f>IF($R38="y",IF($T38&gt;0,Scenarios!$B$10*'Prop Budget Calc'!$E38,Scenarios!$B$13*'Prop Budget Calc'!$E38))</f>
        <v>0</v>
      </c>
      <c r="AI38" s="6">
        <f>SUMIFS('Deduction Valuation'!$G:$G,'Deduction Valuation'!$F:$F,"CT - Certifications",'Deduction Valuation'!$B:$B,'Prop Budget Calc'!$A38)*$AI$3</f>
        <v>0</v>
      </c>
      <c r="AJ38" s="6">
        <f>SUMIFS('Deduction Valuation'!$G:$G,'Deduction Valuation'!$F:$F,"RP - Regional Pay",'Deduction Valuation'!$B:$B,'Prop Budget Calc'!$A38)*$AI$3</f>
        <v>0</v>
      </c>
      <c r="AK38" s="6">
        <f t="shared" si="116"/>
        <v>0</v>
      </c>
      <c r="AL38" s="6">
        <f>SUMIFS('Deduction Valuation'!$G:$G,'Deduction Valuation'!$F:$F,"CR - Car Allowance",'Deduction Valuation'!$B:$B,'Prop Budget Calc'!$A38)*$AI$3</f>
        <v>0</v>
      </c>
      <c r="AM38" s="6">
        <f>SUMIFS('Deduction Valuation'!$G:$G,'Deduction Valuation'!$F:$F,"DA - Device Allow",'Deduction Valuation'!$B:$B,'Prop Budget Calc'!$A38)*$AI$3</f>
        <v>960</v>
      </c>
      <c r="AN38" s="6">
        <f>SUMIFS('Deduction Valuation'!$G:$G,'Deduction Valuation'!$F:$F,"RA - Replace Allow",'Deduction Valuation'!$B:$B,'Prop Budget Calc'!$A38)</f>
        <v>75</v>
      </c>
      <c r="AO38" s="94">
        <f t="shared" si="117"/>
        <v>1035</v>
      </c>
      <c r="AP38" s="94">
        <f t="shared" si="118"/>
        <v>70643.666666666672</v>
      </c>
      <c r="AQ38" s="10">
        <f>IF(OR($I38="50101", $I38="50102", $I38="50109", $I38="50140"),AP38*Scenarios!$H$8,0)</f>
        <v>11967.037133333333</v>
      </c>
      <c r="AR38" s="9">
        <f>VLOOKUP($D38,WKCMP!$A$1:$C$15,3,FALSE)*AP38</f>
        <v>1718.5060928000005</v>
      </c>
      <c r="AS38" s="10">
        <f t="shared" si="119"/>
        <v>1024.3331666666668</v>
      </c>
      <c r="AT38" s="11">
        <f t="shared" si="120"/>
        <v>4379.9073333333336</v>
      </c>
      <c r="AU38" s="10">
        <f t="shared" si="121"/>
        <v>5410</v>
      </c>
      <c r="AV38" s="6">
        <f t="shared" si="122"/>
        <v>127.15860000000001</v>
      </c>
      <c r="AW38" s="19">
        <f t="shared" si="123"/>
        <v>79.2</v>
      </c>
      <c r="AX38" s="19">
        <f t="shared" si="107"/>
        <v>15.6</v>
      </c>
      <c r="AY38" s="19">
        <f t="shared" si="108"/>
        <v>11.28</v>
      </c>
      <c r="AZ38" s="88">
        <f t="shared" si="124"/>
        <v>233.23860000000002</v>
      </c>
      <c r="BA38" s="6">
        <f>IF(AND($C38="vacant vacant",$E38=1),$BA$2*$AZ$3,SUMIFS('Employee Enrollments'!$AE:$AE,'Employee Enrollments'!$S:$S,"Medical HDHP",'Employee Enrollments'!$C:$C,'Prop Budget Calc'!$A38)*$AZ$3*(1+Scenarios!$E$9))*(1-$BA$3)</f>
        <v>17415.972864000003</v>
      </c>
      <c r="BB38" s="6">
        <f>IF(AND($C38="vacant vacant",$E38=1),500,SUMIFS('Employee Enrollments'!$AE:$AE,'Employee Enrollments'!$S:$S,"Health Savings Account",'Employee Enrollments'!$C:$C,'Prop Budget Calc'!$A38))</f>
        <v>1000</v>
      </c>
      <c r="BC38" s="56">
        <f t="shared" si="125"/>
        <v>18415.972864000003</v>
      </c>
      <c r="BD38" s="6">
        <f>IF(AND($C38="vacant vacant",$E38=1),$BD$2*$AZ$3,SUMIFS('Employee Enrollments'!$AE:$AE,'Employee Enrollments'!$S:$S,"Dental Plan",'Employee Enrollments'!$C:$C,'Prop Budget Calc'!$A38)*$AZ$3)</f>
        <v>843.48</v>
      </c>
      <c r="BE38" s="6">
        <f t="shared" si="126"/>
        <v>19492.691464000003</v>
      </c>
      <c r="BF38" s="6">
        <f t="shared" si="127"/>
        <v>38588.234690133337</v>
      </c>
      <c r="BG38" s="6">
        <f t="shared" si="128"/>
        <v>109231.90135680001</v>
      </c>
      <c r="BH38" s="14"/>
      <c r="BI38" s="56"/>
      <c r="BJ38" s="93">
        <f t="shared" si="129"/>
        <v>21740.371200000001</v>
      </c>
      <c r="BK38" s="10">
        <f>IF(SUMIFS('Employee Enrollments'!AB:AB,'Employee Enrollments'!C:C,'Prop Budget Calc'!$A38,'Employee Enrollments'!Q:Q,"Medical")*12=0,'Employee Enrollments'!$AN$1,(SUMIFS('Employee Enrollments'!AB:AB,'Employee Enrollments'!C:C,'Prop Budget Calc'!$A38,'Employee Enrollments'!Q:Q,"Medical")*12))</f>
        <v>3785.76</v>
      </c>
      <c r="BL38" s="10">
        <f>SUMIFS('Employee Enrollments'!AB:AB,'Employee Enrollments'!C:C,'Prop Budget Calc'!$A38,'Employee Enrollments'!Q:Q,"Dental")*12</f>
        <v>364.92</v>
      </c>
    </row>
    <row r="39" spans="1:88" ht="12.75" customHeight="1">
      <c r="A39" s="20" t="s">
        <v>1938</v>
      </c>
      <c r="B39" s="3" t="str">
        <f>IF(IFERROR(VLOOKUP($A39,'Base Pay Report'!$A:$V,'Prop Budget Calc'!B$2,FALSE),"NO")="No","Update",PROPER(VLOOKUP($A39,'Base Pay Report'!$A:$V,'Prop Budget Calc'!B$2,FALSE)))</f>
        <v>Library Services Manager</v>
      </c>
      <c r="C39" s="3" t="str">
        <f>IF(IFERROR(VLOOKUP($A39,'Base Pay Report'!$A:$V,'Prop Budget Calc'!C$2,FALSE),"NO")="No","Update",PROPER(VLOOKUP($A39,'Base Pay Report'!$A:$V,'Prop Budget Calc'!C$2,FALSE)))</f>
        <v>First Name Last Name</v>
      </c>
      <c r="D39" s="3" t="str">
        <f>IF(IFERROR(VLOOKUP($A39,'Base Pay Report'!$A:$V,'Prop Budget Calc'!D$2,FALSE),"NO")="No","Update",PROPER(VLOOKUP($A39,'Base Pay Report'!$A:$V,'Prop Budget Calc'!D$2,FALSE)))</f>
        <v>8838</v>
      </c>
      <c r="E39" s="8">
        <f t="shared" si="130"/>
        <v>1</v>
      </c>
      <c r="F39" s="3" t="str">
        <f>IF(IFERROR(VLOOKUP($A39,'Base Pay Report'!$A:$V,'Prop Budget Calc'!F$2,FALSE),"NO")="No","Update",PROPER(VLOOKUP($A39,'Base Pay Report'!$A:$V,'Prop Budget Calc'!F$2,FALSE)))</f>
        <v>100-60-601-50101</v>
      </c>
      <c r="G39" s="3" t="str">
        <f t="shared" si="131"/>
        <v>100-60-601</v>
      </c>
      <c r="H39" s="49" t="str">
        <f t="shared" si="132"/>
        <v>100</v>
      </c>
      <c r="I39" s="3" t="str">
        <f t="shared" si="133"/>
        <v>50101</v>
      </c>
      <c r="J39" s="3" t="str">
        <f t="shared" si="134"/>
        <v>60</v>
      </c>
      <c r="K39" s="3" t="str">
        <f t="shared" si="135"/>
        <v>601</v>
      </c>
      <c r="L39" s="3">
        <f>IF(SUMIF('Base Pay Report'!$A:$A,'Prop Budget Calc'!$A39,'Base Pay Report'!$I:$I)=80,SUMIF('Base Pay Report'!$A:$A,'Prop Budget Calc'!$A39,'Base Pay Report'!$H:$H)/SUMIF('Base Pay Report'!$A:$A,'Prop Budget Calc'!$A39,'Base Pay Report'!$I:$I),SUMIF('Base Pay Report'!$A:$A,'Prop Budget Calc'!$A39,'Base Pay Report'!$H:$H))</f>
        <v>33.29025</v>
      </c>
      <c r="M39" s="3">
        <f t="shared" si="109"/>
        <v>2080</v>
      </c>
      <c r="N39" s="3" t="str">
        <f>IF(IFERROR(VLOOKUP($A39,'Base Pay Report'!$A:$V,'Prop Budget Calc'!N$2,FALSE),"NO")="No","Update",(VLOOKUP($A39,'Base Pay Report'!$A:$V,'Prop Budget Calc'!N$2,FALSE)))</f>
        <v>SALARY - 4-10</v>
      </c>
      <c r="O39" s="6">
        <f t="shared" si="136"/>
        <v>69250</v>
      </c>
      <c r="P39" s="99">
        <f>IF(SUMIF('Base Pay Report'!A:A,$A39,'Base Pay Report'!J:J)=0,$P$1+40,SUMIF('Base Pay Report'!A:A,$A39,'Base Pay Report'!J:J))</f>
        <v>45048</v>
      </c>
      <c r="Q39" s="87" t="str">
        <f>IF($B39='Current Step Plans'!$B$36,HLOOKUP('Prop Budget Calc'!$L39,'Current Step Plans'!$C$36:$Q$42,7,FALSE),IF($B39='Current Step Plans'!$B$37,HLOOKUP('Prop Budget Calc'!$L39,'Current Step Plans'!$C$37:$Q$42,6,FALSE),IF($B39='Current Step Plans'!$B$38,HLOOKUP('Prop Budget Calc'!$L39,'Current Step Plans'!$C$38:$Q$42,5,FALSE),IF($B39='Current Step Plans'!$B$39,HLOOKUP('Prop Budget Calc'!$L39,'Current Step Plans'!$C$39:$Q$42,4,FALSE),IF($B39='Current Step Plans'!$B$40,HLOOKUP('Prop Budget Calc'!$L39,'Current Step Plans'!$C$40:$Q$42,3,FALSE),IF($B39='Current Step Plans'!$B$41,HLOOKUP('Prop Budget Calc'!$L39,'Current Step Plans'!$C$41:$Q$42,2,FALSE),IF($B39='Current Step Plans'!$B$50,HLOOKUP('Prop Budget Calc'!$L39,'Current Step Plans'!$C$50:$Q$56,7,FALSE),IF($B39='Current Step Plans'!$B$51,HLOOKUP('Prop Budget Calc'!$L39,'Current Step Plans'!$C$51:$Q$56,6,FALSE),IF($B39='Current Step Plans'!$B$52,HLOOKUP('Prop Budget Calc'!$L39,'Current Step Plans'!$C$52:$Q$56,5,FALSE), IF($B39='Current Step Plans'!$B$53,HLOOKUP('Prop Budget Calc'!$L39,'Current Step Plans'!$C$53:$Q$56,4,FALSE),IF($B39='Current Step Plans'!$B$54,HLOOKUP('Prop Budget Calc'!$L39,'Current Step Plans'!$C$54:$Q$56,3,FALSE),IF($B39='Current Step Plans'!$B$55,HLOOKUP('Prop Budget Calc'!$L39,'Current Step Plans'!$C$55:$Q$56,2,FALSE),IF($B39='Current Step Plans'!$B$65,HLOOKUP('Prop Budget Calc'!$L39,'Current Step Plans'!$C$65:$Q$75,11,FALSE),IF($B39='Current Step Plans'!$B$66,HLOOKUP('Prop Budget Calc'!$L39,'Current Step Plans'!$C$66:$Q$75,10,FALSE),IF($B39='Current Step Plans'!$B$67,HLOOKUP('Prop Budget Calc'!$L39,'Current Step Plans'!$C$67:$Q$75,9,FALSE),IF($B39='Current Step Plans'!$B$68,HLOOKUP('Prop Budget Calc'!$L39,'Current Step Plans'!$C$68:$Q$75,8,FALSE),IF($B39='Current Step Plans'!$B$69,HLOOKUP('Prop Budget Calc'!$L39,'Current Step Plans'!$C$69:$Q$75,7,FALSE),IF($B39='Current Step Plans'!$B$70,HLOOKUP('Prop Budget Calc'!$L39,'Current Step Plans'!$C$70:$Q$75,6,FALSE),IF($B39='Current Step Plans'!$B$71,HLOOKUP('Prop Budget Calc'!$L39,'Current Step Plans'!$C$71:$Q$75,5,FALSE),IF($B39='Current Step Plans'!$B$72,HLOOKUP('Prop Budget Calc'!$L39,'Current Step Plans'!$C$72:$Q$75,4,FALSE),IF($B39='Current Step Plans'!$B$73,HLOOKUP('Prop Budget Calc'!$L39,'Current Step Plans'!$C$73:$Q$75,3,FALSE),IF($B39='Current Step Plans'!$B$74,HLOOKUP('Prop Budget Calc'!$L39,'Current Step Plans'!$C$74:$Q$75,2,FALSE),"N"))))))))))))))))))))))</f>
        <v>N</v>
      </c>
      <c r="R39" s="9" t="str">
        <f t="shared" si="110"/>
        <v>N</v>
      </c>
      <c r="S39" s="6">
        <f>IF(Q39="n",0,ROUNDUP(VLOOKUP(B39,'Proposed Step Plans'!B:T,'Prop Budget Calc'!Q39+2,FALSE)*M39,-2)-O39-T39)</f>
        <v>0</v>
      </c>
      <c r="T39" s="6">
        <f>IF(Q39="n",0,ROUNDUP(VLOOKUP(B39,'Current Step Plans'!B:T,'Prop Budget Calc'!Q39+2,FALSE)*M39,0)-O39)</f>
        <v>0</v>
      </c>
      <c r="U39" s="6">
        <f>IF(IFERROR(VLOOKUP($A39,'Market Study'!$A$5:$G$82,7,FALSE),"NA")="NA",0,VLOOKUP($A39,'Market Study'!$A$5:$G$82,7,FALSE))</f>
        <v>0</v>
      </c>
      <c r="V39" s="6">
        <f>IF(OR($T39&lt;&gt;0,$I39="50112",$I39="50109",$S39&lt;&gt;0),0,VLOOKUP($K39,Scenarios!$A$17:$F$73,6,FALSE)*$O39)</f>
        <v>1385</v>
      </c>
      <c r="W39" s="6">
        <f t="shared" si="111"/>
        <v>1385</v>
      </c>
      <c r="X39" s="6">
        <f>IF(OR($T39&lt;&gt;0,$I39="50112",$I39="50109",$S39&lt;&gt;0),0,VLOOKUP($K39,Scenarios!$A$17:$F$73,2,FALSE)*$O39)</f>
        <v>1385</v>
      </c>
      <c r="Y39" s="6">
        <f>IF(OR($T39&lt;&gt;0,$I39="50110",$I39="50109",$S39&lt;&gt;0),0,VLOOKUP($K39,Scenarios!$A$17:$F$73,3,FALSE))</f>
        <v>1175</v>
      </c>
      <c r="Z39" s="6">
        <f>IF(OR($T39&lt;&gt;0,$I39="50112",$I39="50109",$S39&lt;&gt;0),0,VLOOKUP($K39,Scenarios!$A$17:$F$73,4,FALSE))</f>
        <v>0</v>
      </c>
      <c r="AA39" s="6">
        <f t="shared" si="112"/>
        <v>1385</v>
      </c>
      <c r="AB39" s="6">
        <f>IF(OR($T39&lt;&gt;0,$I39="50112",$I39="50109",$S39&lt;&gt;0),0,VLOOKUP($K39,Scenarios!$A$17:$F$73,5,FALSE))</f>
        <v>0</v>
      </c>
      <c r="AC39" s="6">
        <f t="shared" si="137"/>
        <v>2770</v>
      </c>
      <c r="AD39" s="6">
        <f t="shared" si="113"/>
        <v>72020</v>
      </c>
      <c r="AE39" s="84">
        <f t="shared" si="114"/>
        <v>4.0000000000000036E-2</v>
      </c>
      <c r="AF39" s="6">
        <f t="shared" si="115"/>
        <v>20.3</v>
      </c>
      <c r="AG39" s="6">
        <f>IF(AND(OR(I39="50101",I39="50102"),$AF39&gt;12),IF($AF39&gt;=300,(300*Scenarios!$B$14)*$E39,($AF39*Scenarios!$B$14)*$E39),0)</f>
        <v>101.5</v>
      </c>
      <c r="AH39" s="6" t="b">
        <f>IF($R39="y",IF($T39&gt;0,Scenarios!$B$10*'Prop Budget Calc'!$E39,Scenarios!$B$13*'Prop Budget Calc'!$E39))</f>
        <v>0</v>
      </c>
      <c r="AI39" s="6">
        <f>SUMIFS('Deduction Valuation'!$G:$G,'Deduction Valuation'!$F:$F,"CT - Certifications",'Deduction Valuation'!$B:$B,'Prop Budget Calc'!$A39)*$AI$3</f>
        <v>0</v>
      </c>
      <c r="AJ39" s="6">
        <f>SUMIFS('Deduction Valuation'!$G:$G,'Deduction Valuation'!$F:$F,"RP - Regional Pay",'Deduction Valuation'!$B:$B,'Prop Budget Calc'!$A39)*$AI$3</f>
        <v>0</v>
      </c>
      <c r="AK39" s="6">
        <f t="shared" si="116"/>
        <v>0</v>
      </c>
      <c r="AL39" s="6">
        <f>SUMIFS('Deduction Valuation'!$G:$G,'Deduction Valuation'!$F:$F,"CR - Car Allowance",'Deduction Valuation'!$B:$B,'Prop Budget Calc'!$A39)*$AI$3</f>
        <v>0</v>
      </c>
      <c r="AM39" s="6">
        <f>SUMIFS('Deduction Valuation'!$G:$G,'Deduction Valuation'!$F:$F,"DA - Device Allow",'Deduction Valuation'!$B:$B,'Prop Budget Calc'!$A39)*$AI$3</f>
        <v>540</v>
      </c>
      <c r="AN39" s="6">
        <f>SUMIFS('Deduction Valuation'!$G:$G,'Deduction Valuation'!$F:$F,"RA - Replace Allow",'Deduction Valuation'!$B:$B,'Prop Budget Calc'!$A39)</f>
        <v>75</v>
      </c>
      <c r="AO39" s="94">
        <f t="shared" si="117"/>
        <v>615</v>
      </c>
      <c r="AP39" s="94">
        <f t="shared" si="118"/>
        <v>72736.5</v>
      </c>
      <c r="AQ39" s="10">
        <f>IF(OR($I39="50101", $I39="50102", $I39="50109", $I39="50140"),AP39*Scenarios!$H$8,0)</f>
        <v>12321.563099999999</v>
      </c>
      <c r="AR39" s="9">
        <f>VLOOKUP($D39,WKCMP!$A$1:$C$15,3,FALSE)*AP39</f>
        <v>134.41705200000001</v>
      </c>
      <c r="AS39" s="10">
        <f t="shared" si="119"/>
        <v>1054.6792500000001</v>
      </c>
      <c r="AT39" s="11">
        <f t="shared" si="120"/>
        <v>4509.6629999999996</v>
      </c>
      <c r="AU39" s="10">
        <f t="shared" si="121"/>
        <v>5570</v>
      </c>
      <c r="AV39" s="6">
        <f t="shared" si="122"/>
        <v>130.92570000000001</v>
      </c>
      <c r="AW39" s="19">
        <f t="shared" si="123"/>
        <v>158.4</v>
      </c>
      <c r="AX39" s="19">
        <f t="shared" si="107"/>
        <v>15.6</v>
      </c>
      <c r="AY39" s="19">
        <f t="shared" si="108"/>
        <v>11.28</v>
      </c>
      <c r="AZ39" s="88">
        <f t="shared" si="124"/>
        <v>316.20569999999998</v>
      </c>
      <c r="BA39" s="6">
        <f>IF(AND($C39="vacant vacant",$E39=1),$BA$2*$AZ$3,SUMIFS('Employee Enrollments'!$AE:$AE,'Employee Enrollments'!$S:$S,"Medical HDHP",'Employee Enrollments'!$C:$C,'Prop Budget Calc'!$A39)*$AZ$3*(1+Scenarios!$E$9))*(1-$BA$3)</f>
        <v>16547.240087999999</v>
      </c>
      <c r="BB39" s="6">
        <f>IF(AND($C39="vacant vacant",$E39=1),500,SUMIFS('Employee Enrollments'!$AE:$AE,'Employee Enrollments'!$S:$S,"Health Savings Account",'Employee Enrollments'!$C:$C,'Prop Budget Calc'!$A39))</f>
        <v>1000</v>
      </c>
      <c r="BC39" s="56">
        <f t="shared" si="125"/>
        <v>17547.240087999999</v>
      </c>
      <c r="BD39" s="6">
        <f>IF(AND($C39="vacant vacant",$E39=1),$BD$2*$AZ$3,SUMIFS('Employee Enrollments'!$AE:$AE,'Employee Enrollments'!$S:$S,"Dental Plan",'Employee Enrollments'!$C:$C,'Prop Budget Calc'!$A39)*$AZ$3)</f>
        <v>843.48</v>
      </c>
      <c r="BE39" s="6">
        <f t="shared" si="126"/>
        <v>18706.925787999997</v>
      </c>
      <c r="BF39" s="6">
        <f t="shared" si="127"/>
        <v>36732.905939999997</v>
      </c>
      <c r="BG39" s="6">
        <f t="shared" si="128"/>
        <v>109469.40594</v>
      </c>
      <c r="BH39" s="14"/>
      <c r="BI39" s="56"/>
      <c r="BJ39" s="93">
        <f t="shared" si="129"/>
        <v>19781.570400000001</v>
      </c>
      <c r="BK39" s="10">
        <f>IF(SUMIFS('Employee Enrollments'!AB:AB,'Employee Enrollments'!C:C,'Prop Budget Calc'!$A39,'Employee Enrollments'!Q:Q,"Medical")*12=0,'Employee Enrollments'!$AN$1,(SUMIFS('Employee Enrollments'!AB:AB,'Employee Enrollments'!C:C,'Prop Budget Calc'!$A39,'Employee Enrollments'!Q:Q,"Medical")*12))</f>
        <v>2722.56</v>
      </c>
      <c r="BL39" s="10">
        <f>SUMIFS('Employee Enrollments'!AB:AB,'Employee Enrollments'!C:C,'Prop Budget Calc'!$A39,'Employee Enrollments'!Q:Q,"Dental")*12</f>
        <v>364.92</v>
      </c>
    </row>
    <row r="40" spans="1:88" ht="12.75" customHeight="1">
      <c r="A40" s="20" t="s">
        <v>1639</v>
      </c>
      <c r="B40" s="3" t="str">
        <f>IF(IFERROR(VLOOKUP($A40,'Base Pay Report'!$A:$V,'Prop Budget Calc'!B$2,FALSE),"NO")="No","Update",PROPER(VLOOKUP($A40,'Base Pay Report'!$A:$V,'Prop Budget Calc'!B$2,FALSE)))</f>
        <v>Library Technician</v>
      </c>
      <c r="C40" s="3" t="str">
        <f>IF(IFERROR(VLOOKUP($A40,'Base Pay Report'!$A:$V,'Prop Budget Calc'!C$2,FALSE),"NO")="No","Update",PROPER(VLOOKUP($A40,'Base Pay Report'!$A:$V,'Prop Budget Calc'!C$2,FALSE)))</f>
        <v>First Name Last Name</v>
      </c>
      <c r="D40" s="3" t="str">
        <f>IF(IFERROR(VLOOKUP($A40,'Base Pay Report'!$A:$V,'Prop Budget Calc'!D$2,FALSE),"NO")="No","Update",PROPER(VLOOKUP($A40,'Base Pay Report'!$A:$V,'Prop Budget Calc'!D$2,FALSE)))</f>
        <v>8838</v>
      </c>
      <c r="E40" s="8">
        <f t="shared" si="130"/>
        <v>1</v>
      </c>
      <c r="F40" s="3" t="str">
        <f>IF(IFERROR(VLOOKUP($A40,'Base Pay Report'!$A:$V,'Prop Budget Calc'!F$2,FALSE),"NO")="No","Update",PROPER(VLOOKUP($A40,'Base Pay Report'!$A:$V,'Prop Budget Calc'!F$2,FALSE)))</f>
        <v>100-60-601-50102</v>
      </c>
      <c r="G40" s="3" t="str">
        <f t="shared" si="131"/>
        <v>100-60-601</v>
      </c>
      <c r="H40" s="49" t="str">
        <f t="shared" si="132"/>
        <v>100</v>
      </c>
      <c r="I40" s="3" t="str">
        <f t="shared" si="133"/>
        <v>50102</v>
      </c>
      <c r="J40" s="3" t="str">
        <f t="shared" si="134"/>
        <v>60</v>
      </c>
      <c r="K40" s="3" t="str">
        <f t="shared" si="135"/>
        <v>601</v>
      </c>
      <c r="L40" s="3">
        <f>IF(SUMIF('Base Pay Report'!$A:$A,'Prop Budget Calc'!$A40,'Base Pay Report'!$I:$I)=80,SUMIF('Base Pay Report'!$A:$A,'Prop Budget Calc'!$A40,'Base Pay Report'!$H:$H)/SUMIF('Base Pay Report'!$A:$A,'Prop Budget Calc'!$A40,'Base Pay Report'!$I:$I),SUMIF('Base Pay Report'!$A:$A,'Prop Budget Calc'!$A40,'Base Pay Report'!$H:$H))</f>
        <v>19.7</v>
      </c>
      <c r="M40" s="3">
        <f t="shared" si="109"/>
        <v>2080</v>
      </c>
      <c r="N40" s="3" t="str">
        <f>IF(IFERROR(VLOOKUP($A40,'Base Pay Report'!$A:$V,'Prop Budget Calc'!N$2,FALSE),"NO")="No","Update",(VLOOKUP($A40,'Base Pay Report'!$A:$V,'Prop Budget Calc'!N$2,FALSE)))</f>
        <v>FT HOURLY - 4-10</v>
      </c>
      <c r="O40" s="6">
        <f t="shared" si="136"/>
        <v>40980</v>
      </c>
      <c r="P40" s="99">
        <f>IF(SUMIF('Base Pay Report'!A:A,$A40,'Base Pay Report'!J:J)=0,$P$1+40,SUMIF('Base Pay Report'!A:A,$A40,'Base Pay Report'!J:J))</f>
        <v>44538</v>
      </c>
      <c r="Q40" s="87" t="str">
        <f>IF($B40='Current Step Plans'!$B$36,HLOOKUP('Prop Budget Calc'!$L40,'Current Step Plans'!$C$36:$Q$42,7,FALSE),IF($B40='Current Step Plans'!$B$37,HLOOKUP('Prop Budget Calc'!$L40,'Current Step Plans'!$C$37:$Q$42,6,FALSE),IF($B40='Current Step Plans'!$B$38,HLOOKUP('Prop Budget Calc'!$L40,'Current Step Plans'!$C$38:$Q$42,5,FALSE),IF($B40='Current Step Plans'!$B$39,HLOOKUP('Prop Budget Calc'!$L40,'Current Step Plans'!$C$39:$Q$42,4,FALSE),IF($B40='Current Step Plans'!$B$40,HLOOKUP('Prop Budget Calc'!$L40,'Current Step Plans'!$C$40:$Q$42,3,FALSE),IF($B40='Current Step Plans'!$B$41,HLOOKUP('Prop Budget Calc'!$L40,'Current Step Plans'!$C$41:$Q$42,2,FALSE),IF($B40='Current Step Plans'!$B$50,HLOOKUP('Prop Budget Calc'!$L40,'Current Step Plans'!$C$50:$Q$56,7,FALSE),IF($B40='Current Step Plans'!$B$51,HLOOKUP('Prop Budget Calc'!$L40,'Current Step Plans'!$C$51:$Q$56,6,FALSE),IF($B40='Current Step Plans'!$B$52,HLOOKUP('Prop Budget Calc'!$L40,'Current Step Plans'!$C$52:$Q$56,5,FALSE), IF($B40='Current Step Plans'!$B$53,HLOOKUP('Prop Budget Calc'!$L40,'Current Step Plans'!$C$53:$Q$56,4,FALSE),IF($B40='Current Step Plans'!$B$54,HLOOKUP('Prop Budget Calc'!$L40,'Current Step Plans'!$C$54:$Q$56,3,FALSE),IF($B40='Current Step Plans'!$B$55,HLOOKUP('Prop Budget Calc'!$L40,'Current Step Plans'!$C$55:$Q$56,2,FALSE),IF($B40='Current Step Plans'!$B$65,HLOOKUP('Prop Budget Calc'!$L40,'Current Step Plans'!$C$65:$Q$75,11,FALSE),IF($B40='Current Step Plans'!$B$66,HLOOKUP('Prop Budget Calc'!$L40,'Current Step Plans'!$C$66:$Q$75,10,FALSE),IF($B40='Current Step Plans'!$B$67,HLOOKUP('Prop Budget Calc'!$L40,'Current Step Plans'!$C$67:$Q$75,9,FALSE),IF($B40='Current Step Plans'!$B$68,HLOOKUP('Prop Budget Calc'!$L40,'Current Step Plans'!$C$68:$Q$75,8,FALSE),IF($B40='Current Step Plans'!$B$69,HLOOKUP('Prop Budget Calc'!$L40,'Current Step Plans'!$C$69:$Q$75,7,FALSE),IF($B40='Current Step Plans'!$B$70,HLOOKUP('Prop Budget Calc'!$L40,'Current Step Plans'!$C$70:$Q$75,6,FALSE),IF($B40='Current Step Plans'!$B$71,HLOOKUP('Prop Budget Calc'!$L40,'Current Step Plans'!$C$71:$Q$75,5,FALSE),IF($B40='Current Step Plans'!$B$72,HLOOKUP('Prop Budget Calc'!$L40,'Current Step Plans'!$C$72:$Q$75,4,FALSE),IF($B40='Current Step Plans'!$B$73,HLOOKUP('Prop Budget Calc'!$L40,'Current Step Plans'!$C$73:$Q$75,3,FALSE),IF($B40='Current Step Plans'!$B$74,HLOOKUP('Prop Budget Calc'!$L40,'Current Step Plans'!$C$74:$Q$75,2,FALSE),"N"))))))))))))))))))))))</f>
        <v>N</v>
      </c>
      <c r="R40" s="9" t="str">
        <f t="shared" si="110"/>
        <v>Y</v>
      </c>
      <c r="S40" s="6">
        <f>IF(Q40="n",0,ROUNDUP(VLOOKUP(B40,'Proposed Step Plans'!B:T,'Prop Budget Calc'!Q40+2,FALSE)*M40,-2)-O40-T40)</f>
        <v>0</v>
      </c>
      <c r="T40" s="6">
        <f>IF(Q40="n",0,ROUNDUP(VLOOKUP(B40,'Current Step Plans'!B:T,'Prop Budget Calc'!Q40+2,FALSE)*M40,0)-O40)</f>
        <v>0</v>
      </c>
      <c r="U40" s="6">
        <f>IF(IFERROR(VLOOKUP($A40,'Market Study'!$A$5:$G$82,7,FALSE),"NA")="NA",0,VLOOKUP($A40,'Market Study'!$A$5:$G$82,7,FALSE))</f>
        <v>0</v>
      </c>
      <c r="V40" s="6">
        <f>IF(OR($T40&lt;&gt;0,$I40="50112",$I40="50109",$S40&lt;&gt;0),0,VLOOKUP($K40,Scenarios!$A$17:$F$73,6,FALSE)*$O40)</f>
        <v>819.6</v>
      </c>
      <c r="W40" s="6">
        <f t="shared" si="111"/>
        <v>819.6</v>
      </c>
      <c r="X40" s="6">
        <f>IF(OR($T40&lt;&gt;0,$I40="50112",$I40="50109",$S40&lt;&gt;0),0,VLOOKUP($K40,Scenarios!$A$17:$F$73,2,FALSE)*$O40)</f>
        <v>819.6</v>
      </c>
      <c r="Y40" s="6">
        <f>IF(OR($T40&lt;&gt;0,$I40="50110",$I40="50109",$S40&lt;&gt;0),0,VLOOKUP($K40,Scenarios!$A$17:$F$73,3,FALSE))</f>
        <v>1175</v>
      </c>
      <c r="Z40" s="6">
        <f>IF(OR($T40&lt;&gt;0,$I40="50112",$I40="50109",$S40&lt;&gt;0),0,VLOOKUP($K40,Scenarios!$A$17:$F$73,4,FALSE))</f>
        <v>0</v>
      </c>
      <c r="AA40" s="6">
        <f t="shared" si="112"/>
        <v>1175</v>
      </c>
      <c r="AB40" s="6">
        <f>IF(OR($T40&lt;&gt;0,$I40="50112",$I40="50109",$S40&lt;&gt;0),0,VLOOKUP($K40,Scenarios!$A$17:$F$73,5,FALSE))</f>
        <v>0</v>
      </c>
      <c r="AC40" s="6">
        <f t="shared" si="137"/>
        <v>1994.6</v>
      </c>
      <c r="AD40" s="6">
        <f t="shared" si="113"/>
        <v>42975</v>
      </c>
      <c r="AE40" s="84">
        <f t="shared" si="114"/>
        <v>4.8682284040995505E-2</v>
      </c>
      <c r="AF40" s="6">
        <f t="shared" si="115"/>
        <v>37.299999999999997</v>
      </c>
      <c r="AG40" s="6">
        <f>IF(AND(OR(I40="50101",I40="50102"),$AF40&gt;12),IF($AF40&gt;=300,(300*Scenarios!$B$14)*$E40,($AF40*Scenarios!$B$14)*$E40),0)</f>
        <v>186.5</v>
      </c>
      <c r="AH40" s="6">
        <f>IF($R40="y",IF($T40&gt;0,Scenarios!$B$10*'Prop Budget Calc'!$E40,Scenarios!$B$13*'Prop Budget Calc'!$E40))</f>
        <v>0</v>
      </c>
      <c r="AI40" s="6">
        <f>SUMIFS('Deduction Valuation'!$G:$G,'Deduction Valuation'!$F:$F,"CT - Certifications",'Deduction Valuation'!$B:$B,'Prop Budget Calc'!$A40)*$AI$3</f>
        <v>0</v>
      </c>
      <c r="AJ40" s="6">
        <f>SUMIFS('Deduction Valuation'!$G:$G,'Deduction Valuation'!$F:$F,"RP - Regional Pay",'Deduction Valuation'!$B:$B,'Prop Budget Calc'!$A40)*$AI$3</f>
        <v>0</v>
      </c>
      <c r="AK40" s="6">
        <f t="shared" si="116"/>
        <v>0</v>
      </c>
      <c r="AL40" s="6">
        <f>SUMIFS('Deduction Valuation'!$G:$G,'Deduction Valuation'!$F:$F,"CR - Car Allowance",'Deduction Valuation'!$B:$B,'Prop Budget Calc'!$A40)*$AI$3</f>
        <v>0</v>
      </c>
      <c r="AM40" s="6">
        <f>SUMIFS('Deduction Valuation'!$G:$G,'Deduction Valuation'!$F:$F,"DA - Device Allow",'Deduction Valuation'!$B:$B,'Prop Budget Calc'!$A40)*$AI$3</f>
        <v>0</v>
      </c>
      <c r="AN40" s="6">
        <f>SUMIFS('Deduction Valuation'!$G:$G,'Deduction Valuation'!$F:$F,"RA - Replace Allow",'Deduction Valuation'!$B:$B,'Prop Budget Calc'!$A40)</f>
        <v>0</v>
      </c>
      <c r="AO40" s="94">
        <f t="shared" si="117"/>
        <v>0</v>
      </c>
      <c r="AP40" s="94">
        <f t="shared" si="118"/>
        <v>43161.5</v>
      </c>
      <c r="AQ40" s="10">
        <f>IF(OR($I40="50101", $I40="50102", $I40="50109", $I40="50140"),AP40*Scenarios!$H$8,0)</f>
        <v>7311.5581000000002</v>
      </c>
      <c r="AR40" s="9">
        <f>VLOOKUP($D40,WKCMP!$A$1:$C$15,3,FALSE)*AP40</f>
        <v>79.762451999999996</v>
      </c>
      <c r="AS40" s="10">
        <f t="shared" si="119"/>
        <v>625.84175000000005</v>
      </c>
      <c r="AT40" s="11">
        <f t="shared" si="120"/>
        <v>2676.0129999999999</v>
      </c>
      <c r="AU40" s="10">
        <f t="shared" si="121"/>
        <v>3310</v>
      </c>
      <c r="AV40" s="6">
        <f t="shared" si="122"/>
        <v>77.690699999999993</v>
      </c>
      <c r="AW40" s="19">
        <f t="shared" si="123"/>
        <v>79.2</v>
      </c>
      <c r="AX40" s="19">
        <f t="shared" si="107"/>
        <v>15.6</v>
      </c>
      <c r="AY40" s="19">
        <f t="shared" si="108"/>
        <v>11.28</v>
      </c>
      <c r="AZ40" s="88">
        <f t="shared" si="124"/>
        <v>183.77069999999998</v>
      </c>
      <c r="BA40" s="6">
        <f>IF(AND($C40="vacant vacant",$E40=1),$BA$2*$AZ$3,SUMIFS('Employee Enrollments'!$AE:$AE,'Employee Enrollments'!$S:$S,"Medical HDHP",'Employee Enrollments'!$C:$C,'Prop Budget Calc'!$A40)*$AZ$3*(1+Scenarios!$E$9))*(1-$BA$3)</f>
        <v>9838.3957199999986</v>
      </c>
      <c r="BB40" s="6">
        <f>IF(AND($C40="vacant vacant",$E40=1),500,SUMIFS('Employee Enrollments'!$AE:$AE,'Employee Enrollments'!$S:$S,"Health Savings Account",'Employee Enrollments'!$C:$C,'Prop Budget Calc'!$A40))</f>
        <v>500.05</v>
      </c>
      <c r="BC40" s="56">
        <f t="shared" si="125"/>
        <v>10338.445719999998</v>
      </c>
      <c r="BD40" s="6">
        <f>IF(AND($C40="vacant vacant",$E40=1),$BD$2*$AZ$3,SUMIFS('Employee Enrollments'!$AE:$AE,'Employee Enrollments'!$S:$S,"Dental Plan",'Employee Enrollments'!$C:$C,'Prop Budget Calc'!$A40)*$AZ$3)</f>
        <v>434.76</v>
      </c>
      <c r="BE40" s="6">
        <f t="shared" si="126"/>
        <v>10956.976419999997</v>
      </c>
      <c r="BF40" s="6">
        <f t="shared" si="127"/>
        <v>21658.296971999996</v>
      </c>
      <c r="BG40" s="6">
        <f t="shared" si="128"/>
        <v>64819.796971999996</v>
      </c>
      <c r="BH40" s="14"/>
      <c r="BI40" s="56"/>
      <c r="BJ40" s="93">
        <f t="shared" si="129"/>
        <v>10450.235999999999</v>
      </c>
      <c r="BK40" s="10">
        <f>IF(SUMIFS('Employee Enrollments'!AB:AB,'Employee Enrollments'!C:C,'Prop Budget Calc'!$A40,'Employee Enrollments'!Q:Q,"Medical")*12=0,'Employee Enrollments'!$AN$1,(SUMIFS('Employee Enrollments'!AB:AB,'Employee Enrollments'!C:C,'Prop Budget Calc'!$A40,'Employee Enrollments'!Q:Q,"Medical")*12))</f>
        <v>307.56</v>
      </c>
      <c r="BL40" s="10">
        <f>SUMIFS('Employee Enrollments'!AB:AB,'Employee Enrollments'!C:C,'Prop Budget Calc'!$A40,'Employee Enrollments'!Q:Q,"Dental")*12</f>
        <v>0</v>
      </c>
    </row>
    <row r="41" spans="1:88" ht="12.75" customHeight="1">
      <c r="A41" s="456" t="s">
        <v>1775</v>
      </c>
      <c r="B41" s="3" t="str">
        <f>IF(IFERROR(VLOOKUP($A41,'Base Pay Report'!$A:$V,'Prop Budget Calc'!B$2,FALSE),"NO")="No","Update",PROPER(VLOOKUP($A41,'Base Pay Report'!$A:$V,'Prop Budget Calc'!B$2,FALSE)))</f>
        <v>Maintenance Worker Ii (Parks)</v>
      </c>
      <c r="C41" s="3" t="str">
        <f>IF(IFERROR(VLOOKUP($A41,'Base Pay Report'!$A:$V,'Prop Budget Calc'!C$2,FALSE),"NO")="No","Update",PROPER(VLOOKUP($A41,'Base Pay Report'!$A:$V,'Prop Budget Calc'!C$2,FALSE)))</f>
        <v>First Name Last Name</v>
      </c>
      <c r="D41" s="3" t="str">
        <f>IF(IFERROR(VLOOKUP($A41,'Base Pay Report'!$A:$V,'Prop Budget Calc'!D$2,FALSE),"NO")="No","Update",PROPER(VLOOKUP($A41,'Base Pay Report'!$A:$V,'Prop Budget Calc'!D$2,FALSE)))</f>
        <v>9102</v>
      </c>
      <c r="E41" s="8">
        <f t="shared" si="130"/>
        <v>1</v>
      </c>
      <c r="F41" s="3" t="str">
        <f>IF(IFERROR(VLOOKUP($A41,'Base Pay Report'!$A:$V,'Prop Budget Calc'!F$2,FALSE),"NO")="No","Update",PROPER(VLOOKUP($A41,'Base Pay Report'!$A:$V,'Prop Budget Calc'!F$2,FALSE)))</f>
        <v>100-63-632-50102</v>
      </c>
      <c r="G41" s="3" t="str">
        <f t="shared" si="131"/>
        <v>100-63-632</v>
      </c>
      <c r="H41" s="49" t="str">
        <f t="shared" si="132"/>
        <v>100</v>
      </c>
      <c r="I41" s="3" t="str">
        <f t="shared" si="133"/>
        <v>50102</v>
      </c>
      <c r="J41" s="3" t="str">
        <f t="shared" si="134"/>
        <v>63</v>
      </c>
      <c r="K41" s="3" t="str">
        <f t="shared" si="135"/>
        <v>632</v>
      </c>
      <c r="L41" s="3">
        <f>IF(SUMIF('Base Pay Report'!$A:$A,'Prop Budget Calc'!$A41,'Base Pay Report'!$I:$I)=80,SUMIF('Base Pay Report'!$A:$A,'Prop Budget Calc'!$A41,'Base Pay Report'!$H:$H)/SUMIF('Base Pay Report'!$A:$A,'Prop Budget Calc'!$A41,'Base Pay Report'!$I:$I),SUMIF('Base Pay Report'!$A:$A,'Prop Budget Calc'!$A41,'Base Pay Report'!$H:$H))</f>
        <v>23.37</v>
      </c>
      <c r="M41" s="3">
        <f t="shared" si="109"/>
        <v>1872</v>
      </c>
      <c r="N41" s="3" t="str">
        <f>IF(IFERROR(VLOOKUP($A41,'Base Pay Report'!$A:$V,'Prop Budget Calc'!N$2,FALSE),"NO")="No","Update",(VLOOKUP($A41,'Base Pay Report'!$A:$V,'Prop Budget Calc'!N$2,FALSE)))</f>
        <v>FT HOURLY- 4-9</v>
      </c>
      <c r="O41" s="6">
        <f t="shared" si="136"/>
        <v>43750</v>
      </c>
      <c r="P41" s="99">
        <f>IF(SUMIF('Base Pay Report'!A:A,$A41,'Base Pay Report'!J:J)=0,$P$1+40,SUMIF('Base Pay Report'!A:A,$A41,'Base Pay Report'!J:J))</f>
        <v>39160</v>
      </c>
      <c r="Q41" s="87" t="str">
        <f>IF($B41='Current Step Plans'!$B$36,HLOOKUP('Prop Budget Calc'!$L41,'Current Step Plans'!$C$36:$Q$42,7,FALSE),IF($B41='Current Step Plans'!$B$37,HLOOKUP('Prop Budget Calc'!$L41,'Current Step Plans'!$C$37:$Q$42,6,FALSE),IF($B41='Current Step Plans'!$B$38,HLOOKUP('Prop Budget Calc'!$L41,'Current Step Plans'!$C$38:$Q$42,5,FALSE),IF($B41='Current Step Plans'!$B$39,HLOOKUP('Prop Budget Calc'!$L41,'Current Step Plans'!$C$39:$Q$42,4,FALSE),IF($B41='Current Step Plans'!$B$40,HLOOKUP('Prop Budget Calc'!$L41,'Current Step Plans'!$C$40:$Q$42,3,FALSE),IF($B41='Current Step Plans'!$B$41,HLOOKUP('Prop Budget Calc'!$L41,'Current Step Plans'!$C$41:$Q$42,2,FALSE),IF($B41='Current Step Plans'!$B$50,HLOOKUP('Prop Budget Calc'!$L41,'Current Step Plans'!$C$50:$Q$56,7,FALSE),IF($B41='Current Step Plans'!$B$51,HLOOKUP('Prop Budget Calc'!$L41,'Current Step Plans'!$C$51:$Q$56,6,FALSE),IF($B41='Current Step Plans'!$B$52,HLOOKUP('Prop Budget Calc'!$L41,'Current Step Plans'!$C$52:$Q$56,5,FALSE), IF($B41='Current Step Plans'!$B$53,HLOOKUP('Prop Budget Calc'!$L41,'Current Step Plans'!$C$53:$Q$56,4,FALSE),IF($B41='Current Step Plans'!$B$54,HLOOKUP('Prop Budget Calc'!$L41,'Current Step Plans'!$C$54:$Q$56,3,FALSE),IF($B41='Current Step Plans'!$B$55,HLOOKUP('Prop Budget Calc'!$L41,'Current Step Plans'!$C$55:$Q$56,2,FALSE),IF($B41='Current Step Plans'!$B$65,HLOOKUP('Prop Budget Calc'!$L41,'Current Step Plans'!$C$65:$Q$75,11,FALSE),IF($B41='Current Step Plans'!$B$66,HLOOKUP('Prop Budget Calc'!$L41,'Current Step Plans'!$C$66:$Q$75,10,FALSE),IF($B41='Current Step Plans'!$B$67,HLOOKUP('Prop Budget Calc'!$L41,'Current Step Plans'!$C$67:$Q$75,9,FALSE),IF($B41='Current Step Plans'!$B$68,HLOOKUP('Prop Budget Calc'!$L41,'Current Step Plans'!$C$68:$Q$75,8,FALSE),IF($B41='Current Step Plans'!$B$69,HLOOKUP('Prop Budget Calc'!$L41,'Current Step Plans'!$C$69:$Q$75,7,FALSE),IF($B41='Current Step Plans'!$B$70,HLOOKUP('Prop Budget Calc'!$L41,'Current Step Plans'!$C$70:$Q$75,6,FALSE),IF($B41='Current Step Plans'!$B$71,HLOOKUP('Prop Budget Calc'!$L41,'Current Step Plans'!$C$71:$Q$75,5,FALSE),IF($B41='Current Step Plans'!$B$72,HLOOKUP('Prop Budget Calc'!$L41,'Current Step Plans'!$C$72:$Q$75,4,FALSE),IF($B41='Current Step Plans'!$B$73,HLOOKUP('Prop Budget Calc'!$L41,'Current Step Plans'!$C$73:$Q$75,3,FALSE),IF($B41='Current Step Plans'!$B$74,HLOOKUP('Prop Budget Calc'!$L41,'Current Step Plans'!$C$74:$Q$75,2,FALSE),"N"))))))))))))))))))))))</f>
        <v>N</v>
      </c>
      <c r="R41" s="9" t="str">
        <f t="shared" si="110"/>
        <v>Y</v>
      </c>
      <c r="S41" s="6">
        <f>IF(Q41="n",0,ROUNDUP(VLOOKUP(B41,'Proposed Step Plans'!B:T,'Prop Budget Calc'!Q41+2,FALSE)*M41,-2)-O41-T41)</f>
        <v>0</v>
      </c>
      <c r="T41" s="6">
        <f>IF(Q41="n",0,ROUNDUP(VLOOKUP(B41,'Current Step Plans'!B:T,'Prop Budget Calc'!Q41+2,FALSE)*M41,0)-O41)</f>
        <v>0</v>
      </c>
      <c r="U41" s="6">
        <f>IF(IFERROR(VLOOKUP($A41,'Market Study'!$A$5:$G$82,7,FALSE),"NA")="NA",0,VLOOKUP($A41,'Market Study'!$A$5:$G$82,7,FALSE))</f>
        <v>0</v>
      </c>
      <c r="V41" s="6">
        <f>IF(OR($T41&lt;&gt;0,$I41="50112",$I41="50109",$S41&lt;&gt;0),0,VLOOKUP($K41,Scenarios!$A$17:$F$73,6,FALSE)*$O41)</f>
        <v>875</v>
      </c>
      <c r="W41" s="6">
        <f t="shared" si="111"/>
        <v>875</v>
      </c>
      <c r="X41" s="6">
        <f>IF(OR($T41&lt;&gt;0,$I41="50112",$I41="50109",$S41&lt;&gt;0),0,VLOOKUP($K41,Scenarios!$A$17:$F$73,2,FALSE)*$O41)</f>
        <v>875</v>
      </c>
      <c r="Y41" s="6">
        <f>IF(OR($T41&lt;&gt;0,$I41="50110",$I41="50109",$S41&lt;&gt;0),0,VLOOKUP($K41,Scenarios!$A$17:$F$73,3,FALSE))</f>
        <v>1175</v>
      </c>
      <c r="Z41" s="6">
        <f>IF(OR($T41&lt;&gt;0,$I41="50112",$I41="50109",$S41&lt;&gt;0),0,VLOOKUP($K41,Scenarios!$A$17:$F$73,4,FALSE))</f>
        <v>0</v>
      </c>
      <c r="AA41" s="6">
        <f t="shared" si="112"/>
        <v>1175</v>
      </c>
      <c r="AB41" s="6">
        <f>IF(OR($T41&lt;&gt;0,$I41="50112",$I41="50109",$S41&lt;&gt;0),0,VLOOKUP($K41,Scenarios!$A$17:$F$73,5,FALSE))</f>
        <v>0</v>
      </c>
      <c r="AC41" s="6">
        <f t="shared" si="137"/>
        <v>2050</v>
      </c>
      <c r="AD41" s="6">
        <f t="shared" si="113"/>
        <v>45800</v>
      </c>
      <c r="AE41" s="84">
        <f t="shared" si="114"/>
        <v>4.685714285714293E-2</v>
      </c>
      <c r="AF41" s="6">
        <f t="shared" si="115"/>
        <v>216.56666666666666</v>
      </c>
      <c r="AG41" s="6">
        <f>IF(AND(OR(I41="50101",I41="50102"),$AF41&gt;12),IF($AF41&gt;=300,(300*Scenarios!$B$14)*$E41,($AF41*Scenarios!$B$14)*$E41),0)</f>
        <v>1082.8333333333333</v>
      </c>
      <c r="AH41" s="6">
        <f>IF($R41="y",IF($T41&gt;0,Scenarios!$B$10*'Prop Budget Calc'!$E41,Scenarios!$B$13*'Prop Budget Calc'!$E41))</f>
        <v>0</v>
      </c>
      <c r="AI41" s="6">
        <f>SUMIFS('Deduction Valuation'!$G:$G,'Deduction Valuation'!$F:$F,"CT - Certifications",'Deduction Valuation'!$B:$B,'Prop Budget Calc'!$A41)*$AI$3</f>
        <v>0</v>
      </c>
      <c r="AJ41" s="6">
        <f>SUMIFS('Deduction Valuation'!$G:$G,'Deduction Valuation'!$F:$F,"RP - Regional Pay",'Deduction Valuation'!$B:$B,'Prop Budget Calc'!$A41)*$AI$3</f>
        <v>0</v>
      </c>
      <c r="AK41" s="6">
        <f t="shared" si="116"/>
        <v>0</v>
      </c>
      <c r="AL41" s="6">
        <f>SUMIFS('Deduction Valuation'!$G:$G,'Deduction Valuation'!$F:$F,"CR - Car Allowance",'Deduction Valuation'!$B:$B,'Prop Budget Calc'!$A41)*$AI$3</f>
        <v>0</v>
      </c>
      <c r="AM41" s="6">
        <f>SUMIFS('Deduction Valuation'!$G:$G,'Deduction Valuation'!$F:$F,"DA - Device Allow",'Deduction Valuation'!$B:$B,'Prop Budget Calc'!$A41)*$AI$3</f>
        <v>0</v>
      </c>
      <c r="AN41" s="6">
        <f>SUMIFS('Deduction Valuation'!$G:$G,'Deduction Valuation'!$F:$F,"RA - Replace Allow",'Deduction Valuation'!$B:$B,'Prop Budget Calc'!$A41)</f>
        <v>0</v>
      </c>
      <c r="AO41" s="94">
        <f t="shared" si="117"/>
        <v>0</v>
      </c>
      <c r="AP41" s="94">
        <f t="shared" si="118"/>
        <v>46882.833333333336</v>
      </c>
      <c r="AQ41" s="10">
        <f>IF(OR($I41="50101", $I41="50102", $I41="50109", $I41="50140"),AP41*Scenarios!$H$8,0)</f>
        <v>7941.9519666666665</v>
      </c>
      <c r="AR41" s="9">
        <f>VLOOKUP($D41,WKCMP!$A$1:$C$15,3,FALSE)*AP41</f>
        <v>538.74001440000006</v>
      </c>
      <c r="AS41" s="10">
        <f t="shared" si="119"/>
        <v>679.80108333333339</v>
      </c>
      <c r="AT41" s="11">
        <f t="shared" si="120"/>
        <v>2906.7356666666669</v>
      </c>
      <c r="AU41" s="10">
        <f t="shared" si="121"/>
        <v>3590</v>
      </c>
      <c r="AV41" s="6">
        <f t="shared" si="122"/>
        <v>84.389099999999999</v>
      </c>
      <c r="AW41" s="19">
        <f t="shared" si="123"/>
        <v>79.2</v>
      </c>
      <c r="AX41" s="19">
        <f t="shared" si="107"/>
        <v>15.6</v>
      </c>
      <c r="AY41" s="19">
        <f t="shared" si="108"/>
        <v>11.28</v>
      </c>
      <c r="AZ41" s="88">
        <f t="shared" si="124"/>
        <v>190.4691</v>
      </c>
      <c r="BA41" s="6">
        <f>IF(AND($C41="vacant vacant",$E41=1),$BA$2*$AZ$3,SUMIFS('Employee Enrollments'!$AE:$AE,'Employee Enrollments'!$S:$S,"Medical HDHP",'Employee Enrollments'!$C:$C,'Prop Budget Calc'!$A41)*$AZ$3*(1+Scenarios!$E$9))*(1-$BA$3)</f>
        <v>9838.3957199999986</v>
      </c>
      <c r="BB41" s="6">
        <f>IF(AND($C41="vacant vacant",$E41=1),500,SUMIFS('Employee Enrollments'!$AE:$AE,'Employee Enrollments'!$S:$S,"Health Savings Account",'Employee Enrollments'!$C:$C,'Prop Budget Calc'!$A41))</f>
        <v>500.05</v>
      </c>
      <c r="BC41" s="56">
        <f t="shared" si="125"/>
        <v>10338.445719999998</v>
      </c>
      <c r="BD41" s="6">
        <f>IF(AND($C41="vacant vacant",$E41=1),$BD$2*$AZ$3,SUMIFS('Employee Enrollments'!$AE:$AE,'Employee Enrollments'!$S:$S,"Dental Plan",'Employee Enrollments'!$C:$C,'Prop Budget Calc'!$A41)*$AZ$3)</f>
        <v>434.76</v>
      </c>
      <c r="BE41" s="6">
        <f t="shared" si="126"/>
        <v>10963.674819999998</v>
      </c>
      <c r="BF41" s="6">
        <f t="shared" si="127"/>
        <v>23034.366801066666</v>
      </c>
      <c r="BG41" s="6">
        <f t="shared" si="128"/>
        <v>69917.200134400002</v>
      </c>
      <c r="BH41" s="14"/>
      <c r="BI41" s="56"/>
      <c r="BJ41" s="93">
        <f t="shared" si="129"/>
        <v>10450.235999999999</v>
      </c>
      <c r="BK41" s="10">
        <f>IF(SUMIFS('Employee Enrollments'!AB:AB,'Employee Enrollments'!C:C,'Prop Budget Calc'!$A41,'Employee Enrollments'!Q:Q,"Medical")*12=0,'Employee Enrollments'!$AN$1,(SUMIFS('Employee Enrollments'!AB:AB,'Employee Enrollments'!C:C,'Prop Budget Calc'!$A41,'Employee Enrollments'!Q:Q,"Medical")*12))</f>
        <v>307.56</v>
      </c>
      <c r="BL41" s="10">
        <f>SUMIFS('Employee Enrollments'!AB:AB,'Employee Enrollments'!C:C,'Prop Budget Calc'!$A41,'Employee Enrollments'!Q:Q,"Dental")*12</f>
        <v>0</v>
      </c>
    </row>
    <row r="42" spans="1:88" ht="12.75" customHeight="1">
      <c r="A42" s="20" t="s">
        <v>1402</v>
      </c>
      <c r="B42" s="3" t="str">
        <f>IF(IFERROR(VLOOKUP($A42,'Base Pay Report'!$A:$V,'Prop Budget Calc'!B$2,FALSE),"NO")="No","Update",PROPER(VLOOKUP($A42,'Base Pay Report'!$A:$V,'Prop Budget Calc'!B$2,FALSE)))</f>
        <v>Recreation Supervisor - Parks/Recreation</v>
      </c>
      <c r="C42" s="3" t="str">
        <f>IF(IFERROR(VLOOKUP($A42,'Base Pay Report'!$A:$V,'Prop Budget Calc'!C$2,FALSE),"NO")="No","Update",PROPER(VLOOKUP($A42,'Base Pay Report'!$A:$V,'Prop Budget Calc'!C$2,FALSE)))</f>
        <v>First Name Last Name</v>
      </c>
      <c r="D42" s="3" t="str">
        <f>IF(IFERROR(VLOOKUP($A42,'Base Pay Report'!$A:$V,'Prop Budget Calc'!D$2,FALSE),"NO")="No","Update",PROPER(VLOOKUP($A42,'Base Pay Report'!$A:$V,'Prop Budget Calc'!D$2,FALSE)))</f>
        <v>8810</v>
      </c>
      <c r="E42" s="8">
        <f t="shared" si="130"/>
        <v>1</v>
      </c>
      <c r="F42" s="3" t="str">
        <f>IF(IFERROR(VLOOKUP($A42,'Base Pay Report'!$A:$V,'Prop Budget Calc'!F$2,FALSE),"NO")="No","Update",PROPER(VLOOKUP($A42,'Base Pay Report'!$A:$V,'Prop Budget Calc'!F$2,FALSE)))</f>
        <v>100-63-633-50101</v>
      </c>
      <c r="G42" s="3" t="str">
        <f t="shared" si="131"/>
        <v>100-63-633</v>
      </c>
      <c r="H42" s="49" t="str">
        <f t="shared" si="132"/>
        <v>100</v>
      </c>
      <c r="I42" s="3" t="str">
        <f t="shared" si="133"/>
        <v>50101</v>
      </c>
      <c r="J42" s="3" t="str">
        <f t="shared" si="134"/>
        <v>63</v>
      </c>
      <c r="K42" s="3" t="str">
        <f t="shared" si="135"/>
        <v>633</v>
      </c>
      <c r="L42" s="3">
        <f>IF(SUMIF('Base Pay Report'!$A:$A,'Prop Budget Calc'!$A42,'Base Pay Report'!$I:$I)=80,SUMIF('Base Pay Report'!$A:$A,'Prop Budget Calc'!$A42,'Base Pay Report'!$H:$H)/SUMIF('Base Pay Report'!$A:$A,'Prop Budget Calc'!$A42,'Base Pay Report'!$I:$I),SUMIF('Base Pay Report'!$A:$A,'Prop Budget Calc'!$A42,'Base Pay Report'!$H:$H))</f>
        <v>30.715499999999999</v>
      </c>
      <c r="M42" s="3">
        <f t="shared" si="109"/>
        <v>2080</v>
      </c>
      <c r="N42" s="3" t="str">
        <f>IF(IFERROR(VLOOKUP($A42,'Base Pay Report'!$A:$V,'Prop Budget Calc'!N$2,FALSE),"NO")="No","Update",(VLOOKUP($A42,'Base Pay Report'!$A:$V,'Prop Budget Calc'!N$2,FALSE)))</f>
        <v>SALARY - 4-10</v>
      </c>
      <c r="O42" s="6">
        <f t="shared" si="136"/>
        <v>63890</v>
      </c>
      <c r="P42" s="99">
        <f>IF(SUMIF('Base Pay Report'!A:A,$A42,'Base Pay Report'!J:J)=0,$P$1+40,SUMIF('Base Pay Report'!A:A,$A42,'Base Pay Report'!J:J))</f>
        <v>42268</v>
      </c>
      <c r="Q42" s="87" t="str">
        <f>IF($B42='Current Step Plans'!$B$36,HLOOKUP('Prop Budget Calc'!$L42,'Current Step Plans'!$C$36:$Q$42,7,FALSE),IF($B42='Current Step Plans'!$B$37,HLOOKUP('Prop Budget Calc'!$L42,'Current Step Plans'!$C$37:$Q$42,6,FALSE),IF($B42='Current Step Plans'!$B$38,HLOOKUP('Prop Budget Calc'!$L42,'Current Step Plans'!$C$38:$Q$42,5,FALSE),IF($B42='Current Step Plans'!$B$39,HLOOKUP('Prop Budget Calc'!$L42,'Current Step Plans'!$C$39:$Q$42,4,FALSE),IF($B42='Current Step Plans'!$B$40,HLOOKUP('Prop Budget Calc'!$L42,'Current Step Plans'!$C$40:$Q$42,3,FALSE),IF($B42='Current Step Plans'!$B$41,HLOOKUP('Prop Budget Calc'!$L42,'Current Step Plans'!$C$41:$Q$42,2,FALSE),IF($B42='Current Step Plans'!$B$50,HLOOKUP('Prop Budget Calc'!$L42,'Current Step Plans'!$C$50:$Q$56,7,FALSE),IF($B42='Current Step Plans'!$B$51,HLOOKUP('Prop Budget Calc'!$L42,'Current Step Plans'!$C$51:$Q$56,6,FALSE),IF($B42='Current Step Plans'!$B$52,HLOOKUP('Prop Budget Calc'!$L42,'Current Step Plans'!$C$52:$Q$56,5,FALSE), IF($B42='Current Step Plans'!$B$53,HLOOKUP('Prop Budget Calc'!$L42,'Current Step Plans'!$C$53:$Q$56,4,FALSE),IF($B42='Current Step Plans'!$B$54,HLOOKUP('Prop Budget Calc'!$L42,'Current Step Plans'!$C$54:$Q$56,3,FALSE),IF($B42='Current Step Plans'!$B$55,HLOOKUP('Prop Budget Calc'!$L42,'Current Step Plans'!$C$55:$Q$56,2,FALSE),IF($B42='Current Step Plans'!$B$65,HLOOKUP('Prop Budget Calc'!$L42,'Current Step Plans'!$C$65:$Q$75,11,FALSE),IF($B42='Current Step Plans'!$B$66,HLOOKUP('Prop Budget Calc'!$L42,'Current Step Plans'!$C$66:$Q$75,10,FALSE),IF($B42='Current Step Plans'!$B$67,HLOOKUP('Prop Budget Calc'!$L42,'Current Step Plans'!$C$67:$Q$75,9,FALSE),IF($B42='Current Step Plans'!$B$68,HLOOKUP('Prop Budget Calc'!$L42,'Current Step Plans'!$C$68:$Q$75,8,FALSE),IF($B42='Current Step Plans'!$B$69,HLOOKUP('Prop Budget Calc'!$L42,'Current Step Plans'!$C$69:$Q$75,7,FALSE),IF($B42='Current Step Plans'!$B$70,HLOOKUP('Prop Budget Calc'!$L42,'Current Step Plans'!$C$70:$Q$75,6,FALSE),IF($B42='Current Step Plans'!$B$71,HLOOKUP('Prop Budget Calc'!$L42,'Current Step Plans'!$C$71:$Q$75,5,FALSE),IF($B42='Current Step Plans'!$B$72,HLOOKUP('Prop Budget Calc'!$L42,'Current Step Plans'!$C$72:$Q$75,4,FALSE),IF($B42='Current Step Plans'!$B$73,HLOOKUP('Prop Budget Calc'!$L42,'Current Step Plans'!$C$73:$Q$75,3,FALSE),IF($B42='Current Step Plans'!$B$74,HLOOKUP('Prop Budget Calc'!$L42,'Current Step Plans'!$C$74:$Q$75,2,FALSE),"N"))))))))))))))))))))))</f>
        <v>N</v>
      </c>
      <c r="R42" s="9" t="str">
        <f t="shared" si="110"/>
        <v>Y</v>
      </c>
      <c r="S42" s="6">
        <f>IF(Q42="n",0,ROUNDUP(VLOOKUP(B42,'Proposed Step Plans'!B:T,'Prop Budget Calc'!Q42+2,FALSE)*M42,-2)-O42-T42)</f>
        <v>0</v>
      </c>
      <c r="T42" s="6">
        <f>IF(Q42="n",0,ROUNDUP(VLOOKUP(B42,'Current Step Plans'!B:T,'Prop Budget Calc'!Q42+2,FALSE)*M42,0)-O42)</f>
        <v>0</v>
      </c>
      <c r="U42" s="6">
        <f>IF(IFERROR(VLOOKUP($A42,'Market Study'!$A$5:$G$82,7,FALSE),"NA")="NA",0,VLOOKUP($A42,'Market Study'!$A$5:$G$82,7,FALSE))</f>
        <v>0</v>
      </c>
      <c r="V42" s="6">
        <f>IF(OR($T42&lt;&gt;0,$I42="50112",$I42="50109",$S42&lt;&gt;0),0,VLOOKUP($K42,Scenarios!$A$17:$F$73,6,FALSE)*$O42)</f>
        <v>1277.8</v>
      </c>
      <c r="W42" s="6">
        <f t="shared" si="111"/>
        <v>1277.8</v>
      </c>
      <c r="X42" s="6">
        <f>IF(OR($T42&lt;&gt;0,$I42="50112",$I42="50109",$S42&lt;&gt;0),0,VLOOKUP($K42,Scenarios!$A$17:$F$73,2,FALSE)*$O42)</f>
        <v>1277.8</v>
      </c>
      <c r="Y42" s="6">
        <f>IF(OR($T42&lt;&gt;0,$I42="50110",$I42="50109",$S42&lt;&gt;0),0,VLOOKUP($K42,Scenarios!$A$17:$F$73,3,FALSE))</f>
        <v>1175</v>
      </c>
      <c r="Z42" s="6">
        <f>IF(OR($T42&lt;&gt;0,$I42="50112",$I42="50109",$S42&lt;&gt;0),0,VLOOKUP($K42,Scenarios!$A$17:$F$73,4,FALSE))</f>
        <v>0</v>
      </c>
      <c r="AA42" s="6">
        <f t="shared" si="112"/>
        <v>1277.8</v>
      </c>
      <c r="AB42" s="6">
        <f>IF(OR($T42&lt;&gt;0,$I42="50112",$I42="50109",$S42&lt;&gt;0),0,VLOOKUP($K42,Scenarios!$A$17:$F$73,5,FALSE))</f>
        <v>0</v>
      </c>
      <c r="AC42" s="6">
        <f t="shared" si="137"/>
        <v>2555.6</v>
      </c>
      <c r="AD42" s="6">
        <f t="shared" si="113"/>
        <v>66446</v>
      </c>
      <c r="AE42" s="84">
        <f t="shared" si="114"/>
        <v>4.0006260760682366E-2</v>
      </c>
      <c r="AF42" s="6">
        <f t="shared" si="115"/>
        <v>112.96666666666667</v>
      </c>
      <c r="AG42" s="6">
        <f>IF(AND(OR(I42="50101",I42="50102"),$AF42&gt;12),IF($AF42&gt;=300,(300*Scenarios!$B$14)*$E42,($AF42*Scenarios!$B$14)*$E42),0)</f>
        <v>564.83333333333337</v>
      </c>
      <c r="AH42" s="6">
        <f>IF($R42="y",IF($T42&gt;0,Scenarios!$B$10*'Prop Budget Calc'!$E42,Scenarios!$B$13*'Prop Budget Calc'!$E42))</f>
        <v>0</v>
      </c>
      <c r="AI42" s="6">
        <f>SUMIFS('Deduction Valuation'!$G:$G,'Deduction Valuation'!$F:$F,"CT - Certifications",'Deduction Valuation'!$B:$B,'Prop Budget Calc'!$A42)*$AI$3</f>
        <v>0</v>
      </c>
      <c r="AJ42" s="6">
        <f>SUMIFS('Deduction Valuation'!$G:$G,'Deduction Valuation'!$F:$F,"RP - Regional Pay",'Deduction Valuation'!$B:$B,'Prop Budget Calc'!$A42)*$AI$3</f>
        <v>0</v>
      </c>
      <c r="AK42" s="6">
        <f t="shared" si="116"/>
        <v>0</v>
      </c>
      <c r="AL42" s="6">
        <f>SUMIFS('Deduction Valuation'!$G:$G,'Deduction Valuation'!$F:$F,"CR - Car Allowance",'Deduction Valuation'!$B:$B,'Prop Budget Calc'!$A42)*$AI$3</f>
        <v>0</v>
      </c>
      <c r="AM42" s="6">
        <f>SUMIFS('Deduction Valuation'!$G:$G,'Deduction Valuation'!$F:$F,"DA - Device Allow",'Deduction Valuation'!$B:$B,'Prop Budget Calc'!$A42)*$AI$3</f>
        <v>960</v>
      </c>
      <c r="AN42" s="6">
        <f>SUMIFS('Deduction Valuation'!$G:$G,'Deduction Valuation'!$F:$F,"RA - Replace Allow",'Deduction Valuation'!$B:$B,'Prop Budget Calc'!$A42)</f>
        <v>75</v>
      </c>
      <c r="AO42" s="94">
        <f t="shared" si="117"/>
        <v>1035</v>
      </c>
      <c r="AP42" s="94">
        <f t="shared" si="118"/>
        <v>68045.833333333328</v>
      </c>
      <c r="AQ42" s="10">
        <f>IF(OR($I42="50101", $I42="50102", $I42="50109", $I42="50140"),AP42*Scenarios!$H$8,0)</f>
        <v>11526.964166666665</v>
      </c>
      <c r="AR42" s="9">
        <f>VLOOKUP($D42,WKCMP!$A$1:$C$15,3,FALSE)*AP42</f>
        <v>93.739940000000018</v>
      </c>
      <c r="AS42" s="10">
        <f t="shared" si="119"/>
        <v>986.66458333333333</v>
      </c>
      <c r="AT42" s="11">
        <f t="shared" si="120"/>
        <v>4218.8416666666662</v>
      </c>
      <c r="AU42" s="10">
        <f t="shared" si="121"/>
        <v>5210</v>
      </c>
      <c r="AV42" s="6">
        <f t="shared" si="122"/>
        <v>122.48249999999999</v>
      </c>
      <c r="AW42" s="19">
        <f t="shared" si="123"/>
        <v>158.4</v>
      </c>
      <c r="AX42" s="19">
        <f t="shared" si="107"/>
        <v>15.6</v>
      </c>
      <c r="AY42" s="19">
        <f t="shared" si="108"/>
        <v>11.28</v>
      </c>
      <c r="AZ42" s="88">
        <f t="shared" si="124"/>
        <v>307.76249999999999</v>
      </c>
      <c r="BA42" s="6">
        <f>IF(AND($C42="vacant vacant",$E42=1),$BA$2*$AZ$3,SUMIFS('Employee Enrollments'!$AE:$AE,'Employee Enrollments'!$S:$S,"Medical HDHP",'Employee Enrollments'!$C:$C,'Prop Budget Calc'!$A42)*$AZ$3*(1+Scenarios!$E$9))*(1-$BA$3)</f>
        <v>9797.7907439999999</v>
      </c>
      <c r="BB42" s="6">
        <f>IF(AND($C42="vacant vacant",$E42=1),500,SUMIFS('Employee Enrollments'!$AE:$AE,'Employee Enrollments'!$S:$S,"Health Savings Account",'Employee Enrollments'!$C:$C,'Prop Budget Calc'!$A42))</f>
        <v>500.05</v>
      </c>
      <c r="BC42" s="56">
        <f t="shared" si="125"/>
        <v>10297.840743999999</v>
      </c>
      <c r="BD42" s="6">
        <f>IF(AND($C42="vacant vacant",$E42=1),$BD$2*$AZ$3,SUMIFS('Employee Enrollments'!$AE:$AE,'Employee Enrollments'!$S:$S,"Dental Plan",'Employee Enrollments'!$C:$C,'Prop Budget Calc'!$A42)*$AZ$3)</f>
        <v>434.76</v>
      </c>
      <c r="BE42" s="6">
        <f t="shared" si="126"/>
        <v>11040.363244</v>
      </c>
      <c r="BF42" s="6">
        <f t="shared" si="127"/>
        <v>27871.067350666664</v>
      </c>
      <c r="BG42" s="6">
        <f t="shared" si="128"/>
        <v>95916.900683999993</v>
      </c>
      <c r="BH42" s="14"/>
      <c r="BI42" s="56"/>
      <c r="BJ42" s="93">
        <f t="shared" si="129"/>
        <v>10449.415200000001</v>
      </c>
      <c r="BK42" s="10">
        <f>IF(SUMIFS('Employee Enrollments'!AB:AB,'Employee Enrollments'!C:C,'Prop Budget Calc'!$A42,'Employee Enrollments'!Q:Q,"Medical")*12=0,'Employee Enrollments'!$AN$1,(SUMIFS('Employee Enrollments'!AB:AB,'Employee Enrollments'!C:C,'Prop Budget Calc'!$A42,'Employee Enrollments'!Q:Q,"Medical")*12))</f>
        <v>348.6</v>
      </c>
      <c r="BL42" s="10">
        <f>SUMIFS('Employee Enrollments'!AB:AB,'Employee Enrollments'!C:C,'Prop Budget Calc'!$A42,'Employee Enrollments'!Q:Q,"Dental")*12</f>
        <v>0</v>
      </c>
    </row>
    <row r="43" spans="1:88" s="7" customFormat="1" ht="12.75" customHeight="1">
      <c r="A43" s="20" t="s">
        <v>1399</v>
      </c>
      <c r="B43" s="3" t="str">
        <f>IF(IFERROR(VLOOKUP($A43,'Base Pay Report'!$A:$V,'Prop Budget Calc'!B$2,FALSE),"NO")="No","Update",PROPER(VLOOKUP($A43,'Base Pay Report'!$A:$V,'Prop Budget Calc'!B$2,FALSE)))</f>
        <v>Program Manager - Ksac</v>
      </c>
      <c r="C43" s="3" t="str">
        <f>IF(IFERROR(VLOOKUP($A43,'Base Pay Report'!$A:$V,'Prop Budget Calc'!C$2,FALSE),"NO")="No","Update",PROPER(VLOOKUP($A43,'Base Pay Report'!$A:$V,'Prop Budget Calc'!C$2,FALSE)))</f>
        <v>First Name Last Name</v>
      </c>
      <c r="D43" s="3" t="str">
        <f>IF(IFERROR(VLOOKUP($A43,'Base Pay Report'!$A:$V,'Prop Budget Calc'!D$2,FALSE),"NO")="No","Update",PROPER(VLOOKUP($A43,'Base Pay Report'!$A:$V,'Prop Budget Calc'!D$2,FALSE)))</f>
        <v>8810</v>
      </c>
      <c r="E43" s="8">
        <f t="shared" si="130"/>
        <v>1</v>
      </c>
      <c r="F43" s="3" t="str">
        <f>IF(IFERROR(VLOOKUP($A43,'Base Pay Report'!$A:$V,'Prop Budget Calc'!F$2,FALSE),"NO")="No","Update",PROPER(VLOOKUP($A43,'Base Pay Report'!$A:$V,'Prop Budget Calc'!F$2,FALSE)))</f>
        <v>100-63-634-50101</v>
      </c>
      <c r="G43" s="3" t="str">
        <f t="shared" si="131"/>
        <v>100-63-634</v>
      </c>
      <c r="H43" s="49" t="str">
        <f t="shared" si="132"/>
        <v>100</v>
      </c>
      <c r="I43" s="3" t="str">
        <f t="shared" si="133"/>
        <v>50101</v>
      </c>
      <c r="J43" s="3" t="str">
        <f t="shared" si="134"/>
        <v>63</v>
      </c>
      <c r="K43" s="3" t="str">
        <f t="shared" si="135"/>
        <v>634</v>
      </c>
      <c r="L43" s="3">
        <f>IF(SUMIF('Base Pay Report'!$A:$A,'Prop Budget Calc'!$A43,'Base Pay Report'!$I:$I)=80,SUMIF('Base Pay Report'!$A:$A,'Prop Budget Calc'!$A43,'Base Pay Report'!$H:$H)/SUMIF('Base Pay Report'!$A:$A,'Prop Budget Calc'!$A43,'Base Pay Report'!$I:$I),SUMIF('Base Pay Report'!$A:$A,'Prop Budget Calc'!$A43,'Base Pay Report'!$H:$H))</f>
        <v>33.956000000000003</v>
      </c>
      <c r="M43" s="3">
        <f t="shared" si="109"/>
        <v>2080</v>
      </c>
      <c r="N43" s="3" t="str">
        <f>IF(IFERROR(VLOOKUP($A43,'Base Pay Report'!$A:$V,'Prop Budget Calc'!N$2,FALSE),"NO")="No","Update",(VLOOKUP($A43,'Base Pay Report'!$A:$V,'Prop Budget Calc'!N$2,FALSE)))</f>
        <v>SALARY - 5-8</v>
      </c>
      <c r="O43" s="6">
        <f t="shared" si="136"/>
        <v>70630</v>
      </c>
      <c r="P43" s="99">
        <f>IF(SUMIF('Base Pay Report'!A:A,$A43,'Base Pay Report'!J:J)=0,$P$1+40,SUMIF('Base Pay Report'!A:A,$A43,'Base Pay Report'!J:J))</f>
        <v>42418</v>
      </c>
      <c r="Q43" s="87" t="str">
        <f>IF($B43='Current Step Plans'!$B$36,HLOOKUP('Prop Budget Calc'!$L43,'Current Step Plans'!$C$36:$Q$42,7,FALSE),IF($B43='Current Step Plans'!$B$37,HLOOKUP('Prop Budget Calc'!$L43,'Current Step Plans'!$C$37:$Q$42,6,FALSE),IF($B43='Current Step Plans'!$B$38,HLOOKUP('Prop Budget Calc'!$L43,'Current Step Plans'!$C$38:$Q$42,5,FALSE),IF($B43='Current Step Plans'!$B$39,HLOOKUP('Prop Budget Calc'!$L43,'Current Step Plans'!$C$39:$Q$42,4,FALSE),IF($B43='Current Step Plans'!$B$40,HLOOKUP('Prop Budget Calc'!$L43,'Current Step Plans'!$C$40:$Q$42,3,FALSE),IF($B43='Current Step Plans'!$B$41,HLOOKUP('Prop Budget Calc'!$L43,'Current Step Plans'!$C$41:$Q$42,2,FALSE),IF($B43='Current Step Plans'!$B$50,HLOOKUP('Prop Budget Calc'!$L43,'Current Step Plans'!$C$50:$Q$56,7,FALSE),IF($B43='Current Step Plans'!$B$51,HLOOKUP('Prop Budget Calc'!$L43,'Current Step Plans'!$C$51:$Q$56,6,FALSE),IF($B43='Current Step Plans'!$B$52,HLOOKUP('Prop Budget Calc'!$L43,'Current Step Plans'!$C$52:$Q$56,5,FALSE), IF($B43='Current Step Plans'!$B$53,HLOOKUP('Prop Budget Calc'!$L43,'Current Step Plans'!$C$53:$Q$56,4,FALSE),IF($B43='Current Step Plans'!$B$54,HLOOKUP('Prop Budget Calc'!$L43,'Current Step Plans'!$C$54:$Q$56,3,FALSE),IF($B43='Current Step Plans'!$B$55,HLOOKUP('Prop Budget Calc'!$L43,'Current Step Plans'!$C$55:$Q$56,2,FALSE),IF($B43='Current Step Plans'!$B$65,HLOOKUP('Prop Budget Calc'!$L43,'Current Step Plans'!$C$65:$Q$75,11,FALSE),IF($B43='Current Step Plans'!$B$66,HLOOKUP('Prop Budget Calc'!$L43,'Current Step Plans'!$C$66:$Q$75,10,FALSE),IF($B43='Current Step Plans'!$B$67,HLOOKUP('Prop Budget Calc'!$L43,'Current Step Plans'!$C$67:$Q$75,9,FALSE),IF($B43='Current Step Plans'!$B$68,HLOOKUP('Prop Budget Calc'!$L43,'Current Step Plans'!$C$68:$Q$75,8,FALSE),IF($B43='Current Step Plans'!$B$69,HLOOKUP('Prop Budget Calc'!$L43,'Current Step Plans'!$C$69:$Q$75,7,FALSE),IF($B43='Current Step Plans'!$B$70,HLOOKUP('Prop Budget Calc'!$L43,'Current Step Plans'!$C$70:$Q$75,6,FALSE),IF($B43='Current Step Plans'!$B$71,HLOOKUP('Prop Budget Calc'!$L43,'Current Step Plans'!$C$71:$Q$75,5,FALSE),IF($B43='Current Step Plans'!$B$72,HLOOKUP('Prop Budget Calc'!$L43,'Current Step Plans'!$C$72:$Q$75,4,FALSE),IF($B43='Current Step Plans'!$B$73,HLOOKUP('Prop Budget Calc'!$L43,'Current Step Plans'!$C$73:$Q$75,3,FALSE),IF($B43='Current Step Plans'!$B$74,HLOOKUP('Prop Budget Calc'!$L43,'Current Step Plans'!$C$74:$Q$75,2,FALSE),"N"))))))))))))))))))))))</f>
        <v>N</v>
      </c>
      <c r="R43" s="9" t="str">
        <f t="shared" si="110"/>
        <v>Y</v>
      </c>
      <c r="S43" s="6">
        <f>IF(Q43="n",0,ROUNDUP(VLOOKUP(B43,'Proposed Step Plans'!B:T,'Prop Budget Calc'!Q43+2,FALSE)*M43,-2)-O43-T43)</f>
        <v>0</v>
      </c>
      <c r="T43" s="6">
        <f>IF(Q43="n",0,ROUNDUP(VLOOKUP(B43,'Current Step Plans'!B:T,'Prop Budget Calc'!Q43+2,FALSE)*M43,0)-O43)</f>
        <v>0</v>
      </c>
      <c r="U43" s="6">
        <f>IF(IFERROR(VLOOKUP($A43,'Market Study'!$A$5:$G$82,7,FALSE),"NA")="NA",0,VLOOKUP($A43,'Market Study'!$A$5:$G$82,7,FALSE))</f>
        <v>0</v>
      </c>
      <c r="V43" s="6">
        <f>IF(OR($T43&lt;&gt;0,$I43="50112",$I43="50109",$S43&lt;&gt;0),0,VLOOKUP($K43,Scenarios!$A$17:$F$73,6,FALSE)*$O43)</f>
        <v>1412.6000000000001</v>
      </c>
      <c r="W43" s="6">
        <f t="shared" si="111"/>
        <v>1412.6000000000001</v>
      </c>
      <c r="X43" s="6">
        <f>IF(OR($T43&lt;&gt;0,$I43="50112",$I43="50109",$S43&lt;&gt;0),0,VLOOKUP($K43,Scenarios!$A$17:$F$73,2,FALSE)*$O43)</f>
        <v>1412.6000000000001</v>
      </c>
      <c r="Y43" s="6">
        <f>IF(OR($T43&lt;&gt;0,$I43="50110",$I43="50109",$S43&lt;&gt;0),0,VLOOKUP($K43,Scenarios!$A$17:$F$73,3,FALSE))</f>
        <v>1175</v>
      </c>
      <c r="Z43" s="6">
        <f>IF(OR($T43&lt;&gt;0,$I43="50112",$I43="50109",$S43&lt;&gt;0),0,VLOOKUP($K43,Scenarios!$A$17:$F$73,4,FALSE))</f>
        <v>0</v>
      </c>
      <c r="AA43" s="6">
        <f t="shared" si="112"/>
        <v>1412.6000000000001</v>
      </c>
      <c r="AB43" s="6">
        <f>IF(OR($T43&lt;&gt;0,$I43="50112",$I43="50109",$S43&lt;&gt;0),0,VLOOKUP($K43,Scenarios!$A$17:$F$73,5,FALSE))</f>
        <v>0</v>
      </c>
      <c r="AC43" s="6">
        <f t="shared" si="137"/>
        <v>2825.2000000000003</v>
      </c>
      <c r="AD43" s="6">
        <f t="shared" si="113"/>
        <v>73456</v>
      </c>
      <c r="AE43" s="84">
        <f t="shared" si="114"/>
        <v>4.0011326631742783E-2</v>
      </c>
      <c r="AF43" s="6">
        <f t="shared" si="115"/>
        <v>107.96666666666667</v>
      </c>
      <c r="AG43" s="6">
        <f>IF(AND(OR(I43="50101",I43="50102"),$AF43&gt;12),IF($AF43&gt;=300,(300*Scenarios!$B$14)*$E43,($AF43*Scenarios!$B$14)*$E43),0)</f>
        <v>539.83333333333337</v>
      </c>
      <c r="AH43" s="6">
        <f>IF($R43="y",IF($T43&gt;0,Scenarios!$B$10*'Prop Budget Calc'!$E43,Scenarios!$B$13*'Prop Budget Calc'!$E43))</f>
        <v>0</v>
      </c>
      <c r="AI43" s="6">
        <f>SUMIFS('Deduction Valuation'!$G:$G,'Deduction Valuation'!$F:$F,"CT - Certifications",'Deduction Valuation'!$B:$B,'Prop Budget Calc'!$A43)*$AI$3</f>
        <v>0</v>
      </c>
      <c r="AJ43" s="6">
        <f>SUMIFS('Deduction Valuation'!$G:$G,'Deduction Valuation'!$F:$F,"RP - Regional Pay",'Deduction Valuation'!$B:$B,'Prop Budget Calc'!$A43)*$AI$3</f>
        <v>0</v>
      </c>
      <c r="AK43" s="6">
        <f t="shared" si="116"/>
        <v>0</v>
      </c>
      <c r="AL43" s="6">
        <f>SUMIFS('Deduction Valuation'!$G:$G,'Deduction Valuation'!$F:$F,"CR - Car Allowance",'Deduction Valuation'!$B:$B,'Prop Budget Calc'!$A43)*$AI$3</f>
        <v>0</v>
      </c>
      <c r="AM43" s="6">
        <f>SUMIFS('Deduction Valuation'!$G:$G,'Deduction Valuation'!$F:$F,"DA - Device Allow",'Deduction Valuation'!$B:$B,'Prop Budget Calc'!$A43)*$AI$3</f>
        <v>960</v>
      </c>
      <c r="AN43" s="6">
        <f>SUMIFS('Deduction Valuation'!$G:$G,'Deduction Valuation'!$F:$F,"RA - Replace Allow",'Deduction Valuation'!$B:$B,'Prop Budget Calc'!$A43)</f>
        <v>75</v>
      </c>
      <c r="AO43" s="94">
        <f t="shared" si="117"/>
        <v>1035</v>
      </c>
      <c r="AP43" s="94">
        <f t="shared" si="118"/>
        <v>75030.833333333328</v>
      </c>
      <c r="AQ43" s="10">
        <f>IF(OR($I43="50101", $I43="50102", $I43="50109", $I43="50140"),AP43*Scenarios!$H$8,0)</f>
        <v>12710.223166666665</v>
      </c>
      <c r="AR43" s="9">
        <f>VLOOKUP($D43,WKCMP!$A$1:$C$15,3,FALSE)*AP43</f>
        <v>103.36247600000002</v>
      </c>
      <c r="AS43" s="10">
        <f t="shared" si="119"/>
        <v>1087.9470833333332</v>
      </c>
      <c r="AT43" s="11">
        <f t="shared" si="120"/>
        <v>4651.911666666666</v>
      </c>
      <c r="AU43" s="10">
        <f t="shared" si="121"/>
        <v>5740</v>
      </c>
      <c r="AV43" s="6">
        <f t="shared" si="122"/>
        <v>135.05549999999999</v>
      </c>
      <c r="AW43" s="19">
        <f t="shared" si="123"/>
        <v>158.4</v>
      </c>
      <c r="AX43" s="19">
        <f t="shared" si="107"/>
        <v>15.6</v>
      </c>
      <c r="AY43" s="19">
        <f t="shared" si="108"/>
        <v>11.28</v>
      </c>
      <c r="AZ43" s="88">
        <f t="shared" si="124"/>
        <v>320.33550000000002</v>
      </c>
      <c r="BA43" s="6">
        <f>IF(AND($C43="vacant vacant",$E43=1),$BA$2*$AZ$3,SUMIFS('Employee Enrollments'!$AE:$AE,'Employee Enrollments'!$S:$S,"Medical HDHP",'Employee Enrollments'!$C:$C,'Prop Budget Calc'!$A43)*$AZ$3*(1+Scenarios!$E$9))*(1-$BA$3)</f>
        <v>16547.240087999999</v>
      </c>
      <c r="BB43" s="6">
        <f>IF(AND($C43="vacant vacant",$E43=1),500,SUMIFS('Employee Enrollments'!$AE:$AE,'Employee Enrollments'!$S:$S,"Health Savings Account",'Employee Enrollments'!$C:$C,'Prop Budget Calc'!$A43))</f>
        <v>1000</v>
      </c>
      <c r="BC43" s="56">
        <f t="shared" si="125"/>
        <v>17547.240087999999</v>
      </c>
      <c r="BD43" s="6">
        <f>IF(AND($C43="vacant vacant",$E43=1),$BD$2*$AZ$3,SUMIFS('Employee Enrollments'!$AE:$AE,'Employee Enrollments'!$S:$S,"Dental Plan",'Employee Enrollments'!$C:$C,'Prop Budget Calc'!$A43)*$AZ$3)</f>
        <v>434.76</v>
      </c>
      <c r="BE43" s="6">
        <f t="shared" si="126"/>
        <v>18302.335587999998</v>
      </c>
      <c r="BF43" s="6">
        <f t="shared" si="127"/>
        <v>36855.92123066666</v>
      </c>
      <c r="BG43" s="6">
        <f t="shared" si="128"/>
        <v>111886.75456399999</v>
      </c>
      <c r="BH43" s="14"/>
      <c r="BI43" s="56"/>
      <c r="BJ43" s="93">
        <f t="shared" si="129"/>
        <v>19781.570400000001</v>
      </c>
      <c r="BK43" s="10">
        <f>IF(SUMIFS('Employee Enrollments'!AB:AB,'Employee Enrollments'!C:C,'Prop Budget Calc'!$A43,'Employee Enrollments'!Q:Q,"Medical")*12=0,'Employee Enrollments'!$AN$1,(SUMIFS('Employee Enrollments'!AB:AB,'Employee Enrollments'!C:C,'Prop Budget Calc'!$A43,'Employee Enrollments'!Q:Q,"Medical")*12))</f>
        <v>2722.56</v>
      </c>
      <c r="BL43" s="10">
        <f>SUMIFS('Employee Enrollments'!AB:AB,'Employee Enrollments'!C:C,'Prop Budget Calc'!$A43,'Employee Enrollments'!Q:Q,"Dental")*12</f>
        <v>0</v>
      </c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</row>
    <row r="44" spans="1:88" ht="12.75" customHeight="1">
      <c r="A44" s="20" t="s">
        <v>1295</v>
      </c>
      <c r="B44" s="3" t="str">
        <f>IF(IFERROR(VLOOKUP($A44,'Base Pay Report'!$A:$V,'Prop Budget Calc'!B$2,FALSE),"NO")="No","Update",PROPER(VLOOKUP($A44,'Base Pay Report'!$A:$V,'Prop Budget Calc'!B$2,FALSE)))</f>
        <v>Application Administrator</v>
      </c>
      <c r="C44" s="3" t="str">
        <f>IF(IFERROR(VLOOKUP($A44,'Base Pay Report'!$A:$V,'Prop Budget Calc'!C$2,FALSE),"NO")="No","Update",PROPER(VLOOKUP($A44,'Base Pay Report'!$A:$V,'Prop Budget Calc'!C$2,FALSE)))</f>
        <v>First Name Last Name</v>
      </c>
      <c r="D44" s="3" t="str">
        <f>IF(IFERROR(VLOOKUP($A44,'Base Pay Report'!$A:$V,'Prop Budget Calc'!D$2,FALSE),"NO")="No","Update",PROPER(VLOOKUP($A44,'Base Pay Report'!$A:$V,'Prop Budget Calc'!D$2,FALSE)))</f>
        <v>8810</v>
      </c>
      <c r="E44" s="8">
        <f t="shared" si="130"/>
        <v>1</v>
      </c>
      <c r="F44" s="3" t="str">
        <f>IF(IFERROR(VLOOKUP($A44,'Base Pay Report'!$A:$V,'Prop Budget Calc'!F$2,FALSE),"NO")="No","Update",PROPER(VLOOKUP($A44,'Base Pay Report'!$A:$V,'Prop Budget Calc'!F$2,FALSE)))</f>
        <v>119-18-181-50101</v>
      </c>
      <c r="G44" s="3" t="str">
        <f t="shared" si="131"/>
        <v>119-18-181</v>
      </c>
      <c r="H44" s="49" t="str">
        <f t="shared" si="132"/>
        <v>119</v>
      </c>
      <c r="I44" s="3" t="str">
        <f t="shared" si="133"/>
        <v>50101</v>
      </c>
      <c r="J44" s="3" t="str">
        <f t="shared" si="134"/>
        <v>18</v>
      </c>
      <c r="K44" s="3" t="str">
        <f t="shared" si="135"/>
        <v>181</v>
      </c>
      <c r="L44" s="3">
        <f>IF(SUMIF('Base Pay Report'!$A:$A,'Prop Budget Calc'!$A44,'Base Pay Report'!$I:$I)=80,SUMIF('Base Pay Report'!$A:$A,'Prop Budget Calc'!$A44,'Base Pay Report'!$H:$H)/SUMIF('Base Pay Report'!$A:$A,'Prop Budget Calc'!$A44,'Base Pay Report'!$I:$I),SUMIF('Base Pay Report'!$A:$A,'Prop Budget Calc'!$A44,'Base Pay Report'!$H:$H))</f>
        <v>42.672874999999998</v>
      </c>
      <c r="M44" s="3">
        <f t="shared" ref="M44:M70" si="138">IF(G44="100-35-352",2912,IF(N44=$N$3,36*52,E44*2080))</f>
        <v>2080</v>
      </c>
      <c r="N44" s="3" t="str">
        <f>IF(IFERROR(VLOOKUP($A44,'Base Pay Report'!$A:$V,'Prop Budget Calc'!N$2,FALSE),"NO")="No","Update",(VLOOKUP($A44,'Base Pay Report'!$A:$V,'Prop Budget Calc'!N$2,FALSE)))</f>
        <v>SALARY - 4-10</v>
      </c>
      <c r="O44" s="6">
        <f t="shared" si="136"/>
        <v>88760</v>
      </c>
      <c r="P44" s="99">
        <f>IF(SUMIF('Base Pay Report'!A:A,$A44,'Base Pay Report'!J:J)=0,$P$1+40,SUMIF('Base Pay Report'!A:A,$A44,'Base Pay Report'!J:J))</f>
        <v>38194</v>
      </c>
      <c r="Q44" s="87" t="str">
        <f>IF($B44='Current Step Plans'!$B$36,HLOOKUP('Prop Budget Calc'!$L44,'Current Step Plans'!$C$36:$Q$42,7,FALSE),IF($B44='Current Step Plans'!$B$37,HLOOKUP('Prop Budget Calc'!$L44,'Current Step Plans'!$C$37:$Q$42,6,FALSE),IF($B44='Current Step Plans'!$B$38,HLOOKUP('Prop Budget Calc'!$L44,'Current Step Plans'!$C$38:$Q$42,5,FALSE),IF($B44='Current Step Plans'!$B$39,HLOOKUP('Prop Budget Calc'!$L44,'Current Step Plans'!$C$39:$Q$42,4,FALSE),IF($B44='Current Step Plans'!$B$40,HLOOKUP('Prop Budget Calc'!$L44,'Current Step Plans'!$C$40:$Q$42,3,FALSE),IF($B44='Current Step Plans'!$B$41,HLOOKUP('Prop Budget Calc'!$L44,'Current Step Plans'!$C$41:$Q$42,2,FALSE),IF($B44='Current Step Plans'!$B$50,HLOOKUP('Prop Budget Calc'!$L44,'Current Step Plans'!$C$50:$Q$56,7,FALSE),IF($B44='Current Step Plans'!$B$51,HLOOKUP('Prop Budget Calc'!$L44,'Current Step Plans'!$C$51:$Q$56,6,FALSE),IF($B44='Current Step Plans'!$B$52,HLOOKUP('Prop Budget Calc'!$L44,'Current Step Plans'!$C$52:$Q$56,5,FALSE), IF($B44='Current Step Plans'!$B$53,HLOOKUP('Prop Budget Calc'!$L44,'Current Step Plans'!$C$53:$Q$56,4,FALSE),IF($B44='Current Step Plans'!$B$54,HLOOKUP('Prop Budget Calc'!$L44,'Current Step Plans'!$C$54:$Q$56,3,FALSE),IF($B44='Current Step Plans'!$B$55,HLOOKUP('Prop Budget Calc'!$L44,'Current Step Plans'!$C$55:$Q$56,2,FALSE),IF($B44='Current Step Plans'!$B$65,HLOOKUP('Prop Budget Calc'!$L44,'Current Step Plans'!$C$65:$Q$75,11,FALSE),IF($B44='Current Step Plans'!$B$66,HLOOKUP('Prop Budget Calc'!$L44,'Current Step Plans'!$C$66:$Q$75,10,FALSE),IF($B44='Current Step Plans'!$B$67,HLOOKUP('Prop Budget Calc'!$L44,'Current Step Plans'!$C$67:$Q$75,9,FALSE),IF($B44='Current Step Plans'!$B$68,HLOOKUP('Prop Budget Calc'!$L44,'Current Step Plans'!$C$68:$Q$75,8,FALSE),IF($B44='Current Step Plans'!$B$69,HLOOKUP('Prop Budget Calc'!$L44,'Current Step Plans'!$C$69:$Q$75,7,FALSE),IF($B44='Current Step Plans'!$B$70,HLOOKUP('Prop Budget Calc'!$L44,'Current Step Plans'!$C$70:$Q$75,6,FALSE),IF($B44='Current Step Plans'!$B$71,HLOOKUP('Prop Budget Calc'!$L44,'Current Step Plans'!$C$71:$Q$75,5,FALSE),IF($B44='Current Step Plans'!$B$72,HLOOKUP('Prop Budget Calc'!$L44,'Current Step Plans'!$C$72:$Q$75,4,FALSE),IF($B44='Current Step Plans'!$B$73,HLOOKUP('Prop Budget Calc'!$L44,'Current Step Plans'!$C$73:$Q$75,3,FALSE),IF($B44='Current Step Plans'!$B$74,HLOOKUP('Prop Budget Calc'!$L44,'Current Step Plans'!$C$74:$Q$75,2,FALSE),"N"))))))))))))))))))))))</f>
        <v>N</v>
      </c>
      <c r="R44" s="9" t="str">
        <f t="shared" ref="R44:R69" si="139">IF(P44&lt;=$R$5,"Y","N")</f>
        <v>Y</v>
      </c>
      <c r="S44" s="6">
        <f>IF(Q44="n",0,ROUNDUP(VLOOKUP(B44,'Proposed Step Plans'!B:T,'Prop Budget Calc'!Q44+2,FALSE)*M44,-2)-O44-T44)</f>
        <v>0</v>
      </c>
      <c r="T44" s="6">
        <f>IF(Q44="n",0,ROUNDUP(VLOOKUP(B44,'Current Step Plans'!B:T,'Prop Budget Calc'!Q44+2,FALSE)*M44,0)-O44)</f>
        <v>0</v>
      </c>
      <c r="U44" s="6">
        <f>IF(IFERROR(VLOOKUP($A44,'Market Study'!$A$5:$G$82,7,FALSE),"NA")="NA",0,VLOOKUP($A44,'Market Study'!$A$5:$G$82,7,FALSE))</f>
        <v>3106.5999999999913</v>
      </c>
      <c r="V44" s="6">
        <f>IF(OR($T44&lt;&gt;0,$I44="50112",$I44="50109",$S44&lt;&gt;0),0,VLOOKUP($K44,Scenarios!$A$17:$F$73,6,FALSE)*$O44)</f>
        <v>1775.2</v>
      </c>
      <c r="W44" s="6">
        <f t="shared" ref="W44:W70" si="140">IF(U44&gt;V44,U44,V44)</f>
        <v>3106.5999999999913</v>
      </c>
      <c r="X44" s="6">
        <f>IF(OR($T44&lt;&gt;0,$I44="50112",$I44="50109",$S44&lt;&gt;0),0,VLOOKUP($K44,Scenarios!$A$17:$F$73,2,FALSE)*$O44)</f>
        <v>1775.2</v>
      </c>
      <c r="Y44" s="6">
        <f>IF(OR($T44&lt;&gt;0,$I44="50110",$I44="50109",$S44&lt;&gt;0),0,VLOOKUP($K44,Scenarios!$A$17:$F$73,3,FALSE))</f>
        <v>1175</v>
      </c>
      <c r="Z44" s="6">
        <f>IF(OR($T44&lt;&gt;0,$I44="50112",$I44="50109",$S44&lt;&gt;0),0,VLOOKUP($K44,Scenarios!$A$17:$F$73,4,FALSE))</f>
        <v>0</v>
      </c>
      <c r="AA44" s="6">
        <f t="shared" ref="AA44:AA70" si="141">IF(X44&lt;Y44,Y44,IF(AND(X44&gt;Z44,Z44&gt;1),Z44,X44))</f>
        <v>1775.2</v>
      </c>
      <c r="AB44" s="6">
        <f>IF(OR($T44&lt;&gt;0,$I44="50112",$I44="50109",$S44&lt;&gt;0),0,VLOOKUP($K44,Scenarios!$A$17:$F$73,5,FALSE))</f>
        <v>0</v>
      </c>
      <c r="AC44" s="6">
        <f t="shared" si="137"/>
        <v>4881.7999999999911</v>
      </c>
      <c r="AD44" s="6">
        <f t="shared" ref="AD44:AD69" si="142">ROUNDUP(AA44+S44+AB44+T44+W44+O44,0)</f>
        <v>93642</v>
      </c>
      <c r="AE44" s="84">
        <f t="shared" ref="AE44:AE69" si="143">AD44/O44-1</f>
        <v>5.50022532672374E-2</v>
      </c>
      <c r="AF44" s="6">
        <f t="shared" ref="AF44:AF69" si="144">_xlfn.DAYS($AF$1,P44)/30</f>
        <v>248.76666666666668</v>
      </c>
      <c r="AG44" s="6">
        <f>IF(AND(OR(I44="50101",I44="50102"),$AF44&gt;12),IF($AF44&gt;=300,(300*Scenarios!$B$14)*$E44,($AF44*Scenarios!$B$14)*$E44),0)</f>
        <v>1243.8333333333335</v>
      </c>
      <c r="AH44" s="6">
        <f>IF($R44="y",IF($T44&gt;0,Scenarios!$B$10*'Prop Budget Calc'!$E44,Scenarios!$B$13*'Prop Budget Calc'!$E44))</f>
        <v>0</v>
      </c>
      <c r="AI44" s="6">
        <f>SUMIFS('Deduction Valuation'!$G:$G,'Deduction Valuation'!$F:$F,"CT - Certifications",'Deduction Valuation'!$B:$B,'Prop Budget Calc'!$A44)*$AI$3</f>
        <v>0</v>
      </c>
      <c r="AJ44" s="6">
        <f>SUMIFS('Deduction Valuation'!$G:$G,'Deduction Valuation'!$F:$F,"RP - Regional Pay",'Deduction Valuation'!$B:$B,'Prop Budget Calc'!$A44)*$AI$3</f>
        <v>1500</v>
      </c>
      <c r="AK44" s="6">
        <f t="shared" ref="AK44:AK68" si="145">AI44+AJ44</f>
        <v>1500</v>
      </c>
      <c r="AL44" s="6">
        <f>SUMIFS('Deduction Valuation'!$G:$G,'Deduction Valuation'!$F:$F,"CR - Car Allowance",'Deduction Valuation'!$B:$B,'Prop Budget Calc'!$A44)*$AI$3</f>
        <v>0</v>
      </c>
      <c r="AM44" s="6">
        <f>SUMIFS('Deduction Valuation'!$G:$G,'Deduction Valuation'!$F:$F,"DA - Device Allow",'Deduction Valuation'!$B:$B,'Prop Budget Calc'!$A44)*$AI$3</f>
        <v>960</v>
      </c>
      <c r="AN44" s="6">
        <f>SUMIFS('Deduction Valuation'!$G:$G,'Deduction Valuation'!$F:$F,"RA - Replace Allow",'Deduction Valuation'!$B:$B,'Prop Budget Calc'!$A44)</f>
        <v>75</v>
      </c>
      <c r="AO44" s="94">
        <f t="shared" ref="AO44:AO68" si="146">AM44+AN44</f>
        <v>1035</v>
      </c>
      <c r="AP44" s="94">
        <f t="shared" ref="AP44:AP68" si="147">AD44+AG44+AK44+AL44+AO44+AH44</f>
        <v>97420.833333333328</v>
      </c>
      <c r="AQ44" s="10">
        <f>IF(OR($I44="50101", $I44="50102", $I44="50109", $I44="50140"),AP44*Scenarios!$H$8,0)</f>
        <v>16503.089166666665</v>
      </c>
      <c r="AR44" s="9">
        <f>VLOOKUP($D44,WKCMP!$A$1:$C$15,3,FALSE)*AP44</f>
        <v>134.20694000000003</v>
      </c>
      <c r="AS44" s="10">
        <f t="shared" ref="AS44:AS68" si="148">AP44*$AS$2</f>
        <v>1412.6020833333334</v>
      </c>
      <c r="AT44" s="11">
        <f t="shared" ref="AT44:AT68" si="149">IF($AP44&lt;$AT$4,$AT$2*AP44,$AT$4*$AT$2*$E44)</f>
        <v>6040.0916666666662</v>
      </c>
      <c r="AU44" s="10">
        <f t="shared" ref="AU44:AU68" si="150">ROUNDUP((AS44+AT44), -1)</f>
        <v>7460</v>
      </c>
      <c r="AV44" s="6">
        <f t="shared" ref="AV44:AV68" si="151">AP44*$AV$2</f>
        <v>175.35749999999999</v>
      </c>
      <c r="AW44" s="19">
        <f t="shared" ref="AW44:AW68" si="152">IF(AND($I44&lt;&gt;"50101", $I44&lt;&gt;"50102"),0,IF($I44="50101",IF(($AP44/52*$AW$3)&gt;$AV$1,$AV$1,$AP44/52*$AW$3),IF(($AD44/52*$AW$3)&gt;$AW$1,$AW$1,$AD44/52*$AW$3)))*E44</f>
        <v>158.4</v>
      </c>
      <c r="AX44" s="19">
        <f t="shared" ref="AX44:AX68" si="153">IF($E44=1,$AX$1,0)</f>
        <v>15.6</v>
      </c>
      <c r="AY44" s="19">
        <f t="shared" ref="AY44:AY68" si="154">IF($E44=1,$AY$1,0)</f>
        <v>11.28</v>
      </c>
      <c r="AZ44" s="88">
        <f t="shared" ref="AZ44:AZ68" si="155">AV44+AW44+AX44+AY44</f>
        <v>360.63749999999999</v>
      </c>
      <c r="BA44" s="6">
        <f>IF(AND($C44="vacant vacant",$E44=1),$BA$2*$AZ$3,SUMIFS('Employee Enrollments'!$AE:$AE,'Employee Enrollments'!$S:$S,"Medical HDHP",'Employee Enrollments'!$C:$C,'Prop Budget Calc'!$A44)*$AZ$3*(1+Scenarios!$E$9))*(1-$BA$3)</f>
        <v>19663.018992000001</v>
      </c>
      <c r="BB44" s="6">
        <f>IF(AND($C44="vacant vacant",$E44=1),500,SUMIFS('Employee Enrollments'!$AE:$AE,'Employee Enrollments'!$S:$S,"Health Savings Account",'Employee Enrollments'!$C:$C,'Prop Budget Calc'!$A44))</f>
        <v>1000</v>
      </c>
      <c r="BC44" s="56">
        <f t="shared" ref="BC44:BC68" si="156">BA44+BB44</f>
        <v>20663.018992000001</v>
      </c>
      <c r="BD44" s="6">
        <f>IF(AND($C44="vacant vacant",$E44=1),$BD$2*$AZ$3,SUMIFS('Employee Enrollments'!$AE:$AE,'Employee Enrollments'!$S:$S,"Dental Plan",'Employee Enrollments'!$C:$C,'Prop Budget Calc'!$A44)*$AZ$3)</f>
        <v>843.48</v>
      </c>
      <c r="BE44" s="6">
        <f t="shared" ref="BE44:BE68" si="157">BD44+BC44+AZ44</f>
        <v>21867.136492000001</v>
      </c>
      <c r="BF44" s="6">
        <f t="shared" ref="BF44:BF68" si="158">AU44+BE44+AR44+AQ44</f>
        <v>45964.432598666666</v>
      </c>
      <c r="BG44" s="6">
        <f t="shared" ref="BG44:BG68" si="159">AP44+BF44</f>
        <v>143385.26593200001</v>
      </c>
      <c r="BH44" s="14"/>
      <c r="BI44" s="56"/>
      <c r="BJ44" s="93">
        <f t="shared" ref="BJ44:BJ68" si="160">BA44/(1-$BA$3)+BK44</f>
        <v>25974.993600000002</v>
      </c>
      <c r="BK44" s="10">
        <f>IF(SUMIFS('Employee Enrollments'!AB:AB,'Employee Enrollments'!C:C,'Prop Budget Calc'!$A44,'Employee Enrollments'!Q:Q,"Medical")*12=0,'Employee Enrollments'!$AN$1,(SUMIFS('Employee Enrollments'!AB:AB,'Employee Enrollments'!C:C,'Prop Budget Calc'!$A44,'Employee Enrollments'!Q:Q,"Medical")*12))</f>
        <v>5703.84</v>
      </c>
      <c r="BL44" s="10">
        <f>SUMIFS('Employee Enrollments'!AB:AB,'Employee Enrollments'!C:C,'Prop Budget Calc'!$A44,'Employee Enrollments'!Q:Q,"Dental")*12</f>
        <v>364.92</v>
      </c>
    </row>
    <row r="45" spans="1:88" s="22" customFormat="1" ht="12.75" customHeight="1">
      <c r="A45" s="20" t="s">
        <v>1629</v>
      </c>
      <c r="B45" s="3" t="str">
        <f>IF(IFERROR(VLOOKUP($A45,'Base Pay Report'!$A:$V,'Prop Budget Calc'!B$2,FALSE),"NO")="No","Update",PROPER(VLOOKUP($A45,'Base Pay Report'!$A:$V,'Prop Budget Calc'!B$2,FALSE)))</f>
        <v>It Systems Analyst</v>
      </c>
      <c r="C45" s="3" t="str">
        <f>IF(IFERROR(VLOOKUP($A45,'Base Pay Report'!$A:$V,'Prop Budget Calc'!C$2,FALSE),"NO")="No","Update",PROPER(VLOOKUP($A45,'Base Pay Report'!$A:$V,'Prop Budget Calc'!C$2,FALSE)))</f>
        <v>First Name Last Name</v>
      </c>
      <c r="D45" s="3" t="str">
        <f>IF(IFERROR(VLOOKUP($A45,'Base Pay Report'!$A:$V,'Prop Budget Calc'!D$2,FALSE),"NO")="No","Update",PROPER(VLOOKUP($A45,'Base Pay Report'!$A:$V,'Prop Budget Calc'!D$2,FALSE)))</f>
        <v>8810</v>
      </c>
      <c r="E45" s="8">
        <f t="shared" si="130"/>
        <v>1</v>
      </c>
      <c r="F45" s="3" t="str">
        <f>IF(IFERROR(VLOOKUP($A45,'Base Pay Report'!$A:$V,'Prop Budget Calc'!F$2,FALSE),"NO")="No","Update",PROPER(VLOOKUP($A45,'Base Pay Report'!$A:$V,'Prop Budget Calc'!F$2,FALSE)))</f>
        <v>119-18-181-50102</v>
      </c>
      <c r="G45" s="3" t="str">
        <f t="shared" si="131"/>
        <v>119-18-181</v>
      </c>
      <c r="H45" s="49" t="str">
        <f t="shared" si="132"/>
        <v>119</v>
      </c>
      <c r="I45" s="3" t="str">
        <f t="shared" si="133"/>
        <v>50102</v>
      </c>
      <c r="J45" s="3" t="str">
        <f t="shared" si="134"/>
        <v>18</v>
      </c>
      <c r="K45" s="3" t="str">
        <f t="shared" si="135"/>
        <v>181</v>
      </c>
      <c r="L45" s="3">
        <f>IF(SUMIF('Base Pay Report'!$A:$A,'Prop Budget Calc'!$A45,'Base Pay Report'!$I:$I)=80,SUMIF('Base Pay Report'!$A:$A,'Prop Budget Calc'!$A45,'Base Pay Report'!$H:$H)/SUMIF('Base Pay Report'!$A:$A,'Prop Budget Calc'!$A45,'Base Pay Report'!$I:$I),SUMIF('Base Pay Report'!$A:$A,'Prop Budget Calc'!$A45,'Base Pay Report'!$H:$H))</f>
        <v>26.58</v>
      </c>
      <c r="M45" s="3">
        <f t="shared" si="138"/>
        <v>2080</v>
      </c>
      <c r="N45" s="3" t="str">
        <f>IF(IFERROR(VLOOKUP($A45,'Base Pay Report'!$A:$V,'Prop Budget Calc'!N$2,FALSE),"NO")="No","Update",(VLOOKUP($A45,'Base Pay Report'!$A:$V,'Prop Budget Calc'!N$2,FALSE)))</f>
        <v>FT HOURLY - 4-10</v>
      </c>
      <c r="O45" s="6">
        <f t="shared" si="136"/>
        <v>55290</v>
      </c>
      <c r="P45" s="99">
        <f>IF(SUMIF('Base Pay Report'!A:A,$A45,'Base Pay Report'!J:J)=0,$P$1+40,SUMIF('Base Pay Report'!A:A,$A45,'Base Pay Report'!J:J))</f>
        <v>44494</v>
      </c>
      <c r="Q45" s="87" t="str">
        <f>IF($B45='Current Step Plans'!$B$36,HLOOKUP('Prop Budget Calc'!$L45,'Current Step Plans'!$C$36:$Q$42,7,FALSE),IF($B45='Current Step Plans'!$B$37,HLOOKUP('Prop Budget Calc'!$L45,'Current Step Plans'!$C$37:$Q$42,6,FALSE),IF($B45='Current Step Plans'!$B$38,HLOOKUP('Prop Budget Calc'!$L45,'Current Step Plans'!$C$38:$Q$42,5,FALSE),IF($B45='Current Step Plans'!$B$39,HLOOKUP('Prop Budget Calc'!$L45,'Current Step Plans'!$C$39:$Q$42,4,FALSE),IF($B45='Current Step Plans'!$B$40,HLOOKUP('Prop Budget Calc'!$L45,'Current Step Plans'!$C$40:$Q$42,3,FALSE),IF($B45='Current Step Plans'!$B$41,HLOOKUP('Prop Budget Calc'!$L45,'Current Step Plans'!$C$41:$Q$42,2,FALSE),IF($B45='Current Step Plans'!$B$50,HLOOKUP('Prop Budget Calc'!$L45,'Current Step Plans'!$C$50:$Q$56,7,FALSE),IF($B45='Current Step Plans'!$B$51,HLOOKUP('Prop Budget Calc'!$L45,'Current Step Plans'!$C$51:$Q$56,6,FALSE),IF($B45='Current Step Plans'!$B$52,HLOOKUP('Prop Budget Calc'!$L45,'Current Step Plans'!$C$52:$Q$56,5,FALSE), IF($B45='Current Step Plans'!$B$53,HLOOKUP('Prop Budget Calc'!$L45,'Current Step Plans'!$C$53:$Q$56,4,FALSE),IF($B45='Current Step Plans'!$B$54,HLOOKUP('Prop Budget Calc'!$L45,'Current Step Plans'!$C$54:$Q$56,3,FALSE),IF($B45='Current Step Plans'!$B$55,HLOOKUP('Prop Budget Calc'!$L45,'Current Step Plans'!$C$55:$Q$56,2,FALSE),IF($B45='Current Step Plans'!$B$65,HLOOKUP('Prop Budget Calc'!$L45,'Current Step Plans'!$C$65:$Q$75,11,FALSE),IF($B45='Current Step Plans'!$B$66,HLOOKUP('Prop Budget Calc'!$L45,'Current Step Plans'!$C$66:$Q$75,10,FALSE),IF($B45='Current Step Plans'!$B$67,HLOOKUP('Prop Budget Calc'!$L45,'Current Step Plans'!$C$67:$Q$75,9,FALSE),IF($B45='Current Step Plans'!$B$68,HLOOKUP('Prop Budget Calc'!$L45,'Current Step Plans'!$C$68:$Q$75,8,FALSE),IF($B45='Current Step Plans'!$B$69,HLOOKUP('Prop Budget Calc'!$L45,'Current Step Plans'!$C$69:$Q$75,7,FALSE),IF($B45='Current Step Plans'!$B$70,HLOOKUP('Prop Budget Calc'!$L45,'Current Step Plans'!$C$70:$Q$75,6,FALSE),IF($B45='Current Step Plans'!$B$71,HLOOKUP('Prop Budget Calc'!$L45,'Current Step Plans'!$C$71:$Q$75,5,FALSE),IF($B45='Current Step Plans'!$B$72,HLOOKUP('Prop Budget Calc'!$L45,'Current Step Plans'!$C$72:$Q$75,4,FALSE),IF($B45='Current Step Plans'!$B$73,HLOOKUP('Prop Budget Calc'!$L45,'Current Step Plans'!$C$73:$Q$75,3,FALSE),IF($B45='Current Step Plans'!$B$74,HLOOKUP('Prop Budget Calc'!$L45,'Current Step Plans'!$C$74:$Q$75,2,FALSE),"N"))))))))))))))))))))))</f>
        <v>N</v>
      </c>
      <c r="R45" s="9" t="str">
        <f t="shared" si="139"/>
        <v>Y</v>
      </c>
      <c r="S45" s="6">
        <f>IF(Q45="n",0,ROUNDUP(VLOOKUP(B45,'Proposed Step Plans'!B:T,'Prop Budget Calc'!Q45+2,FALSE)*M45,-2)-O45-T45)</f>
        <v>0</v>
      </c>
      <c r="T45" s="6">
        <f>IF(Q45="n",0,ROUNDUP(VLOOKUP(B45,'Current Step Plans'!B:T,'Prop Budget Calc'!Q45+2,FALSE)*M45,0)-O45)</f>
        <v>0</v>
      </c>
      <c r="U45" s="6">
        <f>IF(IFERROR(VLOOKUP($A45,'Market Study'!$A$5:$G$82,7,FALSE),"NA")="NA",0,VLOOKUP($A45,'Market Study'!$A$5:$G$82,7,FALSE))</f>
        <v>1935.0239999999976</v>
      </c>
      <c r="V45" s="6">
        <f>IF(OR($T45&lt;&gt;0,$I45="50112",$I45="50109",$S45&lt;&gt;0),0,VLOOKUP($K45,Scenarios!$A$17:$F$73,6,FALSE)*$O45)</f>
        <v>1105.8</v>
      </c>
      <c r="W45" s="6">
        <f t="shared" si="140"/>
        <v>1935.0239999999976</v>
      </c>
      <c r="X45" s="6">
        <f>IF(OR($T45&lt;&gt;0,$I45="50112",$I45="50109",$S45&lt;&gt;0),0,VLOOKUP($K45,Scenarios!$A$17:$F$73,2,FALSE)*$O45)</f>
        <v>1105.8</v>
      </c>
      <c r="Y45" s="6">
        <f>IF(OR($T45&lt;&gt;0,$I45="50110",$I45="50109",$S45&lt;&gt;0),0,VLOOKUP($K45,Scenarios!$A$17:$F$73,3,FALSE))</f>
        <v>1175</v>
      </c>
      <c r="Z45" s="6">
        <f>IF(OR($T45&lt;&gt;0,$I45="50112",$I45="50109",$S45&lt;&gt;0),0,VLOOKUP($K45,Scenarios!$A$17:$F$73,4,FALSE))</f>
        <v>0</v>
      </c>
      <c r="AA45" s="6">
        <f t="shared" si="141"/>
        <v>1175</v>
      </c>
      <c r="AB45" s="6">
        <f>IF(OR($T45&lt;&gt;0,$I45="50112",$I45="50109",$S45&lt;&gt;0),0,VLOOKUP($K45,Scenarios!$A$17:$F$73,5,FALSE))</f>
        <v>0</v>
      </c>
      <c r="AC45" s="6">
        <f t="shared" si="137"/>
        <v>3110.0239999999976</v>
      </c>
      <c r="AD45" s="6">
        <f t="shared" si="142"/>
        <v>58401</v>
      </c>
      <c r="AE45" s="84">
        <f t="shared" si="143"/>
        <v>5.6266956049918715E-2</v>
      </c>
      <c r="AF45" s="6">
        <f t="shared" si="144"/>
        <v>38.766666666666666</v>
      </c>
      <c r="AG45" s="6">
        <f>IF(AND(OR(I45="50101",I45="50102"),$AF45&gt;12),IF($AF45&gt;=300,(300*Scenarios!$B$14)*$E45,($AF45*Scenarios!$B$14)*$E45),0)</f>
        <v>193.83333333333331</v>
      </c>
      <c r="AH45" s="6">
        <f>IF($R45="y",IF($T45&gt;0,Scenarios!$B$10*'Prop Budget Calc'!$E45,Scenarios!$B$13*'Prop Budget Calc'!$E45))</f>
        <v>0</v>
      </c>
      <c r="AI45" s="6">
        <f>SUMIFS('Deduction Valuation'!$G:$G,'Deduction Valuation'!$F:$F,"CT - Certifications",'Deduction Valuation'!$B:$B,'Prop Budget Calc'!$A45)*$AI$3</f>
        <v>0</v>
      </c>
      <c r="AJ45" s="6">
        <f>SUMIFS('Deduction Valuation'!$G:$G,'Deduction Valuation'!$F:$F,"RP - Regional Pay",'Deduction Valuation'!$B:$B,'Prop Budget Calc'!$A45)*$AI$3</f>
        <v>1500</v>
      </c>
      <c r="AK45" s="6">
        <f t="shared" si="145"/>
        <v>1500</v>
      </c>
      <c r="AL45" s="6">
        <f>SUMIFS('Deduction Valuation'!$G:$G,'Deduction Valuation'!$F:$F,"CR - Car Allowance",'Deduction Valuation'!$B:$B,'Prop Budget Calc'!$A45)*$AI$3</f>
        <v>0</v>
      </c>
      <c r="AM45" s="6">
        <f>SUMIFS('Deduction Valuation'!$G:$G,'Deduction Valuation'!$F:$F,"DA - Device Allow",'Deduction Valuation'!$B:$B,'Prop Budget Calc'!$A45)*$AI$3</f>
        <v>960</v>
      </c>
      <c r="AN45" s="6">
        <f>SUMIFS('Deduction Valuation'!$G:$G,'Deduction Valuation'!$F:$F,"RA - Replace Allow",'Deduction Valuation'!$B:$B,'Prop Budget Calc'!$A45)</f>
        <v>75</v>
      </c>
      <c r="AO45" s="94">
        <f t="shared" si="146"/>
        <v>1035</v>
      </c>
      <c r="AP45" s="94">
        <f t="shared" si="147"/>
        <v>61129.833333333336</v>
      </c>
      <c r="AQ45" s="10">
        <f>IF(OR($I45="50101", $I45="50102", $I45="50109", $I45="50140"),AP45*Scenarios!$H$8,0)</f>
        <v>10355.393766666666</v>
      </c>
      <c r="AR45" s="9">
        <f>VLOOKUP($D45,WKCMP!$A$1:$C$15,3,FALSE)*AP45</f>
        <v>84.212458400000017</v>
      </c>
      <c r="AS45" s="10">
        <f t="shared" si="148"/>
        <v>886.3825833333334</v>
      </c>
      <c r="AT45" s="11">
        <f t="shared" si="149"/>
        <v>3790.0496666666668</v>
      </c>
      <c r="AU45" s="10">
        <f t="shared" si="150"/>
        <v>4680</v>
      </c>
      <c r="AV45" s="6">
        <f t="shared" si="151"/>
        <v>110.0337</v>
      </c>
      <c r="AW45" s="19">
        <f t="shared" si="152"/>
        <v>79.2</v>
      </c>
      <c r="AX45" s="19">
        <f t="shared" si="153"/>
        <v>15.6</v>
      </c>
      <c r="AY45" s="19">
        <f t="shared" si="154"/>
        <v>11.28</v>
      </c>
      <c r="AZ45" s="88">
        <f t="shared" si="155"/>
        <v>216.11369999999999</v>
      </c>
      <c r="BA45" s="6">
        <f>IF(AND($C45="vacant vacant",$E45=1),$BA$2*$AZ$3,SUMIFS('Employee Enrollments'!$AE:$AE,'Employee Enrollments'!$S:$S,"Medical HDHP",'Employee Enrollments'!$C:$C,'Prop Budget Calc'!$A45)*$AZ$3*(1+Scenarios!$E$9))*(1-$BA$3)</f>
        <v>9797.7907439999999</v>
      </c>
      <c r="BB45" s="6">
        <f>IF(AND($C45="vacant vacant",$E45=1),500,SUMIFS('Employee Enrollments'!$AE:$AE,'Employee Enrollments'!$S:$S,"Health Savings Account",'Employee Enrollments'!$C:$C,'Prop Budget Calc'!$A45))</f>
        <v>500.05</v>
      </c>
      <c r="BC45" s="56">
        <f t="shared" si="156"/>
        <v>10297.840743999999</v>
      </c>
      <c r="BD45" s="6">
        <f>IF(AND($C45="vacant vacant",$E45=1),$BD$2*$AZ$3,SUMIFS('Employee Enrollments'!$AE:$AE,'Employee Enrollments'!$S:$S,"Dental Plan",'Employee Enrollments'!$C:$C,'Prop Budget Calc'!$A45)*$AZ$3)</f>
        <v>434.76</v>
      </c>
      <c r="BE45" s="6">
        <f t="shared" si="157"/>
        <v>10948.714443999999</v>
      </c>
      <c r="BF45" s="6">
        <f t="shared" si="158"/>
        <v>26068.320669066663</v>
      </c>
      <c r="BG45" s="6">
        <f t="shared" si="159"/>
        <v>87198.154002399999</v>
      </c>
      <c r="BH45" s="14"/>
      <c r="BI45" s="56"/>
      <c r="BJ45" s="93">
        <f t="shared" si="160"/>
        <v>10449.415200000001</v>
      </c>
      <c r="BK45" s="10">
        <f>IF(SUMIFS('Employee Enrollments'!AB:AB,'Employee Enrollments'!C:C,'Prop Budget Calc'!$A45,'Employee Enrollments'!Q:Q,"Medical")*12=0,'Employee Enrollments'!$AN$1,(SUMIFS('Employee Enrollments'!AB:AB,'Employee Enrollments'!C:C,'Prop Budget Calc'!$A45,'Employee Enrollments'!Q:Q,"Medical")*12))</f>
        <v>348.6</v>
      </c>
      <c r="BL45" s="10">
        <f>SUMIFS('Employee Enrollments'!AB:AB,'Employee Enrollments'!C:C,'Prop Budget Calc'!$A45,'Employee Enrollments'!Q:Q,"Dental")*12</f>
        <v>0</v>
      </c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</row>
    <row r="46" spans="1:88" ht="12.75" customHeight="1">
      <c r="A46" s="20" t="s">
        <v>1362</v>
      </c>
      <c r="B46" s="3" t="str">
        <f>IF(IFERROR(VLOOKUP($A46,'Base Pay Report'!$A:$V,'Prop Budget Calc'!B$2,FALSE),"NO")="No","Update",PROPER(VLOOKUP($A46,'Base Pay Report'!$A:$V,'Prop Budget Calc'!B$2,FALSE)))</f>
        <v>Gis Manager</v>
      </c>
      <c r="C46" s="3" t="str">
        <f>IF(IFERROR(VLOOKUP($A46,'Base Pay Report'!$A:$V,'Prop Budget Calc'!C$2,FALSE),"NO")="No","Update",PROPER(VLOOKUP($A46,'Base Pay Report'!$A:$V,'Prop Budget Calc'!C$2,FALSE)))</f>
        <v>First Name Last Name</v>
      </c>
      <c r="D46" s="3" t="str">
        <f>IF(IFERROR(VLOOKUP($A46,'Base Pay Report'!$A:$V,'Prop Budget Calc'!D$2,FALSE),"NO")="No","Update",PROPER(VLOOKUP($A46,'Base Pay Report'!$A:$V,'Prop Budget Calc'!D$2,FALSE)))</f>
        <v>8810</v>
      </c>
      <c r="E46" s="8">
        <f t="shared" si="130"/>
        <v>1</v>
      </c>
      <c r="F46" s="3" t="str">
        <f>IF(IFERROR(VLOOKUP($A46,'Base Pay Report'!$A:$V,'Prop Budget Calc'!F$2,FALSE),"NO")="No","Update",PROPER(VLOOKUP($A46,'Base Pay Report'!$A:$V,'Prop Budget Calc'!F$2,FALSE)))</f>
        <v>119-18-183-50101</v>
      </c>
      <c r="G46" s="3" t="str">
        <f t="shared" si="131"/>
        <v>119-18-183</v>
      </c>
      <c r="H46" s="49" t="str">
        <f t="shared" si="132"/>
        <v>119</v>
      </c>
      <c r="I46" s="3" t="str">
        <f t="shared" si="133"/>
        <v>50101</v>
      </c>
      <c r="J46" s="3" t="str">
        <f t="shared" si="134"/>
        <v>18</v>
      </c>
      <c r="K46" s="3" t="str">
        <f t="shared" si="135"/>
        <v>183</v>
      </c>
      <c r="L46" s="9">
        <f>IF(SUMIF('Base Pay Report'!$A:$A,'Prop Budget Calc'!$A46,'Base Pay Report'!$I:$I)=80,SUMIF('Base Pay Report'!$A:$A,'Prop Budget Calc'!$A46,'Base Pay Report'!$H:$H)/SUMIF('Base Pay Report'!$A:$A,'Prop Budget Calc'!$A46,'Base Pay Report'!$I:$I),SUMIF('Base Pay Report'!$A:$A,'Prop Budget Calc'!$A46,'Base Pay Report'!$H:$H))</f>
        <v>45.465499999999999</v>
      </c>
      <c r="M46" s="3">
        <f t="shared" si="138"/>
        <v>2080</v>
      </c>
      <c r="N46" s="3" t="str">
        <f>IF(IFERROR(VLOOKUP($A46,'Base Pay Report'!$A:$V,'Prop Budget Calc'!N$2,FALSE),"NO")="No","Update",(VLOOKUP($A46,'Base Pay Report'!$A:$V,'Prop Budget Calc'!N$2,FALSE)))</f>
        <v>SALARY - 4-10</v>
      </c>
      <c r="O46" s="6">
        <f t="shared" si="136"/>
        <v>94570</v>
      </c>
      <c r="P46" s="99">
        <f>IF(SUMIF('Base Pay Report'!A:A,$A46,'Base Pay Report'!J:J)=0,$P$1+40,SUMIF('Base Pay Report'!A:A,$A46,'Base Pay Report'!J:J))</f>
        <v>38474</v>
      </c>
      <c r="Q46" s="87" t="str">
        <f>IF($B46='Current Step Plans'!$B$36,HLOOKUP('Prop Budget Calc'!$L46,'Current Step Plans'!$C$36:$Q$42,7,FALSE),IF($B46='Current Step Plans'!$B$37,HLOOKUP('Prop Budget Calc'!$L46,'Current Step Plans'!$C$37:$Q$42,6,FALSE),IF($B46='Current Step Plans'!$B$38,HLOOKUP('Prop Budget Calc'!$L46,'Current Step Plans'!$C$38:$Q$42,5,FALSE),IF($B46='Current Step Plans'!$B$39,HLOOKUP('Prop Budget Calc'!$L46,'Current Step Plans'!$C$39:$Q$42,4,FALSE),IF($B46='Current Step Plans'!$B$40,HLOOKUP('Prop Budget Calc'!$L46,'Current Step Plans'!$C$40:$Q$42,3,FALSE),IF($B46='Current Step Plans'!$B$41,HLOOKUP('Prop Budget Calc'!$L46,'Current Step Plans'!$C$41:$Q$42,2,FALSE),IF($B46='Current Step Plans'!$B$50,HLOOKUP('Prop Budget Calc'!$L46,'Current Step Plans'!$C$50:$Q$56,7,FALSE),IF($B46='Current Step Plans'!$B$51,HLOOKUP('Prop Budget Calc'!$L46,'Current Step Plans'!$C$51:$Q$56,6,FALSE),IF($B46='Current Step Plans'!$B$52,HLOOKUP('Prop Budget Calc'!$L46,'Current Step Plans'!$C$52:$Q$56,5,FALSE), IF($B46='Current Step Plans'!$B$53,HLOOKUP('Prop Budget Calc'!$L46,'Current Step Plans'!$C$53:$Q$56,4,FALSE),IF($B46='Current Step Plans'!$B$54,HLOOKUP('Prop Budget Calc'!$L46,'Current Step Plans'!$C$54:$Q$56,3,FALSE),IF($B46='Current Step Plans'!$B$55,HLOOKUP('Prop Budget Calc'!$L46,'Current Step Plans'!$C$55:$Q$56,2,FALSE),IF($B46='Current Step Plans'!$B$65,HLOOKUP('Prop Budget Calc'!$L46,'Current Step Plans'!$C$65:$Q$75,11,FALSE),IF($B46='Current Step Plans'!$B$66,HLOOKUP('Prop Budget Calc'!$L46,'Current Step Plans'!$C$66:$Q$75,10,FALSE),IF($B46='Current Step Plans'!$B$67,HLOOKUP('Prop Budget Calc'!$L46,'Current Step Plans'!$C$67:$Q$75,9,FALSE),IF($B46='Current Step Plans'!$B$68,HLOOKUP('Prop Budget Calc'!$L46,'Current Step Plans'!$C$68:$Q$75,8,FALSE),IF($B46='Current Step Plans'!$B$69,HLOOKUP('Prop Budget Calc'!$L46,'Current Step Plans'!$C$69:$Q$75,7,FALSE),IF($B46='Current Step Plans'!$B$70,HLOOKUP('Prop Budget Calc'!$L46,'Current Step Plans'!$C$70:$Q$75,6,FALSE),IF($B46='Current Step Plans'!$B$71,HLOOKUP('Prop Budget Calc'!$L46,'Current Step Plans'!$C$71:$Q$75,5,FALSE),IF($B46='Current Step Plans'!$B$72,HLOOKUP('Prop Budget Calc'!$L46,'Current Step Plans'!$C$72:$Q$75,4,FALSE),IF($B46='Current Step Plans'!$B$73,HLOOKUP('Prop Budget Calc'!$L46,'Current Step Plans'!$C$73:$Q$75,3,FALSE),IF($B46='Current Step Plans'!$B$74,HLOOKUP('Prop Budget Calc'!$L46,'Current Step Plans'!$C$74:$Q$75,2,FALSE),"N"))))))))))))))))))))))</f>
        <v>N</v>
      </c>
      <c r="R46" s="9" t="str">
        <f t="shared" si="139"/>
        <v>Y</v>
      </c>
      <c r="S46" s="6">
        <f>IF(Q46="n",0,ROUNDUP(VLOOKUP(B46,'Proposed Step Plans'!B:T,'Prop Budget Calc'!Q46+2,FALSE)*M46,-2)-O46-T46)</f>
        <v>0</v>
      </c>
      <c r="T46" s="6">
        <f>IF(Q46="n",0,ROUNDUP(VLOOKUP(B46,'Current Step Plans'!B:T,'Prop Budget Calc'!Q46+2,FALSE)*M46,0)-O46)</f>
        <v>0</v>
      </c>
      <c r="U46" s="6">
        <f>IF(IFERROR(VLOOKUP($A46,'Market Study'!$A$5:$G$82,7,FALSE),"NA")="NA",0,VLOOKUP($A46,'Market Study'!$A$5:$G$82,7,FALSE))</f>
        <v>3309.8883999999962</v>
      </c>
      <c r="V46" s="6">
        <f>IF(OR($T46&lt;&gt;0,$I46="50112",$I46="50109",$S46&lt;&gt;0),0,VLOOKUP($K46,Scenarios!$A$17:$F$73,6,FALSE)*$O46)</f>
        <v>1891.4</v>
      </c>
      <c r="W46" s="6">
        <f t="shared" si="140"/>
        <v>3309.8883999999962</v>
      </c>
      <c r="X46" s="6">
        <f>IF(OR($T46&lt;&gt;0,$I46="50112",$I46="50109",$S46&lt;&gt;0),0,VLOOKUP($K46,Scenarios!$A$17:$F$73,2,FALSE)*$O46)</f>
        <v>1891.4</v>
      </c>
      <c r="Y46" s="6">
        <f>IF(OR($T46&lt;&gt;0,$I46="50110",$I46="50109",$S46&lt;&gt;0),0,VLOOKUP($K46,Scenarios!$A$17:$F$73,3,FALSE))</f>
        <v>1175</v>
      </c>
      <c r="Z46" s="6">
        <f>IF(OR($T46&lt;&gt;0,$I46="50112",$I46="50109",$S46&lt;&gt;0),0,VLOOKUP($K46,Scenarios!$A$17:$F$73,4,FALSE))</f>
        <v>0</v>
      </c>
      <c r="AA46" s="6">
        <f t="shared" si="141"/>
        <v>1891.4</v>
      </c>
      <c r="AB46" s="6">
        <f>IF(OR($T46&lt;&gt;0,$I46="50112",$I46="50109",$S46&lt;&gt;0),0,VLOOKUP($K46,Scenarios!$A$17:$F$73,5,FALSE))</f>
        <v>0</v>
      </c>
      <c r="AC46" s="6">
        <f t="shared" si="137"/>
        <v>5201.2883999999958</v>
      </c>
      <c r="AD46" s="6">
        <f t="shared" si="142"/>
        <v>99772</v>
      </c>
      <c r="AE46" s="84">
        <f t="shared" si="143"/>
        <v>5.5006873215607488E-2</v>
      </c>
      <c r="AF46" s="6">
        <f t="shared" si="144"/>
        <v>239.43333333333334</v>
      </c>
      <c r="AG46" s="6">
        <f>IF(AND(OR(I46="50101",I46="50102"),$AF46&gt;12),IF($AF46&gt;=300,(300*Scenarios!$B$14)*$E46,($AF46*Scenarios!$B$14)*$E46),0)</f>
        <v>1197.1666666666667</v>
      </c>
      <c r="AH46" s="6">
        <f>IF($R46="y",IF($T46&gt;0,Scenarios!$B$10*'Prop Budget Calc'!$E46,Scenarios!$B$13*'Prop Budget Calc'!$E46))</f>
        <v>0</v>
      </c>
      <c r="AI46" s="6">
        <f>SUMIFS('Deduction Valuation'!$G:$G,'Deduction Valuation'!$F:$F,"CT - Certifications",'Deduction Valuation'!$B:$B,'Prop Budget Calc'!$A46)*$AI$3</f>
        <v>0</v>
      </c>
      <c r="AJ46" s="6">
        <f>SUMIFS('Deduction Valuation'!$G:$G,'Deduction Valuation'!$F:$F,"RP - Regional Pay",'Deduction Valuation'!$B:$B,'Prop Budget Calc'!$A46)*$AI$3</f>
        <v>1500</v>
      </c>
      <c r="AK46" s="6">
        <f t="shared" si="145"/>
        <v>1500</v>
      </c>
      <c r="AL46" s="6">
        <f>SUMIFS('Deduction Valuation'!$G:$G,'Deduction Valuation'!$F:$F,"CR - Car Allowance",'Deduction Valuation'!$B:$B,'Prop Budget Calc'!$A46)*$AI$3</f>
        <v>0</v>
      </c>
      <c r="AM46" s="6">
        <f>SUMIFS('Deduction Valuation'!$G:$G,'Deduction Valuation'!$F:$F,"DA - Device Allow",'Deduction Valuation'!$B:$B,'Prop Budget Calc'!$A46)*$AI$3</f>
        <v>960</v>
      </c>
      <c r="AN46" s="6">
        <f>SUMIFS('Deduction Valuation'!$G:$G,'Deduction Valuation'!$F:$F,"RA - Replace Allow",'Deduction Valuation'!$B:$B,'Prop Budget Calc'!$A46)</f>
        <v>75</v>
      </c>
      <c r="AO46" s="94">
        <f t="shared" si="146"/>
        <v>1035</v>
      </c>
      <c r="AP46" s="94">
        <f t="shared" si="147"/>
        <v>103504.16666666667</v>
      </c>
      <c r="AQ46" s="10">
        <f>IF(OR($I46="50101", $I46="50102", $I46="50109", $I46="50140"),AP46*Scenarios!$H$8,0)</f>
        <v>17533.605833333335</v>
      </c>
      <c r="AR46" s="9">
        <f>VLOOKUP($D46,WKCMP!$A$1:$C$15,3,FALSE)*AP46</f>
        <v>142.58734000000004</v>
      </c>
      <c r="AS46" s="10">
        <f t="shared" si="148"/>
        <v>1500.8104166666669</v>
      </c>
      <c r="AT46" s="11">
        <f t="shared" si="149"/>
        <v>6417.2583333333332</v>
      </c>
      <c r="AU46" s="10">
        <f t="shared" si="150"/>
        <v>7920</v>
      </c>
      <c r="AV46" s="6">
        <f t="shared" si="151"/>
        <v>186.3075</v>
      </c>
      <c r="AW46" s="19">
        <f t="shared" si="152"/>
        <v>158.4</v>
      </c>
      <c r="AX46" s="19">
        <f t="shared" si="153"/>
        <v>15.6</v>
      </c>
      <c r="AY46" s="19">
        <f t="shared" si="154"/>
        <v>11.28</v>
      </c>
      <c r="AZ46" s="88">
        <f t="shared" si="155"/>
        <v>371.58749999999998</v>
      </c>
      <c r="BA46" s="6">
        <f>IF(AND($C46="vacant vacant",$E46=1),$BA$2*$AZ$3,SUMIFS('Employee Enrollments'!$AE:$AE,'Employee Enrollments'!$S:$S,"Medical HDHP",'Employee Enrollments'!$C:$C,'Prop Budget Calc'!$A46)*$AZ$3*(1+Scenarios!$E$9))*(1-$BA$3)</f>
        <v>9726.7914000000001</v>
      </c>
      <c r="BB46" s="6">
        <f>IF(AND($C46="vacant vacant",$E46=1),500,SUMIFS('Employee Enrollments'!$AE:$AE,'Employee Enrollments'!$S:$S,"Health Savings Account",'Employee Enrollments'!$C:$C,'Prop Budget Calc'!$A46))</f>
        <v>500.05</v>
      </c>
      <c r="BC46" s="56">
        <f t="shared" si="156"/>
        <v>10226.841399999999</v>
      </c>
      <c r="BD46" s="6">
        <f>IF(AND($C46="vacant vacant",$E46=1),$BD$2*$AZ$3,SUMIFS('Employee Enrollments'!$AE:$AE,'Employee Enrollments'!$S:$S,"Dental Plan",'Employee Enrollments'!$C:$C,'Prop Budget Calc'!$A46)*$AZ$3)</f>
        <v>434.76</v>
      </c>
      <c r="BE46" s="6">
        <f t="shared" si="157"/>
        <v>11033.188899999999</v>
      </c>
      <c r="BF46" s="6">
        <f t="shared" si="158"/>
        <v>36629.382073333334</v>
      </c>
      <c r="BG46" s="6">
        <f t="shared" si="159"/>
        <v>140133.54874</v>
      </c>
      <c r="BH46" s="14"/>
      <c r="BI46" s="56"/>
      <c r="BJ46" s="93">
        <f t="shared" si="160"/>
        <v>10447.980000000001</v>
      </c>
      <c r="BK46" s="10">
        <f>IF(SUMIFS('Employee Enrollments'!AB:AB,'Employee Enrollments'!C:C,'Prop Budget Calc'!$A46,'Employee Enrollments'!Q:Q,"Medical")*12=0,'Employee Enrollments'!$AN$1,(SUMIFS('Employee Enrollments'!AB:AB,'Employee Enrollments'!C:C,'Prop Budget Calc'!$A46,'Employee Enrollments'!Q:Q,"Medical")*12))</f>
        <v>420.36</v>
      </c>
      <c r="BL46" s="10">
        <f>SUMIFS('Employee Enrollments'!AB:AB,'Employee Enrollments'!C:C,'Prop Budget Calc'!$A46,'Employee Enrollments'!Q:Q,"Dental")*12</f>
        <v>0</v>
      </c>
    </row>
    <row r="47" spans="1:88" ht="12.75" customHeight="1">
      <c r="A47" s="20" t="s">
        <v>1483</v>
      </c>
      <c r="B47" s="3" t="str">
        <f>IF(IFERROR(VLOOKUP($A47,'Base Pay Report'!$A:$V,'Prop Budget Calc'!B$2,FALSE),"NO")="No","Update",PROPER(VLOOKUP($A47,'Base Pay Report'!$A:$V,'Prop Budget Calc'!B$2,FALSE)))</f>
        <v>Aquatics Supervisor</v>
      </c>
      <c r="C47" s="3" t="str">
        <f>IF(IFERROR(VLOOKUP($A47,'Base Pay Report'!$A:$V,'Prop Budget Calc'!C$2,FALSE),"NO")="No","Update",PROPER(VLOOKUP($A47,'Base Pay Report'!$A:$V,'Prop Budget Calc'!C$2,FALSE)))</f>
        <v>First Name Last Name</v>
      </c>
      <c r="D47" s="3" t="str">
        <f>IF(IFERROR(VLOOKUP($A47,'Base Pay Report'!$A:$V,'Prop Budget Calc'!D$2,FALSE),"NO")="No","Update",PROPER(VLOOKUP($A47,'Base Pay Report'!$A:$V,'Prop Budget Calc'!D$2,FALSE)))</f>
        <v>9102</v>
      </c>
      <c r="E47" s="8">
        <f t="shared" ref="E47:E71" si="161">IF(OR(I47="50101",I47="50102"),1,IF(I47="50110",0.48,IF(I47="50112",0.25,1)))</f>
        <v>1</v>
      </c>
      <c r="F47" s="3" t="str">
        <f>IF(IFERROR(VLOOKUP($A47,'Base Pay Report'!$A:$V,'Prop Budget Calc'!F$2,FALSE),"NO")="No","Update",PROPER(VLOOKUP($A47,'Base Pay Report'!$A:$V,'Prop Budget Calc'!F$2,FALSE)))</f>
        <v>125-65-652-50101</v>
      </c>
      <c r="G47" s="3" t="str">
        <f t="shared" ref="G47:G71" si="162">LEFT(F47,10)</f>
        <v>125-65-652</v>
      </c>
      <c r="H47" s="49" t="str">
        <f t="shared" ref="H47:H71" si="163">LEFT(F47,3)</f>
        <v>125</v>
      </c>
      <c r="I47" s="3" t="str">
        <f t="shared" ref="I47:I71" si="164">MID(F47,12,5)</f>
        <v>50101</v>
      </c>
      <c r="J47" s="3" t="str">
        <f t="shared" ref="J47:J71" si="165">MID(F47,5,2)</f>
        <v>65</v>
      </c>
      <c r="K47" s="3" t="str">
        <f t="shared" ref="K47:K71" si="166">MID(F47,8,3)</f>
        <v>652</v>
      </c>
      <c r="L47" s="3">
        <f>IF(SUMIF('Base Pay Report'!$A:$A,'Prop Budget Calc'!$A47,'Base Pay Report'!$I:$I)=80,SUMIF('Base Pay Report'!$A:$A,'Prop Budget Calc'!$A47,'Base Pay Report'!$H:$H)/SUMIF('Base Pay Report'!$A:$A,'Prop Budget Calc'!$A47,'Base Pay Report'!$I:$I),SUMIF('Base Pay Report'!$A:$A,'Prop Budget Calc'!$A47,'Base Pay Report'!$H:$H))</f>
        <v>30.151375000000002</v>
      </c>
      <c r="M47" s="3">
        <f t="shared" si="138"/>
        <v>2080</v>
      </c>
      <c r="N47" s="3" t="str">
        <f>IF(IFERROR(VLOOKUP($A47,'Base Pay Report'!$A:$V,'Prop Budget Calc'!N$2,FALSE),"NO")="No","Update",(VLOOKUP($A47,'Base Pay Report'!$A:$V,'Prop Budget Calc'!N$2,FALSE)))</f>
        <v>SALARY - 5-8</v>
      </c>
      <c r="O47" s="6">
        <f t="shared" ref="O47:O71" si="167">ROUNDUP(L47*M47,-1)</f>
        <v>62720</v>
      </c>
      <c r="P47" s="99">
        <f>IF(SUMIF('Base Pay Report'!A:A,$A47,'Base Pay Report'!J:J)=0,$P$1+40,SUMIF('Base Pay Report'!A:A,$A47,'Base Pay Report'!J:J))</f>
        <v>43239</v>
      </c>
      <c r="Q47" s="87" t="str">
        <f>IF($B47='Current Step Plans'!$B$36,HLOOKUP('Prop Budget Calc'!$L47,'Current Step Plans'!$C$36:$Q$42,7,FALSE),IF($B47='Current Step Plans'!$B$37,HLOOKUP('Prop Budget Calc'!$L47,'Current Step Plans'!$C$37:$Q$42,6,FALSE),IF($B47='Current Step Plans'!$B$38,HLOOKUP('Prop Budget Calc'!$L47,'Current Step Plans'!$C$38:$Q$42,5,FALSE),IF($B47='Current Step Plans'!$B$39,HLOOKUP('Prop Budget Calc'!$L47,'Current Step Plans'!$C$39:$Q$42,4,FALSE),IF($B47='Current Step Plans'!$B$40,HLOOKUP('Prop Budget Calc'!$L47,'Current Step Plans'!$C$40:$Q$42,3,FALSE),IF($B47='Current Step Plans'!$B$41,HLOOKUP('Prop Budget Calc'!$L47,'Current Step Plans'!$C$41:$Q$42,2,FALSE),IF($B47='Current Step Plans'!$B$50,HLOOKUP('Prop Budget Calc'!$L47,'Current Step Plans'!$C$50:$Q$56,7,FALSE),IF($B47='Current Step Plans'!$B$51,HLOOKUP('Prop Budget Calc'!$L47,'Current Step Plans'!$C$51:$Q$56,6,FALSE),IF($B47='Current Step Plans'!$B$52,HLOOKUP('Prop Budget Calc'!$L47,'Current Step Plans'!$C$52:$Q$56,5,FALSE), IF($B47='Current Step Plans'!$B$53,HLOOKUP('Prop Budget Calc'!$L47,'Current Step Plans'!$C$53:$Q$56,4,FALSE),IF($B47='Current Step Plans'!$B$54,HLOOKUP('Prop Budget Calc'!$L47,'Current Step Plans'!$C$54:$Q$56,3,FALSE),IF($B47='Current Step Plans'!$B$55,HLOOKUP('Prop Budget Calc'!$L47,'Current Step Plans'!$C$55:$Q$56,2,FALSE),IF($B47='Current Step Plans'!$B$65,HLOOKUP('Prop Budget Calc'!$L47,'Current Step Plans'!$C$65:$Q$75,11,FALSE),IF($B47='Current Step Plans'!$B$66,HLOOKUP('Prop Budget Calc'!$L47,'Current Step Plans'!$C$66:$Q$75,10,FALSE),IF($B47='Current Step Plans'!$B$67,HLOOKUP('Prop Budget Calc'!$L47,'Current Step Plans'!$C$67:$Q$75,9,FALSE),IF($B47='Current Step Plans'!$B$68,HLOOKUP('Prop Budget Calc'!$L47,'Current Step Plans'!$C$68:$Q$75,8,FALSE),IF($B47='Current Step Plans'!$B$69,HLOOKUP('Prop Budget Calc'!$L47,'Current Step Plans'!$C$69:$Q$75,7,FALSE),IF($B47='Current Step Plans'!$B$70,HLOOKUP('Prop Budget Calc'!$L47,'Current Step Plans'!$C$70:$Q$75,6,FALSE),IF($B47='Current Step Plans'!$B$71,HLOOKUP('Prop Budget Calc'!$L47,'Current Step Plans'!$C$71:$Q$75,5,FALSE),IF($B47='Current Step Plans'!$B$72,HLOOKUP('Prop Budget Calc'!$L47,'Current Step Plans'!$C$72:$Q$75,4,FALSE),IF($B47='Current Step Plans'!$B$73,HLOOKUP('Prop Budget Calc'!$L47,'Current Step Plans'!$C$73:$Q$75,3,FALSE),IF($B47='Current Step Plans'!$B$74,HLOOKUP('Prop Budget Calc'!$L47,'Current Step Plans'!$C$74:$Q$75,2,FALSE),"N"))))))))))))))))))))))</f>
        <v>N</v>
      </c>
      <c r="R47" s="9" t="str">
        <f t="shared" si="139"/>
        <v>Y</v>
      </c>
      <c r="S47" s="6">
        <f>IF(Q47="n",0,ROUNDUP(VLOOKUP(B47,'Proposed Step Plans'!B:T,'Prop Budget Calc'!Q47+2,FALSE)*M47,-2)-O47-T47)</f>
        <v>0</v>
      </c>
      <c r="T47" s="6">
        <f>IF(Q47="n",0,ROUNDUP(VLOOKUP(B47,'Current Step Plans'!B:T,'Prop Budget Calc'!Q47+2,FALSE)*M47,0)-O47)</f>
        <v>0</v>
      </c>
      <c r="U47" s="6">
        <f>IF(IFERROR(VLOOKUP($A47,'Market Study'!$A$5:$G$82,7,FALSE),"NA")="NA",0,VLOOKUP($A47,'Market Study'!$A$5:$G$82,7,FALSE))</f>
        <v>0</v>
      </c>
      <c r="V47" s="6">
        <f>IF(OR($T47&lt;&gt;0,$I47="50112",$I47="50109",$S47&lt;&gt;0),0,VLOOKUP($K47,Scenarios!$A$17:$F$73,6,FALSE)*$O47)</f>
        <v>1254.4000000000001</v>
      </c>
      <c r="W47" s="6">
        <f t="shared" si="140"/>
        <v>1254.4000000000001</v>
      </c>
      <c r="X47" s="6">
        <f>IF(OR($T47&lt;&gt;0,$I47="50112",$I47="50109",$S47&lt;&gt;0),0,VLOOKUP($K47,Scenarios!$A$17:$F$73,2,FALSE)*$O47)</f>
        <v>1254.4000000000001</v>
      </c>
      <c r="Y47" s="6">
        <f>IF(OR($T47&lt;&gt;0,$I47="50110",$I47="50109",$S47&lt;&gt;0),0,VLOOKUP($K47,Scenarios!$A$17:$F$73,3,FALSE))</f>
        <v>1175</v>
      </c>
      <c r="Z47" s="6">
        <f>IF(OR($T47&lt;&gt;0,$I47="50112",$I47="50109",$S47&lt;&gt;0),0,VLOOKUP($K47,Scenarios!$A$17:$F$73,4,FALSE))</f>
        <v>0</v>
      </c>
      <c r="AA47" s="6">
        <f t="shared" si="141"/>
        <v>1254.4000000000001</v>
      </c>
      <c r="AB47" s="6">
        <f>IF(OR($T47&lt;&gt;0,$I47="50112",$I47="50109",$S47&lt;&gt;0),0,VLOOKUP($K47,Scenarios!$A$17:$F$73,5,FALSE))</f>
        <v>0</v>
      </c>
      <c r="AC47" s="6">
        <f t="shared" ref="AC47:AC71" si="168">W47+AA47+AB47</f>
        <v>2508.8000000000002</v>
      </c>
      <c r="AD47" s="6">
        <f t="shared" si="142"/>
        <v>65229</v>
      </c>
      <c r="AE47" s="84">
        <f t="shared" si="143"/>
        <v>4.0003188775510123E-2</v>
      </c>
      <c r="AF47" s="6">
        <f t="shared" si="144"/>
        <v>80.599999999999994</v>
      </c>
      <c r="AG47" s="6">
        <f>IF(AND(OR(I47="50101",I47="50102"),$AF47&gt;12),IF($AF47&gt;=300,(300*Scenarios!$B$14)*$E47,($AF47*Scenarios!$B$14)*$E47),0)</f>
        <v>403</v>
      </c>
      <c r="AH47" s="6">
        <f>IF($R47="y",IF($T47&gt;0,Scenarios!$B$10*'Prop Budget Calc'!$E47,Scenarios!$B$13*'Prop Budget Calc'!$E47))</f>
        <v>0</v>
      </c>
      <c r="AI47" s="6">
        <f>SUMIFS('Deduction Valuation'!$G:$G,'Deduction Valuation'!$F:$F,"CT - Certifications",'Deduction Valuation'!$B:$B,'Prop Budget Calc'!$A47)*$AI$3</f>
        <v>0</v>
      </c>
      <c r="AJ47" s="6">
        <f>SUMIFS('Deduction Valuation'!$G:$G,'Deduction Valuation'!$F:$F,"RP - Regional Pay",'Deduction Valuation'!$B:$B,'Prop Budget Calc'!$A47)*$AI$3</f>
        <v>0</v>
      </c>
      <c r="AK47" s="6">
        <f t="shared" si="145"/>
        <v>0</v>
      </c>
      <c r="AL47" s="6">
        <f>SUMIFS('Deduction Valuation'!$G:$G,'Deduction Valuation'!$F:$F,"CR - Car Allowance",'Deduction Valuation'!$B:$B,'Prop Budget Calc'!$A47)*$AI$3</f>
        <v>0</v>
      </c>
      <c r="AM47" s="6">
        <f>SUMIFS('Deduction Valuation'!$G:$G,'Deduction Valuation'!$F:$F,"DA - Device Allow",'Deduction Valuation'!$B:$B,'Prop Budget Calc'!$A47)*$AI$3</f>
        <v>720</v>
      </c>
      <c r="AN47" s="6">
        <f>SUMIFS('Deduction Valuation'!$G:$G,'Deduction Valuation'!$F:$F,"RA - Replace Allow",'Deduction Valuation'!$B:$B,'Prop Budget Calc'!$A47)</f>
        <v>75</v>
      </c>
      <c r="AO47" s="94">
        <f t="shared" si="146"/>
        <v>795</v>
      </c>
      <c r="AP47" s="94">
        <f t="shared" si="147"/>
        <v>66427</v>
      </c>
      <c r="AQ47" s="10">
        <f>IF(OR($I47="50101", $I47="50102", $I47="50109", $I47="50140"),AP47*Scenarios!$H$8,0)</f>
        <v>11252.7338</v>
      </c>
      <c r="AR47" s="9">
        <f>VLOOKUP($D47,WKCMP!$A$1:$C$15,3,FALSE)*AP47</f>
        <v>763.32594240000014</v>
      </c>
      <c r="AS47" s="10">
        <f t="shared" si="148"/>
        <v>963.19150000000002</v>
      </c>
      <c r="AT47" s="11">
        <f t="shared" si="149"/>
        <v>4118.4740000000002</v>
      </c>
      <c r="AU47" s="10">
        <f t="shared" si="150"/>
        <v>5090</v>
      </c>
      <c r="AV47" s="6">
        <f t="shared" si="151"/>
        <v>119.5686</v>
      </c>
      <c r="AW47" s="19">
        <f t="shared" si="152"/>
        <v>158.4</v>
      </c>
      <c r="AX47" s="19">
        <f t="shared" si="153"/>
        <v>15.6</v>
      </c>
      <c r="AY47" s="19">
        <f t="shared" si="154"/>
        <v>11.28</v>
      </c>
      <c r="AZ47" s="88">
        <f t="shared" si="155"/>
        <v>304.84860000000003</v>
      </c>
      <c r="BA47" s="6">
        <f>IF(AND($C47="vacant vacant",$E47=1),$BA$2*$AZ$3,SUMIFS('Employee Enrollments'!$AE:$AE,'Employee Enrollments'!$S:$S,"Medical HDHP",'Employee Enrollments'!$C:$C,'Prop Budget Calc'!$A47)*$AZ$3*(1+Scenarios!$E$9))*(1-$BA$3)</f>
        <v>0</v>
      </c>
      <c r="BB47" s="6">
        <f>IF(AND($C47="vacant vacant",$E47=1),500,SUMIFS('Employee Enrollments'!$AE:$AE,'Employee Enrollments'!$S:$S,"Health Savings Account",'Employee Enrollments'!$C:$C,'Prop Budget Calc'!$A47))</f>
        <v>0</v>
      </c>
      <c r="BC47" s="56">
        <f t="shared" si="156"/>
        <v>0</v>
      </c>
      <c r="BD47" s="6">
        <f>IF(AND($C47="vacant vacant",$E47=1),$BD$2*$AZ$3,SUMIFS('Employee Enrollments'!$AE:$AE,'Employee Enrollments'!$S:$S,"Dental Plan",'Employee Enrollments'!$C:$C,'Prop Budget Calc'!$A47)*$AZ$3)</f>
        <v>0</v>
      </c>
      <c r="BE47" s="6">
        <f t="shared" si="157"/>
        <v>304.84860000000003</v>
      </c>
      <c r="BF47" s="6">
        <f t="shared" si="158"/>
        <v>17410.908342399998</v>
      </c>
      <c r="BG47" s="6">
        <f t="shared" si="159"/>
        <v>83837.908342399998</v>
      </c>
      <c r="BH47" s="14"/>
      <c r="BI47" s="56"/>
      <c r="BJ47" s="93">
        <f t="shared" si="160"/>
        <v>1131.8676628352489</v>
      </c>
      <c r="BK47" s="10">
        <f>IF(SUMIFS('Employee Enrollments'!AB:AB,'Employee Enrollments'!C:C,'Prop Budget Calc'!$A47,'Employee Enrollments'!Q:Q,"Medical")*12=0,'Employee Enrollments'!$AN$1,(SUMIFS('Employee Enrollments'!AB:AB,'Employee Enrollments'!C:C,'Prop Budget Calc'!$A47,'Employee Enrollments'!Q:Q,"Medical")*12))</f>
        <v>1131.8676628352489</v>
      </c>
      <c r="BL47" s="10">
        <f>SUMIFS('Employee Enrollments'!AB:AB,'Employee Enrollments'!C:C,'Prop Budget Calc'!$A47,'Employee Enrollments'!Q:Q,"Dental")*12</f>
        <v>0</v>
      </c>
    </row>
    <row r="48" spans="1:88" ht="12.75" customHeight="1">
      <c r="A48" s="535" t="s">
        <v>2513</v>
      </c>
      <c r="B48" s="3" t="str">
        <f>IF(IFERROR(VLOOKUP($A48,'Base Pay Report'!$A:$V,'Prop Budget Calc'!B$2,FALSE),"NO")="No","Update",PROPER(VLOOKUP($A48,'Base Pay Report'!$A:$V,'Prop Budget Calc'!B$2,FALSE)))</f>
        <v>Aquatics Specialist</v>
      </c>
      <c r="C48" s="3" t="str">
        <f>IF(IFERROR(VLOOKUP($A48,'Base Pay Report'!$A:$V,'Prop Budget Calc'!C$2,FALSE),"NO")="No","Update",PROPER(VLOOKUP($A48,'Base Pay Report'!$A:$V,'Prop Budget Calc'!C$2,FALSE)))</f>
        <v>First Name Last Name</v>
      </c>
      <c r="D48" s="3" t="str">
        <f>IF(IFERROR(VLOOKUP($A48,'Base Pay Report'!$A:$V,'Prop Budget Calc'!D$2,FALSE),"NO")="No","Update",PROPER(VLOOKUP($A48,'Base Pay Report'!$A:$V,'Prop Budget Calc'!D$2,FALSE)))</f>
        <v>9102</v>
      </c>
      <c r="E48" s="8">
        <f t="shared" si="161"/>
        <v>1</v>
      </c>
      <c r="F48" s="3" t="str">
        <f>IF(IFERROR(VLOOKUP($A48,'Base Pay Report'!$A:$V,'Prop Budget Calc'!F$2,FALSE),"NO")="No","Update",PROPER(VLOOKUP($A48,'Base Pay Report'!$A:$V,'Prop Budget Calc'!F$2,FALSE)))</f>
        <v>125-65-652-50101</v>
      </c>
      <c r="G48" s="3" t="str">
        <f t="shared" si="162"/>
        <v>125-65-652</v>
      </c>
      <c r="H48" s="49" t="str">
        <f t="shared" si="163"/>
        <v>125</v>
      </c>
      <c r="I48" s="3" t="str">
        <f t="shared" si="164"/>
        <v>50101</v>
      </c>
      <c r="J48" s="3" t="str">
        <f t="shared" si="165"/>
        <v>65</v>
      </c>
      <c r="K48" s="3" t="str">
        <f t="shared" si="166"/>
        <v>652</v>
      </c>
      <c r="L48" s="3">
        <f>IF(SUMIF('Base Pay Report'!$A:$A,'Prop Budget Calc'!$A48,'Base Pay Report'!$I:$I)=80,SUMIF('Base Pay Report'!$A:$A,'Prop Budget Calc'!$A48,'Base Pay Report'!$H:$H)/SUMIF('Base Pay Report'!$A:$A,'Prop Budget Calc'!$A48,'Base Pay Report'!$I:$I),SUMIF('Base Pay Report'!$A:$A,'Prop Budget Calc'!$A48,'Base Pay Report'!$H:$H))</f>
        <v>26.530250000000002</v>
      </c>
      <c r="M48" s="3">
        <f t="shared" si="138"/>
        <v>2080</v>
      </c>
      <c r="N48" s="3" t="str">
        <f>IF(IFERROR(VLOOKUP($A48,'Base Pay Report'!$A:$V,'Prop Budget Calc'!N$2,FALSE),"NO")="No","Update",(VLOOKUP($A48,'Base Pay Report'!$A:$V,'Prop Budget Calc'!N$2,FALSE)))</f>
        <v>SALARY - 5-8</v>
      </c>
      <c r="O48" s="6">
        <f t="shared" si="167"/>
        <v>55190</v>
      </c>
      <c r="P48" s="99">
        <f>IF(SUMIF('Base Pay Report'!A:A,$A48,'Base Pay Report'!J:J)=0,$P$1+40,SUMIF('Base Pay Report'!A:A,$A48,'Base Pay Report'!J:J))</f>
        <v>45264</v>
      </c>
      <c r="Q48" s="87" t="str">
        <f>IF($B48='Current Step Plans'!$B$36,HLOOKUP('Prop Budget Calc'!$L48,'Current Step Plans'!$C$36:$Q$42,7,FALSE),IF($B48='Current Step Plans'!$B$37,HLOOKUP('Prop Budget Calc'!$L48,'Current Step Plans'!$C$37:$Q$42,6,FALSE),IF($B48='Current Step Plans'!$B$38,HLOOKUP('Prop Budget Calc'!$L48,'Current Step Plans'!$C$38:$Q$42,5,FALSE),IF($B48='Current Step Plans'!$B$39,HLOOKUP('Prop Budget Calc'!$L48,'Current Step Plans'!$C$39:$Q$42,4,FALSE),IF($B48='Current Step Plans'!$B$40,HLOOKUP('Prop Budget Calc'!$L48,'Current Step Plans'!$C$40:$Q$42,3,FALSE),IF($B48='Current Step Plans'!$B$41,HLOOKUP('Prop Budget Calc'!$L48,'Current Step Plans'!$C$41:$Q$42,2,FALSE),IF($B48='Current Step Plans'!$B$50,HLOOKUP('Prop Budget Calc'!$L48,'Current Step Plans'!$C$50:$Q$56,7,FALSE),IF($B48='Current Step Plans'!$B$51,HLOOKUP('Prop Budget Calc'!$L48,'Current Step Plans'!$C$51:$Q$56,6,FALSE),IF($B48='Current Step Plans'!$B$52,HLOOKUP('Prop Budget Calc'!$L48,'Current Step Plans'!$C$52:$Q$56,5,FALSE), IF($B48='Current Step Plans'!$B$53,HLOOKUP('Prop Budget Calc'!$L48,'Current Step Plans'!$C$53:$Q$56,4,FALSE),IF($B48='Current Step Plans'!$B$54,HLOOKUP('Prop Budget Calc'!$L48,'Current Step Plans'!$C$54:$Q$56,3,FALSE),IF($B48='Current Step Plans'!$B$55,HLOOKUP('Prop Budget Calc'!$L48,'Current Step Plans'!$C$55:$Q$56,2,FALSE),IF($B48='Current Step Plans'!$B$65,HLOOKUP('Prop Budget Calc'!$L48,'Current Step Plans'!$C$65:$Q$75,11,FALSE),IF($B48='Current Step Plans'!$B$66,HLOOKUP('Prop Budget Calc'!$L48,'Current Step Plans'!$C$66:$Q$75,10,FALSE),IF($B48='Current Step Plans'!$B$67,HLOOKUP('Prop Budget Calc'!$L48,'Current Step Plans'!$C$67:$Q$75,9,FALSE),IF($B48='Current Step Plans'!$B$68,HLOOKUP('Prop Budget Calc'!$L48,'Current Step Plans'!$C$68:$Q$75,8,FALSE),IF($B48='Current Step Plans'!$B$69,HLOOKUP('Prop Budget Calc'!$L48,'Current Step Plans'!$C$69:$Q$75,7,FALSE),IF($B48='Current Step Plans'!$B$70,HLOOKUP('Prop Budget Calc'!$L48,'Current Step Plans'!$C$70:$Q$75,6,FALSE),IF($B48='Current Step Plans'!$B$71,HLOOKUP('Prop Budget Calc'!$L48,'Current Step Plans'!$C$71:$Q$75,5,FALSE),IF($B48='Current Step Plans'!$B$72,HLOOKUP('Prop Budget Calc'!$L48,'Current Step Plans'!$C$72:$Q$75,4,FALSE),IF($B48='Current Step Plans'!$B$73,HLOOKUP('Prop Budget Calc'!$L48,'Current Step Plans'!$C$73:$Q$75,3,FALSE),IF($B48='Current Step Plans'!$B$74,HLOOKUP('Prop Budget Calc'!$L48,'Current Step Plans'!$C$74:$Q$75,2,FALSE),"N"))))))))))))))))))))))</f>
        <v>N</v>
      </c>
      <c r="R48" s="9" t="str">
        <f t="shared" si="139"/>
        <v>N</v>
      </c>
      <c r="S48" s="6">
        <f>IF(Q48="n",0,ROUNDUP(VLOOKUP(B48,'Proposed Step Plans'!B:T,'Prop Budget Calc'!Q48+2,FALSE)*M48,-2)-O48-T48)</f>
        <v>0</v>
      </c>
      <c r="T48" s="6">
        <f>IF(Q48="n",0,ROUNDUP(VLOOKUP(B48,'Current Step Plans'!B:T,'Prop Budget Calc'!Q48+2,FALSE)*M48,0)-O48)</f>
        <v>0</v>
      </c>
      <c r="U48" s="6">
        <f>IF(IFERROR(VLOOKUP($A48,'Market Study'!$A$5:$G$82,7,FALSE),"NA")="NA",0,VLOOKUP($A48,'Market Study'!$A$5:$G$82,7,FALSE))</f>
        <v>0</v>
      </c>
      <c r="V48" s="6">
        <f>IF(OR($T48&lt;&gt;0,$I48="50112",$I48="50109",$S48&lt;&gt;0),0,VLOOKUP($K48,Scenarios!$A$17:$F$73,6,FALSE)*$O48)</f>
        <v>1103.8</v>
      </c>
      <c r="W48" s="6">
        <f t="shared" si="140"/>
        <v>1103.8</v>
      </c>
      <c r="X48" s="6">
        <f>IF(OR($T48&lt;&gt;0,$I48="50112",$I48="50109",$S48&lt;&gt;0),0,VLOOKUP($K48,Scenarios!$A$17:$F$73,2,FALSE)*$O48)</f>
        <v>1103.8</v>
      </c>
      <c r="Y48" s="6">
        <f>IF(OR($T48&lt;&gt;0,$I48="50110",$I48="50109",$S48&lt;&gt;0),0,VLOOKUP($K48,Scenarios!$A$17:$F$73,3,FALSE))</f>
        <v>1175</v>
      </c>
      <c r="Z48" s="6">
        <f>IF(OR($T48&lt;&gt;0,$I48="50112",$I48="50109",$S48&lt;&gt;0),0,VLOOKUP($K48,Scenarios!$A$17:$F$73,4,FALSE))</f>
        <v>0</v>
      </c>
      <c r="AA48" s="6">
        <f t="shared" si="141"/>
        <v>1175</v>
      </c>
      <c r="AB48" s="6">
        <f>IF(OR($T48&lt;&gt;0,$I48="50112",$I48="50109",$S48&lt;&gt;0),0,VLOOKUP($K48,Scenarios!$A$17:$F$73,5,FALSE))</f>
        <v>0</v>
      </c>
      <c r="AC48" s="6">
        <f t="shared" si="168"/>
        <v>2278.8000000000002</v>
      </c>
      <c r="AD48" s="6">
        <f t="shared" si="142"/>
        <v>57469</v>
      </c>
      <c r="AE48" s="84">
        <f t="shared" si="143"/>
        <v>4.1293712629099533E-2</v>
      </c>
      <c r="AF48" s="6">
        <f t="shared" si="144"/>
        <v>13.1</v>
      </c>
      <c r="AG48" s="6">
        <f>IF(AND(OR(I48="50101",I48="50102"),$AF48&gt;12),IF($AF48&gt;=300,(300*Scenarios!$B$14)*$E48,($AF48*Scenarios!$B$14)*$E48),0)</f>
        <v>65.5</v>
      </c>
      <c r="AH48" s="6" t="b">
        <f>IF($R48="y",IF($T48&gt;0,Scenarios!$B$10*'Prop Budget Calc'!$E48,Scenarios!$B$13*'Prop Budget Calc'!$E48))</f>
        <v>0</v>
      </c>
      <c r="AI48" s="6">
        <f>SUMIFS('Deduction Valuation'!$G:$G,'Deduction Valuation'!$F:$F,"CT - Certifications",'Deduction Valuation'!$B:$B,'Prop Budget Calc'!$A48)*$AI$3</f>
        <v>0</v>
      </c>
      <c r="AJ48" s="6">
        <f>SUMIFS('Deduction Valuation'!$G:$G,'Deduction Valuation'!$F:$F,"RP - Regional Pay",'Deduction Valuation'!$B:$B,'Prop Budget Calc'!$A48)*$AI$3</f>
        <v>0</v>
      </c>
      <c r="AK48" s="6">
        <f t="shared" si="145"/>
        <v>0</v>
      </c>
      <c r="AL48" s="6">
        <f>SUMIFS('Deduction Valuation'!$G:$G,'Deduction Valuation'!$F:$F,"CR - Car Allowance",'Deduction Valuation'!$B:$B,'Prop Budget Calc'!$A48)*$AI$3</f>
        <v>0</v>
      </c>
      <c r="AM48" s="6">
        <f>SUMIFS('Deduction Valuation'!$G:$G,'Deduction Valuation'!$F:$F,"DA - Device Allow",'Deduction Valuation'!$B:$B,'Prop Budget Calc'!$A48)*$AI$3</f>
        <v>540</v>
      </c>
      <c r="AN48" s="6">
        <f>SUMIFS('Deduction Valuation'!$G:$G,'Deduction Valuation'!$F:$F,"RA - Replace Allow",'Deduction Valuation'!$B:$B,'Prop Budget Calc'!$A48)</f>
        <v>75</v>
      </c>
      <c r="AO48" s="94">
        <f t="shared" si="146"/>
        <v>615</v>
      </c>
      <c r="AP48" s="94">
        <f t="shared" si="147"/>
        <v>58149.5</v>
      </c>
      <c r="AQ48" s="10">
        <f>IF(OR($I48="50101", $I48="50102", $I48="50109", $I48="50140"),AP48*Scenarios!$H$8,0)</f>
        <v>9850.5252999999993</v>
      </c>
      <c r="AR48" s="9">
        <f>VLOOKUP($D48,WKCMP!$A$1:$C$15,3,FALSE)*AP48</f>
        <v>668.2075344000001</v>
      </c>
      <c r="AS48" s="10">
        <f t="shared" si="148"/>
        <v>843.16775000000007</v>
      </c>
      <c r="AT48" s="11">
        <f t="shared" si="149"/>
        <v>3605.2689999999998</v>
      </c>
      <c r="AU48" s="10">
        <f t="shared" si="150"/>
        <v>4450</v>
      </c>
      <c r="AV48" s="6">
        <f t="shared" si="151"/>
        <v>104.6691</v>
      </c>
      <c r="AW48" s="19">
        <f t="shared" si="152"/>
        <v>158.4</v>
      </c>
      <c r="AX48" s="19">
        <f t="shared" si="153"/>
        <v>15.6</v>
      </c>
      <c r="AY48" s="19">
        <f t="shared" si="154"/>
        <v>11.28</v>
      </c>
      <c r="AZ48" s="88">
        <f t="shared" si="155"/>
        <v>289.94909999999999</v>
      </c>
      <c r="BA48" s="6">
        <f>IF(AND($C48="vacant vacant",$E48=1),$BA$2*$AZ$3,SUMIFS('Employee Enrollments'!$AE:$AE,'Employee Enrollments'!$S:$S,"Medical HDHP",'Employee Enrollments'!$C:$C,'Prop Budget Calc'!$A48)*$AZ$3*(1+Scenarios!$E$9))*(1-$BA$3)</f>
        <v>16547.240087999999</v>
      </c>
      <c r="BB48" s="6">
        <f>IF(AND($C48="vacant vacant",$E48=1),500,SUMIFS('Employee Enrollments'!$AE:$AE,'Employee Enrollments'!$S:$S,"Health Savings Account",'Employee Enrollments'!$C:$C,'Prop Budget Calc'!$A48))</f>
        <v>1000</v>
      </c>
      <c r="BC48" s="56">
        <f t="shared" si="156"/>
        <v>17547.240087999999</v>
      </c>
      <c r="BD48" s="6">
        <f>IF(AND($C48="vacant vacant",$E48=1),$BD$2*$AZ$3,SUMIFS('Employee Enrollments'!$AE:$AE,'Employee Enrollments'!$S:$S,"Dental Plan",'Employee Enrollments'!$C:$C,'Prop Budget Calc'!$A48)*$AZ$3)</f>
        <v>843.48</v>
      </c>
      <c r="BE48" s="6">
        <f t="shared" si="157"/>
        <v>18680.669188</v>
      </c>
      <c r="BF48" s="6">
        <f t="shared" si="158"/>
        <v>33649.402022399998</v>
      </c>
      <c r="BG48" s="6">
        <f t="shared" si="159"/>
        <v>91798.902022399998</v>
      </c>
      <c r="BH48" s="14"/>
      <c r="BI48" s="56"/>
      <c r="BJ48" s="93">
        <f t="shared" si="160"/>
        <v>19781.570400000001</v>
      </c>
      <c r="BK48" s="10">
        <f>IF(SUMIFS('Employee Enrollments'!AB:AB,'Employee Enrollments'!C:C,'Prop Budget Calc'!$A48,'Employee Enrollments'!Q:Q,"Medical")*12=0,'Employee Enrollments'!$AN$1,(SUMIFS('Employee Enrollments'!AB:AB,'Employee Enrollments'!C:C,'Prop Budget Calc'!$A48,'Employee Enrollments'!Q:Q,"Medical")*12))</f>
        <v>2722.56</v>
      </c>
      <c r="BL48" s="10">
        <f>SUMIFS('Employee Enrollments'!AB:AB,'Employee Enrollments'!C:C,'Prop Budget Calc'!$A48,'Employee Enrollments'!Q:Q,"Dental")*12</f>
        <v>364.92</v>
      </c>
    </row>
    <row r="49" spans="1:64" ht="12.75" customHeight="1">
      <c r="A49" s="20" t="s">
        <v>1788</v>
      </c>
      <c r="B49" s="3" t="str">
        <f>IF(IFERROR(VLOOKUP($A49,'Base Pay Report'!$A:$V,'Prop Budget Calc'!B$2,FALSE),"NO")="No","Update",PROPER(VLOOKUP($A49,'Base Pay Report'!$A:$V,'Prop Budget Calc'!B$2,FALSE)))</f>
        <v>Aquatics - Part-Time</v>
      </c>
      <c r="C49" s="3" t="str">
        <f>IF(IFERROR(VLOOKUP($A49,'Base Pay Report'!$A:$V,'Prop Budget Calc'!C$2,FALSE),"NO")="No","Update",PROPER(VLOOKUP($A49,'Base Pay Report'!$A:$V,'Prop Budget Calc'!C$2,FALSE)))</f>
        <v>Aquatics - Part-Time Aquatics - Part-Time</v>
      </c>
      <c r="D49" s="3" t="str">
        <f>IF(IFERROR(VLOOKUP($A49,'Base Pay Report'!$A:$V,'Prop Budget Calc'!D$2,FALSE),"NO")="No","Update",PROPER(VLOOKUP($A49,'Base Pay Report'!$A:$V,'Prop Budget Calc'!D$2,FALSE)))</f>
        <v>9102</v>
      </c>
      <c r="E49" s="8">
        <f t="shared" si="161"/>
        <v>0.48</v>
      </c>
      <c r="F49" s="3" t="str">
        <f>IF(IFERROR(VLOOKUP($A49,'Base Pay Report'!$A:$V,'Prop Budget Calc'!F$2,FALSE),"NO")="No","Update",PROPER(VLOOKUP($A49,'Base Pay Report'!$A:$V,'Prop Budget Calc'!F$2,FALSE)))</f>
        <v>125-65-652-50110</v>
      </c>
      <c r="G49" s="3" t="str">
        <f t="shared" si="162"/>
        <v>125-65-652</v>
      </c>
      <c r="H49" s="49" t="str">
        <f t="shared" si="163"/>
        <v>125</v>
      </c>
      <c r="I49" s="3" t="str">
        <f t="shared" si="164"/>
        <v>50110</v>
      </c>
      <c r="J49" s="3" t="str">
        <f t="shared" si="165"/>
        <v>65</v>
      </c>
      <c r="K49" s="3" t="str">
        <f t="shared" si="166"/>
        <v>652</v>
      </c>
      <c r="L49" s="3">
        <f>IF(SUMIF('Base Pay Report'!$A:$A,'Prop Budget Calc'!$A49,'Base Pay Report'!$I:$I)=80,SUMIF('Base Pay Report'!$A:$A,'Prop Budget Calc'!$A49,'Base Pay Report'!$H:$H)/SUMIF('Base Pay Report'!$A:$A,'Prop Budget Calc'!$A49,'Base Pay Report'!$I:$I),SUMIF('Base Pay Report'!$A:$A,'Prop Budget Calc'!$A49,'Base Pay Report'!$H:$H))</f>
        <v>157.31360070850201</v>
      </c>
      <c r="M49" s="3">
        <f t="shared" si="138"/>
        <v>998.4</v>
      </c>
      <c r="N49" s="3" t="str">
        <f>IF(IFERROR(VLOOKUP($A49,'Base Pay Report'!$A:$V,'Prop Budget Calc'!N$2,FALSE),"NO")="No","Update",(VLOOKUP($A49,'Base Pay Report'!$A:$V,'Prop Budget Calc'!N$2,FALSE)))</f>
        <v>125-65-652-50110-000000</v>
      </c>
      <c r="O49" s="6">
        <f t="shared" si="167"/>
        <v>157070</v>
      </c>
      <c r="P49" s="99">
        <f>IF(SUMIF('Base Pay Report'!A:A,$A49,'Base Pay Report'!J:J)=0,$P$1+40,SUMIF('Base Pay Report'!A:A,$A49,'Base Pay Report'!J:J))</f>
        <v>45027</v>
      </c>
      <c r="Q49" s="87" t="str">
        <f>IF($B49='Current Step Plans'!$B$36,HLOOKUP('Prop Budget Calc'!$L49,'Current Step Plans'!$C$36:$Q$42,7,FALSE),IF($B49='Current Step Plans'!$B$37,HLOOKUP('Prop Budget Calc'!$L49,'Current Step Plans'!$C$37:$Q$42,6,FALSE),IF($B49='Current Step Plans'!$B$38,HLOOKUP('Prop Budget Calc'!$L49,'Current Step Plans'!$C$38:$Q$42,5,FALSE),IF($B49='Current Step Plans'!$B$39,HLOOKUP('Prop Budget Calc'!$L49,'Current Step Plans'!$C$39:$Q$42,4,FALSE),IF($B49='Current Step Plans'!$B$40,HLOOKUP('Prop Budget Calc'!$L49,'Current Step Plans'!$C$40:$Q$42,3,FALSE),IF($B49='Current Step Plans'!$B$41,HLOOKUP('Prop Budget Calc'!$L49,'Current Step Plans'!$C$41:$Q$42,2,FALSE),IF($B49='Current Step Plans'!$B$50,HLOOKUP('Prop Budget Calc'!$L49,'Current Step Plans'!$C$50:$Q$56,7,FALSE),IF($B49='Current Step Plans'!$B$51,HLOOKUP('Prop Budget Calc'!$L49,'Current Step Plans'!$C$51:$Q$56,6,FALSE),IF($B49='Current Step Plans'!$B$52,HLOOKUP('Prop Budget Calc'!$L49,'Current Step Plans'!$C$52:$Q$56,5,FALSE), IF($B49='Current Step Plans'!$B$53,HLOOKUP('Prop Budget Calc'!$L49,'Current Step Plans'!$C$53:$Q$56,4,FALSE),IF($B49='Current Step Plans'!$B$54,HLOOKUP('Prop Budget Calc'!$L49,'Current Step Plans'!$C$54:$Q$56,3,FALSE),IF($B49='Current Step Plans'!$B$55,HLOOKUP('Prop Budget Calc'!$L49,'Current Step Plans'!$C$55:$Q$56,2,FALSE),IF($B49='Current Step Plans'!$B$65,HLOOKUP('Prop Budget Calc'!$L49,'Current Step Plans'!$C$65:$Q$75,11,FALSE),IF($B49='Current Step Plans'!$B$66,HLOOKUP('Prop Budget Calc'!$L49,'Current Step Plans'!$C$66:$Q$75,10,FALSE),IF($B49='Current Step Plans'!$B$67,HLOOKUP('Prop Budget Calc'!$L49,'Current Step Plans'!$C$67:$Q$75,9,FALSE),IF($B49='Current Step Plans'!$B$68,HLOOKUP('Prop Budget Calc'!$L49,'Current Step Plans'!$C$68:$Q$75,8,FALSE),IF($B49='Current Step Plans'!$B$69,HLOOKUP('Prop Budget Calc'!$L49,'Current Step Plans'!$C$69:$Q$75,7,FALSE),IF($B49='Current Step Plans'!$B$70,HLOOKUP('Prop Budget Calc'!$L49,'Current Step Plans'!$C$70:$Q$75,6,FALSE),IF($B49='Current Step Plans'!$B$71,HLOOKUP('Prop Budget Calc'!$L49,'Current Step Plans'!$C$71:$Q$75,5,FALSE),IF($B49='Current Step Plans'!$B$72,HLOOKUP('Prop Budget Calc'!$L49,'Current Step Plans'!$C$72:$Q$75,4,FALSE),IF($B49='Current Step Plans'!$B$73,HLOOKUP('Prop Budget Calc'!$L49,'Current Step Plans'!$C$73:$Q$75,3,FALSE),IF($B49='Current Step Plans'!$B$74,HLOOKUP('Prop Budget Calc'!$L49,'Current Step Plans'!$C$74:$Q$75,2,FALSE),"N"))))))))))))))))))))))</f>
        <v>N</v>
      </c>
      <c r="R49" s="9" t="str">
        <f t="shared" si="139"/>
        <v>N</v>
      </c>
      <c r="S49" s="6">
        <f>IF(Q49="n",0,ROUNDUP(VLOOKUP(B49,'Proposed Step Plans'!B:T,'Prop Budget Calc'!Q49+2,FALSE)*M49,-2)-O49-T49)</f>
        <v>0</v>
      </c>
      <c r="T49" s="6">
        <f>IF(Q49="n",0,ROUNDUP(VLOOKUP(B49,'Current Step Plans'!B:T,'Prop Budget Calc'!Q49+2,FALSE)*M49,0)-O49)</f>
        <v>0</v>
      </c>
      <c r="U49" s="6">
        <f>IF(IFERROR(VLOOKUP($A49,'Market Study'!$A$5:$G$82,7,FALSE),"NA")="NA",0,VLOOKUP($A49,'Market Study'!$A$5:$G$82,7,FALSE))</f>
        <v>0</v>
      </c>
      <c r="V49" s="6">
        <f>IF(OR($T49&lt;&gt;0,$I49="50112",$I49="50109",$S49&lt;&gt;0),0,VLOOKUP($K49,Scenarios!$A$17:$F$73,6,FALSE)*$O49)</f>
        <v>3141.4</v>
      </c>
      <c r="W49" s="6">
        <f t="shared" si="140"/>
        <v>3141.4</v>
      </c>
      <c r="X49" s="6">
        <f>IF(OR($T49&lt;&gt;0,$I49="50112",$I49="50109",$S49&lt;&gt;0),0,VLOOKUP($K49,Scenarios!$A$17:$F$73,2,FALSE)*$O49)</f>
        <v>3141.4</v>
      </c>
      <c r="Y49" s="6">
        <f>IF(OR($T49&lt;&gt;0,$I49="50110",$I49="50109",$S49&lt;&gt;0),0,VLOOKUP($K49,Scenarios!$A$17:$F$73,3,FALSE))</f>
        <v>0</v>
      </c>
      <c r="Z49" s="6">
        <f>IF(OR($T49&lt;&gt;0,$I49="50112",$I49="50109",$S49&lt;&gt;0),0,VLOOKUP($K49,Scenarios!$A$17:$F$73,4,FALSE))</f>
        <v>0</v>
      </c>
      <c r="AA49" s="6">
        <f t="shared" si="141"/>
        <v>3141.4</v>
      </c>
      <c r="AB49" s="6">
        <f>IF(OR($T49&lt;&gt;0,$I49="50112",$I49="50109",$S49&lt;&gt;0),0,VLOOKUP($K49,Scenarios!$A$17:$F$73,5,FALSE))</f>
        <v>0</v>
      </c>
      <c r="AC49" s="6">
        <f t="shared" si="168"/>
        <v>6282.8</v>
      </c>
      <c r="AD49" s="6">
        <f t="shared" si="142"/>
        <v>163353</v>
      </c>
      <c r="AE49" s="84">
        <f t="shared" si="143"/>
        <v>4.0001273317629149E-2</v>
      </c>
      <c r="AF49" s="6">
        <f t="shared" si="144"/>
        <v>21</v>
      </c>
      <c r="AG49" s="6">
        <f>IF(AND(OR(I49="50101",I49="50102"),$AF49&gt;12),IF($AF49&gt;=300,(300*Scenarios!$B$14)*$E49,($AF49*Scenarios!$B$14)*$E49),0)</f>
        <v>0</v>
      </c>
      <c r="AH49" s="6" t="b">
        <f>IF($R49="y",IF($T49&gt;0,Scenarios!$B$10*'Prop Budget Calc'!$E49,Scenarios!$B$13*'Prop Budget Calc'!$E49))</f>
        <v>0</v>
      </c>
      <c r="AI49" s="6">
        <f>SUMIFS('Deduction Valuation'!$G:$G,'Deduction Valuation'!$F:$F,"CT - Certifications",'Deduction Valuation'!$B:$B,'Prop Budget Calc'!$A49)*$AI$3</f>
        <v>0</v>
      </c>
      <c r="AJ49" s="6">
        <f>SUMIFS('Deduction Valuation'!$G:$G,'Deduction Valuation'!$F:$F,"RP - Regional Pay",'Deduction Valuation'!$B:$B,'Prop Budget Calc'!$A49)*$AI$3</f>
        <v>0</v>
      </c>
      <c r="AK49" s="6">
        <f t="shared" si="145"/>
        <v>0</v>
      </c>
      <c r="AL49" s="6">
        <f>SUMIFS('Deduction Valuation'!$G:$G,'Deduction Valuation'!$F:$F,"CR - Car Allowance",'Deduction Valuation'!$B:$B,'Prop Budget Calc'!$A49)*$AI$3</f>
        <v>0</v>
      </c>
      <c r="AM49" s="6">
        <f>SUMIFS('Deduction Valuation'!$G:$G,'Deduction Valuation'!$F:$F,"DA - Device Allow",'Deduction Valuation'!$B:$B,'Prop Budget Calc'!$A49)*$AI$3</f>
        <v>0</v>
      </c>
      <c r="AN49" s="6">
        <f>SUMIFS('Deduction Valuation'!$G:$G,'Deduction Valuation'!$F:$F,"RA - Replace Allow",'Deduction Valuation'!$B:$B,'Prop Budget Calc'!$A49)</f>
        <v>0</v>
      </c>
      <c r="AO49" s="94">
        <f t="shared" si="146"/>
        <v>0</v>
      </c>
      <c r="AP49" s="94">
        <f t="shared" si="147"/>
        <v>163353</v>
      </c>
      <c r="AQ49" s="10">
        <f>IF(OR($I49="50101", $I49="50102", $I49="50109", $I49="50140"),AP49*Scenarios!$H$8,0)</f>
        <v>0</v>
      </c>
      <c r="AR49" s="9">
        <f>VLOOKUP($D49,WKCMP!$A$1:$C$15,3,FALSE)*AP49</f>
        <v>1877.1219936000002</v>
      </c>
      <c r="AS49" s="10">
        <f t="shared" si="148"/>
        <v>2368.6185</v>
      </c>
      <c r="AT49" s="11">
        <f t="shared" si="149"/>
        <v>3849.8428800000006</v>
      </c>
      <c r="AU49" s="10">
        <f t="shared" si="150"/>
        <v>6220</v>
      </c>
      <c r="AV49" s="6">
        <f t="shared" si="151"/>
        <v>294.03539999999998</v>
      </c>
      <c r="AW49" s="19">
        <f t="shared" si="152"/>
        <v>0</v>
      </c>
      <c r="AX49" s="19">
        <f t="shared" si="153"/>
        <v>0</v>
      </c>
      <c r="AY49" s="19">
        <f t="shared" si="154"/>
        <v>0</v>
      </c>
      <c r="AZ49" s="88">
        <f t="shared" si="155"/>
        <v>294.03539999999998</v>
      </c>
      <c r="BA49" s="6">
        <f>IF(AND($C49="vacant vacant",$E49=1),$BA$2*$AZ$3,SUMIFS('Employee Enrollments'!$AE:$AE,'Employee Enrollments'!$S:$S,"Medical HDHP",'Employee Enrollments'!$C:$C,'Prop Budget Calc'!$A49)*$AZ$3*(1+Scenarios!$E$9))*(1-$BA$3)</f>
        <v>0</v>
      </c>
      <c r="BB49" s="6">
        <f>IF(AND($C49="vacant vacant",$E49=1),500,SUMIFS('Employee Enrollments'!$AE:$AE,'Employee Enrollments'!$S:$S,"Health Savings Account",'Employee Enrollments'!$C:$C,'Prop Budget Calc'!$A49))</f>
        <v>0</v>
      </c>
      <c r="BC49" s="56">
        <f t="shared" si="156"/>
        <v>0</v>
      </c>
      <c r="BD49" s="6">
        <f>IF(AND($C49="vacant vacant",$E49=1),$BD$2*$AZ$3,SUMIFS('Employee Enrollments'!$AE:$AE,'Employee Enrollments'!$S:$S,"Dental Plan",'Employee Enrollments'!$C:$C,'Prop Budget Calc'!$A49)*$AZ$3)</f>
        <v>0</v>
      </c>
      <c r="BE49" s="6">
        <f t="shared" si="157"/>
        <v>294.03539999999998</v>
      </c>
      <c r="BF49" s="6">
        <f t="shared" si="158"/>
        <v>8391.1573936000004</v>
      </c>
      <c r="BG49" s="6">
        <f t="shared" si="159"/>
        <v>171744.15739360001</v>
      </c>
      <c r="BH49" s="14"/>
      <c r="BI49" s="56"/>
      <c r="BJ49" s="93">
        <f t="shared" si="160"/>
        <v>1131.8676628352489</v>
      </c>
      <c r="BK49" s="10">
        <f>IF(SUMIFS('Employee Enrollments'!AB:AB,'Employee Enrollments'!C:C,'Prop Budget Calc'!$A49,'Employee Enrollments'!Q:Q,"Medical")*12=0,'Employee Enrollments'!$AN$1,(SUMIFS('Employee Enrollments'!AB:AB,'Employee Enrollments'!C:C,'Prop Budget Calc'!$A49,'Employee Enrollments'!Q:Q,"Medical")*12))</f>
        <v>1131.8676628352489</v>
      </c>
      <c r="BL49" s="10">
        <f>SUMIFS('Employee Enrollments'!AB:AB,'Employee Enrollments'!C:C,'Prop Budget Calc'!$A49,'Employee Enrollments'!Q:Q,"Dental")*12</f>
        <v>0</v>
      </c>
    </row>
    <row r="50" spans="1:64" ht="12.75" customHeight="1">
      <c r="A50" s="20" t="s">
        <v>1789</v>
      </c>
      <c r="B50" s="3" t="str">
        <f>IF(IFERROR(VLOOKUP($A50,'Base Pay Report'!$A:$V,'Prop Budget Calc'!B$2,FALSE),"NO")="No","Update",PROPER(VLOOKUP($A50,'Base Pay Report'!$A:$V,'Prop Budget Calc'!B$2,FALSE)))</f>
        <v>Aquatics - Part-Time</v>
      </c>
      <c r="C50" s="3" t="str">
        <f>IF(IFERROR(VLOOKUP($A50,'Base Pay Report'!$A:$V,'Prop Budget Calc'!C$2,FALSE),"NO")="No","Update",PROPER(VLOOKUP($A50,'Base Pay Report'!$A:$V,'Prop Budget Calc'!C$2,FALSE)))</f>
        <v>Aquatics - Seasonal Aquatics - Seasonal</v>
      </c>
      <c r="D50" s="3" t="str">
        <f>IF(IFERROR(VLOOKUP($A50,'Base Pay Report'!$A:$V,'Prop Budget Calc'!D$2,FALSE),"NO")="No","Update",PROPER(VLOOKUP($A50,'Base Pay Report'!$A:$V,'Prop Budget Calc'!D$2,FALSE)))</f>
        <v>9102</v>
      </c>
      <c r="E50" s="8">
        <f t="shared" si="161"/>
        <v>0.48</v>
      </c>
      <c r="F50" s="3" t="str">
        <f>IF(IFERROR(VLOOKUP($A50,'Base Pay Report'!$A:$V,'Prop Budget Calc'!F$2,FALSE),"NO")="No","Update",PROPER(VLOOKUP($A50,'Base Pay Report'!$A:$V,'Prop Budget Calc'!F$2,FALSE)))</f>
        <v>125-65-652-50110-000000</v>
      </c>
      <c r="G50" s="3" t="str">
        <f t="shared" si="162"/>
        <v>125-65-652</v>
      </c>
      <c r="H50" s="49" t="str">
        <f t="shared" si="163"/>
        <v>125</v>
      </c>
      <c r="I50" s="3" t="str">
        <f t="shared" si="164"/>
        <v>50110</v>
      </c>
      <c r="J50" s="3" t="str">
        <f t="shared" si="165"/>
        <v>65</v>
      </c>
      <c r="K50" s="3" t="str">
        <f t="shared" si="166"/>
        <v>652</v>
      </c>
      <c r="L50" s="3">
        <f>IF(SUMIF('Base Pay Report'!$A:$A,'Prop Budget Calc'!$A50,'Base Pay Report'!$I:$I)=80,SUMIF('Base Pay Report'!$A:$A,'Prop Budget Calc'!$A50,'Base Pay Report'!$H:$H)/SUMIF('Base Pay Report'!$A:$A,'Prop Budget Calc'!$A50,'Base Pay Report'!$I:$I),SUMIF('Base Pay Report'!$A:$A,'Prop Budget Calc'!$A50,'Base Pay Report'!$H:$H))</f>
        <v>120.16263917004048</v>
      </c>
      <c r="M50" s="3">
        <f t="shared" si="138"/>
        <v>998.4</v>
      </c>
      <c r="N50" s="3" t="str">
        <f>IF(IFERROR(VLOOKUP($A50,'Base Pay Report'!$A:$V,'Prop Budget Calc'!N$2,FALSE),"NO")="No","Update",(VLOOKUP($A50,'Base Pay Report'!$A:$V,'Prop Budget Calc'!N$2,FALSE)))</f>
        <v>125-65-652-50110-000000</v>
      </c>
      <c r="O50" s="6">
        <f t="shared" si="167"/>
        <v>119980</v>
      </c>
      <c r="P50" s="99">
        <f>IF(SUMIF('Base Pay Report'!A:A,$A50,'Base Pay Report'!J:J)=0,$P$1+40,SUMIF('Base Pay Report'!A:A,$A50,'Base Pay Report'!J:J))</f>
        <v>45027</v>
      </c>
      <c r="Q50" s="87" t="str">
        <f>IF($B50='Current Step Plans'!$B$36,HLOOKUP('Prop Budget Calc'!$L50,'Current Step Plans'!$C$36:$Q$42,7,FALSE),IF($B50='Current Step Plans'!$B$37,HLOOKUP('Prop Budget Calc'!$L50,'Current Step Plans'!$C$37:$Q$42,6,FALSE),IF($B50='Current Step Plans'!$B$38,HLOOKUP('Prop Budget Calc'!$L50,'Current Step Plans'!$C$38:$Q$42,5,FALSE),IF($B50='Current Step Plans'!$B$39,HLOOKUP('Prop Budget Calc'!$L50,'Current Step Plans'!$C$39:$Q$42,4,FALSE),IF($B50='Current Step Plans'!$B$40,HLOOKUP('Prop Budget Calc'!$L50,'Current Step Plans'!$C$40:$Q$42,3,FALSE),IF($B50='Current Step Plans'!$B$41,HLOOKUP('Prop Budget Calc'!$L50,'Current Step Plans'!$C$41:$Q$42,2,FALSE),IF($B50='Current Step Plans'!$B$50,HLOOKUP('Prop Budget Calc'!$L50,'Current Step Plans'!$C$50:$Q$56,7,FALSE),IF($B50='Current Step Plans'!$B$51,HLOOKUP('Prop Budget Calc'!$L50,'Current Step Plans'!$C$51:$Q$56,6,FALSE),IF($B50='Current Step Plans'!$B$52,HLOOKUP('Prop Budget Calc'!$L50,'Current Step Plans'!$C$52:$Q$56,5,FALSE), IF($B50='Current Step Plans'!$B$53,HLOOKUP('Prop Budget Calc'!$L50,'Current Step Plans'!$C$53:$Q$56,4,FALSE),IF($B50='Current Step Plans'!$B$54,HLOOKUP('Prop Budget Calc'!$L50,'Current Step Plans'!$C$54:$Q$56,3,FALSE),IF($B50='Current Step Plans'!$B$55,HLOOKUP('Prop Budget Calc'!$L50,'Current Step Plans'!$C$55:$Q$56,2,FALSE),IF($B50='Current Step Plans'!$B$65,HLOOKUP('Prop Budget Calc'!$L50,'Current Step Plans'!$C$65:$Q$75,11,FALSE),IF($B50='Current Step Plans'!$B$66,HLOOKUP('Prop Budget Calc'!$L50,'Current Step Plans'!$C$66:$Q$75,10,FALSE),IF($B50='Current Step Plans'!$B$67,HLOOKUP('Prop Budget Calc'!$L50,'Current Step Plans'!$C$67:$Q$75,9,FALSE),IF($B50='Current Step Plans'!$B$68,HLOOKUP('Prop Budget Calc'!$L50,'Current Step Plans'!$C$68:$Q$75,8,FALSE),IF($B50='Current Step Plans'!$B$69,HLOOKUP('Prop Budget Calc'!$L50,'Current Step Plans'!$C$69:$Q$75,7,FALSE),IF($B50='Current Step Plans'!$B$70,HLOOKUP('Prop Budget Calc'!$L50,'Current Step Plans'!$C$70:$Q$75,6,FALSE),IF($B50='Current Step Plans'!$B$71,HLOOKUP('Prop Budget Calc'!$L50,'Current Step Plans'!$C$71:$Q$75,5,FALSE),IF($B50='Current Step Plans'!$B$72,HLOOKUP('Prop Budget Calc'!$L50,'Current Step Plans'!$C$72:$Q$75,4,FALSE),IF($B50='Current Step Plans'!$B$73,HLOOKUP('Prop Budget Calc'!$L50,'Current Step Plans'!$C$73:$Q$75,3,FALSE),IF($B50='Current Step Plans'!$B$74,HLOOKUP('Prop Budget Calc'!$L50,'Current Step Plans'!$C$74:$Q$75,2,FALSE),"N"))))))))))))))))))))))</f>
        <v>N</v>
      </c>
      <c r="R50" s="9" t="str">
        <f t="shared" si="139"/>
        <v>N</v>
      </c>
      <c r="S50" s="6">
        <f>IF(Q50="n",0,ROUNDUP(VLOOKUP(B50,'Proposed Step Plans'!B:T,'Prop Budget Calc'!Q50+2,FALSE)*M50,-2)-O50-T50)</f>
        <v>0</v>
      </c>
      <c r="T50" s="6">
        <f>IF(Q50="n",0,ROUNDUP(VLOOKUP(B50,'Current Step Plans'!B:T,'Prop Budget Calc'!Q50+2,FALSE)*M50,0)-O50)</f>
        <v>0</v>
      </c>
      <c r="U50" s="6">
        <f>IF(IFERROR(VLOOKUP($A50,'Market Study'!$A$5:$G$82,7,FALSE),"NA")="NA",0,VLOOKUP($A50,'Market Study'!$A$5:$G$82,7,FALSE))</f>
        <v>0</v>
      </c>
      <c r="V50" s="6">
        <f>IF(OR($T50&lt;&gt;0,$I50="50112",$I50="50109",$S50&lt;&gt;0),0,VLOOKUP($K50,Scenarios!$A$17:$F$73,6,FALSE)*$O50)</f>
        <v>2399.6</v>
      </c>
      <c r="W50" s="6">
        <f t="shared" si="140"/>
        <v>2399.6</v>
      </c>
      <c r="X50" s="6">
        <f>IF(OR($T50&lt;&gt;0,$I50="50112",$I50="50109",$S50&lt;&gt;0),0,VLOOKUP($K50,Scenarios!$A$17:$F$73,2,FALSE)*$O50)</f>
        <v>2399.6</v>
      </c>
      <c r="Y50" s="6">
        <f>IF(OR($T50&lt;&gt;0,$I50="50110",$I50="50109",$S50&lt;&gt;0),0,VLOOKUP($K50,Scenarios!$A$17:$F$73,3,FALSE))</f>
        <v>0</v>
      </c>
      <c r="Z50" s="6">
        <f>IF(OR($T50&lt;&gt;0,$I50="50112",$I50="50109",$S50&lt;&gt;0),0,VLOOKUP($K50,Scenarios!$A$17:$F$73,4,FALSE))</f>
        <v>0</v>
      </c>
      <c r="AA50" s="6">
        <f t="shared" si="141"/>
        <v>2399.6</v>
      </c>
      <c r="AB50" s="6">
        <f>IF(OR($T50&lt;&gt;0,$I50="50112",$I50="50109",$S50&lt;&gt;0),0,VLOOKUP($K50,Scenarios!$A$17:$F$73,5,FALSE))</f>
        <v>0</v>
      </c>
      <c r="AC50" s="6">
        <f t="shared" si="168"/>
        <v>4799.2</v>
      </c>
      <c r="AD50" s="6">
        <f t="shared" si="142"/>
        <v>124780</v>
      </c>
      <c r="AE50" s="84">
        <f t="shared" si="143"/>
        <v>4.0006667777962912E-2</v>
      </c>
      <c r="AF50" s="6">
        <f t="shared" si="144"/>
        <v>21</v>
      </c>
      <c r="AG50" s="6">
        <f>IF(AND(OR(I50="50101",I50="50102"),$AF50&gt;12),IF($AF50&gt;=300,(300*Scenarios!$B$14)*$E50,($AF50*Scenarios!$B$14)*$E50),0)</f>
        <v>0</v>
      </c>
      <c r="AH50" s="6" t="b">
        <f>IF($R50="y",IF($T50&gt;0,Scenarios!$B$10*'Prop Budget Calc'!$E50,Scenarios!$B$13*'Prop Budget Calc'!$E50))</f>
        <v>0</v>
      </c>
      <c r="AI50" s="6">
        <f>SUMIFS('Deduction Valuation'!$G:$G,'Deduction Valuation'!$F:$F,"CT - Certifications",'Deduction Valuation'!$B:$B,'Prop Budget Calc'!$A50)*$AI$3</f>
        <v>0</v>
      </c>
      <c r="AJ50" s="6">
        <f>SUMIFS('Deduction Valuation'!$G:$G,'Deduction Valuation'!$F:$F,"RP - Regional Pay",'Deduction Valuation'!$B:$B,'Prop Budget Calc'!$A50)*$AI$3</f>
        <v>0</v>
      </c>
      <c r="AK50" s="6">
        <f t="shared" si="145"/>
        <v>0</v>
      </c>
      <c r="AL50" s="6">
        <f>SUMIFS('Deduction Valuation'!$G:$G,'Deduction Valuation'!$F:$F,"CR - Car Allowance",'Deduction Valuation'!$B:$B,'Prop Budget Calc'!$A50)*$AI$3</f>
        <v>0</v>
      </c>
      <c r="AM50" s="6">
        <f>SUMIFS('Deduction Valuation'!$G:$G,'Deduction Valuation'!$F:$F,"DA - Device Allow",'Deduction Valuation'!$B:$B,'Prop Budget Calc'!$A50)*$AI$3</f>
        <v>0</v>
      </c>
      <c r="AN50" s="6">
        <f>SUMIFS('Deduction Valuation'!$G:$G,'Deduction Valuation'!$F:$F,"RA - Replace Allow",'Deduction Valuation'!$B:$B,'Prop Budget Calc'!$A50)</f>
        <v>0</v>
      </c>
      <c r="AO50" s="94">
        <f t="shared" si="146"/>
        <v>0</v>
      </c>
      <c r="AP50" s="94">
        <f t="shared" si="147"/>
        <v>124780</v>
      </c>
      <c r="AQ50" s="10">
        <f>IF(OR($I50="50101", $I50="50102", $I50="50109", $I50="50140"),AP50*Scenarios!$H$8,0)</f>
        <v>0</v>
      </c>
      <c r="AR50" s="9">
        <f>VLOOKUP($D50,WKCMP!$A$1:$C$15,3,FALSE)*AP50</f>
        <v>1433.8719360000002</v>
      </c>
      <c r="AS50" s="10">
        <f t="shared" si="148"/>
        <v>1809.3100000000002</v>
      </c>
      <c r="AT50" s="11">
        <f t="shared" si="149"/>
        <v>7736.36</v>
      </c>
      <c r="AU50" s="10">
        <f t="shared" si="150"/>
        <v>9550</v>
      </c>
      <c r="AV50" s="6">
        <f t="shared" si="151"/>
        <v>224.60399999999998</v>
      </c>
      <c r="AW50" s="19">
        <f t="shared" si="152"/>
        <v>0</v>
      </c>
      <c r="AX50" s="19">
        <f t="shared" si="153"/>
        <v>0</v>
      </c>
      <c r="AY50" s="19">
        <f t="shared" si="154"/>
        <v>0</v>
      </c>
      <c r="AZ50" s="88">
        <f t="shared" si="155"/>
        <v>224.60399999999998</v>
      </c>
      <c r="BA50" s="6">
        <f>IF(AND($C50="vacant vacant",$E50=1),$BA$2*$AZ$3,SUMIFS('Employee Enrollments'!$AE:$AE,'Employee Enrollments'!$S:$S,"Medical HDHP",'Employee Enrollments'!$C:$C,'Prop Budget Calc'!$A50)*$AZ$3*(1+Scenarios!$E$9))*(1-$BA$3)</f>
        <v>0</v>
      </c>
      <c r="BB50" s="6">
        <f>IF(AND($C50="vacant vacant",$E50=1),500,SUMIFS('Employee Enrollments'!$AE:$AE,'Employee Enrollments'!$S:$S,"Health Savings Account",'Employee Enrollments'!$C:$C,'Prop Budget Calc'!$A50))</f>
        <v>0</v>
      </c>
      <c r="BC50" s="56">
        <f t="shared" si="156"/>
        <v>0</v>
      </c>
      <c r="BD50" s="6">
        <f>IF(AND($C50="vacant vacant",$E50=1),$BD$2*$AZ$3,SUMIFS('Employee Enrollments'!$AE:$AE,'Employee Enrollments'!$S:$S,"Dental Plan",'Employee Enrollments'!$C:$C,'Prop Budget Calc'!$A50)*$AZ$3)</f>
        <v>0</v>
      </c>
      <c r="BE50" s="6">
        <f t="shared" si="157"/>
        <v>224.60399999999998</v>
      </c>
      <c r="BF50" s="6">
        <f t="shared" si="158"/>
        <v>11208.475935999999</v>
      </c>
      <c r="BG50" s="6">
        <f t="shared" si="159"/>
        <v>135988.475936</v>
      </c>
      <c r="BH50" s="14"/>
      <c r="BI50" s="56"/>
      <c r="BJ50" s="93">
        <f t="shared" si="160"/>
        <v>1131.8676628352489</v>
      </c>
      <c r="BK50" s="10">
        <f>IF(SUMIFS('Employee Enrollments'!AB:AB,'Employee Enrollments'!C:C,'Prop Budget Calc'!$A50,'Employee Enrollments'!Q:Q,"Medical")*12=0,'Employee Enrollments'!$AN$1,(SUMIFS('Employee Enrollments'!AB:AB,'Employee Enrollments'!C:C,'Prop Budget Calc'!$A50,'Employee Enrollments'!Q:Q,"Medical")*12))</f>
        <v>1131.8676628352489</v>
      </c>
      <c r="BL50" s="10">
        <f>SUMIFS('Employee Enrollments'!AB:AB,'Employee Enrollments'!C:C,'Prop Budget Calc'!$A50,'Employee Enrollments'!Q:Q,"Dental")*12</f>
        <v>0</v>
      </c>
    </row>
    <row r="51" spans="1:64" ht="12.75" customHeight="1">
      <c r="A51" s="20" t="s">
        <v>1794</v>
      </c>
      <c r="B51" s="3" t="str">
        <f>IF(IFERROR(VLOOKUP($A51,'Base Pay Report'!$A:$V,'Prop Budget Calc'!B$2,FALSE),"NO")="No","Update",PROPER(VLOOKUP($A51,'Base Pay Report'!$A:$V,'Prop Budget Calc'!B$2,FALSE)))</f>
        <v>Cust Svc - Seasonal</v>
      </c>
      <c r="C51" s="3" t="str">
        <f>IF(IFERROR(VLOOKUP($A51,'Base Pay Report'!$A:$V,'Prop Budget Calc'!C$2,FALSE),"NO")="No","Update",PROPER(VLOOKUP($A51,'Base Pay Report'!$A:$V,'Prop Budget Calc'!C$2,FALSE)))</f>
        <v>Cust Svc - Seasonal Cust Svc - Seasonal</v>
      </c>
      <c r="D51" s="3" t="str">
        <f>IF(IFERROR(VLOOKUP($A51,'Base Pay Report'!$A:$V,'Prop Budget Calc'!D$2,FALSE),"NO")="No","Update",PROPER(VLOOKUP($A51,'Base Pay Report'!$A:$V,'Prop Budget Calc'!D$2,FALSE)))</f>
        <v>9102</v>
      </c>
      <c r="E51" s="8">
        <f t="shared" si="161"/>
        <v>0.48</v>
      </c>
      <c r="F51" s="3" t="str">
        <f>IF(IFERROR(VLOOKUP($A51,'Base Pay Report'!$A:$V,'Prop Budget Calc'!F$2,FALSE),"NO")="No","Update",PROPER(VLOOKUP($A51,'Base Pay Report'!$A:$V,'Prop Budget Calc'!F$2,FALSE)))</f>
        <v>125-65-656-50110-000000</v>
      </c>
      <c r="G51" s="3" t="str">
        <f t="shared" si="162"/>
        <v>125-65-656</v>
      </c>
      <c r="H51" s="49" t="str">
        <f t="shared" si="163"/>
        <v>125</v>
      </c>
      <c r="I51" s="3" t="str">
        <f t="shared" si="164"/>
        <v>50110</v>
      </c>
      <c r="J51" s="3" t="str">
        <f t="shared" si="165"/>
        <v>65</v>
      </c>
      <c r="K51" s="3" t="str">
        <f t="shared" si="166"/>
        <v>656</v>
      </c>
      <c r="L51" s="3">
        <f>IF(SUMIF('Base Pay Report'!$A:$A,'Prop Budget Calc'!$A51,'Base Pay Report'!$I:$I)=80,SUMIF('Base Pay Report'!$A:$A,'Prop Budget Calc'!$A51,'Base Pay Report'!$H:$H)/SUMIF('Base Pay Report'!$A:$A,'Prop Budget Calc'!$A51,'Base Pay Report'!$I:$I),SUMIF('Base Pay Report'!$A:$A,'Prop Budget Calc'!$A51,'Base Pay Report'!$H:$H))</f>
        <v>44.635627530364374</v>
      </c>
      <c r="M51" s="3">
        <f t="shared" si="138"/>
        <v>998.4</v>
      </c>
      <c r="N51" s="3" t="str">
        <f>IF(IFERROR(VLOOKUP($A51,'Base Pay Report'!$A:$V,'Prop Budget Calc'!N$2,FALSE),"NO")="No","Update",(VLOOKUP($A51,'Base Pay Report'!$A:$V,'Prop Budget Calc'!N$2,FALSE)))</f>
        <v>125-65-656-50112-000000</v>
      </c>
      <c r="O51" s="6">
        <f t="shared" si="167"/>
        <v>44570</v>
      </c>
      <c r="P51" s="99">
        <f>IF(SUMIF('Base Pay Report'!A:A,$A51,'Base Pay Report'!J:J)=0,$P$1+40,SUMIF('Base Pay Report'!A:A,$A51,'Base Pay Report'!J:J))</f>
        <v>45027</v>
      </c>
      <c r="Q51" s="87" t="str">
        <f>IF($B51='Current Step Plans'!$B$36,HLOOKUP('Prop Budget Calc'!$L51,'Current Step Plans'!$C$36:$Q$42,7,FALSE),IF($B51='Current Step Plans'!$B$37,HLOOKUP('Prop Budget Calc'!$L51,'Current Step Plans'!$C$37:$Q$42,6,FALSE),IF($B51='Current Step Plans'!$B$38,HLOOKUP('Prop Budget Calc'!$L51,'Current Step Plans'!$C$38:$Q$42,5,FALSE),IF($B51='Current Step Plans'!$B$39,HLOOKUP('Prop Budget Calc'!$L51,'Current Step Plans'!$C$39:$Q$42,4,FALSE),IF($B51='Current Step Plans'!$B$40,HLOOKUP('Prop Budget Calc'!$L51,'Current Step Plans'!$C$40:$Q$42,3,FALSE),IF($B51='Current Step Plans'!$B$41,HLOOKUP('Prop Budget Calc'!$L51,'Current Step Plans'!$C$41:$Q$42,2,FALSE),IF($B51='Current Step Plans'!$B$50,HLOOKUP('Prop Budget Calc'!$L51,'Current Step Plans'!$C$50:$Q$56,7,FALSE),IF($B51='Current Step Plans'!$B$51,HLOOKUP('Prop Budget Calc'!$L51,'Current Step Plans'!$C$51:$Q$56,6,FALSE),IF($B51='Current Step Plans'!$B$52,HLOOKUP('Prop Budget Calc'!$L51,'Current Step Plans'!$C$52:$Q$56,5,FALSE), IF($B51='Current Step Plans'!$B$53,HLOOKUP('Prop Budget Calc'!$L51,'Current Step Plans'!$C$53:$Q$56,4,FALSE),IF($B51='Current Step Plans'!$B$54,HLOOKUP('Prop Budget Calc'!$L51,'Current Step Plans'!$C$54:$Q$56,3,FALSE),IF($B51='Current Step Plans'!$B$55,HLOOKUP('Prop Budget Calc'!$L51,'Current Step Plans'!$C$55:$Q$56,2,FALSE),IF($B51='Current Step Plans'!$B$65,HLOOKUP('Prop Budget Calc'!$L51,'Current Step Plans'!$C$65:$Q$75,11,FALSE),IF($B51='Current Step Plans'!$B$66,HLOOKUP('Prop Budget Calc'!$L51,'Current Step Plans'!$C$66:$Q$75,10,FALSE),IF($B51='Current Step Plans'!$B$67,HLOOKUP('Prop Budget Calc'!$L51,'Current Step Plans'!$C$67:$Q$75,9,FALSE),IF($B51='Current Step Plans'!$B$68,HLOOKUP('Prop Budget Calc'!$L51,'Current Step Plans'!$C$68:$Q$75,8,FALSE),IF($B51='Current Step Plans'!$B$69,HLOOKUP('Prop Budget Calc'!$L51,'Current Step Plans'!$C$69:$Q$75,7,FALSE),IF($B51='Current Step Plans'!$B$70,HLOOKUP('Prop Budget Calc'!$L51,'Current Step Plans'!$C$70:$Q$75,6,FALSE),IF($B51='Current Step Plans'!$B$71,HLOOKUP('Prop Budget Calc'!$L51,'Current Step Plans'!$C$71:$Q$75,5,FALSE),IF($B51='Current Step Plans'!$B$72,HLOOKUP('Prop Budget Calc'!$L51,'Current Step Plans'!$C$72:$Q$75,4,FALSE),IF($B51='Current Step Plans'!$B$73,HLOOKUP('Prop Budget Calc'!$L51,'Current Step Plans'!$C$73:$Q$75,3,FALSE),IF($B51='Current Step Plans'!$B$74,HLOOKUP('Prop Budget Calc'!$L51,'Current Step Plans'!$C$74:$Q$75,2,FALSE),"N"))))))))))))))))))))))</f>
        <v>N</v>
      </c>
      <c r="R51" s="9" t="str">
        <f t="shared" si="139"/>
        <v>N</v>
      </c>
      <c r="S51" s="6">
        <f>IF(Q51="n",0,ROUNDUP(VLOOKUP(B51,'Proposed Step Plans'!B:T,'Prop Budget Calc'!Q51+2,FALSE)*M51,-2)-O51-T51)</f>
        <v>0</v>
      </c>
      <c r="T51" s="6">
        <f>IF(Q51="n",0,ROUNDUP(VLOOKUP(B51,'Current Step Plans'!B:T,'Prop Budget Calc'!Q51+2,FALSE)*M51,0)-O51)</f>
        <v>0</v>
      </c>
      <c r="U51" s="6">
        <f>IF(IFERROR(VLOOKUP($A51,'Market Study'!$A$5:$G$82,7,FALSE),"NA")="NA",0,VLOOKUP($A51,'Market Study'!$A$5:$G$82,7,FALSE))</f>
        <v>0</v>
      </c>
      <c r="V51" s="6">
        <f>IF(OR($T51&lt;&gt;0,$I51="50112",$I51="50109",$S51&lt;&gt;0),0,VLOOKUP($K51,Scenarios!$A$17:$F$73,6,FALSE)*$O51)</f>
        <v>891.4</v>
      </c>
      <c r="W51" s="6">
        <f t="shared" si="140"/>
        <v>891.4</v>
      </c>
      <c r="X51" s="6">
        <f>IF(OR($T51&lt;&gt;0,$I51="50112",$I51="50109",$S51&lt;&gt;0),0,VLOOKUP($K51,Scenarios!$A$17:$F$73,2,FALSE)*$O51)</f>
        <v>891.4</v>
      </c>
      <c r="Y51" s="6">
        <f>IF(OR($T51&lt;&gt;0,$I51="50110",$I51="50109",$S51&lt;&gt;0),0,VLOOKUP($K51,Scenarios!$A$17:$F$73,3,FALSE))</f>
        <v>0</v>
      </c>
      <c r="Z51" s="6">
        <f>IF(OR($T51&lt;&gt;0,$I51="50112",$I51="50109",$S51&lt;&gt;0),0,VLOOKUP($K51,Scenarios!$A$17:$F$73,4,FALSE))</f>
        <v>0</v>
      </c>
      <c r="AA51" s="6">
        <f t="shared" si="141"/>
        <v>891.4</v>
      </c>
      <c r="AB51" s="6">
        <f>IF(OR($T51&lt;&gt;0,$I51="50112",$I51="50109",$S51&lt;&gt;0),0,VLOOKUP($K51,Scenarios!$A$17:$F$73,5,FALSE))</f>
        <v>0</v>
      </c>
      <c r="AC51" s="6">
        <f t="shared" si="168"/>
        <v>1782.8</v>
      </c>
      <c r="AD51" s="6">
        <f t="shared" si="142"/>
        <v>46353</v>
      </c>
      <c r="AE51" s="84">
        <f t="shared" si="143"/>
        <v>4.0004487323311633E-2</v>
      </c>
      <c r="AF51" s="6">
        <f t="shared" si="144"/>
        <v>21</v>
      </c>
      <c r="AG51" s="6">
        <f>IF(AND(OR(I51="50101",I51="50102"),$AF51&gt;12),IF($AF51&gt;=300,(300*Scenarios!$B$14)*$E51,($AF51*Scenarios!$B$14)*$E51),0)</f>
        <v>0</v>
      </c>
      <c r="AH51" s="6" t="b">
        <f>IF($R51="y",IF($T51&gt;0,Scenarios!$B$10*'Prop Budget Calc'!$E51,Scenarios!$B$13*'Prop Budget Calc'!$E51))</f>
        <v>0</v>
      </c>
      <c r="AI51" s="6">
        <f>SUMIFS('Deduction Valuation'!$G:$G,'Deduction Valuation'!$F:$F,"CT - Certifications",'Deduction Valuation'!$B:$B,'Prop Budget Calc'!$A51)*$AI$3</f>
        <v>0</v>
      </c>
      <c r="AJ51" s="6">
        <f>SUMIFS('Deduction Valuation'!$G:$G,'Deduction Valuation'!$F:$F,"RP - Regional Pay",'Deduction Valuation'!$B:$B,'Prop Budget Calc'!$A51)*$AI$3</f>
        <v>0</v>
      </c>
      <c r="AK51" s="6">
        <f t="shared" si="145"/>
        <v>0</v>
      </c>
      <c r="AL51" s="6">
        <f>SUMIFS('Deduction Valuation'!$G:$G,'Deduction Valuation'!$F:$F,"CR - Car Allowance",'Deduction Valuation'!$B:$B,'Prop Budget Calc'!$A51)*$AI$3</f>
        <v>0</v>
      </c>
      <c r="AM51" s="6">
        <f>SUMIFS('Deduction Valuation'!$G:$G,'Deduction Valuation'!$F:$F,"DA - Device Allow",'Deduction Valuation'!$B:$B,'Prop Budget Calc'!$A51)*$AI$3</f>
        <v>0</v>
      </c>
      <c r="AN51" s="6">
        <f>SUMIFS('Deduction Valuation'!$G:$G,'Deduction Valuation'!$F:$F,"RA - Replace Allow",'Deduction Valuation'!$B:$B,'Prop Budget Calc'!$A51)</f>
        <v>0</v>
      </c>
      <c r="AO51" s="94">
        <f t="shared" si="146"/>
        <v>0</v>
      </c>
      <c r="AP51" s="94">
        <f t="shared" si="147"/>
        <v>46353</v>
      </c>
      <c r="AQ51" s="10">
        <f>IF(OR($I51="50101", $I51="50102", $I51="50109", $I51="50140"),AP51*Scenarios!$H$8,0)</f>
        <v>0</v>
      </c>
      <c r="AR51" s="9">
        <f>VLOOKUP($D51,WKCMP!$A$1:$C$15,3,FALSE)*AP51</f>
        <v>532.65159360000007</v>
      </c>
      <c r="AS51" s="10">
        <f t="shared" si="148"/>
        <v>672.11850000000004</v>
      </c>
      <c r="AT51" s="11">
        <f t="shared" si="149"/>
        <v>2873.886</v>
      </c>
      <c r="AU51" s="10">
        <f t="shared" si="150"/>
        <v>3550</v>
      </c>
      <c r="AV51" s="6">
        <f t="shared" si="151"/>
        <v>83.435400000000001</v>
      </c>
      <c r="AW51" s="19">
        <f t="shared" si="152"/>
        <v>0</v>
      </c>
      <c r="AX51" s="19">
        <f t="shared" si="153"/>
        <v>0</v>
      </c>
      <c r="AY51" s="19">
        <f t="shared" si="154"/>
        <v>0</v>
      </c>
      <c r="AZ51" s="88">
        <f t="shared" si="155"/>
        <v>83.435400000000001</v>
      </c>
      <c r="BA51" s="6">
        <f>IF(AND($C51="vacant vacant",$E51=1),$BA$2*$AZ$3,SUMIFS('Employee Enrollments'!$AE:$AE,'Employee Enrollments'!$S:$S,"Medical HDHP",'Employee Enrollments'!$C:$C,'Prop Budget Calc'!$A51)*$AZ$3*(1+Scenarios!$E$9))*(1-$BA$3)</f>
        <v>0</v>
      </c>
      <c r="BB51" s="6">
        <f>IF(AND($C51="vacant vacant",$E51=1),500,SUMIFS('Employee Enrollments'!$AE:$AE,'Employee Enrollments'!$S:$S,"Health Savings Account",'Employee Enrollments'!$C:$C,'Prop Budget Calc'!$A51))</f>
        <v>0</v>
      </c>
      <c r="BC51" s="56">
        <f t="shared" si="156"/>
        <v>0</v>
      </c>
      <c r="BD51" s="6">
        <f>IF(AND($C51="vacant vacant",$E51=1),$BD$2*$AZ$3,SUMIFS('Employee Enrollments'!$AE:$AE,'Employee Enrollments'!$S:$S,"Dental Plan",'Employee Enrollments'!$C:$C,'Prop Budget Calc'!$A51)*$AZ$3)</f>
        <v>0</v>
      </c>
      <c r="BE51" s="6">
        <f t="shared" si="157"/>
        <v>83.435400000000001</v>
      </c>
      <c r="BF51" s="6">
        <f t="shared" si="158"/>
        <v>4166.0869935999999</v>
      </c>
      <c r="BG51" s="6">
        <f t="shared" si="159"/>
        <v>50519.086993600002</v>
      </c>
      <c r="BH51" s="14"/>
      <c r="BI51" s="56"/>
      <c r="BJ51" s="93">
        <f t="shared" si="160"/>
        <v>1131.8676628352489</v>
      </c>
      <c r="BK51" s="10">
        <f>IF(SUMIFS('Employee Enrollments'!AB:AB,'Employee Enrollments'!C:C,'Prop Budget Calc'!$A51,'Employee Enrollments'!Q:Q,"Medical")*12=0,'Employee Enrollments'!$AN$1,(SUMIFS('Employee Enrollments'!AB:AB,'Employee Enrollments'!C:C,'Prop Budget Calc'!$A51,'Employee Enrollments'!Q:Q,"Medical")*12))</f>
        <v>1131.8676628352489</v>
      </c>
      <c r="BL51" s="10">
        <f>SUMIFS('Employee Enrollments'!AB:AB,'Employee Enrollments'!C:C,'Prop Budget Calc'!$A51,'Employee Enrollments'!Q:Q,"Dental")*12</f>
        <v>0</v>
      </c>
    </row>
    <row r="52" spans="1:64" ht="12.75" customHeight="1">
      <c r="A52" s="20" t="s">
        <v>1393</v>
      </c>
      <c r="B52" s="3" t="str">
        <f>IF(IFERROR(VLOOKUP($A52,'Base Pay Report'!$A:$V,'Prop Budget Calc'!B$2,FALSE),"NO")="No","Update",PROPER(VLOOKUP($A52,'Base Pay Report'!$A:$V,'Prop Budget Calc'!B$2,FALSE)))</f>
        <v>Support Services Manager</v>
      </c>
      <c r="C52" s="3" t="str">
        <f>IF(IFERROR(VLOOKUP($A52,'Base Pay Report'!$A:$V,'Prop Budget Calc'!C$2,FALSE),"NO")="No","Update",PROPER(VLOOKUP($A52,'Base Pay Report'!$A:$V,'Prop Budget Calc'!C$2,FALSE)))</f>
        <v>First Name Last Name</v>
      </c>
      <c r="D52" s="3" t="str">
        <f>IF(IFERROR(VLOOKUP($A52,'Base Pay Report'!$A:$V,'Prop Budget Calc'!D$2,FALSE),"NO")="No","Update",PROPER(VLOOKUP($A52,'Base Pay Report'!$A:$V,'Prop Budget Calc'!D$2,FALSE)))</f>
        <v>8810</v>
      </c>
      <c r="E52" s="8">
        <f>IF(OR(I52="50101",I52="50102"),1,IF(I52="50110",0.48,IF(I52="50112",0.25,1)))</f>
        <v>1</v>
      </c>
      <c r="F52" s="3" t="str">
        <f>IF(IFERROR(VLOOKUP($A52,'Base Pay Report'!$A:$V,'Prop Budget Calc'!F$2,FALSE),"NO")="No","Update",PROPER(VLOOKUP($A52,'Base Pay Report'!$A:$V,'Prop Budget Calc'!F$2,FALSE)))</f>
        <v>200-70-701-50101</v>
      </c>
      <c r="G52" s="3" t="str">
        <f>LEFT(F52,10)</f>
        <v>200-70-701</v>
      </c>
      <c r="H52" s="49" t="str">
        <f>LEFT(F52,3)</f>
        <v>200</v>
      </c>
      <c r="I52" s="3" t="str">
        <f>MID(F52,12,5)</f>
        <v>50101</v>
      </c>
      <c r="J52" s="3" t="str">
        <f>MID(F52,5,2)</f>
        <v>70</v>
      </c>
      <c r="K52" s="3" t="str">
        <f>MID(F52,8,3)</f>
        <v>701</v>
      </c>
      <c r="L52" s="3">
        <f>IF(SUMIF('Base Pay Report'!$A:$A,'Prop Budget Calc'!$A52,'Base Pay Report'!$I:$I)=80,SUMIF('Base Pay Report'!$A:$A,'Prop Budget Calc'!$A52,'Base Pay Report'!$H:$H)/SUMIF('Base Pay Report'!$A:$A,'Prop Budget Calc'!$A52,'Base Pay Report'!$I:$I),SUMIF('Base Pay Report'!$A:$A,'Prop Budget Calc'!$A52,'Base Pay Report'!$H:$H))</f>
        <v>38.698625</v>
      </c>
      <c r="M52" s="3">
        <f t="shared" si="138"/>
        <v>2080</v>
      </c>
      <c r="N52" s="3" t="str">
        <f>IF(IFERROR(VLOOKUP($A52,'Base Pay Report'!$A:$V,'Prop Budget Calc'!N$2,FALSE),"NO")="No","Update",(VLOOKUP($A52,'Base Pay Report'!$A:$V,'Prop Budget Calc'!N$2,FALSE)))</f>
        <v>SALARY - 4-10</v>
      </c>
      <c r="O52" s="6">
        <f>ROUNDUP(L52*M52,-1)</f>
        <v>80500</v>
      </c>
      <c r="P52" s="99">
        <f>IF(SUMIF('Base Pay Report'!A:A,$A52,'Base Pay Report'!J:J)=0,$P$1+40,SUMIF('Base Pay Report'!A:A,$A52,'Base Pay Report'!J:J))</f>
        <v>41058</v>
      </c>
      <c r="Q52" s="87" t="str">
        <f>IF($B52='Current Step Plans'!$B$36,HLOOKUP('Prop Budget Calc'!$L52,'Current Step Plans'!$C$36:$Q$42,7,FALSE),IF($B52='Current Step Plans'!$B$37,HLOOKUP('Prop Budget Calc'!$L52,'Current Step Plans'!$C$37:$Q$42,6,FALSE),IF($B52='Current Step Plans'!$B$38,HLOOKUP('Prop Budget Calc'!$L52,'Current Step Plans'!$C$38:$Q$42,5,FALSE),IF($B52='Current Step Plans'!$B$39,HLOOKUP('Prop Budget Calc'!$L52,'Current Step Plans'!$C$39:$Q$42,4,FALSE),IF($B52='Current Step Plans'!$B$40,HLOOKUP('Prop Budget Calc'!$L52,'Current Step Plans'!$C$40:$Q$42,3,FALSE),IF($B52='Current Step Plans'!$B$41,HLOOKUP('Prop Budget Calc'!$L52,'Current Step Plans'!$C$41:$Q$42,2,FALSE),IF($B52='Current Step Plans'!$B$50,HLOOKUP('Prop Budget Calc'!$L52,'Current Step Plans'!$C$50:$Q$56,7,FALSE),IF($B52='Current Step Plans'!$B$51,HLOOKUP('Prop Budget Calc'!$L52,'Current Step Plans'!$C$51:$Q$56,6,FALSE),IF($B52='Current Step Plans'!$B$52,HLOOKUP('Prop Budget Calc'!$L52,'Current Step Plans'!$C$52:$Q$56,5,FALSE), IF($B52='Current Step Plans'!$B$53,HLOOKUP('Prop Budget Calc'!$L52,'Current Step Plans'!$C$53:$Q$56,4,FALSE),IF($B52='Current Step Plans'!$B$54,HLOOKUP('Prop Budget Calc'!$L52,'Current Step Plans'!$C$54:$Q$56,3,FALSE),IF($B52='Current Step Plans'!$B$55,HLOOKUP('Prop Budget Calc'!$L52,'Current Step Plans'!$C$55:$Q$56,2,FALSE),IF($B52='Current Step Plans'!$B$65,HLOOKUP('Prop Budget Calc'!$L52,'Current Step Plans'!$C$65:$Q$75,11,FALSE),IF($B52='Current Step Plans'!$B$66,HLOOKUP('Prop Budget Calc'!$L52,'Current Step Plans'!$C$66:$Q$75,10,FALSE),IF($B52='Current Step Plans'!$B$67,HLOOKUP('Prop Budget Calc'!$L52,'Current Step Plans'!$C$67:$Q$75,9,FALSE),IF($B52='Current Step Plans'!$B$68,HLOOKUP('Prop Budget Calc'!$L52,'Current Step Plans'!$C$68:$Q$75,8,FALSE),IF($B52='Current Step Plans'!$B$69,HLOOKUP('Prop Budget Calc'!$L52,'Current Step Plans'!$C$69:$Q$75,7,FALSE),IF($B52='Current Step Plans'!$B$70,HLOOKUP('Prop Budget Calc'!$L52,'Current Step Plans'!$C$70:$Q$75,6,FALSE),IF($B52='Current Step Plans'!$B$71,HLOOKUP('Prop Budget Calc'!$L52,'Current Step Plans'!$C$71:$Q$75,5,FALSE),IF($B52='Current Step Plans'!$B$72,HLOOKUP('Prop Budget Calc'!$L52,'Current Step Plans'!$C$72:$Q$75,4,FALSE),IF($B52='Current Step Plans'!$B$73,HLOOKUP('Prop Budget Calc'!$L52,'Current Step Plans'!$C$73:$Q$75,3,FALSE),IF($B52='Current Step Plans'!$B$74,HLOOKUP('Prop Budget Calc'!$L52,'Current Step Plans'!$C$74:$Q$75,2,FALSE),"N"))))))))))))))))))))))</f>
        <v>N</v>
      </c>
      <c r="R52" s="9" t="str">
        <f t="shared" si="139"/>
        <v>Y</v>
      </c>
      <c r="S52" s="6">
        <f>IF(Q52="n",0,ROUNDUP(VLOOKUP(B52,'Proposed Step Plans'!B:T,'Prop Budget Calc'!Q52+2,FALSE)*M52,-2)-O52-T52)</f>
        <v>0</v>
      </c>
      <c r="T52" s="6">
        <f>IF(Q52="n",0,ROUNDUP(VLOOKUP(B52,'Current Step Plans'!B:T,'Prop Budget Calc'!Q52+2,FALSE)*M52,0)-O52)</f>
        <v>0</v>
      </c>
      <c r="U52" s="6">
        <f>IF(IFERROR(VLOOKUP($A52,'Market Study'!$A$5:$G$82,7,FALSE),"NA")="NA",0,VLOOKUP($A52,'Market Study'!$A$5:$G$82,7,FALSE))</f>
        <v>0</v>
      </c>
      <c r="V52" s="6">
        <f>IF(OR($T52&lt;&gt;0,$I52="50112",$I52="50109",$S52&lt;&gt;0),0,VLOOKUP($K52,Scenarios!$A$17:$F$73,6,FALSE)*$O52)</f>
        <v>1610</v>
      </c>
      <c r="W52" s="6">
        <f t="shared" si="140"/>
        <v>1610</v>
      </c>
      <c r="X52" s="6">
        <f>IF(OR($T52&lt;&gt;0,$I52="50112",$I52="50109",$S52&lt;&gt;0),0,VLOOKUP($K52,Scenarios!$A$17:$F$73,2,FALSE)*$O52)</f>
        <v>1610</v>
      </c>
      <c r="Y52" s="6">
        <f>IF(OR($T52&lt;&gt;0,$I52="50110",$I52="50109",$S52&lt;&gt;0),0,VLOOKUP($K52,Scenarios!$A$17:$F$73,3,FALSE))</f>
        <v>1175</v>
      </c>
      <c r="Z52" s="6">
        <f>IF(OR($T52&lt;&gt;0,$I52="50112",$I52="50109",$S52&lt;&gt;0),0,VLOOKUP($K52,Scenarios!$A$17:$F$73,4,FALSE))</f>
        <v>0</v>
      </c>
      <c r="AA52" s="6">
        <f t="shared" si="141"/>
        <v>1610</v>
      </c>
      <c r="AB52" s="6">
        <f>IF(OR($T52&lt;&gt;0,$I52="50112",$I52="50109",$S52&lt;&gt;0),0,VLOOKUP($K52,Scenarios!$A$17:$F$73,5,FALSE))</f>
        <v>0</v>
      </c>
      <c r="AC52" s="6">
        <f>W52+AA52+AB52</f>
        <v>3220</v>
      </c>
      <c r="AD52" s="6">
        <f t="shared" si="142"/>
        <v>83720</v>
      </c>
      <c r="AE52" s="84">
        <f t="shared" si="143"/>
        <v>4.0000000000000036E-2</v>
      </c>
      <c r="AF52" s="6">
        <f t="shared" si="144"/>
        <v>153.30000000000001</v>
      </c>
      <c r="AG52" s="6">
        <f>IF(AND(OR(I52="50101",I52="50102"),$AF52&gt;12),IF($AF52&gt;=300,(300*Scenarios!$B$14)*$E52,($AF52*Scenarios!$B$14)*$E52),0)</f>
        <v>766.5</v>
      </c>
      <c r="AH52" s="6">
        <f>IF($R52="y",IF($T52&gt;0,Scenarios!$B$10*'Prop Budget Calc'!$E52,Scenarios!$B$13*'Prop Budget Calc'!$E52))</f>
        <v>0</v>
      </c>
      <c r="AI52" s="6">
        <f>SUMIFS('Deduction Valuation'!$G:$G,'Deduction Valuation'!$F:$F,"CT - Certifications",'Deduction Valuation'!$B:$B,'Prop Budget Calc'!$A52)*$AI$3</f>
        <v>0</v>
      </c>
      <c r="AJ52" s="6">
        <f>SUMIFS('Deduction Valuation'!$G:$G,'Deduction Valuation'!$F:$F,"RP - Regional Pay",'Deduction Valuation'!$B:$B,'Prop Budget Calc'!$A52)*$AI$3</f>
        <v>0</v>
      </c>
      <c r="AK52" s="6">
        <f t="shared" si="145"/>
        <v>0</v>
      </c>
      <c r="AL52" s="6">
        <f>SUMIFS('Deduction Valuation'!$G:$G,'Deduction Valuation'!$F:$F,"CR - Car Allowance",'Deduction Valuation'!$B:$B,'Prop Budget Calc'!$A52)*$AI$3</f>
        <v>0</v>
      </c>
      <c r="AM52" s="6">
        <f>SUMIFS('Deduction Valuation'!$G:$G,'Deduction Valuation'!$F:$F,"DA - Device Allow",'Deduction Valuation'!$B:$B,'Prop Budget Calc'!$A52)*$AI$3</f>
        <v>540</v>
      </c>
      <c r="AN52" s="6">
        <f>SUMIFS('Deduction Valuation'!$G:$G,'Deduction Valuation'!$F:$F,"RA - Replace Allow",'Deduction Valuation'!$B:$B,'Prop Budget Calc'!$A52)</f>
        <v>75</v>
      </c>
      <c r="AO52" s="94">
        <f t="shared" si="146"/>
        <v>615</v>
      </c>
      <c r="AP52" s="94">
        <f t="shared" si="147"/>
        <v>85101.5</v>
      </c>
      <c r="AQ52" s="10">
        <f>IF(OR($I52="50101", $I52="50102", $I52="50109", $I52="50140"),AP52*Scenarios!$H$8,0)</f>
        <v>14416.194099999999</v>
      </c>
      <c r="AR52" s="9">
        <f>VLOOKUP($D52,WKCMP!$A$1:$C$15,3,FALSE)*AP52</f>
        <v>117.23582640000002</v>
      </c>
      <c r="AS52" s="10">
        <f t="shared" si="148"/>
        <v>1233.9717500000002</v>
      </c>
      <c r="AT52" s="11">
        <f t="shared" si="149"/>
        <v>5276.2929999999997</v>
      </c>
      <c r="AU52" s="10">
        <f t="shared" si="150"/>
        <v>6520</v>
      </c>
      <c r="AV52" s="6">
        <f t="shared" si="151"/>
        <v>153.18269999999998</v>
      </c>
      <c r="AW52" s="19">
        <f t="shared" si="152"/>
        <v>158.4</v>
      </c>
      <c r="AX52" s="19">
        <f t="shared" si="153"/>
        <v>15.6</v>
      </c>
      <c r="AY52" s="19">
        <f t="shared" si="154"/>
        <v>11.28</v>
      </c>
      <c r="AZ52" s="88">
        <f t="shared" si="155"/>
        <v>338.46269999999998</v>
      </c>
      <c r="BA52" s="6">
        <f>IF(AND($C52="vacant vacant",$E52=1),$BA$2*$AZ$3,SUMIFS('Employee Enrollments'!$AE:$AE,'Employee Enrollments'!$S:$S,"Medical HDHP",'Employee Enrollments'!$C:$C,'Prop Budget Calc'!$A52)*$AZ$3*(1+Scenarios!$E$9))*(1-$BA$3)</f>
        <v>9726.7914000000001</v>
      </c>
      <c r="BB52" s="6">
        <f>IF(AND($C52="vacant vacant",$E52=1),500,SUMIFS('Employee Enrollments'!$AE:$AE,'Employee Enrollments'!$S:$S,"Health Savings Account",'Employee Enrollments'!$C:$C,'Prop Budget Calc'!$A52))</f>
        <v>500.05</v>
      </c>
      <c r="BC52" s="56">
        <f t="shared" si="156"/>
        <v>10226.841399999999</v>
      </c>
      <c r="BD52" s="6">
        <f>IF(AND($C52="vacant vacant",$E52=1),$BD$2*$AZ$3,SUMIFS('Employee Enrollments'!$AE:$AE,'Employee Enrollments'!$S:$S,"Dental Plan",'Employee Enrollments'!$C:$C,'Prop Budget Calc'!$A52)*$AZ$3)</f>
        <v>434.76</v>
      </c>
      <c r="BE52" s="6">
        <f t="shared" si="157"/>
        <v>11000.0641</v>
      </c>
      <c r="BF52" s="6">
        <f t="shared" si="158"/>
        <v>32053.494026399996</v>
      </c>
      <c r="BG52" s="6">
        <f t="shared" si="159"/>
        <v>117154.9940264</v>
      </c>
      <c r="BH52" s="14"/>
      <c r="BI52" s="56"/>
      <c r="BJ52" s="93">
        <f t="shared" si="160"/>
        <v>10447.980000000001</v>
      </c>
      <c r="BK52" s="10">
        <f>IF(SUMIFS('Employee Enrollments'!AB:AB,'Employee Enrollments'!C:C,'Prop Budget Calc'!$A52,'Employee Enrollments'!Q:Q,"Medical")*12=0,'Employee Enrollments'!$AN$1,(SUMIFS('Employee Enrollments'!AB:AB,'Employee Enrollments'!C:C,'Prop Budget Calc'!$A52,'Employee Enrollments'!Q:Q,"Medical")*12))</f>
        <v>420.36</v>
      </c>
      <c r="BL52" s="10">
        <f>SUMIFS('Employee Enrollments'!AB:AB,'Employee Enrollments'!C:C,'Prop Budget Calc'!$A52,'Employee Enrollments'!Q:Q,"Dental")*12</f>
        <v>0</v>
      </c>
    </row>
    <row r="53" spans="1:64" s="1" customFormat="1" ht="12.75" customHeight="1">
      <c r="A53" s="535" t="s">
        <v>2507</v>
      </c>
      <c r="B53" s="3" t="str">
        <f>IF(IFERROR(VLOOKUP($A53,'Base Pay Report'!$A:$V,'Prop Budget Calc'!B$2,FALSE),"NO")="No","Update",PROPER(VLOOKUP($A53,'Base Pay Report'!$A:$V,'Prop Budget Calc'!B$2,FALSE)))</f>
        <v>Environmental Specialist</v>
      </c>
      <c r="C53" s="3" t="str">
        <f>IF(IFERROR(VLOOKUP($A53,'Base Pay Report'!$A:$V,'Prop Budget Calc'!C$2,FALSE),"NO")="No","Update",PROPER(VLOOKUP($A53,'Base Pay Report'!$A:$V,'Prop Budget Calc'!C$2,FALSE)))</f>
        <v>First Name Last Name</v>
      </c>
      <c r="D53" s="3" t="str">
        <f>IF(IFERROR(VLOOKUP($A53,'Base Pay Report'!$A:$V,'Prop Budget Calc'!D$2,FALSE),"NO")="No","Update",PROPER(VLOOKUP($A53,'Base Pay Report'!$A:$V,'Prop Budget Calc'!D$2,FALSE)))</f>
        <v>7520</v>
      </c>
      <c r="E53" s="8">
        <f t="shared" si="161"/>
        <v>1</v>
      </c>
      <c r="F53" s="3" t="str">
        <f>IF(IFERROR(VLOOKUP($A53,'Base Pay Report'!$A:$V,'Prop Budget Calc'!F$2,FALSE),"NO")="No","Update",PROPER(VLOOKUP($A53,'Base Pay Report'!$A:$V,'Prop Budget Calc'!F$2,FALSE)))</f>
        <v>200-70-701-50102</v>
      </c>
      <c r="G53" s="3" t="str">
        <f t="shared" si="162"/>
        <v>200-70-701</v>
      </c>
      <c r="H53" s="49" t="str">
        <f t="shared" si="163"/>
        <v>200</v>
      </c>
      <c r="I53" s="3" t="str">
        <f t="shared" si="164"/>
        <v>50102</v>
      </c>
      <c r="J53" s="3" t="str">
        <f t="shared" si="165"/>
        <v>70</v>
      </c>
      <c r="K53" s="3" t="str">
        <f t="shared" si="166"/>
        <v>701</v>
      </c>
      <c r="L53" s="3">
        <f>IF(SUMIF('Base Pay Report'!$A:$A,'Prop Budget Calc'!$A53,'Base Pay Report'!$I:$I)=80,SUMIF('Base Pay Report'!$A:$A,'Prop Budget Calc'!$A53,'Base Pay Report'!$H:$H)/SUMIF('Base Pay Report'!$A:$A,'Prop Budget Calc'!$A53,'Base Pay Report'!$I:$I),SUMIF('Base Pay Report'!$A:$A,'Prop Budget Calc'!$A53,'Base Pay Report'!$H:$H))</f>
        <v>22.29</v>
      </c>
      <c r="M53" s="3">
        <f t="shared" si="138"/>
        <v>2080</v>
      </c>
      <c r="N53" s="3" t="str">
        <f>IF(IFERROR(VLOOKUP($A53,'Base Pay Report'!$A:$V,'Prop Budget Calc'!N$2,FALSE),"NO")="No","Update",(VLOOKUP($A53,'Base Pay Report'!$A:$V,'Prop Budget Calc'!N$2,FALSE)))</f>
        <v>FT HOURLY - 4-10</v>
      </c>
      <c r="O53" s="6">
        <f t="shared" si="167"/>
        <v>46370</v>
      </c>
      <c r="P53" s="99">
        <f>IF(SUMIF('Base Pay Report'!A:A,$A53,'Base Pay Report'!J:J)=0,$P$1+40,SUMIF('Base Pay Report'!A:A,$A53,'Base Pay Report'!J:J))</f>
        <v>45243</v>
      </c>
      <c r="Q53" s="87" t="str">
        <f>IF($B53='Current Step Plans'!$B$36,HLOOKUP('Prop Budget Calc'!$L53,'Current Step Plans'!$C$36:$Q$42,7,FALSE),IF($B53='Current Step Plans'!$B$37,HLOOKUP('Prop Budget Calc'!$L53,'Current Step Plans'!$C$37:$Q$42,6,FALSE),IF($B53='Current Step Plans'!$B$38,HLOOKUP('Prop Budget Calc'!$L53,'Current Step Plans'!$C$38:$Q$42,5,FALSE),IF($B53='Current Step Plans'!$B$39,HLOOKUP('Prop Budget Calc'!$L53,'Current Step Plans'!$C$39:$Q$42,4,FALSE),IF($B53='Current Step Plans'!$B$40,HLOOKUP('Prop Budget Calc'!$L53,'Current Step Plans'!$C$40:$Q$42,3,FALSE),IF($B53='Current Step Plans'!$B$41,HLOOKUP('Prop Budget Calc'!$L53,'Current Step Plans'!$C$41:$Q$42,2,FALSE),IF($B53='Current Step Plans'!$B$50,HLOOKUP('Prop Budget Calc'!$L53,'Current Step Plans'!$C$50:$Q$56,7,FALSE),IF($B53='Current Step Plans'!$B$51,HLOOKUP('Prop Budget Calc'!$L53,'Current Step Plans'!$C$51:$Q$56,6,FALSE),IF($B53='Current Step Plans'!$B$52,HLOOKUP('Prop Budget Calc'!$L53,'Current Step Plans'!$C$52:$Q$56,5,FALSE), IF($B53='Current Step Plans'!$B$53,HLOOKUP('Prop Budget Calc'!$L53,'Current Step Plans'!$C$53:$Q$56,4,FALSE),IF($B53='Current Step Plans'!$B$54,HLOOKUP('Prop Budget Calc'!$L53,'Current Step Plans'!$C$54:$Q$56,3,FALSE),IF($B53='Current Step Plans'!$B$55,HLOOKUP('Prop Budget Calc'!$L53,'Current Step Plans'!$C$55:$Q$56,2,FALSE),IF($B53='Current Step Plans'!$B$65,HLOOKUP('Prop Budget Calc'!$L53,'Current Step Plans'!$C$65:$Q$75,11,FALSE),IF($B53='Current Step Plans'!$B$66,HLOOKUP('Prop Budget Calc'!$L53,'Current Step Plans'!$C$66:$Q$75,10,FALSE),IF($B53='Current Step Plans'!$B$67,HLOOKUP('Prop Budget Calc'!$L53,'Current Step Plans'!$C$67:$Q$75,9,FALSE),IF($B53='Current Step Plans'!$B$68,HLOOKUP('Prop Budget Calc'!$L53,'Current Step Plans'!$C$68:$Q$75,8,FALSE),IF($B53='Current Step Plans'!$B$69,HLOOKUP('Prop Budget Calc'!$L53,'Current Step Plans'!$C$69:$Q$75,7,FALSE),IF($B53='Current Step Plans'!$B$70,HLOOKUP('Prop Budget Calc'!$L53,'Current Step Plans'!$C$70:$Q$75,6,FALSE),IF($B53='Current Step Plans'!$B$71,HLOOKUP('Prop Budget Calc'!$L53,'Current Step Plans'!$C$71:$Q$75,5,FALSE),IF($B53='Current Step Plans'!$B$72,HLOOKUP('Prop Budget Calc'!$L53,'Current Step Plans'!$C$72:$Q$75,4,FALSE),IF($B53='Current Step Plans'!$B$73,HLOOKUP('Prop Budget Calc'!$L53,'Current Step Plans'!$C$73:$Q$75,3,FALSE),IF($B53='Current Step Plans'!$B$74,HLOOKUP('Prop Budget Calc'!$L53,'Current Step Plans'!$C$74:$Q$75,2,FALSE),"N"))))))))))))))))))))))</f>
        <v>N</v>
      </c>
      <c r="R53" s="9" t="str">
        <f t="shared" si="139"/>
        <v>N</v>
      </c>
      <c r="S53" s="6">
        <f>IF(Q53="n",0,ROUNDUP(VLOOKUP(B53,'Proposed Step Plans'!B:T,'Prop Budget Calc'!Q53+2,FALSE)*M53,-2)-O53-T53)</f>
        <v>0</v>
      </c>
      <c r="T53" s="6">
        <f>IF(Q53="n",0,ROUNDUP(VLOOKUP(B53,'Current Step Plans'!B:T,'Prop Budget Calc'!Q53+2,FALSE)*M53,0)-O53)</f>
        <v>0</v>
      </c>
      <c r="U53" s="6">
        <f>IF(IFERROR(VLOOKUP($A53,'Market Study'!$A$5:$G$82,7,FALSE),"NA")="NA",0,VLOOKUP($A53,'Market Study'!$A$5:$G$82,7,FALSE))</f>
        <v>0</v>
      </c>
      <c r="V53" s="6">
        <f>IF(OR($T53&lt;&gt;0,$I53="50112",$I53="50109",$S53&lt;&gt;0),0,VLOOKUP($K53,Scenarios!$A$17:$F$73,6,FALSE)*$O53)</f>
        <v>927.4</v>
      </c>
      <c r="W53" s="6">
        <f t="shared" si="140"/>
        <v>927.4</v>
      </c>
      <c r="X53" s="6">
        <f>IF(OR($T53&lt;&gt;0,$I53="50112",$I53="50109",$S53&lt;&gt;0),0,VLOOKUP($K53,Scenarios!$A$17:$F$73,2,FALSE)*$O53)</f>
        <v>927.4</v>
      </c>
      <c r="Y53" s="6">
        <f>IF(OR($T53&lt;&gt;0,$I53="50110",$I53="50109",$S53&lt;&gt;0),0,VLOOKUP($K53,Scenarios!$A$17:$F$73,3,FALSE))</f>
        <v>1175</v>
      </c>
      <c r="Z53" s="6">
        <f>IF(OR($T53&lt;&gt;0,$I53="50112",$I53="50109",$S53&lt;&gt;0),0,VLOOKUP($K53,Scenarios!$A$17:$F$73,4,FALSE))</f>
        <v>0</v>
      </c>
      <c r="AA53" s="6">
        <f t="shared" si="141"/>
        <v>1175</v>
      </c>
      <c r="AB53" s="6">
        <f>IF(OR($T53&lt;&gt;0,$I53="50112",$I53="50109",$S53&lt;&gt;0),0,VLOOKUP($K53,Scenarios!$A$17:$F$73,5,FALSE))</f>
        <v>0</v>
      </c>
      <c r="AC53" s="6">
        <f t="shared" si="168"/>
        <v>2102.4</v>
      </c>
      <c r="AD53" s="6">
        <f t="shared" si="142"/>
        <v>48473</v>
      </c>
      <c r="AE53" s="84">
        <f t="shared" si="143"/>
        <v>4.5352598662928623E-2</v>
      </c>
      <c r="AF53" s="6">
        <f t="shared" si="144"/>
        <v>13.8</v>
      </c>
      <c r="AG53" s="6">
        <f>IF(AND(OR(I53="50101",I53="50102"),$AF53&gt;12),IF($AF53&gt;=300,(300*Scenarios!$B$14)*$E53,($AF53*Scenarios!$B$14)*$E53),0)</f>
        <v>69</v>
      </c>
      <c r="AH53" s="6" t="b">
        <f>IF($R53="y",IF($T53&gt;0,Scenarios!$B$10*'Prop Budget Calc'!$E53,Scenarios!$B$13*'Prop Budget Calc'!$E53))</f>
        <v>0</v>
      </c>
      <c r="AI53" s="6">
        <f>SUMIFS('Deduction Valuation'!$G:$G,'Deduction Valuation'!$F:$F,"CT - Certifications",'Deduction Valuation'!$B:$B,'Prop Budget Calc'!$A53)*$AI$3</f>
        <v>0</v>
      </c>
      <c r="AJ53" s="6">
        <f>SUMIFS('Deduction Valuation'!$G:$G,'Deduction Valuation'!$F:$F,"RP - Regional Pay",'Deduction Valuation'!$B:$B,'Prop Budget Calc'!$A53)*$AI$3</f>
        <v>0</v>
      </c>
      <c r="AK53" s="6">
        <f t="shared" si="145"/>
        <v>0</v>
      </c>
      <c r="AL53" s="6">
        <f>SUMIFS('Deduction Valuation'!$G:$G,'Deduction Valuation'!$F:$F,"CR - Car Allowance",'Deduction Valuation'!$B:$B,'Prop Budget Calc'!$A53)*$AI$3</f>
        <v>0</v>
      </c>
      <c r="AM53" s="6">
        <f>SUMIFS('Deduction Valuation'!$G:$G,'Deduction Valuation'!$F:$F,"DA - Device Allow",'Deduction Valuation'!$B:$B,'Prop Budget Calc'!$A53)*$AI$3</f>
        <v>960</v>
      </c>
      <c r="AN53" s="6">
        <f>SUMIFS('Deduction Valuation'!$G:$G,'Deduction Valuation'!$F:$F,"RA - Replace Allow",'Deduction Valuation'!$B:$B,'Prop Budget Calc'!$A53)</f>
        <v>75</v>
      </c>
      <c r="AO53" s="94">
        <f t="shared" si="146"/>
        <v>1035</v>
      </c>
      <c r="AP53" s="94">
        <f t="shared" si="147"/>
        <v>49577</v>
      </c>
      <c r="AQ53" s="10">
        <f>IF(OR($I53="50101", $I53="50102", $I53="50109", $I53="50140"),AP53*Scenarios!$H$8,0)</f>
        <v>8398.3438000000006</v>
      </c>
      <c r="AR53" s="9">
        <f>VLOOKUP($D53,WKCMP!$A$1:$C$15,3,FALSE)*AP53</f>
        <v>749.60424</v>
      </c>
      <c r="AS53" s="10">
        <f t="shared" si="148"/>
        <v>718.86650000000009</v>
      </c>
      <c r="AT53" s="11">
        <f t="shared" si="149"/>
        <v>3073.7739999999999</v>
      </c>
      <c r="AU53" s="10">
        <f t="shared" si="150"/>
        <v>3800</v>
      </c>
      <c r="AV53" s="6">
        <f t="shared" si="151"/>
        <v>89.238599999999991</v>
      </c>
      <c r="AW53" s="19">
        <f t="shared" si="152"/>
        <v>79.2</v>
      </c>
      <c r="AX53" s="19">
        <f t="shared" si="153"/>
        <v>15.6</v>
      </c>
      <c r="AY53" s="19">
        <f t="shared" si="154"/>
        <v>11.28</v>
      </c>
      <c r="AZ53" s="88">
        <f t="shared" si="155"/>
        <v>195.3186</v>
      </c>
      <c r="BA53" s="6">
        <f>IF(AND($C53="vacant vacant",$E53=1),$BA$2*$AZ$3,SUMIFS('Employee Enrollments'!$AE:$AE,'Employee Enrollments'!$S:$S,"Medical HDHP",'Employee Enrollments'!$C:$C,'Prop Budget Calc'!$A53)*$AZ$3*(1+Scenarios!$E$9))*(1-$BA$3)</f>
        <v>9838.3957199999986</v>
      </c>
      <c r="BB53" s="6">
        <f>IF(AND($C53="vacant vacant",$E53=1),500,SUMIFS('Employee Enrollments'!$AE:$AE,'Employee Enrollments'!$S:$S,"Health Savings Account",'Employee Enrollments'!$C:$C,'Prop Budget Calc'!$A53))</f>
        <v>500.05</v>
      </c>
      <c r="BC53" s="56">
        <f t="shared" si="156"/>
        <v>10338.445719999998</v>
      </c>
      <c r="BD53" s="6">
        <f>IF(AND($C53="vacant vacant",$E53=1),$BD$2*$AZ$3,SUMIFS('Employee Enrollments'!$AE:$AE,'Employee Enrollments'!$S:$S,"Dental Plan",'Employee Enrollments'!$C:$C,'Prop Budget Calc'!$A53)*$AZ$3)</f>
        <v>434.76</v>
      </c>
      <c r="BE53" s="6">
        <f t="shared" si="157"/>
        <v>10968.524319999999</v>
      </c>
      <c r="BF53" s="6">
        <f t="shared" si="158"/>
        <v>23916.47236</v>
      </c>
      <c r="BG53" s="6">
        <f t="shared" si="159"/>
        <v>73493.47236</v>
      </c>
      <c r="BH53" s="14"/>
      <c r="BI53" s="56"/>
      <c r="BJ53" s="93">
        <f t="shared" si="160"/>
        <v>10450.235999999999</v>
      </c>
      <c r="BK53" s="10">
        <f>IF(SUMIFS('Employee Enrollments'!AB:AB,'Employee Enrollments'!C:C,'Prop Budget Calc'!$A53,'Employee Enrollments'!Q:Q,"Medical")*12=0,'Employee Enrollments'!$AN$1,(SUMIFS('Employee Enrollments'!AB:AB,'Employee Enrollments'!C:C,'Prop Budget Calc'!$A53,'Employee Enrollments'!Q:Q,"Medical")*12))</f>
        <v>307.56</v>
      </c>
      <c r="BL53" s="10">
        <f>SUMIFS('Employee Enrollments'!AB:AB,'Employee Enrollments'!C:C,'Prop Budget Calc'!$A53,'Employee Enrollments'!Q:Q,"Dental")*12</f>
        <v>0</v>
      </c>
    </row>
    <row r="54" spans="1:64" ht="12.75" customHeight="1">
      <c r="A54" s="20" t="s">
        <v>1503</v>
      </c>
      <c r="B54" s="3" t="str">
        <f>IF(IFERROR(VLOOKUP($A54,'Base Pay Report'!$A:$V,'Prop Budget Calc'!B$2,FALSE),"NO")="No","Update",PROPER(VLOOKUP($A54,'Base Pay Report'!$A:$V,'Prop Budget Calc'!B$2,FALSE)))</f>
        <v>Utility Billing Administrator</v>
      </c>
      <c r="C54" s="3" t="str">
        <f>IF(IFERROR(VLOOKUP($A54,'Base Pay Report'!$A:$V,'Prop Budget Calc'!C$2,FALSE),"NO")="No","Update",PROPER(VLOOKUP($A54,'Base Pay Report'!$A:$V,'Prop Budget Calc'!C$2,FALSE)))</f>
        <v>First Name Last Name</v>
      </c>
      <c r="D54" s="3" t="str">
        <f>IF(IFERROR(VLOOKUP($A54,'Base Pay Report'!$A:$V,'Prop Budget Calc'!D$2,FALSE),"NO")="No","Update",PROPER(VLOOKUP($A54,'Base Pay Report'!$A:$V,'Prop Budget Calc'!D$2,FALSE)))</f>
        <v>8810</v>
      </c>
      <c r="E54" s="8">
        <f t="shared" si="161"/>
        <v>1</v>
      </c>
      <c r="F54" s="3" t="str">
        <f>IF(IFERROR(VLOOKUP($A54,'Base Pay Report'!$A:$V,'Prop Budget Calc'!F$2,FALSE),"NO")="No","Update",PROPER(VLOOKUP($A54,'Base Pay Report'!$A:$V,'Prop Budget Calc'!F$2,FALSE)))</f>
        <v>200-71-711-50101</v>
      </c>
      <c r="G54" s="3" t="str">
        <f t="shared" si="162"/>
        <v>200-71-711</v>
      </c>
      <c r="H54" s="49" t="str">
        <f t="shared" si="163"/>
        <v>200</v>
      </c>
      <c r="I54" s="3" t="str">
        <f t="shared" si="164"/>
        <v>50101</v>
      </c>
      <c r="J54" s="3" t="str">
        <f t="shared" si="165"/>
        <v>71</v>
      </c>
      <c r="K54" s="3" t="str">
        <f t="shared" si="166"/>
        <v>711</v>
      </c>
      <c r="L54" s="3">
        <f>IF(SUMIF('Base Pay Report'!$A:$A,'Prop Budget Calc'!$A54,'Base Pay Report'!$I:$I)=80,SUMIF('Base Pay Report'!$A:$A,'Prop Budget Calc'!$A54,'Base Pay Report'!$H:$H)/SUMIF('Base Pay Report'!$A:$A,'Prop Budget Calc'!$A54,'Base Pay Report'!$I:$I),SUMIF('Base Pay Report'!$A:$A,'Prop Budget Calc'!$A54,'Base Pay Report'!$H:$H))</f>
        <v>26.580374999999997</v>
      </c>
      <c r="M54" s="3">
        <f t="shared" si="138"/>
        <v>2080</v>
      </c>
      <c r="N54" s="3" t="str">
        <f>IF(IFERROR(VLOOKUP($A54,'Base Pay Report'!$A:$V,'Prop Budget Calc'!N$2,FALSE),"NO")="No","Update",(VLOOKUP($A54,'Base Pay Report'!$A:$V,'Prop Budget Calc'!N$2,FALSE)))</f>
        <v>SALARY - 4-10</v>
      </c>
      <c r="O54" s="6">
        <f t="shared" si="167"/>
        <v>55290</v>
      </c>
      <c r="P54" s="99">
        <f>IF(SUMIF('Base Pay Report'!A:A,$A54,'Base Pay Report'!J:J)=0,$P$1+40,SUMIF('Base Pay Report'!A:A,$A54,'Base Pay Report'!J:J))</f>
        <v>43171</v>
      </c>
      <c r="Q54" s="87" t="str">
        <f>IF($B54='Current Step Plans'!$B$36,HLOOKUP('Prop Budget Calc'!$L54,'Current Step Plans'!$C$36:$Q$42,7,FALSE),IF($B54='Current Step Plans'!$B$37,HLOOKUP('Prop Budget Calc'!$L54,'Current Step Plans'!$C$37:$Q$42,6,FALSE),IF($B54='Current Step Plans'!$B$38,HLOOKUP('Prop Budget Calc'!$L54,'Current Step Plans'!$C$38:$Q$42,5,FALSE),IF($B54='Current Step Plans'!$B$39,HLOOKUP('Prop Budget Calc'!$L54,'Current Step Plans'!$C$39:$Q$42,4,FALSE),IF($B54='Current Step Plans'!$B$40,HLOOKUP('Prop Budget Calc'!$L54,'Current Step Plans'!$C$40:$Q$42,3,FALSE),IF($B54='Current Step Plans'!$B$41,HLOOKUP('Prop Budget Calc'!$L54,'Current Step Plans'!$C$41:$Q$42,2,FALSE),IF($B54='Current Step Plans'!$B$50,HLOOKUP('Prop Budget Calc'!$L54,'Current Step Plans'!$C$50:$Q$56,7,FALSE),IF($B54='Current Step Plans'!$B$51,HLOOKUP('Prop Budget Calc'!$L54,'Current Step Plans'!$C$51:$Q$56,6,FALSE),IF($B54='Current Step Plans'!$B$52,HLOOKUP('Prop Budget Calc'!$L54,'Current Step Plans'!$C$52:$Q$56,5,FALSE), IF($B54='Current Step Plans'!$B$53,HLOOKUP('Prop Budget Calc'!$L54,'Current Step Plans'!$C$53:$Q$56,4,FALSE),IF($B54='Current Step Plans'!$B$54,HLOOKUP('Prop Budget Calc'!$L54,'Current Step Plans'!$C$54:$Q$56,3,FALSE),IF($B54='Current Step Plans'!$B$55,HLOOKUP('Prop Budget Calc'!$L54,'Current Step Plans'!$C$55:$Q$56,2,FALSE),IF($B54='Current Step Plans'!$B$65,HLOOKUP('Prop Budget Calc'!$L54,'Current Step Plans'!$C$65:$Q$75,11,FALSE),IF($B54='Current Step Plans'!$B$66,HLOOKUP('Prop Budget Calc'!$L54,'Current Step Plans'!$C$66:$Q$75,10,FALSE),IF($B54='Current Step Plans'!$B$67,HLOOKUP('Prop Budget Calc'!$L54,'Current Step Plans'!$C$67:$Q$75,9,FALSE),IF($B54='Current Step Plans'!$B$68,HLOOKUP('Prop Budget Calc'!$L54,'Current Step Plans'!$C$68:$Q$75,8,FALSE),IF($B54='Current Step Plans'!$B$69,HLOOKUP('Prop Budget Calc'!$L54,'Current Step Plans'!$C$69:$Q$75,7,FALSE),IF($B54='Current Step Plans'!$B$70,HLOOKUP('Prop Budget Calc'!$L54,'Current Step Plans'!$C$70:$Q$75,6,FALSE),IF($B54='Current Step Plans'!$B$71,HLOOKUP('Prop Budget Calc'!$L54,'Current Step Plans'!$C$71:$Q$75,5,FALSE),IF($B54='Current Step Plans'!$B$72,HLOOKUP('Prop Budget Calc'!$L54,'Current Step Plans'!$C$72:$Q$75,4,FALSE),IF($B54='Current Step Plans'!$B$73,HLOOKUP('Prop Budget Calc'!$L54,'Current Step Plans'!$C$73:$Q$75,3,FALSE),IF($B54='Current Step Plans'!$B$74,HLOOKUP('Prop Budget Calc'!$L54,'Current Step Plans'!$C$74:$Q$75,2,FALSE),"N"))))))))))))))))))))))</f>
        <v>N</v>
      </c>
      <c r="R54" s="9" t="str">
        <f t="shared" si="139"/>
        <v>Y</v>
      </c>
      <c r="S54" s="6">
        <f>IF(Q54="n",0,ROUNDUP(VLOOKUP(B54,'Proposed Step Plans'!B:T,'Prop Budget Calc'!Q54+2,FALSE)*M54,-2)-O54-T54)</f>
        <v>0</v>
      </c>
      <c r="T54" s="6">
        <f>IF(Q54="n",0,ROUNDUP(VLOOKUP(B54,'Current Step Plans'!B:T,'Prop Budget Calc'!Q54+2,FALSE)*M54,0)-O54)</f>
        <v>0</v>
      </c>
      <c r="U54" s="6">
        <f>IF(IFERROR(VLOOKUP($A54,'Market Study'!$A$5:$G$82,7,FALSE),"NA")="NA",0,VLOOKUP($A54,'Market Study'!$A$5:$G$82,7,FALSE))</f>
        <v>0</v>
      </c>
      <c r="V54" s="6">
        <f>IF(OR($T54&lt;&gt;0,$I54="50112",$I54="50109",$S54&lt;&gt;0),0,VLOOKUP($K54,Scenarios!$A$17:$F$73,6,FALSE)*$O54)</f>
        <v>1105.8</v>
      </c>
      <c r="W54" s="6">
        <f t="shared" si="140"/>
        <v>1105.8</v>
      </c>
      <c r="X54" s="6">
        <f>IF(OR($T54&lt;&gt;0,$I54="50112",$I54="50109",$S54&lt;&gt;0),0,VLOOKUP($K54,Scenarios!$A$17:$F$73,2,FALSE)*$O54)</f>
        <v>1105.8</v>
      </c>
      <c r="Y54" s="6">
        <f>IF(OR($T54&lt;&gt;0,$I54="50110",$I54="50109",$S54&lt;&gt;0),0,VLOOKUP($K54,Scenarios!$A$17:$F$73,3,FALSE))</f>
        <v>1175</v>
      </c>
      <c r="Z54" s="6">
        <f>IF(OR($T54&lt;&gt;0,$I54="50112",$I54="50109",$S54&lt;&gt;0),0,VLOOKUP($K54,Scenarios!$A$17:$F$73,4,FALSE))</f>
        <v>0</v>
      </c>
      <c r="AA54" s="6">
        <f t="shared" si="141"/>
        <v>1175</v>
      </c>
      <c r="AB54" s="6">
        <f>IF(OR($T54&lt;&gt;0,$I54="50112",$I54="50109",$S54&lt;&gt;0),0,VLOOKUP($K54,Scenarios!$A$17:$F$73,5,FALSE))</f>
        <v>0</v>
      </c>
      <c r="AC54" s="6">
        <f t="shared" si="168"/>
        <v>2280.8000000000002</v>
      </c>
      <c r="AD54" s="6">
        <f t="shared" si="142"/>
        <v>57571</v>
      </c>
      <c r="AE54" s="84">
        <f t="shared" si="143"/>
        <v>4.1255199855308344E-2</v>
      </c>
      <c r="AF54" s="6">
        <f t="shared" si="144"/>
        <v>82.86666666666666</v>
      </c>
      <c r="AG54" s="6">
        <f>IF(AND(OR(I54="50101",I54="50102"),$AF54&gt;12),IF($AF54&gt;=300,(300*Scenarios!$B$14)*$E54,($AF54*Scenarios!$B$14)*$E54),0)</f>
        <v>414.33333333333331</v>
      </c>
      <c r="AH54" s="6">
        <f>IF($R54="y",IF($T54&gt;0,Scenarios!$B$10*'Prop Budget Calc'!$E54,Scenarios!$B$13*'Prop Budget Calc'!$E54))</f>
        <v>0</v>
      </c>
      <c r="AI54" s="6">
        <f>SUMIFS('Deduction Valuation'!$G:$G,'Deduction Valuation'!$F:$F,"CT - Certifications",'Deduction Valuation'!$B:$B,'Prop Budget Calc'!$A54)*$AI$3</f>
        <v>0</v>
      </c>
      <c r="AJ54" s="6">
        <f>SUMIFS('Deduction Valuation'!$G:$G,'Deduction Valuation'!$F:$F,"RP - Regional Pay",'Deduction Valuation'!$B:$B,'Prop Budget Calc'!$A54)*$AI$3</f>
        <v>0</v>
      </c>
      <c r="AK54" s="6">
        <f t="shared" si="145"/>
        <v>0</v>
      </c>
      <c r="AL54" s="6">
        <f>SUMIFS('Deduction Valuation'!$G:$G,'Deduction Valuation'!$F:$F,"CR - Car Allowance",'Deduction Valuation'!$B:$B,'Prop Budget Calc'!$A54)*$AI$3</f>
        <v>0</v>
      </c>
      <c r="AM54" s="6">
        <f>SUMIFS('Deduction Valuation'!$G:$G,'Deduction Valuation'!$F:$F,"DA - Device Allow",'Deduction Valuation'!$B:$B,'Prop Budget Calc'!$A54)*$AI$3</f>
        <v>0</v>
      </c>
      <c r="AN54" s="6">
        <f>SUMIFS('Deduction Valuation'!$G:$G,'Deduction Valuation'!$F:$F,"RA - Replace Allow",'Deduction Valuation'!$B:$B,'Prop Budget Calc'!$A54)</f>
        <v>0</v>
      </c>
      <c r="AO54" s="94">
        <f t="shared" si="146"/>
        <v>0</v>
      </c>
      <c r="AP54" s="94">
        <f t="shared" si="147"/>
        <v>57985.333333333336</v>
      </c>
      <c r="AQ54" s="10">
        <f>IF(OR($I54="50101", $I54="50102", $I54="50109", $I54="50140"),AP54*Scenarios!$H$8,0)</f>
        <v>9822.7154666666665</v>
      </c>
      <c r="AR54" s="9">
        <f>VLOOKUP($D54,WKCMP!$A$1:$C$15,3,FALSE)*AP54</f>
        <v>79.880595200000016</v>
      </c>
      <c r="AS54" s="10">
        <f t="shared" si="148"/>
        <v>840.78733333333344</v>
      </c>
      <c r="AT54" s="11">
        <f t="shared" si="149"/>
        <v>3595.0906666666669</v>
      </c>
      <c r="AU54" s="10">
        <f t="shared" si="150"/>
        <v>4440</v>
      </c>
      <c r="AV54" s="6">
        <f t="shared" si="151"/>
        <v>104.3736</v>
      </c>
      <c r="AW54" s="19">
        <f t="shared" si="152"/>
        <v>158.4</v>
      </c>
      <c r="AX54" s="19">
        <f t="shared" si="153"/>
        <v>15.6</v>
      </c>
      <c r="AY54" s="19">
        <f t="shared" si="154"/>
        <v>11.28</v>
      </c>
      <c r="AZ54" s="88">
        <f t="shared" si="155"/>
        <v>289.65359999999998</v>
      </c>
      <c r="BA54" s="6">
        <f>IF(AND($C54="vacant vacant",$E54=1),$BA$2*$AZ$3,SUMIFS('Employee Enrollments'!$AE:$AE,'Employee Enrollments'!$S:$S,"Medical HDHP",'Employee Enrollments'!$C:$C,'Prop Budget Calc'!$A54)*$AZ$3*(1+Scenarios!$E$9))*(1-$BA$3)</f>
        <v>16547.240087999999</v>
      </c>
      <c r="BB54" s="6">
        <f>IF(AND($C54="vacant vacant",$E54=1),500,SUMIFS('Employee Enrollments'!$AE:$AE,'Employee Enrollments'!$S:$S,"Health Savings Account",'Employee Enrollments'!$C:$C,'Prop Budget Calc'!$A54))</f>
        <v>1000</v>
      </c>
      <c r="BC54" s="56">
        <f t="shared" si="156"/>
        <v>17547.240087999999</v>
      </c>
      <c r="BD54" s="6">
        <f>IF(AND($C54="vacant vacant",$E54=1),$BD$2*$AZ$3,SUMIFS('Employee Enrollments'!$AE:$AE,'Employee Enrollments'!$S:$S,"Dental Plan",'Employee Enrollments'!$C:$C,'Prop Budget Calc'!$A54)*$AZ$3)</f>
        <v>434.76</v>
      </c>
      <c r="BE54" s="6">
        <f t="shared" si="157"/>
        <v>18271.653687999999</v>
      </c>
      <c r="BF54" s="6">
        <f t="shared" si="158"/>
        <v>32614.249749866663</v>
      </c>
      <c r="BG54" s="6">
        <f t="shared" si="159"/>
        <v>90599.583083200007</v>
      </c>
      <c r="BH54" s="14"/>
      <c r="BI54" s="56"/>
      <c r="BJ54" s="93">
        <f t="shared" si="160"/>
        <v>19781.570400000001</v>
      </c>
      <c r="BK54" s="10">
        <f>IF(SUMIFS('Employee Enrollments'!AB:AB,'Employee Enrollments'!C:C,'Prop Budget Calc'!$A54,'Employee Enrollments'!Q:Q,"Medical")*12=0,'Employee Enrollments'!$AN$1,(SUMIFS('Employee Enrollments'!AB:AB,'Employee Enrollments'!C:C,'Prop Budget Calc'!$A54,'Employee Enrollments'!Q:Q,"Medical")*12))</f>
        <v>2722.56</v>
      </c>
      <c r="BL54" s="10">
        <f>SUMIFS('Employee Enrollments'!AB:AB,'Employee Enrollments'!C:C,'Prop Budget Calc'!$A54,'Employee Enrollments'!Q:Q,"Dental")*12</f>
        <v>0</v>
      </c>
    </row>
    <row r="55" spans="1:64" ht="12.75" customHeight="1">
      <c r="A55" s="20" t="s">
        <v>1630</v>
      </c>
      <c r="B55" s="3" t="str">
        <f>IF(IFERROR(VLOOKUP($A55,'Base Pay Report'!$A:$V,'Prop Budget Calc'!B$2,FALSE),"NO")="No","Update",PROPER(VLOOKUP($A55,'Base Pay Report'!$A:$V,'Prop Budget Calc'!B$2,FALSE)))</f>
        <v>Utility Billing Representative I</v>
      </c>
      <c r="C55" s="3" t="str">
        <f>IF(IFERROR(VLOOKUP($A55,'Base Pay Report'!$A:$V,'Prop Budget Calc'!C$2,FALSE),"NO")="No","Update",PROPER(VLOOKUP($A55,'Base Pay Report'!$A:$V,'Prop Budget Calc'!C$2,FALSE)))</f>
        <v>First Name Last Name</v>
      </c>
      <c r="D55" s="3" t="str">
        <f>IF(IFERROR(VLOOKUP($A55,'Base Pay Report'!$A:$V,'Prop Budget Calc'!D$2,FALSE),"NO")="No","Update",PROPER(VLOOKUP($A55,'Base Pay Report'!$A:$V,'Prop Budget Calc'!D$2,FALSE)))</f>
        <v>8810</v>
      </c>
      <c r="E55" s="8">
        <f t="shared" si="161"/>
        <v>1</v>
      </c>
      <c r="F55" s="3" t="str">
        <f>IF(IFERROR(VLOOKUP($A55,'Base Pay Report'!$A:$V,'Prop Budget Calc'!F$2,FALSE),"NO")="No","Update",PROPER(VLOOKUP($A55,'Base Pay Report'!$A:$V,'Prop Budget Calc'!F$2,FALSE)))</f>
        <v>200-71-711-50102</v>
      </c>
      <c r="G55" s="3" t="str">
        <f t="shared" si="162"/>
        <v>200-71-711</v>
      </c>
      <c r="H55" s="49" t="str">
        <f t="shared" si="163"/>
        <v>200</v>
      </c>
      <c r="I55" s="3" t="str">
        <f t="shared" si="164"/>
        <v>50102</v>
      </c>
      <c r="J55" s="3" t="str">
        <f t="shared" si="165"/>
        <v>71</v>
      </c>
      <c r="K55" s="3" t="str">
        <f t="shared" si="166"/>
        <v>711</v>
      </c>
      <c r="L55" s="3">
        <f>IF(SUMIF('Base Pay Report'!$A:$A,'Prop Budget Calc'!$A55,'Base Pay Report'!$I:$I)=80,SUMIF('Base Pay Report'!$A:$A,'Prop Budget Calc'!$A55,'Base Pay Report'!$H:$H)/SUMIF('Base Pay Report'!$A:$A,'Prop Budget Calc'!$A55,'Base Pay Report'!$I:$I),SUMIF('Base Pay Report'!$A:$A,'Prop Budget Calc'!$A55,'Base Pay Report'!$H:$H))</f>
        <v>19.39</v>
      </c>
      <c r="M55" s="3">
        <f t="shared" si="138"/>
        <v>2080</v>
      </c>
      <c r="N55" s="3" t="str">
        <f>IF(IFERROR(VLOOKUP($A55,'Base Pay Report'!$A:$V,'Prop Budget Calc'!N$2,FALSE),"NO")="No","Update",(VLOOKUP($A55,'Base Pay Report'!$A:$V,'Prop Budget Calc'!N$2,FALSE)))</f>
        <v>FT HOURLY - 4-10</v>
      </c>
      <c r="O55" s="6">
        <f t="shared" si="167"/>
        <v>40340</v>
      </c>
      <c r="P55" s="99">
        <f>IF(SUMIF('Base Pay Report'!A:A,$A55,'Base Pay Report'!J:J)=0,$P$1+40,SUMIF('Base Pay Report'!A:A,$A55,'Base Pay Report'!J:J))</f>
        <v>44494</v>
      </c>
      <c r="Q55" s="87" t="str">
        <f>IF($B55='Current Step Plans'!$B$36,HLOOKUP('Prop Budget Calc'!$L55,'Current Step Plans'!$C$36:$Q$42,7,FALSE),IF($B55='Current Step Plans'!$B$37,HLOOKUP('Prop Budget Calc'!$L55,'Current Step Plans'!$C$37:$Q$42,6,FALSE),IF($B55='Current Step Plans'!$B$38,HLOOKUP('Prop Budget Calc'!$L55,'Current Step Plans'!$C$38:$Q$42,5,FALSE),IF($B55='Current Step Plans'!$B$39,HLOOKUP('Prop Budget Calc'!$L55,'Current Step Plans'!$C$39:$Q$42,4,FALSE),IF($B55='Current Step Plans'!$B$40,HLOOKUP('Prop Budget Calc'!$L55,'Current Step Plans'!$C$40:$Q$42,3,FALSE),IF($B55='Current Step Plans'!$B$41,HLOOKUP('Prop Budget Calc'!$L55,'Current Step Plans'!$C$41:$Q$42,2,FALSE),IF($B55='Current Step Plans'!$B$50,HLOOKUP('Prop Budget Calc'!$L55,'Current Step Plans'!$C$50:$Q$56,7,FALSE),IF($B55='Current Step Plans'!$B$51,HLOOKUP('Prop Budget Calc'!$L55,'Current Step Plans'!$C$51:$Q$56,6,FALSE),IF($B55='Current Step Plans'!$B$52,HLOOKUP('Prop Budget Calc'!$L55,'Current Step Plans'!$C$52:$Q$56,5,FALSE), IF($B55='Current Step Plans'!$B$53,HLOOKUP('Prop Budget Calc'!$L55,'Current Step Plans'!$C$53:$Q$56,4,FALSE),IF($B55='Current Step Plans'!$B$54,HLOOKUP('Prop Budget Calc'!$L55,'Current Step Plans'!$C$54:$Q$56,3,FALSE),IF($B55='Current Step Plans'!$B$55,HLOOKUP('Prop Budget Calc'!$L55,'Current Step Plans'!$C$55:$Q$56,2,FALSE),IF($B55='Current Step Plans'!$B$65,HLOOKUP('Prop Budget Calc'!$L55,'Current Step Plans'!$C$65:$Q$75,11,FALSE),IF($B55='Current Step Plans'!$B$66,HLOOKUP('Prop Budget Calc'!$L55,'Current Step Plans'!$C$66:$Q$75,10,FALSE),IF($B55='Current Step Plans'!$B$67,HLOOKUP('Prop Budget Calc'!$L55,'Current Step Plans'!$C$67:$Q$75,9,FALSE),IF($B55='Current Step Plans'!$B$68,HLOOKUP('Prop Budget Calc'!$L55,'Current Step Plans'!$C$68:$Q$75,8,FALSE),IF($B55='Current Step Plans'!$B$69,HLOOKUP('Prop Budget Calc'!$L55,'Current Step Plans'!$C$69:$Q$75,7,FALSE),IF($B55='Current Step Plans'!$B$70,HLOOKUP('Prop Budget Calc'!$L55,'Current Step Plans'!$C$70:$Q$75,6,FALSE),IF($B55='Current Step Plans'!$B$71,HLOOKUP('Prop Budget Calc'!$L55,'Current Step Plans'!$C$71:$Q$75,5,FALSE),IF($B55='Current Step Plans'!$B$72,HLOOKUP('Prop Budget Calc'!$L55,'Current Step Plans'!$C$72:$Q$75,4,FALSE),IF($B55='Current Step Plans'!$B$73,HLOOKUP('Prop Budget Calc'!$L55,'Current Step Plans'!$C$73:$Q$75,3,FALSE),IF($B55='Current Step Plans'!$B$74,HLOOKUP('Prop Budget Calc'!$L55,'Current Step Plans'!$C$74:$Q$75,2,FALSE),"N"))))))))))))))))))))))</f>
        <v>N</v>
      </c>
      <c r="R55" s="9" t="str">
        <f t="shared" si="139"/>
        <v>Y</v>
      </c>
      <c r="S55" s="6">
        <f>IF(Q55="n",0,ROUNDUP(VLOOKUP(B55,'Proposed Step Plans'!B:T,'Prop Budget Calc'!Q55+2,FALSE)*M55,-2)-O55-T55)</f>
        <v>0</v>
      </c>
      <c r="T55" s="6">
        <f>IF(Q55="n",0,ROUNDUP(VLOOKUP(B55,'Current Step Plans'!B:T,'Prop Budget Calc'!Q55+2,FALSE)*M55,0)-O55)</f>
        <v>0</v>
      </c>
      <c r="U55" s="6">
        <f>IF(IFERROR(VLOOKUP($A55,'Market Study'!$A$5:$G$82,7,FALSE),"NA")="NA",0,VLOOKUP($A55,'Market Study'!$A$5:$G$82,7,FALSE))</f>
        <v>0</v>
      </c>
      <c r="V55" s="6">
        <f>IF(OR($T55&lt;&gt;0,$I55="50112",$I55="50109",$S55&lt;&gt;0),0,VLOOKUP($K55,Scenarios!$A$17:$F$73,6,FALSE)*$O55)</f>
        <v>806.80000000000007</v>
      </c>
      <c r="W55" s="6">
        <f t="shared" si="140"/>
        <v>806.80000000000007</v>
      </c>
      <c r="X55" s="6">
        <f>IF(OR($T55&lt;&gt;0,$I55="50112",$I55="50109",$S55&lt;&gt;0),0,VLOOKUP($K55,Scenarios!$A$17:$F$73,2,FALSE)*$O55)</f>
        <v>806.80000000000007</v>
      </c>
      <c r="Y55" s="6">
        <f>IF(OR($T55&lt;&gt;0,$I55="50110",$I55="50109",$S55&lt;&gt;0),0,VLOOKUP($K55,Scenarios!$A$17:$F$73,3,FALSE))</f>
        <v>1175</v>
      </c>
      <c r="Z55" s="6">
        <f>IF(OR($T55&lt;&gt;0,$I55="50112",$I55="50109",$S55&lt;&gt;0),0,VLOOKUP($K55,Scenarios!$A$17:$F$73,4,FALSE))</f>
        <v>0</v>
      </c>
      <c r="AA55" s="6">
        <f t="shared" si="141"/>
        <v>1175</v>
      </c>
      <c r="AB55" s="6">
        <f>IF(OR($T55&lt;&gt;0,$I55="50112",$I55="50109",$S55&lt;&gt;0),0,VLOOKUP($K55,Scenarios!$A$17:$F$73,5,FALSE))</f>
        <v>0</v>
      </c>
      <c r="AC55" s="6">
        <f t="shared" si="168"/>
        <v>1981.8000000000002</v>
      </c>
      <c r="AD55" s="6">
        <f t="shared" si="142"/>
        <v>42322</v>
      </c>
      <c r="AE55" s="84">
        <f t="shared" si="143"/>
        <v>4.9132374814080393E-2</v>
      </c>
      <c r="AF55" s="6">
        <f t="shared" si="144"/>
        <v>38.766666666666666</v>
      </c>
      <c r="AG55" s="6">
        <f>IF(AND(OR(I55="50101",I55="50102"),$AF55&gt;12),IF($AF55&gt;=300,(300*Scenarios!$B$14)*$E55,($AF55*Scenarios!$B$14)*$E55),0)</f>
        <v>193.83333333333331</v>
      </c>
      <c r="AH55" s="6">
        <f>IF($R55="y",IF($T55&gt;0,Scenarios!$B$10*'Prop Budget Calc'!$E55,Scenarios!$B$13*'Prop Budget Calc'!$E55))</f>
        <v>0</v>
      </c>
      <c r="AI55" s="6">
        <f>SUMIFS('Deduction Valuation'!$G:$G,'Deduction Valuation'!$F:$F,"CT - Certifications",'Deduction Valuation'!$B:$B,'Prop Budget Calc'!$A55)*$AI$3</f>
        <v>0</v>
      </c>
      <c r="AJ55" s="6">
        <f>SUMIFS('Deduction Valuation'!$G:$G,'Deduction Valuation'!$F:$F,"RP - Regional Pay",'Deduction Valuation'!$B:$B,'Prop Budget Calc'!$A55)*$AI$3</f>
        <v>0</v>
      </c>
      <c r="AK55" s="6">
        <f t="shared" si="145"/>
        <v>0</v>
      </c>
      <c r="AL55" s="6">
        <f>SUMIFS('Deduction Valuation'!$G:$G,'Deduction Valuation'!$F:$F,"CR - Car Allowance",'Deduction Valuation'!$B:$B,'Prop Budget Calc'!$A55)*$AI$3</f>
        <v>0</v>
      </c>
      <c r="AM55" s="6">
        <f>SUMIFS('Deduction Valuation'!$G:$G,'Deduction Valuation'!$F:$F,"DA - Device Allow",'Deduction Valuation'!$B:$B,'Prop Budget Calc'!$A55)*$AI$3</f>
        <v>0</v>
      </c>
      <c r="AN55" s="6">
        <f>SUMIFS('Deduction Valuation'!$G:$G,'Deduction Valuation'!$F:$F,"RA - Replace Allow",'Deduction Valuation'!$B:$B,'Prop Budget Calc'!$A55)</f>
        <v>0</v>
      </c>
      <c r="AO55" s="94">
        <f t="shared" si="146"/>
        <v>0</v>
      </c>
      <c r="AP55" s="94">
        <f t="shared" si="147"/>
        <v>42515.833333333336</v>
      </c>
      <c r="AQ55" s="10">
        <f>IF(OR($I55="50101", $I55="50102", $I55="50109", $I55="50140"),AP55*Scenarios!$H$8,0)</f>
        <v>7202.1821666666665</v>
      </c>
      <c r="AR55" s="9">
        <f>VLOOKUP($D55,WKCMP!$A$1:$C$15,3,FALSE)*AP55</f>
        <v>58.569812000000013</v>
      </c>
      <c r="AS55" s="10">
        <f t="shared" si="148"/>
        <v>616.47958333333338</v>
      </c>
      <c r="AT55" s="11">
        <f t="shared" si="149"/>
        <v>2635.981666666667</v>
      </c>
      <c r="AU55" s="10">
        <f t="shared" si="150"/>
        <v>3260</v>
      </c>
      <c r="AV55" s="6">
        <f t="shared" si="151"/>
        <v>76.528500000000008</v>
      </c>
      <c r="AW55" s="19">
        <f t="shared" si="152"/>
        <v>79.2</v>
      </c>
      <c r="AX55" s="19">
        <f t="shared" si="153"/>
        <v>15.6</v>
      </c>
      <c r="AY55" s="19">
        <f t="shared" si="154"/>
        <v>11.28</v>
      </c>
      <c r="AZ55" s="88">
        <f t="shared" si="155"/>
        <v>182.60849999999999</v>
      </c>
      <c r="BA55" s="6">
        <f>IF(AND($C55="vacant vacant",$E55=1),$BA$2*$AZ$3,SUMIFS('Employee Enrollments'!$AE:$AE,'Employee Enrollments'!$S:$S,"Medical HDHP",'Employee Enrollments'!$C:$C,'Prop Budget Calc'!$A55)*$AZ$3*(1+Scenarios!$E$9))*(1-$BA$3)</f>
        <v>17124.495623999999</v>
      </c>
      <c r="BB55" s="6">
        <f>IF(AND($C55="vacant vacant",$E55=1),500,SUMIFS('Employee Enrollments'!$AE:$AE,'Employee Enrollments'!$S:$S,"Health Savings Account",'Employee Enrollments'!$C:$C,'Prop Budget Calc'!$A55))</f>
        <v>1000</v>
      </c>
      <c r="BC55" s="56">
        <f t="shared" si="156"/>
        <v>18124.495623999999</v>
      </c>
      <c r="BD55" s="6">
        <f>IF(AND($C55="vacant vacant",$E55=1),$BD$2*$AZ$3,SUMIFS('Employee Enrollments'!$AE:$AE,'Employee Enrollments'!$S:$S,"Dental Plan",'Employee Enrollments'!$C:$C,'Prop Budget Calc'!$A55)*$AZ$3)</f>
        <v>843.48</v>
      </c>
      <c r="BE55" s="6">
        <f t="shared" si="157"/>
        <v>19150.584123999997</v>
      </c>
      <c r="BF55" s="6">
        <f t="shared" si="158"/>
        <v>29671.336102666664</v>
      </c>
      <c r="BG55" s="6">
        <f t="shared" si="159"/>
        <v>72187.169435999996</v>
      </c>
      <c r="BH55" s="14"/>
      <c r="BI55" s="56"/>
      <c r="BJ55" s="93">
        <f t="shared" si="160"/>
        <v>19793.2392</v>
      </c>
      <c r="BK55" s="10">
        <f>IF(SUMIFS('Employee Enrollments'!AB:AB,'Employee Enrollments'!C:C,'Prop Budget Calc'!$A55,'Employee Enrollments'!Q:Q,"Medical")*12=0,'Employee Enrollments'!$AN$1,(SUMIFS('Employee Enrollments'!AB:AB,'Employee Enrollments'!C:C,'Prop Budget Calc'!$A55,'Employee Enrollments'!Q:Q,"Medical")*12))</f>
        <v>2139.12</v>
      </c>
      <c r="BL55" s="10">
        <f>SUMIFS('Employee Enrollments'!AB:AB,'Employee Enrollments'!C:C,'Prop Budget Calc'!$A55,'Employee Enrollments'!Q:Q,"Dental")*12</f>
        <v>364.92</v>
      </c>
    </row>
    <row r="56" spans="1:64" ht="12.75" customHeight="1">
      <c r="A56" s="20" t="s">
        <v>1426</v>
      </c>
      <c r="B56" s="3" t="str">
        <f>IF(IFERROR(VLOOKUP($A56,'Base Pay Report'!$A:$V,'Prop Budget Calc'!B$2,FALSE),"NO")="No","Update",PROPER(VLOOKUP($A56,'Base Pay Report'!$A:$V,'Prop Budget Calc'!B$2,FALSE)))</f>
        <v>Field Technician Ii</v>
      </c>
      <c r="C56" s="3" t="str">
        <f>IF(IFERROR(VLOOKUP($A56,'Base Pay Report'!$A:$V,'Prop Budget Calc'!C$2,FALSE),"NO")="No","Update",PROPER(VLOOKUP($A56,'Base Pay Report'!$A:$V,'Prop Budget Calc'!C$2,FALSE)))</f>
        <v>First Name Last Name</v>
      </c>
      <c r="D56" s="3" t="str">
        <f>IF(IFERROR(VLOOKUP($A56,'Base Pay Report'!$A:$V,'Prop Budget Calc'!D$2,FALSE),"NO")="No","Update",PROPER(VLOOKUP($A56,'Base Pay Report'!$A:$V,'Prop Budget Calc'!D$2,FALSE)))</f>
        <v>7520</v>
      </c>
      <c r="E56" s="8">
        <f t="shared" si="161"/>
        <v>1</v>
      </c>
      <c r="F56" s="3" t="str">
        <f>IF(IFERROR(VLOOKUP($A56,'Base Pay Report'!$A:$V,'Prop Budget Calc'!F$2,FALSE),"NO")="No","Update",PROPER(VLOOKUP($A56,'Base Pay Report'!$A:$V,'Prop Budget Calc'!F$2,FALSE)))</f>
        <v>200-71-712-50102</v>
      </c>
      <c r="G56" s="3" t="str">
        <f t="shared" si="162"/>
        <v>200-71-712</v>
      </c>
      <c r="H56" s="49" t="str">
        <f t="shared" si="163"/>
        <v>200</v>
      </c>
      <c r="I56" s="3" t="str">
        <f t="shared" si="164"/>
        <v>50102</v>
      </c>
      <c r="J56" s="3" t="str">
        <f t="shared" si="165"/>
        <v>71</v>
      </c>
      <c r="K56" s="3" t="str">
        <f t="shared" si="166"/>
        <v>712</v>
      </c>
      <c r="L56" s="3">
        <f>IF(SUMIF('Base Pay Report'!$A:$A,'Prop Budget Calc'!$A56,'Base Pay Report'!$I:$I)=80,SUMIF('Base Pay Report'!$A:$A,'Prop Budget Calc'!$A56,'Base Pay Report'!$H:$H)/SUMIF('Base Pay Report'!$A:$A,'Prop Budget Calc'!$A56,'Base Pay Report'!$I:$I),SUMIF('Base Pay Report'!$A:$A,'Prop Budget Calc'!$A56,'Base Pay Report'!$H:$H))</f>
        <v>27.06</v>
      </c>
      <c r="M56" s="3">
        <f t="shared" si="138"/>
        <v>2080</v>
      </c>
      <c r="N56" s="3" t="str">
        <f>IF(IFERROR(VLOOKUP($A56,'Base Pay Report'!$A:$V,'Prop Budget Calc'!N$2,FALSE),"NO")="No","Update",(VLOOKUP($A56,'Base Pay Report'!$A:$V,'Prop Budget Calc'!N$2,FALSE)))</f>
        <v>FT HOURLY - 4-10</v>
      </c>
      <c r="O56" s="6">
        <f t="shared" si="167"/>
        <v>56290</v>
      </c>
      <c r="P56" s="99">
        <f>IF(SUMIF('Base Pay Report'!A:A,$A56,'Base Pay Report'!J:J)=0,$P$1+40,SUMIF('Base Pay Report'!A:A,$A56,'Base Pay Report'!J:J))</f>
        <v>36493</v>
      </c>
      <c r="Q56" s="87" t="str">
        <f>IF($B56='Current Step Plans'!$B$36,HLOOKUP('Prop Budget Calc'!$L56,'Current Step Plans'!$C$36:$Q$42,7,FALSE),IF($B56='Current Step Plans'!$B$37,HLOOKUP('Prop Budget Calc'!$L56,'Current Step Plans'!$C$37:$Q$42,6,FALSE),IF($B56='Current Step Plans'!$B$38,HLOOKUP('Prop Budget Calc'!$L56,'Current Step Plans'!$C$38:$Q$42,5,FALSE),IF($B56='Current Step Plans'!$B$39,HLOOKUP('Prop Budget Calc'!$L56,'Current Step Plans'!$C$39:$Q$42,4,FALSE),IF($B56='Current Step Plans'!$B$40,HLOOKUP('Prop Budget Calc'!$L56,'Current Step Plans'!$C$40:$Q$42,3,FALSE),IF($B56='Current Step Plans'!$B$41,HLOOKUP('Prop Budget Calc'!$L56,'Current Step Plans'!$C$41:$Q$42,2,FALSE),IF($B56='Current Step Plans'!$B$50,HLOOKUP('Prop Budget Calc'!$L56,'Current Step Plans'!$C$50:$Q$56,7,FALSE),IF($B56='Current Step Plans'!$B$51,HLOOKUP('Prop Budget Calc'!$L56,'Current Step Plans'!$C$51:$Q$56,6,FALSE),IF($B56='Current Step Plans'!$B$52,HLOOKUP('Prop Budget Calc'!$L56,'Current Step Plans'!$C$52:$Q$56,5,FALSE), IF($B56='Current Step Plans'!$B$53,HLOOKUP('Prop Budget Calc'!$L56,'Current Step Plans'!$C$53:$Q$56,4,FALSE),IF($B56='Current Step Plans'!$B$54,HLOOKUP('Prop Budget Calc'!$L56,'Current Step Plans'!$C$54:$Q$56,3,FALSE),IF($B56='Current Step Plans'!$B$55,HLOOKUP('Prop Budget Calc'!$L56,'Current Step Plans'!$C$55:$Q$56,2,FALSE),IF($B56='Current Step Plans'!$B$65,HLOOKUP('Prop Budget Calc'!$L56,'Current Step Plans'!$C$65:$Q$75,11,FALSE),IF($B56='Current Step Plans'!$B$66,HLOOKUP('Prop Budget Calc'!$L56,'Current Step Plans'!$C$66:$Q$75,10,FALSE),IF($B56='Current Step Plans'!$B$67,HLOOKUP('Prop Budget Calc'!$L56,'Current Step Plans'!$C$67:$Q$75,9,FALSE),IF($B56='Current Step Plans'!$B$68,HLOOKUP('Prop Budget Calc'!$L56,'Current Step Plans'!$C$68:$Q$75,8,FALSE),IF($B56='Current Step Plans'!$B$69,HLOOKUP('Prop Budget Calc'!$L56,'Current Step Plans'!$C$69:$Q$75,7,FALSE),IF($B56='Current Step Plans'!$B$70,HLOOKUP('Prop Budget Calc'!$L56,'Current Step Plans'!$C$70:$Q$75,6,FALSE),IF($B56='Current Step Plans'!$B$71,HLOOKUP('Prop Budget Calc'!$L56,'Current Step Plans'!$C$71:$Q$75,5,FALSE),IF($B56='Current Step Plans'!$B$72,HLOOKUP('Prop Budget Calc'!$L56,'Current Step Plans'!$C$72:$Q$75,4,FALSE),IF($B56='Current Step Plans'!$B$73,HLOOKUP('Prop Budget Calc'!$L56,'Current Step Plans'!$C$73:$Q$75,3,FALSE),IF($B56='Current Step Plans'!$B$74,HLOOKUP('Prop Budget Calc'!$L56,'Current Step Plans'!$C$74:$Q$75,2,FALSE),"N"))))))))))))))))))))))</f>
        <v>N</v>
      </c>
      <c r="R56" s="9" t="str">
        <f t="shared" si="139"/>
        <v>Y</v>
      </c>
      <c r="S56" s="6">
        <f>IF(Q56="n",0,ROUNDUP(VLOOKUP(B56,'Proposed Step Plans'!B:T,'Prop Budget Calc'!Q56+2,FALSE)*M56,-2)-O56-T56)</f>
        <v>0</v>
      </c>
      <c r="T56" s="6">
        <f>IF(Q56="n",0,ROUNDUP(VLOOKUP(B56,'Current Step Plans'!B:T,'Prop Budget Calc'!Q56+2,FALSE)*M56,0)-O56)</f>
        <v>0</v>
      </c>
      <c r="U56" s="6">
        <f>IF(IFERROR(VLOOKUP($A56,'Market Study'!$A$5:$G$82,7,FALSE),"NA")="NA",0,VLOOKUP($A56,'Market Study'!$A$5:$G$82,7,FALSE))</f>
        <v>0</v>
      </c>
      <c r="V56" s="6">
        <f>IF(OR($T56&lt;&gt;0,$I56="50112",$I56="50109",$S56&lt;&gt;0),0,VLOOKUP($K56,Scenarios!$A$17:$F$73,6,FALSE)*$O56)</f>
        <v>1125.8</v>
      </c>
      <c r="W56" s="6">
        <f t="shared" si="140"/>
        <v>1125.8</v>
      </c>
      <c r="X56" s="6">
        <f>IF(OR($T56&lt;&gt;0,$I56="50112",$I56="50109",$S56&lt;&gt;0),0,VLOOKUP($K56,Scenarios!$A$17:$F$73,2,FALSE)*$O56)</f>
        <v>1125.8</v>
      </c>
      <c r="Y56" s="6">
        <f>IF(OR($T56&lt;&gt;0,$I56="50110",$I56="50109",$S56&lt;&gt;0),0,VLOOKUP($K56,Scenarios!$A$17:$F$73,3,FALSE))</f>
        <v>1175</v>
      </c>
      <c r="Z56" s="6">
        <f>IF(OR($T56&lt;&gt;0,$I56="50112",$I56="50109",$S56&lt;&gt;0),0,VLOOKUP($K56,Scenarios!$A$17:$F$73,4,FALSE))</f>
        <v>0</v>
      </c>
      <c r="AA56" s="6">
        <f t="shared" si="141"/>
        <v>1175</v>
      </c>
      <c r="AB56" s="6">
        <f>IF(OR($T56&lt;&gt;0,$I56="50112",$I56="50109",$S56&lt;&gt;0),0,VLOOKUP($K56,Scenarios!$A$17:$F$73,5,FALSE))</f>
        <v>0</v>
      </c>
      <c r="AC56" s="6">
        <f t="shared" si="168"/>
        <v>2300.8000000000002</v>
      </c>
      <c r="AD56" s="6">
        <f t="shared" si="142"/>
        <v>58591</v>
      </c>
      <c r="AE56" s="84">
        <f t="shared" si="143"/>
        <v>4.0877598152424977E-2</v>
      </c>
      <c r="AF56" s="6">
        <f t="shared" si="144"/>
        <v>305.46666666666664</v>
      </c>
      <c r="AG56" s="6">
        <f>IF(AND(OR(I56="50101",I56="50102"),$AF56&gt;12),IF($AF56&gt;=300,(300*Scenarios!$B$14)*$E56,($AF56*Scenarios!$B$14)*$E56),0)</f>
        <v>1500</v>
      </c>
      <c r="AH56" s="6">
        <f>IF($R56="y",IF($T56&gt;0,Scenarios!$B$10*'Prop Budget Calc'!$E56,Scenarios!$B$13*'Prop Budget Calc'!$E56))</f>
        <v>0</v>
      </c>
      <c r="AI56" s="6">
        <f>SUMIFS('Deduction Valuation'!$G:$G,'Deduction Valuation'!$F:$F,"CT - Certifications",'Deduction Valuation'!$B:$B,'Prop Budget Calc'!$A56)*$AI$3</f>
        <v>900</v>
      </c>
      <c r="AJ56" s="6">
        <f>SUMIFS('Deduction Valuation'!$G:$G,'Deduction Valuation'!$F:$F,"RP - Regional Pay",'Deduction Valuation'!$B:$B,'Prop Budget Calc'!$A56)*$AI$3</f>
        <v>0</v>
      </c>
      <c r="AK56" s="6">
        <f t="shared" si="145"/>
        <v>900</v>
      </c>
      <c r="AL56" s="6">
        <f>SUMIFS('Deduction Valuation'!$G:$G,'Deduction Valuation'!$F:$F,"CR - Car Allowance",'Deduction Valuation'!$B:$B,'Prop Budget Calc'!$A56)*$AI$3</f>
        <v>0</v>
      </c>
      <c r="AM56" s="6">
        <f>SUMIFS('Deduction Valuation'!$G:$G,'Deduction Valuation'!$F:$F,"DA - Device Allow",'Deduction Valuation'!$B:$B,'Prop Budget Calc'!$A56)*$AI$3</f>
        <v>0</v>
      </c>
      <c r="AN56" s="6">
        <f>SUMIFS('Deduction Valuation'!$G:$G,'Deduction Valuation'!$F:$F,"RA - Replace Allow",'Deduction Valuation'!$B:$B,'Prop Budget Calc'!$A56)</f>
        <v>0</v>
      </c>
      <c r="AO56" s="94">
        <f t="shared" si="146"/>
        <v>0</v>
      </c>
      <c r="AP56" s="94">
        <f t="shared" si="147"/>
        <v>60991</v>
      </c>
      <c r="AQ56" s="10">
        <f>IF(OR($I56="50101", $I56="50102", $I56="50109", $I56="50140"),AP56*Scenarios!$H$8,0)</f>
        <v>10331.875399999999</v>
      </c>
      <c r="AR56" s="9">
        <f>VLOOKUP($D56,WKCMP!$A$1:$C$15,3,FALSE)*AP56</f>
        <v>922.18391999999994</v>
      </c>
      <c r="AS56" s="10">
        <f t="shared" si="148"/>
        <v>884.36950000000002</v>
      </c>
      <c r="AT56" s="11">
        <f t="shared" si="149"/>
        <v>3781.442</v>
      </c>
      <c r="AU56" s="10">
        <f t="shared" si="150"/>
        <v>4670</v>
      </c>
      <c r="AV56" s="6">
        <f t="shared" si="151"/>
        <v>109.7838</v>
      </c>
      <c r="AW56" s="19">
        <f t="shared" si="152"/>
        <v>79.2</v>
      </c>
      <c r="AX56" s="19">
        <f t="shared" si="153"/>
        <v>15.6</v>
      </c>
      <c r="AY56" s="19">
        <f t="shared" si="154"/>
        <v>11.28</v>
      </c>
      <c r="AZ56" s="88">
        <f t="shared" si="155"/>
        <v>215.8638</v>
      </c>
      <c r="BA56" s="6">
        <f>IF(AND($C56="vacant vacant",$E56=1),$BA$2*$AZ$3,SUMIFS('Employee Enrollments'!$AE:$AE,'Employee Enrollments'!$S:$S,"Medical HDHP",'Employee Enrollments'!$C:$C,'Prop Budget Calc'!$A56)*$AZ$3*(1+Scenarios!$E$9))*(1-$BA$3)</f>
        <v>17415.972864000003</v>
      </c>
      <c r="BB56" s="6">
        <f>IF(AND($C56="vacant vacant",$E56=1),500,SUMIFS('Employee Enrollments'!$AE:$AE,'Employee Enrollments'!$S:$S,"Health Savings Account",'Employee Enrollments'!$C:$C,'Prop Budget Calc'!$A56))</f>
        <v>1000</v>
      </c>
      <c r="BC56" s="56">
        <f t="shared" si="156"/>
        <v>18415.972864000003</v>
      </c>
      <c r="BD56" s="6">
        <f>IF(AND($C56="vacant vacant",$E56=1),$BD$2*$AZ$3,SUMIFS('Employee Enrollments'!$AE:$AE,'Employee Enrollments'!$S:$S,"Dental Plan",'Employee Enrollments'!$C:$C,'Prop Budget Calc'!$A56)*$AZ$3)</f>
        <v>843.48</v>
      </c>
      <c r="BE56" s="6">
        <f t="shared" si="157"/>
        <v>19475.316664000002</v>
      </c>
      <c r="BF56" s="6">
        <f t="shared" si="158"/>
        <v>35399.375983999998</v>
      </c>
      <c r="BG56" s="6">
        <f t="shared" si="159"/>
        <v>96390.375983999998</v>
      </c>
      <c r="BH56" s="14"/>
      <c r="BI56" s="56"/>
      <c r="BJ56" s="93">
        <f t="shared" si="160"/>
        <v>21740.371200000001</v>
      </c>
      <c r="BK56" s="10">
        <f>IF(SUMIFS('Employee Enrollments'!AB:AB,'Employee Enrollments'!C:C,'Prop Budget Calc'!$A56,'Employee Enrollments'!Q:Q,"Medical")*12=0,'Employee Enrollments'!$AN$1,(SUMIFS('Employee Enrollments'!AB:AB,'Employee Enrollments'!C:C,'Prop Budget Calc'!$A56,'Employee Enrollments'!Q:Q,"Medical")*12))</f>
        <v>3785.76</v>
      </c>
      <c r="BL56" s="10">
        <f>SUMIFS('Employee Enrollments'!AB:AB,'Employee Enrollments'!C:C,'Prop Budget Calc'!$A56,'Employee Enrollments'!Q:Q,"Dental")*12</f>
        <v>364.92</v>
      </c>
    </row>
    <row r="57" spans="1:64" ht="12.75" customHeight="1">
      <c r="A57" s="20" t="s">
        <v>1461</v>
      </c>
      <c r="B57" s="3" t="str">
        <f>IF(IFERROR(VLOOKUP($A57,'Base Pay Report'!$A:$V,'Prop Budget Calc'!B$2,FALSE),"NO")="No","Update",PROPER(VLOOKUP($A57,'Base Pay Report'!$A:$V,'Prop Budget Calc'!B$2,FALSE)))</f>
        <v>Water Productions Operator</v>
      </c>
      <c r="C57" s="3" t="str">
        <f>IF(IFERROR(VLOOKUP($A57,'Base Pay Report'!$A:$V,'Prop Budget Calc'!C$2,FALSE),"NO")="No","Update",PROPER(VLOOKUP($A57,'Base Pay Report'!$A:$V,'Prop Budget Calc'!C$2,FALSE)))</f>
        <v>First Name Last Name</v>
      </c>
      <c r="D57" s="3" t="str">
        <f>IF(IFERROR(VLOOKUP($A57,'Base Pay Report'!$A:$V,'Prop Budget Calc'!D$2,FALSE),"NO")="No","Update",PROPER(VLOOKUP($A57,'Base Pay Report'!$A:$V,'Prop Budget Calc'!D$2,FALSE)))</f>
        <v>7520</v>
      </c>
      <c r="E57" s="8">
        <f t="shared" si="161"/>
        <v>1</v>
      </c>
      <c r="F57" s="3" t="str">
        <f>IF(IFERROR(VLOOKUP($A57,'Base Pay Report'!$A:$V,'Prop Budget Calc'!F$2,FALSE),"NO")="No","Update",PROPER(VLOOKUP($A57,'Base Pay Report'!$A:$V,'Prop Budget Calc'!F$2,FALSE)))</f>
        <v>200-73-734-50102</v>
      </c>
      <c r="G57" s="3" t="str">
        <f t="shared" si="162"/>
        <v>200-73-734</v>
      </c>
      <c r="H57" s="49" t="str">
        <f t="shared" si="163"/>
        <v>200</v>
      </c>
      <c r="I57" s="3" t="str">
        <f t="shared" si="164"/>
        <v>50102</v>
      </c>
      <c r="J57" s="3" t="str">
        <f t="shared" si="165"/>
        <v>73</v>
      </c>
      <c r="K57" s="3" t="str">
        <f t="shared" si="166"/>
        <v>734</v>
      </c>
      <c r="L57" s="3">
        <f>IF(SUMIF('Base Pay Report'!$A:$A,'Prop Budget Calc'!$A57,'Base Pay Report'!$I:$I)=80,SUMIF('Base Pay Report'!$A:$A,'Prop Budget Calc'!$A57,'Base Pay Report'!$H:$H)/SUMIF('Base Pay Report'!$A:$A,'Prop Budget Calc'!$A57,'Base Pay Report'!$I:$I),SUMIF('Base Pay Report'!$A:$A,'Prop Budget Calc'!$A57,'Base Pay Report'!$H:$H))</f>
        <v>32.29</v>
      </c>
      <c r="M57" s="3">
        <f t="shared" si="138"/>
        <v>1872</v>
      </c>
      <c r="N57" s="3" t="str">
        <f>IF(IFERROR(VLOOKUP($A57,'Base Pay Report'!$A:$V,'Prop Budget Calc'!N$2,FALSE),"NO")="No","Update",(VLOOKUP($A57,'Base Pay Report'!$A:$V,'Prop Budget Calc'!N$2,FALSE)))</f>
        <v>FT HOURLY- 4-9</v>
      </c>
      <c r="O57" s="6">
        <f t="shared" si="167"/>
        <v>60450</v>
      </c>
      <c r="P57" s="99">
        <f>IF(SUMIF('Base Pay Report'!A:A,$A57,'Base Pay Report'!J:J)=0,$P$1+40,SUMIF('Base Pay Report'!A:A,$A57,'Base Pay Report'!J:J))</f>
        <v>37361</v>
      </c>
      <c r="Q57" s="87" t="str">
        <f>IF($B57='Current Step Plans'!$B$36,HLOOKUP('Prop Budget Calc'!$L57,'Current Step Plans'!$C$36:$Q$42,7,FALSE),IF($B57='Current Step Plans'!$B$37,HLOOKUP('Prop Budget Calc'!$L57,'Current Step Plans'!$C$37:$Q$42,6,FALSE),IF($B57='Current Step Plans'!$B$38,HLOOKUP('Prop Budget Calc'!$L57,'Current Step Plans'!$C$38:$Q$42,5,FALSE),IF($B57='Current Step Plans'!$B$39,HLOOKUP('Prop Budget Calc'!$L57,'Current Step Plans'!$C$39:$Q$42,4,FALSE),IF($B57='Current Step Plans'!$B$40,HLOOKUP('Prop Budget Calc'!$L57,'Current Step Plans'!$C$40:$Q$42,3,FALSE),IF($B57='Current Step Plans'!$B$41,HLOOKUP('Prop Budget Calc'!$L57,'Current Step Plans'!$C$41:$Q$42,2,FALSE),IF($B57='Current Step Plans'!$B$50,HLOOKUP('Prop Budget Calc'!$L57,'Current Step Plans'!$C$50:$Q$56,7,FALSE),IF($B57='Current Step Plans'!$B$51,HLOOKUP('Prop Budget Calc'!$L57,'Current Step Plans'!$C$51:$Q$56,6,FALSE),IF($B57='Current Step Plans'!$B$52,HLOOKUP('Prop Budget Calc'!$L57,'Current Step Plans'!$C$52:$Q$56,5,FALSE), IF($B57='Current Step Plans'!$B$53,HLOOKUP('Prop Budget Calc'!$L57,'Current Step Plans'!$C$53:$Q$56,4,FALSE),IF($B57='Current Step Plans'!$B$54,HLOOKUP('Prop Budget Calc'!$L57,'Current Step Plans'!$C$54:$Q$56,3,FALSE),IF($B57='Current Step Plans'!$B$55,HLOOKUP('Prop Budget Calc'!$L57,'Current Step Plans'!$C$55:$Q$56,2,FALSE),IF($B57='Current Step Plans'!$B$65,HLOOKUP('Prop Budget Calc'!$L57,'Current Step Plans'!$C$65:$Q$75,11,FALSE),IF($B57='Current Step Plans'!$B$66,HLOOKUP('Prop Budget Calc'!$L57,'Current Step Plans'!$C$66:$Q$75,10,FALSE),IF($B57='Current Step Plans'!$B$67,HLOOKUP('Prop Budget Calc'!$L57,'Current Step Plans'!$C$67:$Q$75,9,FALSE),IF($B57='Current Step Plans'!$B$68,HLOOKUP('Prop Budget Calc'!$L57,'Current Step Plans'!$C$68:$Q$75,8,FALSE),IF($B57='Current Step Plans'!$B$69,HLOOKUP('Prop Budget Calc'!$L57,'Current Step Plans'!$C$69:$Q$75,7,FALSE),IF($B57='Current Step Plans'!$B$70,HLOOKUP('Prop Budget Calc'!$L57,'Current Step Plans'!$C$70:$Q$75,6,FALSE),IF($B57='Current Step Plans'!$B$71,HLOOKUP('Prop Budget Calc'!$L57,'Current Step Plans'!$C$71:$Q$75,5,FALSE),IF($B57='Current Step Plans'!$B$72,HLOOKUP('Prop Budget Calc'!$L57,'Current Step Plans'!$C$72:$Q$75,4,FALSE),IF($B57='Current Step Plans'!$B$73,HLOOKUP('Prop Budget Calc'!$L57,'Current Step Plans'!$C$73:$Q$75,3,FALSE),IF($B57='Current Step Plans'!$B$74,HLOOKUP('Prop Budget Calc'!$L57,'Current Step Plans'!$C$74:$Q$75,2,FALSE),"N"))))))))))))))))))))))</f>
        <v>N</v>
      </c>
      <c r="R57" s="9" t="str">
        <f t="shared" si="139"/>
        <v>Y</v>
      </c>
      <c r="S57" s="6">
        <f>IF(Q57="n",0,ROUNDUP(VLOOKUP(B57,'Proposed Step Plans'!B:T,'Prop Budget Calc'!Q57+2,FALSE)*M57,-2)-O57-T57)</f>
        <v>0</v>
      </c>
      <c r="T57" s="6">
        <f>IF(Q57="n",0,ROUNDUP(VLOOKUP(B57,'Current Step Plans'!B:T,'Prop Budget Calc'!Q57+2,FALSE)*M57,0)-O57)</f>
        <v>0</v>
      </c>
      <c r="U57" s="6">
        <f>IF(IFERROR(VLOOKUP($A57,'Market Study'!$A$5:$G$82,7,FALSE),"NA")="NA",0,VLOOKUP($A57,'Market Study'!$A$5:$G$82,7,FALSE))</f>
        <v>0</v>
      </c>
      <c r="V57" s="6">
        <f>IF(OR($T57&lt;&gt;0,$I57="50112",$I57="50109",$S57&lt;&gt;0),0,VLOOKUP($K57,Scenarios!$A$17:$F$73,6,FALSE)*$O57)</f>
        <v>1209</v>
      </c>
      <c r="W57" s="6">
        <f t="shared" si="140"/>
        <v>1209</v>
      </c>
      <c r="X57" s="6">
        <f>IF(OR($T57&lt;&gt;0,$I57="50112",$I57="50109",$S57&lt;&gt;0),0,VLOOKUP($K57,Scenarios!$A$17:$F$73,2,FALSE)*$O57)</f>
        <v>1209</v>
      </c>
      <c r="Y57" s="6">
        <f>IF(OR($T57&lt;&gt;0,$I57="50110",$I57="50109",$S57&lt;&gt;0),0,VLOOKUP($K57,Scenarios!$A$17:$F$73,3,FALSE))</f>
        <v>1175</v>
      </c>
      <c r="Z57" s="6">
        <f>IF(OR($T57&lt;&gt;0,$I57="50112",$I57="50109",$S57&lt;&gt;0),0,VLOOKUP($K57,Scenarios!$A$17:$F$73,4,FALSE))</f>
        <v>0</v>
      </c>
      <c r="AA57" s="6">
        <f t="shared" si="141"/>
        <v>1209</v>
      </c>
      <c r="AB57" s="6">
        <f>IF(OR($T57&lt;&gt;0,$I57="50112",$I57="50109",$S57&lt;&gt;0),0,VLOOKUP($K57,Scenarios!$A$17:$F$73,5,FALSE))</f>
        <v>0</v>
      </c>
      <c r="AC57" s="6">
        <f t="shared" si="168"/>
        <v>2418</v>
      </c>
      <c r="AD57" s="6">
        <f t="shared" si="142"/>
        <v>62868</v>
      </c>
      <c r="AE57" s="84">
        <f t="shared" si="143"/>
        <v>4.0000000000000036E-2</v>
      </c>
      <c r="AF57" s="6">
        <f t="shared" si="144"/>
        <v>276.53333333333336</v>
      </c>
      <c r="AG57" s="6">
        <f>IF(AND(OR(I57="50101",I57="50102"),$AF57&gt;12),IF($AF57&gt;=300,(300*Scenarios!$B$14)*$E57,($AF57*Scenarios!$B$14)*$E57),0)</f>
        <v>1382.6666666666667</v>
      </c>
      <c r="AH57" s="6">
        <f>IF($R57="y",IF($T57&gt;0,Scenarios!$B$10*'Prop Budget Calc'!$E57,Scenarios!$B$13*'Prop Budget Calc'!$E57))</f>
        <v>0</v>
      </c>
      <c r="AI57" s="6">
        <f>SUMIFS('Deduction Valuation'!$G:$G,'Deduction Valuation'!$F:$F,"CT - Certifications",'Deduction Valuation'!$B:$B,'Prop Budget Calc'!$A57)*$AI$3</f>
        <v>1200</v>
      </c>
      <c r="AJ57" s="6">
        <f>SUMIFS('Deduction Valuation'!$G:$G,'Deduction Valuation'!$F:$F,"RP - Regional Pay",'Deduction Valuation'!$B:$B,'Prop Budget Calc'!$A57)*$AI$3</f>
        <v>0</v>
      </c>
      <c r="AK57" s="6">
        <f t="shared" si="145"/>
        <v>1200</v>
      </c>
      <c r="AL57" s="6">
        <f>SUMIFS('Deduction Valuation'!$G:$G,'Deduction Valuation'!$F:$F,"CR - Car Allowance",'Deduction Valuation'!$B:$B,'Prop Budget Calc'!$A57)*$AI$3</f>
        <v>0</v>
      </c>
      <c r="AM57" s="6">
        <f>SUMIFS('Deduction Valuation'!$G:$G,'Deduction Valuation'!$F:$F,"DA - Device Allow",'Deduction Valuation'!$B:$B,'Prop Budget Calc'!$A57)*$AI$3</f>
        <v>0</v>
      </c>
      <c r="AN57" s="6">
        <f>SUMIFS('Deduction Valuation'!$G:$G,'Deduction Valuation'!$F:$F,"RA - Replace Allow",'Deduction Valuation'!$B:$B,'Prop Budget Calc'!$A57)</f>
        <v>0</v>
      </c>
      <c r="AO57" s="94">
        <f t="shared" si="146"/>
        <v>0</v>
      </c>
      <c r="AP57" s="94">
        <f t="shared" si="147"/>
        <v>65450.666666666664</v>
      </c>
      <c r="AQ57" s="10">
        <f>IF(OR($I57="50101", $I57="50102", $I57="50109", $I57="50140"),AP57*Scenarios!$H$8,0)</f>
        <v>11087.342933333333</v>
      </c>
      <c r="AR57" s="9">
        <f>VLOOKUP($D57,WKCMP!$A$1:$C$15,3,FALSE)*AP57</f>
        <v>989.61407999999994</v>
      </c>
      <c r="AS57" s="10">
        <f t="shared" si="148"/>
        <v>949.03466666666668</v>
      </c>
      <c r="AT57" s="11">
        <f t="shared" si="149"/>
        <v>4057.9413333333332</v>
      </c>
      <c r="AU57" s="10">
        <f t="shared" si="150"/>
        <v>5010</v>
      </c>
      <c r="AV57" s="6">
        <f t="shared" si="151"/>
        <v>117.8112</v>
      </c>
      <c r="AW57" s="19">
        <f t="shared" si="152"/>
        <v>79.2</v>
      </c>
      <c r="AX57" s="19">
        <f t="shared" si="153"/>
        <v>15.6</v>
      </c>
      <c r="AY57" s="19">
        <f t="shared" si="154"/>
        <v>11.28</v>
      </c>
      <c r="AZ57" s="88">
        <f t="shared" si="155"/>
        <v>223.8912</v>
      </c>
      <c r="BA57" s="6">
        <f>IF(AND($C57="vacant vacant",$E57=1),$BA$2*$AZ$3,SUMIFS('Employee Enrollments'!$AE:$AE,'Employee Enrollments'!$S:$S,"Medical HDHP",'Employee Enrollments'!$C:$C,'Prop Budget Calc'!$A57)*$AZ$3*(1+Scenarios!$E$9))*(1-$BA$3)</f>
        <v>9797.7907439999999</v>
      </c>
      <c r="BB57" s="6">
        <f>IF(AND($C57="vacant vacant",$E57=1),500,SUMIFS('Employee Enrollments'!$AE:$AE,'Employee Enrollments'!$S:$S,"Health Savings Account",'Employee Enrollments'!$C:$C,'Prop Budget Calc'!$A57))</f>
        <v>500.05</v>
      </c>
      <c r="BC57" s="56">
        <f t="shared" si="156"/>
        <v>10297.840743999999</v>
      </c>
      <c r="BD57" s="6">
        <f>IF(AND($C57="vacant vacant",$E57=1),$BD$2*$AZ$3,SUMIFS('Employee Enrollments'!$AE:$AE,'Employee Enrollments'!$S:$S,"Dental Plan",'Employee Enrollments'!$C:$C,'Prop Budget Calc'!$A57)*$AZ$3)</f>
        <v>434.76</v>
      </c>
      <c r="BE57" s="6">
        <f t="shared" si="157"/>
        <v>10956.491943999999</v>
      </c>
      <c r="BF57" s="6">
        <f t="shared" si="158"/>
        <v>28043.448957333334</v>
      </c>
      <c r="BG57" s="6">
        <f t="shared" si="159"/>
        <v>93494.115623999998</v>
      </c>
      <c r="BH57" s="14"/>
      <c r="BI57" s="56"/>
      <c r="BJ57" s="93">
        <f t="shared" si="160"/>
        <v>10449.415200000001</v>
      </c>
      <c r="BK57" s="10">
        <f>IF(SUMIFS('Employee Enrollments'!AB:AB,'Employee Enrollments'!C:C,'Prop Budget Calc'!$A57,'Employee Enrollments'!Q:Q,"Medical")*12=0,'Employee Enrollments'!$AN$1,(SUMIFS('Employee Enrollments'!AB:AB,'Employee Enrollments'!C:C,'Prop Budget Calc'!$A57,'Employee Enrollments'!Q:Q,"Medical")*12))</f>
        <v>348.6</v>
      </c>
      <c r="BL57" s="10">
        <f>SUMIFS('Employee Enrollments'!AB:AB,'Employee Enrollments'!C:C,'Prop Budget Calc'!$A57,'Employee Enrollments'!Q:Q,"Dental")*12</f>
        <v>0</v>
      </c>
    </row>
    <row r="58" spans="1:64" s="1" customFormat="1" ht="12.75" customHeight="1">
      <c r="A58" s="20" t="s">
        <v>1332</v>
      </c>
      <c r="B58" s="3" t="str">
        <f>IF(IFERROR(VLOOKUP($A58,'Base Pay Report'!$A:$V,'Prop Budget Calc'!B$2,FALSE),"NO")="No","Update",PROPER(VLOOKUP($A58,'Base Pay Report'!$A:$V,'Prop Budget Calc'!B$2,FALSE)))</f>
        <v>Scada Operator</v>
      </c>
      <c r="C58" s="3" t="str">
        <f>IF(IFERROR(VLOOKUP($A58,'Base Pay Report'!$A:$V,'Prop Budget Calc'!C$2,FALSE),"NO")="No","Update",PROPER(VLOOKUP($A58,'Base Pay Report'!$A:$V,'Prop Budget Calc'!C$2,FALSE)))</f>
        <v>First Name Last Name</v>
      </c>
      <c r="D58" s="3" t="str">
        <f>IF(IFERROR(VLOOKUP($A58,'Base Pay Report'!$A:$V,'Prop Budget Calc'!D$2,FALSE),"NO")="No","Update",PROPER(VLOOKUP($A58,'Base Pay Report'!$A:$V,'Prop Budget Calc'!D$2,FALSE)))</f>
        <v>7520</v>
      </c>
      <c r="E58" s="8">
        <f t="shared" si="161"/>
        <v>1</v>
      </c>
      <c r="F58" s="3" t="str">
        <f>IF(IFERROR(VLOOKUP($A58,'Base Pay Report'!$A:$V,'Prop Budget Calc'!F$2,FALSE),"NO")="No","Update",PROPER(VLOOKUP($A58,'Base Pay Report'!$A:$V,'Prop Budget Calc'!F$2,FALSE)))</f>
        <v>200-73-734-50102</v>
      </c>
      <c r="G58" s="3" t="str">
        <f t="shared" si="162"/>
        <v>200-73-734</v>
      </c>
      <c r="H58" s="49" t="str">
        <f t="shared" si="163"/>
        <v>200</v>
      </c>
      <c r="I58" s="3" t="str">
        <f t="shared" si="164"/>
        <v>50102</v>
      </c>
      <c r="J58" s="3" t="str">
        <f t="shared" si="165"/>
        <v>73</v>
      </c>
      <c r="K58" s="3" t="str">
        <f t="shared" si="166"/>
        <v>734</v>
      </c>
      <c r="L58" s="3">
        <f>IF(SUMIF('Base Pay Report'!$A:$A,'Prop Budget Calc'!$A58,'Base Pay Report'!$I:$I)=80,SUMIF('Base Pay Report'!$A:$A,'Prop Budget Calc'!$A58,'Base Pay Report'!$H:$H)/SUMIF('Base Pay Report'!$A:$A,'Prop Budget Calc'!$A58,'Base Pay Report'!$I:$I),SUMIF('Base Pay Report'!$A:$A,'Prop Budget Calc'!$A58,'Base Pay Report'!$H:$H))</f>
        <v>29.72</v>
      </c>
      <c r="M58" s="3">
        <f t="shared" si="138"/>
        <v>1872</v>
      </c>
      <c r="N58" s="3" t="str">
        <f>IF(IFERROR(VLOOKUP($A58,'Base Pay Report'!$A:$V,'Prop Budget Calc'!N$2,FALSE),"NO")="No","Update",(VLOOKUP($A58,'Base Pay Report'!$A:$V,'Prop Budget Calc'!N$2,FALSE)))</f>
        <v>FT HOURLY- 4-9</v>
      </c>
      <c r="O58" s="6">
        <f t="shared" si="167"/>
        <v>55640</v>
      </c>
      <c r="P58" s="99">
        <f>IF(SUMIF('Base Pay Report'!A:A,$A58,'Base Pay Report'!J:J)=0,$P$1+40,SUMIF('Base Pay Report'!A:A,$A58,'Base Pay Report'!J:J))</f>
        <v>39034</v>
      </c>
      <c r="Q58" s="87" t="str">
        <f>IF($B58='Current Step Plans'!$B$36,HLOOKUP('Prop Budget Calc'!$L58,'Current Step Plans'!$C$36:$Q$42,7,FALSE),IF($B58='Current Step Plans'!$B$37,HLOOKUP('Prop Budget Calc'!$L58,'Current Step Plans'!$C$37:$Q$42,6,FALSE),IF($B58='Current Step Plans'!$B$38,HLOOKUP('Prop Budget Calc'!$L58,'Current Step Plans'!$C$38:$Q$42,5,FALSE),IF($B58='Current Step Plans'!$B$39,HLOOKUP('Prop Budget Calc'!$L58,'Current Step Plans'!$C$39:$Q$42,4,FALSE),IF($B58='Current Step Plans'!$B$40,HLOOKUP('Prop Budget Calc'!$L58,'Current Step Plans'!$C$40:$Q$42,3,FALSE),IF($B58='Current Step Plans'!$B$41,HLOOKUP('Prop Budget Calc'!$L58,'Current Step Plans'!$C$41:$Q$42,2,FALSE),IF($B58='Current Step Plans'!$B$50,HLOOKUP('Prop Budget Calc'!$L58,'Current Step Plans'!$C$50:$Q$56,7,FALSE),IF($B58='Current Step Plans'!$B$51,HLOOKUP('Prop Budget Calc'!$L58,'Current Step Plans'!$C$51:$Q$56,6,FALSE),IF($B58='Current Step Plans'!$B$52,HLOOKUP('Prop Budget Calc'!$L58,'Current Step Plans'!$C$52:$Q$56,5,FALSE), IF($B58='Current Step Plans'!$B$53,HLOOKUP('Prop Budget Calc'!$L58,'Current Step Plans'!$C$53:$Q$56,4,FALSE),IF($B58='Current Step Plans'!$B$54,HLOOKUP('Prop Budget Calc'!$L58,'Current Step Plans'!$C$54:$Q$56,3,FALSE),IF($B58='Current Step Plans'!$B$55,HLOOKUP('Prop Budget Calc'!$L58,'Current Step Plans'!$C$55:$Q$56,2,FALSE),IF($B58='Current Step Plans'!$B$65,HLOOKUP('Prop Budget Calc'!$L58,'Current Step Plans'!$C$65:$Q$75,11,FALSE),IF($B58='Current Step Plans'!$B$66,HLOOKUP('Prop Budget Calc'!$L58,'Current Step Plans'!$C$66:$Q$75,10,FALSE),IF($B58='Current Step Plans'!$B$67,HLOOKUP('Prop Budget Calc'!$L58,'Current Step Plans'!$C$67:$Q$75,9,FALSE),IF($B58='Current Step Plans'!$B$68,HLOOKUP('Prop Budget Calc'!$L58,'Current Step Plans'!$C$68:$Q$75,8,FALSE),IF($B58='Current Step Plans'!$B$69,HLOOKUP('Prop Budget Calc'!$L58,'Current Step Plans'!$C$69:$Q$75,7,FALSE),IF($B58='Current Step Plans'!$B$70,HLOOKUP('Prop Budget Calc'!$L58,'Current Step Plans'!$C$70:$Q$75,6,FALSE),IF($B58='Current Step Plans'!$B$71,HLOOKUP('Prop Budget Calc'!$L58,'Current Step Plans'!$C$71:$Q$75,5,FALSE),IF($B58='Current Step Plans'!$B$72,HLOOKUP('Prop Budget Calc'!$L58,'Current Step Plans'!$C$72:$Q$75,4,FALSE),IF($B58='Current Step Plans'!$B$73,HLOOKUP('Prop Budget Calc'!$L58,'Current Step Plans'!$C$73:$Q$75,3,FALSE),IF($B58='Current Step Plans'!$B$74,HLOOKUP('Prop Budget Calc'!$L58,'Current Step Plans'!$C$74:$Q$75,2,FALSE),"N"))))))))))))))))))))))</f>
        <v>N</v>
      </c>
      <c r="R58" s="9" t="str">
        <f t="shared" si="139"/>
        <v>Y</v>
      </c>
      <c r="S58" s="6">
        <f>IF(Q58="n",0,ROUNDUP(VLOOKUP(B58,'Proposed Step Plans'!B:T,'Prop Budget Calc'!Q58+2,FALSE)*M58,-2)-O58-T58)</f>
        <v>0</v>
      </c>
      <c r="T58" s="6">
        <f>IF(Q58="n",0,ROUNDUP(VLOOKUP(B58,'Current Step Plans'!B:T,'Prop Budget Calc'!Q58+2,FALSE)*M58,0)-O58)</f>
        <v>0</v>
      </c>
      <c r="U58" s="6">
        <f>IF(IFERROR(VLOOKUP($A58,'Market Study'!$A$5:$G$82,7,FALSE),"NA")="NA",0,VLOOKUP($A58,'Market Study'!$A$5:$G$82,7,FALSE))</f>
        <v>0</v>
      </c>
      <c r="V58" s="6">
        <f>IF(OR($T58&lt;&gt;0,$I58="50112",$I58="50109",$S58&lt;&gt;0),0,VLOOKUP($K58,Scenarios!$A$17:$F$73,6,FALSE)*$O58)</f>
        <v>1112.8</v>
      </c>
      <c r="W58" s="6">
        <f t="shared" si="140"/>
        <v>1112.8</v>
      </c>
      <c r="X58" s="6">
        <f>IF(OR($T58&lt;&gt;0,$I58="50112",$I58="50109",$S58&lt;&gt;0),0,VLOOKUP($K58,Scenarios!$A$17:$F$73,2,FALSE)*$O58)</f>
        <v>1112.8</v>
      </c>
      <c r="Y58" s="6">
        <f>IF(OR($T58&lt;&gt;0,$I58="50110",$I58="50109",$S58&lt;&gt;0),0,VLOOKUP($K58,Scenarios!$A$17:$F$73,3,FALSE))</f>
        <v>1175</v>
      </c>
      <c r="Z58" s="6">
        <f>IF(OR($T58&lt;&gt;0,$I58="50112",$I58="50109",$S58&lt;&gt;0),0,VLOOKUP($K58,Scenarios!$A$17:$F$73,4,FALSE))</f>
        <v>0</v>
      </c>
      <c r="AA58" s="6">
        <f t="shared" si="141"/>
        <v>1175</v>
      </c>
      <c r="AB58" s="6">
        <f>IF(OR($T58&lt;&gt;0,$I58="50112",$I58="50109",$S58&lt;&gt;0),0,VLOOKUP($K58,Scenarios!$A$17:$F$73,5,FALSE))</f>
        <v>0</v>
      </c>
      <c r="AC58" s="6">
        <f t="shared" si="168"/>
        <v>2287.8000000000002</v>
      </c>
      <c r="AD58" s="6">
        <f t="shared" si="142"/>
        <v>57928</v>
      </c>
      <c r="AE58" s="84">
        <f t="shared" si="143"/>
        <v>4.1121495327102853E-2</v>
      </c>
      <c r="AF58" s="6">
        <f t="shared" si="144"/>
        <v>220.76666666666668</v>
      </c>
      <c r="AG58" s="6">
        <f>IF(AND(OR(I58="50101",I58="50102"),$AF58&gt;12),IF($AF58&gt;=300,(300*Scenarios!$B$14)*$E58,($AF58*Scenarios!$B$14)*$E58),0)</f>
        <v>1103.8333333333335</v>
      </c>
      <c r="AH58" s="6">
        <f>IF($R58="y",IF($T58&gt;0,Scenarios!$B$10*'Prop Budget Calc'!$E58,Scenarios!$B$13*'Prop Budget Calc'!$E58))</f>
        <v>0</v>
      </c>
      <c r="AI58" s="6">
        <f>SUMIFS('Deduction Valuation'!$G:$G,'Deduction Valuation'!$F:$F,"CT - Certifications",'Deduction Valuation'!$B:$B,'Prop Budget Calc'!$A58)*$AI$3</f>
        <v>900</v>
      </c>
      <c r="AJ58" s="6">
        <f>SUMIFS('Deduction Valuation'!$G:$G,'Deduction Valuation'!$F:$F,"RP - Regional Pay",'Deduction Valuation'!$B:$B,'Prop Budget Calc'!$A58)*$AI$3</f>
        <v>0</v>
      </c>
      <c r="AK58" s="6">
        <f t="shared" si="145"/>
        <v>900</v>
      </c>
      <c r="AL58" s="6">
        <f>SUMIFS('Deduction Valuation'!$G:$G,'Deduction Valuation'!$F:$F,"CR - Car Allowance",'Deduction Valuation'!$B:$B,'Prop Budget Calc'!$A58)*$AI$3</f>
        <v>0</v>
      </c>
      <c r="AM58" s="6">
        <f>SUMIFS('Deduction Valuation'!$G:$G,'Deduction Valuation'!$F:$F,"DA - Device Allow",'Deduction Valuation'!$B:$B,'Prop Budget Calc'!$A58)*$AI$3</f>
        <v>0</v>
      </c>
      <c r="AN58" s="6">
        <f>SUMIFS('Deduction Valuation'!$G:$G,'Deduction Valuation'!$F:$F,"RA - Replace Allow",'Deduction Valuation'!$B:$B,'Prop Budget Calc'!$A58)</f>
        <v>0</v>
      </c>
      <c r="AO58" s="94">
        <f t="shared" si="146"/>
        <v>0</v>
      </c>
      <c r="AP58" s="94">
        <f t="shared" si="147"/>
        <v>59931.833333333336</v>
      </c>
      <c r="AQ58" s="10">
        <f>IF(OR($I58="50101", $I58="50102", $I58="50109", $I58="50140"),AP58*Scenarios!$H$8,0)</f>
        <v>10152.452566666667</v>
      </c>
      <c r="AR58" s="9">
        <f>VLOOKUP($D58,WKCMP!$A$1:$C$15,3,FALSE)*AP58</f>
        <v>906.16931999999997</v>
      </c>
      <c r="AS58" s="10">
        <f t="shared" si="148"/>
        <v>869.01158333333342</v>
      </c>
      <c r="AT58" s="11">
        <f t="shared" si="149"/>
        <v>3715.7736666666669</v>
      </c>
      <c r="AU58" s="10">
        <f t="shared" si="150"/>
        <v>4590</v>
      </c>
      <c r="AV58" s="6">
        <f t="shared" si="151"/>
        <v>107.87730000000001</v>
      </c>
      <c r="AW58" s="19">
        <f t="shared" si="152"/>
        <v>79.2</v>
      </c>
      <c r="AX58" s="19">
        <f t="shared" si="153"/>
        <v>15.6</v>
      </c>
      <c r="AY58" s="19">
        <f t="shared" si="154"/>
        <v>11.28</v>
      </c>
      <c r="AZ58" s="88">
        <f t="shared" si="155"/>
        <v>213.9573</v>
      </c>
      <c r="BA58" s="6">
        <f>IF(AND($C58="vacant vacant",$E58=1),$BA$2*$AZ$3,SUMIFS('Employee Enrollments'!$AE:$AE,'Employee Enrollments'!$S:$S,"Medical HDHP",'Employee Enrollments'!$C:$C,'Prop Budget Calc'!$A58)*$AZ$3*(1+Scenarios!$E$9))*(1-$BA$3)</f>
        <v>20751.279839999999</v>
      </c>
      <c r="BB58" s="6">
        <f>IF(AND($C58="vacant vacant",$E58=1),500,SUMIFS('Employee Enrollments'!$AE:$AE,'Employee Enrollments'!$S:$S,"Health Savings Account",'Employee Enrollments'!$C:$C,'Prop Budget Calc'!$A58))</f>
        <v>1000</v>
      </c>
      <c r="BC58" s="56">
        <f t="shared" si="156"/>
        <v>21751.279839999999</v>
      </c>
      <c r="BD58" s="6">
        <f>IF(AND($C58="vacant vacant",$E58=1),$BD$2*$AZ$3,SUMIFS('Employee Enrollments'!$AE:$AE,'Employee Enrollments'!$S:$S,"Dental Plan",'Employee Enrollments'!$C:$C,'Prop Budget Calc'!$A58)*$AZ$3)</f>
        <v>843.48</v>
      </c>
      <c r="BE58" s="6">
        <f t="shared" si="157"/>
        <v>22808.717139999997</v>
      </c>
      <c r="BF58" s="6">
        <f t="shared" si="158"/>
        <v>38457.339026666668</v>
      </c>
      <c r="BG58" s="6">
        <f t="shared" si="159"/>
        <v>98389.172359999997</v>
      </c>
      <c r="BH58" s="14"/>
      <c r="BI58" s="56"/>
      <c r="BJ58" s="93">
        <f t="shared" si="160"/>
        <v>25996.991999999998</v>
      </c>
      <c r="BK58" s="10">
        <f>IF(SUMIFS('Employee Enrollments'!AB:AB,'Employee Enrollments'!C:C,'Prop Budget Calc'!$A58,'Employee Enrollments'!Q:Q,"Medical")*12=0,'Employee Enrollments'!$AN$1,(SUMIFS('Employee Enrollments'!AB:AB,'Employee Enrollments'!C:C,'Prop Budget Calc'!$A58,'Employee Enrollments'!Q:Q,"Medical")*12))</f>
        <v>4603.92</v>
      </c>
      <c r="BL58" s="10">
        <f>SUMIFS('Employee Enrollments'!AB:AB,'Employee Enrollments'!C:C,'Prop Budget Calc'!$A58,'Employee Enrollments'!Q:Q,"Dental")*12</f>
        <v>364.92</v>
      </c>
    </row>
    <row r="59" spans="1:64" ht="12.75" customHeight="1">
      <c r="A59" s="20" t="s">
        <v>1479</v>
      </c>
      <c r="B59" s="3" t="str">
        <f>IF(IFERROR(VLOOKUP($A59,'Base Pay Report'!$A:$V,'Prop Budget Calc'!B$2,FALSE),"NO")="No","Update",PROPER(VLOOKUP($A59,'Base Pay Report'!$A:$V,'Prop Budget Calc'!B$2,FALSE)))</f>
        <v>Water Production Supervisor</v>
      </c>
      <c r="C59" s="3" t="str">
        <f>IF(IFERROR(VLOOKUP($A59,'Base Pay Report'!$A:$V,'Prop Budget Calc'!C$2,FALSE),"NO")="No","Update",PROPER(VLOOKUP($A59,'Base Pay Report'!$A:$V,'Prop Budget Calc'!C$2,FALSE)))</f>
        <v>First Name Last Name</v>
      </c>
      <c r="D59" s="3" t="str">
        <f>IF(IFERROR(VLOOKUP($A59,'Base Pay Report'!$A:$V,'Prop Budget Calc'!D$2,FALSE),"NO")="No","Update",PROPER(VLOOKUP($A59,'Base Pay Report'!$A:$V,'Prop Budget Calc'!D$2,FALSE)))</f>
        <v>7520</v>
      </c>
      <c r="E59" s="8">
        <f t="shared" si="161"/>
        <v>1</v>
      </c>
      <c r="F59" s="3" t="str">
        <f>IF(IFERROR(VLOOKUP($A59,'Base Pay Report'!$A:$V,'Prop Budget Calc'!F$2,FALSE),"NO")="No","Update",PROPER(VLOOKUP($A59,'Base Pay Report'!$A:$V,'Prop Budget Calc'!F$2,FALSE)))</f>
        <v>200-73-734-50102</v>
      </c>
      <c r="G59" s="3" t="str">
        <f t="shared" si="162"/>
        <v>200-73-734</v>
      </c>
      <c r="H59" s="49" t="str">
        <f t="shared" si="163"/>
        <v>200</v>
      </c>
      <c r="I59" s="3" t="str">
        <f t="shared" si="164"/>
        <v>50102</v>
      </c>
      <c r="J59" s="3" t="str">
        <f t="shared" si="165"/>
        <v>73</v>
      </c>
      <c r="K59" s="3" t="str">
        <f t="shared" si="166"/>
        <v>734</v>
      </c>
      <c r="L59" s="3">
        <f>IF(SUMIF('Base Pay Report'!$A:$A,'Prop Budget Calc'!$A59,'Base Pay Report'!$I:$I)=80,SUMIF('Base Pay Report'!$A:$A,'Prop Budget Calc'!$A59,'Base Pay Report'!$H:$H)/SUMIF('Base Pay Report'!$A:$A,'Prop Budget Calc'!$A59,'Base Pay Report'!$I:$I),SUMIF('Base Pay Report'!$A:$A,'Prop Budget Calc'!$A59,'Base Pay Report'!$H:$H))</f>
        <v>38.93</v>
      </c>
      <c r="M59" s="3">
        <f t="shared" si="138"/>
        <v>1872</v>
      </c>
      <c r="N59" s="3" t="str">
        <f>IF(IFERROR(VLOOKUP($A59,'Base Pay Report'!$A:$V,'Prop Budget Calc'!N$2,FALSE),"NO")="No","Update",(VLOOKUP($A59,'Base Pay Report'!$A:$V,'Prop Budget Calc'!N$2,FALSE)))</f>
        <v>FT HOURLY- 4-9</v>
      </c>
      <c r="O59" s="6">
        <f t="shared" si="167"/>
        <v>72880</v>
      </c>
      <c r="P59" s="99">
        <f>IF(SUMIF('Base Pay Report'!A:A,$A59,'Base Pay Report'!J:J)=0,$P$1+40,SUMIF('Base Pay Report'!A:A,$A59,'Base Pay Report'!J:J))</f>
        <v>37235</v>
      </c>
      <c r="Q59" s="87" t="str">
        <f>IF($B59='Current Step Plans'!$B$36,HLOOKUP('Prop Budget Calc'!$L59,'Current Step Plans'!$C$36:$Q$42,7,FALSE),IF($B59='Current Step Plans'!$B$37,HLOOKUP('Prop Budget Calc'!$L59,'Current Step Plans'!$C$37:$Q$42,6,FALSE),IF($B59='Current Step Plans'!$B$38,HLOOKUP('Prop Budget Calc'!$L59,'Current Step Plans'!$C$38:$Q$42,5,FALSE),IF($B59='Current Step Plans'!$B$39,HLOOKUP('Prop Budget Calc'!$L59,'Current Step Plans'!$C$39:$Q$42,4,FALSE),IF($B59='Current Step Plans'!$B$40,HLOOKUP('Prop Budget Calc'!$L59,'Current Step Plans'!$C$40:$Q$42,3,FALSE),IF($B59='Current Step Plans'!$B$41,HLOOKUP('Prop Budget Calc'!$L59,'Current Step Plans'!$C$41:$Q$42,2,FALSE),IF($B59='Current Step Plans'!$B$50,HLOOKUP('Prop Budget Calc'!$L59,'Current Step Plans'!$C$50:$Q$56,7,FALSE),IF($B59='Current Step Plans'!$B$51,HLOOKUP('Prop Budget Calc'!$L59,'Current Step Plans'!$C$51:$Q$56,6,FALSE),IF($B59='Current Step Plans'!$B$52,HLOOKUP('Prop Budget Calc'!$L59,'Current Step Plans'!$C$52:$Q$56,5,FALSE), IF($B59='Current Step Plans'!$B$53,HLOOKUP('Prop Budget Calc'!$L59,'Current Step Plans'!$C$53:$Q$56,4,FALSE),IF($B59='Current Step Plans'!$B$54,HLOOKUP('Prop Budget Calc'!$L59,'Current Step Plans'!$C$54:$Q$56,3,FALSE),IF($B59='Current Step Plans'!$B$55,HLOOKUP('Prop Budget Calc'!$L59,'Current Step Plans'!$C$55:$Q$56,2,FALSE),IF($B59='Current Step Plans'!$B$65,HLOOKUP('Prop Budget Calc'!$L59,'Current Step Plans'!$C$65:$Q$75,11,FALSE),IF($B59='Current Step Plans'!$B$66,HLOOKUP('Prop Budget Calc'!$L59,'Current Step Plans'!$C$66:$Q$75,10,FALSE),IF($B59='Current Step Plans'!$B$67,HLOOKUP('Prop Budget Calc'!$L59,'Current Step Plans'!$C$67:$Q$75,9,FALSE),IF($B59='Current Step Plans'!$B$68,HLOOKUP('Prop Budget Calc'!$L59,'Current Step Plans'!$C$68:$Q$75,8,FALSE),IF($B59='Current Step Plans'!$B$69,HLOOKUP('Prop Budget Calc'!$L59,'Current Step Plans'!$C$69:$Q$75,7,FALSE),IF($B59='Current Step Plans'!$B$70,HLOOKUP('Prop Budget Calc'!$L59,'Current Step Plans'!$C$70:$Q$75,6,FALSE),IF($B59='Current Step Plans'!$B$71,HLOOKUP('Prop Budget Calc'!$L59,'Current Step Plans'!$C$71:$Q$75,5,FALSE),IF($B59='Current Step Plans'!$B$72,HLOOKUP('Prop Budget Calc'!$L59,'Current Step Plans'!$C$72:$Q$75,4,FALSE),IF($B59='Current Step Plans'!$B$73,HLOOKUP('Prop Budget Calc'!$L59,'Current Step Plans'!$C$73:$Q$75,3,FALSE),IF($B59='Current Step Plans'!$B$74,HLOOKUP('Prop Budget Calc'!$L59,'Current Step Plans'!$C$74:$Q$75,2,FALSE),"N"))))))))))))))))))))))</f>
        <v>N</v>
      </c>
      <c r="R59" s="9" t="str">
        <f t="shared" si="139"/>
        <v>Y</v>
      </c>
      <c r="S59" s="6">
        <f>IF(Q59="n",0,ROUNDUP(VLOOKUP(B59,'Proposed Step Plans'!B:T,'Prop Budget Calc'!Q59+2,FALSE)*M59,-2)-O59-T59)</f>
        <v>0</v>
      </c>
      <c r="T59" s="6">
        <f>IF(Q59="n",0,ROUNDUP(VLOOKUP(B59,'Current Step Plans'!B:T,'Prop Budget Calc'!Q59+2,FALSE)*M59,0)-O59)</f>
        <v>0</v>
      </c>
      <c r="U59" s="6">
        <f>IF(IFERROR(VLOOKUP($A59,'Market Study'!$A$5:$G$82,7,FALSE),"NA")="NA",0,VLOOKUP($A59,'Market Study'!$A$5:$G$82,7,FALSE))</f>
        <v>0</v>
      </c>
      <c r="V59" s="6">
        <f>IF(OR($T59&lt;&gt;0,$I59="50112",$I59="50109",$S59&lt;&gt;0),0,VLOOKUP($K59,Scenarios!$A$17:$F$73,6,FALSE)*$O59)</f>
        <v>1457.6000000000001</v>
      </c>
      <c r="W59" s="6">
        <f t="shared" si="140"/>
        <v>1457.6000000000001</v>
      </c>
      <c r="X59" s="6">
        <f>IF(OR($T59&lt;&gt;0,$I59="50112",$I59="50109",$S59&lt;&gt;0),0,VLOOKUP($K59,Scenarios!$A$17:$F$73,2,FALSE)*$O59)</f>
        <v>1457.6000000000001</v>
      </c>
      <c r="Y59" s="6">
        <f>IF(OR($T59&lt;&gt;0,$I59="50110",$I59="50109",$S59&lt;&gt;0),0,VLOOKUP($K59,Scenarios!$A$17:$F$73,3,FALSE))</f>
        <v>1175</v>
      </c>
      <c r="Z59" s="6">
        <f>IF(OR($T59&lt;&gt;0,$I59="50112",$I59="50109",$S59&lt;&gt;0),0,VLOOKUP($K59,Scenarios!$A$17:$F$73,4,FALSE))</f>
        <v>0</v>
      </c>
      <c r="AA59" s="6">
        <f t="shared" si="141"/>
        <v>1457.6000000000001</v>
      </c>
      <c r="AB59" s="6">
        <f>IF(OR($T59&lt;&gt;0,$I59="50112",$I59="50109",$S59&lt;&gt;0),0,VLOOKUP($K59,Scenarios!$A$17:$F$73,5,FALSE))</f>
        <v>0</v>
      </c>
      <c r="AC59" s="6">
        <f t="shared" si="168"/>
        <v>2915.2000000000003</v>
      </c>
      <c r="AD59" s="6">
        <f t="shared" si="142"/>
        <v>75796</v>
      </c>
      <c r="AE59" s="84">
        <f t="shared" si="143"/>
        <v>4.0010976948408272E-2</v>
      </c>
      <c r="AF59" s="6">
        <f t="shared" si="144"/>
        <v>280.73333333333335</v>
      </c>
      <c r="AG59" s="6">
        <f>IF(AND(OR(I59="50101",I59="50102"),$AF59&gt;12),IF($AF59&gt;=300,(300*Scenarios!$B$14)*$E59,($AF59*Scenarios!$B$14)*$E59),0)</f>
        <v>1403.6666666666667</v>
      </c>
      <c r="AH59" s="6">
        <f>IF($R59="y",IF($T59&gt;0,Scenarios!$B$10*'Prop Budget Calc'!$E59,Scenarios!$B$13*'Prop Budget Calc'!$E59))</f>
        <v>0</v>
      </c>
      <c r="AI59" s="6">
        <f>SUMIFS('Deduction Valuation'!$G:$G,'Deduction Valuation'!$F:$F,"CT - Certifications",'Deduction Valuation'!$B:$B,'Prop Budget Calc'!$A59)*$AI$3</f>
        <v>1200</v>
      </c>
      <c r="AJ59" s="6">
        <f>SUMIFS('Deduction Valuation'!$G:$G,'Deduction Valuation'!$F:$F,"RP - Regional Pay",'Deduction Valuation'!$B:$B,'Prop Budget Calc'!$A59)*$AI$3</f>
        <v>0</v>
      </c>
      <c r="AK59" s="6">
        <f t="shared" si="145"/>
        <v>1200</v>
      </c>
      <c r="AL59" s="6">
        <f>SUMIFS('Deduction Valuation'!$G:$G,'Deduction Valuation'!$F:$F,"CR - Car Allowance",'Deduction Valuation'!$B:$B,'Prop Budget Calc'!$A59)*$AI$3</f>
        <v>0</v>
      </c>
      <c r="AM59" s="6">
        <f>SUMIFS('Deduction Valuation'!$G:$G,'Deduction Valuation'!$F:$F,"DA - Device Allow",'Deduction Valuation'!$B:$B,'Prop Budget Calc'!$A59)*$AI$3</f>
        <v>960</v>
      </c>
      <c r="AN59" s="6">
        <f>SUMIFS('Deduction Valuation'!$G:$G,'Deduction Valuation'!$F:$F,"RA - Replace Allow",'Deduction Valuation'!$B:$B,'Prop Budget Calc'!$A59)</f>
        <v>75</v>
      </c>
      <c r="AO59" s="94">
        <f t="shared" si="146"/>
        <v>1035</v>
      </c>
      <c r="AP59" s="94">
        <f t="shared" si="147"/>
        <v>79434.666666666672</v>
      </c>
      <c r="AQ59" s="10">
        <f>IF(OR($I59="50101", $I59="50102", $I59="50109", $I59="50140"),AP59*Scenarios!$H$8,0)</f>
        <v>13456.232533333334</v>
      </c>
      <c r="AR59" s="9">
        <f>VLOOKUP($D59,WKCMP!$A$1:$C$15,3,FALSE)*AP59</f>
        <v>1201.05216</v>
      </c>
      <c r="AS59" s="10">
        <f t="shared" si="148"/>
        <v>1151.8026666666667</v>
      </c>
      <c r="AT59" s="11">
        <f t="shared" si="149"/>
        <v>4924.9493333333339</v>
      </c>
      <c r="AU59" s="10">
        <f t="shared" si="150"/>
        <v>6080</v>
      </c>
      <c r="AV59" s="6">
        <f t="shared" si="151"/>
        <v>142.98240000000001</v>
      </c>
      <c r="AW59" s="19">
        <f t="shared" si="152"/>
        <v>79.2</v>
      </c>
      <c r="AX59" s="19">
        <f t="shared" si="153"/>
        <v>15.6</v>
      </c>
      <c r="AY59" s="19">
        <f t="shared" si="154"/>
        <v>11.28</v>
      </c>
      <c r="AZ59" s="88">
        <f t="shared" si="155"/>
        <v>249.06240000000003</v>
      </c>
      <c r="BA59" s="6">
        <f>IF(AND($C59="vacant vacant",$E59=1),$BA$2*$AZ$3,SUMIFS('Employee Enrollments'!$AE:$AE,'Employee Enrollments'!$S:$S,"Medical HDHP",'Employee Enrollments'!$C:$C,'Prop Budget Calc'!$A59)*$AZ$3*(1+Scenarios!$E$9))*(1-$BA$3)</f>
        <v>19663.018992000001</v>
      </c>
      <c r="BB59" s="6">
        <f>IF(AND($C59="vacant vacant",$E59=1),500,SUMIFS('Employee Enrollments'!$AE:$AE,'Employee Enrollments'!$S:$S,"Health Savings Account",'Employee Enrollments'!$C:$C,'Prop Budget Calc'!$A59))</f>
        <v>1000</v>
      </c>
      <c r="BC59" s="56">
        <f t="shared" si="156"/>
        <v>20663.018992000001</v>
      </c>
      <c r="BD59" s="6">
        <f>IF(AND($C59="vacant vacant",$E59=1),$BD$2*$AZ$3,SUMIFS('Employee Enrollments'!$AE:$AE,'Employee Enrollments'!$S:$S,"Dental Plan",'Employee Enrollments'!$C:$C,'Prop Budget Calc'!$A59)*$AZ$3)</f>
        <v>843.48</v>
      </c>
      <c r="BE59" s="6">
        <f t="shared" si="157"/>
        <v>21755.561392</v>
      </c>
      <c r="BF59" s="6">
        <f t="shared" si="158"/>
        <v>42492.846085333331</v>
      </c>
      <c r="BG59" s="6">
        <f t="shared" si="159"/>
        <v>121927.51275200001</v>
      </c>
      <c r="BH59" s="14"/>
      <c r="BI59" s="56"/>
      <c r="BJ59" s="93">
        <f t="shared" si="160"/>
        <v>25974.993600000002</v>
      </c>
      <c r="BK59" s="10">
        <f>IF(SUMIFS('Employee Enrollments'!AB:AB,'Employee Enrollments'!C:C,'Prop Budget Calc'!$A59,'Employee Enrollments'!Q:Q,"Medical")*12=0,'Employee Enrollments'!$AN$1,(SUMIFS('Employee Enrollments'!AB:AB,'Employee Enrollments'!C:C,'Prop Budget Calc'!$A59,'Employee Enrollments'!Q:Q,"Medical")*12))</f>
        <v>5703.84</v>
      </c>
      <c r="BL59" s="10">
        <f>SUMIFS('Employee Enrollments'!AB:AB,'Employee Enrollments'!C:C,'Prop Budget Calc'!$A59,'Employee Enrollments'!Q:Q,"Dental")*12</f>
        <v>364.92</v>
      </c>
    </row>
    <row r="60" spans="1:64" s="1" customFormat="1" ht="12.75" customHeight="1">
      <c r="A60" s="20" t="s">
        <v>1287</v>
      </c>
      <c r="B60" s="3" t="str">
        <f>IF(IFERROR(VLOOKUP($A60,'Base Pay Report'!$A:$V,'Prop Budget Calc'!B$2,FALSE),"NO")="No","Update",PROPER(VLOOKUP($A60,'Base Pay Report'!$A:$V,'Prop Budget Calc'!B$2,FALSE)))</f>
        <v>Supervisor - Water</v>
      </c>
      <c r="C60" s="3" t="str">
        <f>IF(IFERROR(VLOOKUP($A60,'Base Pay Report'!$A:$V,'Prop Budget Calc'!C$2,FALSE),"NO")="No","Update",PROPER(VLOOKUP($A60,'Base Pay Report'!$A:$V,'Prop Budget Calc'!C$2,FALSE)))</f>
        <v>First Name Last Name</v>
      </c>
      <c r="D60" s="3" t="str">
        <f>IF(IFERROR(VLOOKUP($A60,'Base Pay Report'!$A:$V,'Prop Budget Calc'!D$2,FALSE),"NO")="No","Update",PROPER(VLOOKUP($A60,'Base Pay Report'!$A:$V,'Prop Budget Calc'!D$2,FALSE)))</f>
        <v>7520</v>
      </c>
      <c r="E60" s="8">
        <f t="shared" si="161"/>
        <v>1</v>
      </c>
      <c r="F60" s="3" t="str">
        <f>IF(IFERROR(VLOOKUP($A60,'Base Pay Report'!$A:$V,'Prop Budget Calc'!F$2,FALSE),"NO")="No","Update",PROPER(VLOOKUP($A60,'Base Pay Report'!$A:$V,'Prop Budget Calc'!F$2,FALSE)))</f>
        <v>200-73-735-50102</v>
      </c>
      <c r="G60" s="3" t="str">
        <f t="shared" si="162"/>
        <v>200-73-735</v>
      </c>
      <c r="H60" s="49" t="str">
        <f t="shared" si="163"/>
        <v>200</v>
      </c>
      <c r="I60" s="3" t="str">
        <f t="shared" si="164"/>
        <v>50102</v>
      </c>
      <c r="J60" s="3" t="str">
        <f t="shared" si="165"/>
        <v>73</v>
      </c>
      <c r="K60" s="3" t="str">
        <f t="shared" si="166"/>
        <v>735</v>
      </c>
      <c r="L60" s="3">
        <f>IF(SUMIF('Base Pay Report'!$A:$A,'Prop Budget Calc'!$A60,'Base Pay Report'!$I:$I)=80,SUMIF('Base Pay Report'!$A:$A,'Prop Budget Calc'!$A60,'Base Pay Report'!$H:$H)/SUMIF('Base Pay Report'!$A:$A,'Prop Budget Calc'!$A60,'Base Pay Report'!$I:$I),SUMIF('Base Pay Report'!$A:$A,'Prop Budget Calc'!$A60,'Base Pay Report'!$H:$H))</f>
        <v>39.520000000000003</v>
      </c>
      <c r="M60" s="3">
        <f t="shared" si="138"/>
        <v>1872</v>
      </c>
      <c r="N60" s="3" t="str">
        <f>IF(IFERROR(VLOOKUP($A60,'Base Pay Report'!$A:$V,'Prop Budget Calc'!N$2,FALSE),"NO")="No","Update",(VLOOKUP($A60,'Base Pay Report'!$A:$V,'Prop Budget Calc'!N$2,FALSE)))</f>
        <v>FT HOURLY- 4-9</v>
      </c>
      <c r="O60" s="6">
        <f t="shared" si="167"/>
        <v>73990</v>
      </c>
      <c r="P60" s="99">
        <f>IF(SUMIF('Base Pay Report'!A:A,$A60,'Base Pay Report'!J:J)=0,$P$1+40,SUMIF('Base Pay Report'!A:A,$A60,'Base Pay Report'!J:J))</f>
        <v>40771</v>
      </c>
      <c r="Q60" s="87" t="str">
        <f>IF($B60='Current Step Plans'!$B$36,HLOOKUP('Prop Budget Calc'!$L60,'Current Step Plans'!$C$36:$Q$42,7,FALSE),IF($B60='Current Step Plans'!$B$37,HLOOKUP('Prop Budget Calc'!$L60,'Current Step Plans'!$C$37:$Q$42,6,FALSE),IF($B60='Current Step Plans'!$B$38,HLOOKUP('Prop Budget Calc'!$L60,'Current Step Plans'!$C$38:$Q$42,5,FALSE),IF($B60='Current Step Plans'!$B$39,HLOOKUP('Prop Budget Calc'!$L60,'Current Step Plans'!$C$39:$Q$42,4,FALSE),IF($B60='Current Step Plans'!$B$40,HLOOKUP('Prop Budget Calc'!$L60,'Current Step Plans'!$C$40:$Q$42,3,FALSE),IF($B60='Current Step Plans'!$B$41,HLOOKUP('Prop Budget Calc'!$L60,'Current Step Plans'!$C$41:$Q$42,2,FALSE),IF($B60='Current Step Plans'!$B$50,HLOOKUP('Prop Budget Calc'!$L60,'Current Step Plans'!$C$50:$Q$56,7,FALSE),IF($B60='Current Step Plans'!$B$51,HLOOKUP('Prop Budget Calc'!$L60,'Current Step Plans'!$C$51:$Q$56,6,FALSE),IF($B60='Current Step Plans'!$B$52,HLOOKUP('Prop Budget Calc'!$L60,'Current Step Plans'!$C$52:$Q$56,5,FALSE), IF($B60='Current Step Plans'!$B$53,HLOOKUP('Prop Budget Calc'!$L60,'Current Step Plans'!$C$53:$Q$56,4,FALSE),IF($B60='Current Step Plans'!$B$54,HLOOKUP('Prop Budget Calc'!$L60,'Current Step Plans'!$C$54:$Q$56,3,FALSE),IF($B60='Current Step Plans'!$B$55,HLOOKUP('Prop Budget Calc'!$L60,'Current Step Plans'!$C$55:$Q$56,2,FALSE),IF($B60='Current Step Plans'!$B$65,HLOOKUP('Prop Budget Calc'!$L60,'Current Step Plans'!$C$65:$Q$75,11,FALSE),IF($B60='Current Step Plans'!$B$66,HLOOKUP('Prop Budget Calc'!$L60,'Current Step Plans'!$C$66:$Q$75,10,FALSE),IF($B60='Current Step Plans'!$B$67,HLOOKUP('Prop Budget Calc'!$L60,'Current Step Plans'!$C$67:$Q$75,9,FALSE),IF($B60='Current Step Plans'!$B$68,HLOOKUP('Prop Budget Calc'!$L60,'Current Step Plans'!$C$68:$Q$75,8,FALSE),IF($B60='Current Step Plans'!$B$69,HLOOKUP('Prop Budget Calc'!$L60,'Current Step Plans'!$C$69:$Q$75,7,FALSE),IF($B60='Current Step Plans'!$B$70,HLOOKUP('Prop Budget Calc'!$L60,'Current Step Plans'!$C$70:$Q$75,6,FALSE),IF($B60='Current Step Plans'!$B$71,HLOOKUP('Prop Budget Calc'!$L60,'Current Step Plans'!$C$71:$Q$75,5,FALSE),IF($B60='Current Step Plans'!$B$72,HLOOKUP('Prop Budget Calc'!$L60,'Current Step Plans'!$C$72:$Q$75,4,FALSE),IF($B60='Current Step Plans'!$B$73,HLOOKUP('Prop Budget Calc'!$L60,'Current Step Plans'!$C$73:$Q$75,3,FALSE),IF($B60='Current Step Plans'!$B$74,HLOOKUP('Prop Budget Calc'!$L60,'Current Step Plans'!$C$74:$Q$75,2,FALSE),"N"))))))))))))))))))))))</f>
        <v>N</v>
      </c>
      <c r="R60" s="9" t="str">
        <f t="shared" si="139"/>
        <v>Y</v>
      </c>
      <c r="S60" s="6">
        <f>IF(Q60="n",0,ROUNDUP(VLOOKUP(B60,'Proposed Step Plans'!B:T,'Prop Budget Calc'!Q60+2,FALSE)*M60,-2)-O60-T60)</f>
        <v>0</v>
      </c>
      <c r="T60" s="6">
        <f>IF(Q60="n",0,ROUNDUP(VLOOKUP(B60,'Current Step Plans'!B:T,'Prop Budget Calc'!Q60+2,FALSE)*M60,0)-O60)</f>
        <v>0</v>
      </c>
      <c r="U60" s="6">
        <f>IF(IFERROR(VLOOKUP($A60,'Market Study'!$A$5:$G$82,7,FALSE),"NA")="NA",0,VLOOKUP($A60,'Market Study'!$A$5:$G$82,7,FALSE))</f>
        <v>0</v>
      </c>
      <c r="V60" s="6">
        <f>IF(OR($T60&lt;&gt;0,$I60="50112",$I60="50109",$S60&lt;&gt;0),0,VLOOKUP($K60,Scenarios!$A$17:$F$73,6,FALSE)*$O60)</f>
        <v>1479.8</v>
      </c>
      <c r="W60" s="6">
        <f t="shared" si="140"/>
        <v>1479.8</v>
      </c>
      <c r="X60" s="6">
        <f>IF(OR($T60&lt;&gt;0,$I60="50112",$I60="50109",$S60&lt;&gt;0),0,VLOOKUP($K60,Scenarios!$A$17:$F$73,2,FALSE)*$O60)</f>
        <v>1479.8</v>
      </c>
      <c r="Y60" s="6">
        <f>IF(OR($T60&lt;&gt;0,$I60="50110",$I60="50109",$S60&lt;&gt;0),0,VLOOKUP($K60,Scenarios!$A$17:$F$73,3,FALSE))</f>
        <v>1175</v>
      </c>
      <c r="Z60" s="6">
        <f>IF(OR($T60&lt;&gt;0,$I60="50112",$I60="50109",$S60&lt;&gt;0),0,VLOOKUP($K60,Scenarios!$A$17:$F$73,4,FALSE))</f>
        <v>0</v>
      </c>
      <c r="AA60" s="6">
        <f t="shared" si="141"/>
        <v>1479.8</v>
      </c>
      <c r="AB60" s="6">
        <f>IF(OR($T60&lt;&gt;0,$I60="50112",$I60="50109",$S60&lt;&gt;0),0,VLOOKUP($K60,Scenarios!$A$17:$F$73,5,FALSE))</f>
        <v>0</v>
      </c>
      <c r="AC60" s="6">
        <f t="shared" si="168"/>
        <v>2959.6</v>
      </c>
      <c r="AD60" s="6">
        <f t="shared" si="142"/>
        <v>76950</v>
      </c>
      <c r="AE60" s="84">
        <f t="shared" si="143"/>
        <v>4.0005406135964261E-2</v>
      </c>
      <c r="AF60" s="6">
        <f t="shared" si="144"/>
        <v>162.86666666666667</v>
      </c>
      <c r="AG60" s="6">
        <f>IF(AND(OR(I60="50101",I60="50102"),$AF60&gt;12),IF($AF60&gt;=300,(300*Scenarios!$B$14)*$E60,($AF60*Scenarios!$B$14)*$E60),0)</f>
        <v>814.33333333333337</v>
      </c>
      <c r="AH60" s="6">
        <f>IF($R60="y",IF($T60&gt;0,Scenarios!$B$10*'Prop Budget Calc'!$E60,Scenarios!$B$13*'Prop Budget Calc'!$E60))</f>
        <v>0</v>
      </c>
      <c r="AI60" s="6">
        <f>SUMIFS('Deduction Valuation'!$G:$G,'Deduction Valuation'!$F:$F,"CT - Certifications",'Deduction Valuation'!$B:$B,'Prop Budget Calc'!$A60)*$AI$3</f>
        <v>450</v>
      </c>
      <c r="AJ60" s="6">
        <f>SUMIFS('Deduction Valuation'!$G:$G,'Deduction Valuation'!$F:$F,"RP - Regional Pay",'Deduction Valuation'!$B:$B,'Prop Budget Calc'!$A60)*$AI$3</f>
        <v>0</v>
      </c>
      <c r="AK60" s="6">
        <f t="shared" si="145"/>
        <v>450</v>
      </c>
      <c r="AL60" s="6">
        <f>SUMIFS('Deduction Valuation'!$G:$G,'Deduction Valuation'!$F:$F,"CR - Car Allowance",'Deduction Valuation'!$B:$B,'Prop Budget Calc'!$A60)*$AI$3</f>
        <v>0</v>
      </c>
      <c r="AM60" s="6">
        <f>SUMIFS('Deduction Valuation'!$G:$G,'Deduction Valuation'!$F:$F,"DA - Device Allow",'Deduction Valuation'!$B:$B,'Prop Budget Calc'!$A60)*$AI$3</f>
        <v>960</v>
      </c>
      <c r="AN60" s="6">
        <f>SUMIFS('Deduction Valuation'!$G:$G,'Deduction Valuation'!$F:$F,"RA - Replace Allow",'Deduction Valuation'!$B:$B,'Prop Budget Calc'!$A60)</f>
        <v>75</v>
      </c>
      <c r="AO60" s="94">
        <f t="shared" si="146"/>
        <v>1035</v>
      </c>
      <c r="AP60" s="94">
        <f t="shared" si="147"/>
        <v>79249.333333333328</v>
      </c>
      <c r="AQ60" s="10">
        <f>IF(OR($I60="50101", $I60="50102", $I60="50109", $I60="50140"),AP60*Scenarios!$H$8,0)</f>
        <v>13424.837066666665</v>
      </c>
      <c r="AR60" s="9">
        <f>VLOOKUP($D60,WKCMP!$A$1:$C$15,3,FALSE)*AP60</f>
        <v>1198.24992</v>
      </c>
      <c r="AS60" s="10">
        <f t="shared" si="148"/>
        <v>1149.1153333333334</v>
      </c>
      <c r="AT60" s="11">
        <f t="shared" si="149"/>
        <v>4913.4586666666664</v>
      </c>
      <c r="AU60" s="10">
        <f t="shared" si="150"/>
        <v>6070</v>
      </c>
      <c r="AV60" s="6">
        <f t="shared" si="151"/>
        <v>142.64879999999999</v>
      </c>
      <c r="AW60" s="19">
        <f t="shared" si="152"/>
        <v>79.2</v>
      </c>
      <c r="AX60" s="19">
        <f t="shared" si="153"/>
        <v>15.6</v>
      </c>
      <c r="AY60" s="19">
        <f t="shared" si="154"/>
        <v>11.28</v>
      </c>
      <c r="AZ60" s="88">
        <f t="shared" si="155"/>
        <v>248.72879999999998</v>
      </c>
      <c r="BA60" s="6">
        <f>IF(AND($C60="vacant vacant",$E60=1),$BA$2*$AZ$3,SUMIFS('Employee Enrollments'!$AE:$AE,'Employee Enrollments'!$S:$S,"Medical HDHP",'Employee Enrollments'!$C:$C,'Prop Budget Calc'!$A60)*$AZ$3*(1+Scenarios!$E$9))*(1-$BA$3)</f>
        <v>19663.018992000001</v>
      </c>
      <c r="BB60" s="6">
        <f>IF(AND($C60="vacant vacant",$E60=1),500,SUMIFS('Employee Enrollments'!$AE:$AE,'Employee Enrollments'!$S:$S,"Health Savings Account",'Employee Enrollments'!$C:$C,'Prop Budget Calc'!$A60))</f>
        <v>1000</v>
      </c>
      <c r="BC60" s="56">
        <f t="shared" si="156"/>
        <v>20663.018992000001</v>
      </c>
      <c r="BD60" s="6">
        <f>IF(AND($C60="vacant vacant",$E60=1),$BD$2*$AZ$3,SUMIFS('Employee Enrollments'!$AE:$AE,'Employee Enrollments'!$S:$S,"Dental Plan",'Employee Enrollments'!$C:$C,'Prop Budget Calc'!$A60)*$AZ$3)</f>
        <v>843.48</v>
      </c>
      <c r="BE60" s="6">
        <f t="shared" si="157"/>
        <v>21755.227792000002</v>
      </c>
      <c r="BF60" s="6">
        <f t="shared" si="158"/>
        <v>42448.314778666667</v>
      </c>
      <c r="BG60" s="6">
        <f t="shared" si="159"/>
        <v>121697.648112</v>
      </c>
      <c r="BH60" s="14"/>
      <c r="BI60" s="56"/>
      <c r="BJ60" s="93">
        <f t="shared" si="160"/>
        <v>25974.993600000002</v>
      </c>
      <c r="BK60" s="10">
        <f>IF(SUMIFS('Employee Enrollments'!AB:AB,'Employee Enrollments'!C:C,'Prop Budget Calc'!$A60,'Employee Enrollments'!Q:Q,"Medical")*12=0,'Employee Enrollments'!$AN$1,(SUMIFS('Employee Enrollments'!AB:AB,'Employee Enrollments'!C:C,'Prop Budget Calc'!$A60,'Employee Enrollments'!Q:Q,"Medical")*12))</f>
        <v>5703.84</v>
      </c>
      <c r="BL60" s="10">
        <f>SUMIFS('Employee Enrollments'!AB:AB,'Employee Enrollments'!C:C,'Prop Budget Calc'!$A60,'Employee Enrollments'!Q:Q,"Dental")*12</f>
        <v>364.92</v>
      </c>
    </row>
    <row r="61" spans="1:64" s="1" customFormat="1" ht="12.75" customHeight="1">
      <c r="A61" s="20" t="s">
        <v>1659</v>
      </c>
      <c r="B61" s="3" t="str">
        <f>IF(IFERROR(VLOOKUP($A61,'Base Pay Report'!$A:$V,'Prop Budget Calc'!B$2,FALSE),"NO")="No","Update",PROPER(VLOOKUP($A61,'Base Pay Report'!$A:$V,'Prop Budget Calc'!B$2,FALSE)))</f>
        <v>Maintenance Worker Ii - (W &amp; Ww)</v>
      </c>
      <c r="C61" s="3" t="str">
        <f>IF(IFERROR(VLOOKUP($A61,'Base Pay Report'!$A:$V,'Prop Budget Calc'!C$2,FALSE),"NO")="No","Update",PROPER(VLOOKUP($A61,'Base Pay Report'!$A:$V,'Prop Budget Calc'!C$2,FALSE)))</f>
        <v>First Name Last Name</v>
      </c>
      <c r="D61" s="3" t="str">
        <f>IF(IFERROR(VLOOKUP($A61,'Base Pay Report'!$A:$V,'Prop Budget Calc'!D$2,FALSE),"NO")="No","Update",PROPER(VLOOKUP($A61,'Base Pay Report'!$A:$V,'Prop Budget Calc'!D$2,FALSE)))</f>
        <v>7520</v>
      </c>
      <c r="E61" s="8">
        <f t="shared" si="161"/>
        <v>1</v>
      </c>
      <c r="F61" s="3" t="str">
        <f>IF(IFERROR(VLOOKUP($A61,'Base Pay Report'!$A:$V,'Prop Budget Calc'!F$2,FALSE),"NO")="No","Update",PROPER(VLOOKUP($A61,'Base Pay Report'!$A:$V,'Prop Budget Calc'!F$2,FALSE)))</f>
        <v>200-73-735-50102</v>
      </c>
      <c r="G61" s="3" t="str">
        <f t="shared" si="162"/>
        <v>200-73-735</v>
      </c>
      <c r="H61" s="49" t="str">
        <f t="shared" si="163"/>
        <v>200</v>
      </c>
      <c r="I61" s="3" t="str">
        <f t="shared" si="164"/>
        <v>50102</v>
      </c>
      <c r="J61" s="3" t="str">
        <f t="shared" si="165"/>
        <v>73</v>
      </c>
      <c r="K61" s="3" t="str">
        <f t="shared" si="166"/>
        <v>735</v>
      </c>
      <c r="L61" s="3">
        <f>IF(SUMIF('Base Pay Report'!$A:$A,'Prop Budget Calc'!$A61,'Base Pay Report'!$I:$I)=80,SUMIF('Base Pay Report'!$A:$A,'Prop Budget Calc'!$A61,'Base Pay Report'!$H:$H)/SUMIF('Base Pay Report'!$A:$A,'Prop Budget Calc'!$A61,'Base Pay Report'!$I:$I),SUMIF('Base Pay Report'!$A:$A,'Prop Budget Calc'!$A61,'Base Pay Report'!$H:$H))</f>
        <v>20.86</v>
      </c>
      <c r="M61" s="3">
        <f t="shared" si="138"/>
        <v>1872</v>
      </c>
      <c r="N61" s="3" t="str">
        <f>IF(IFERROR(VLOOKUP($A61,'Base Pay Report'!$A:$V,'Prop Budget Calc'!N$2,FALSE),"NO")="No","Update",(VLOOKUP($A61,'Base Pay Report'!$A:$V,'Prop Budget Calc'!N$2,FALSE)))</f>
        <v>FT HOURLY- 4-9</v>
      </c>
      <c r="O61" s="6">
        <f t="shared" si="167"/>
        <v>39050</v>
      </c>
      <c r="P61" s="99">
        <f>IF(SUMIF('Base Pay Report'!A:A,$A61,'Base Pay Report'!J:J)=0,$P$1+40,SUMIF('Base Pay Report'!A:A,$A61,'Base Pay Report'!J:J))</f>
        <v>44599</v>
      </c>
      <c r="Q61" s="87" t="str">
        <f>IF($B61='Current Step Plans'!$B$36,HLOOKUP('Prop Budget Calc'!$L61,'Current Step Plans'!$C$36:$Q$42,7,FALSE),IF($B61='Current Step Plans'!$B$37,HLOOKUP('Prop Budget Calc'!$L61,'Current Step Plans'!$C$37:$Q$42,6,FALSE),IF($B61='Current Step Plans'!$B$38,HLOOKUP('Prop Budget Calc'!$L61,'Current Step Plans'!$C$38:$Q$42,5,FALSE),IF($B61='Current Step Plans'!$B$39,HLOOKUP('Prop Budget Calc'!$L61,'Current Step Plans'!$C$39:$Q$42,4,FALSE),IF($B61='Current Step Plans'!$B$40,HLOOKUP('Prop Budget Calc'!$L61,'Current Step Plans'!$C$40:$Q$42,3,FALSE),IF($B61='Current Step Plans'!$B$41,HLOOKUP('Prop Budget Calc'!$L61,'Current Step Plans'!$C$41:$Q$42,2,FALSE),IF($B61='Current Step Plans'!$B$50,HLOOKUP('Prop Budget Calc'!$L61,'Current Step Plans'!$C$50:$Q$56,7,FALSE),IF($B61='Current Step Plans'!$B$51,HLOOKUP('Prop Budget Calc'!$L61,'Current Step Plans'!$C$51:$Q$56,6,FALSE),IF($B61='Current Step Plans'!$B$52,HLOOKUP('Prop Budget Calc'!$L61,'Current Step Plans'!$C$52:$Q$56,5,FALSE), IF($B61='Current Step Plans'!$B$53,HLOOKUP('Prop Budget Calc'!$L61,'Current Step Plans'!$C$53:$Q$56,4,FALSE),IF($B61='Current Step Plans'!$B$54,HLOOKUP('Prop Budget Calc'!$L61,'Current Step Plans'!$C$54:$Q$56,3,FALSE),IF($B61='Current Step Plans'!$B$55,HLOOKUP('Prop Budget Calc'!$L61,'Current Step Plans'!$C$55:$Q$56,2,FALSE),IF($B61='Current Step Plans'!$B$65,HLOOKUP('Prop Budget Calc'!$L61,'Current Step Plans'!$C$65:$Q$75,11,FALSE),IF($B61='Current Step Plans'!$B$66,HLOOKUP('Prop Budget Calc'!$L61,'Current Step Plans'!$C$66:$Q$75,10,FALSE),IF($B61='Current Step Plans'!$B$67,HLOOKUP('Prop Budget Calc'!$L61,'Current Step Plans'!$C$67:$Q$75,9,FALSE),IF($B61='Current Step Plans'!$B$68,HLOOKUP('Prop Budget Calc'!$L61,'Current Step Plans'!$C$68:$Q$75,8,FALSE),IF($B61='Current Step Plans'!$B$69,HLOOKUP('Prop Budget Calc'!$L61,'Current Step Plans'!$C$69:$Q$75,7,FALSE),IF($B61='Current Step Plans'!$B$70,HLOOKUP('Prop Budget Calc'!$L61,'Current Step Plans'!$C$70:$Q$75,6,FALSE),IF($B61='Current Step Plans'!$B$71,HLOOKUP('Prop Budget Calc'!$L61,'Current Step Plans'!$C$71:$Q$75,5,FALSE),IF($B61='Current Step Plans'!$B$72,HLOOKUP('Prop Budget Calc'!$L61,'Current Step Plans'!$C$72:$Q$75,4,FALSE),IF($B61='Current Step Plans'!$B$73,HLOOKUP('Prop Budget Calc'!$L61,'Current Step Plans'!$C$73:$Q$75,3,FALSE),IF($B61='Current Step Plans'!$B$74,HLOOKUP('Prop Budget Calc'!$L61,'Current Step Plans'!$C$74:$Q$75,2,FALSE),"N"))))))))))))))))))))))</f>
        <v>N</v>
      </c>
      <c r="R61" s="9" t="str">
        <f t="shared" si="139"/>
        <v>Y</v>
      </c>
      <c r="S61" s="6">
        <f>IF(Q61="n",0,ROUNDUP(VLOOKUP(B61,'Proposed Step Plans'!B:T,'Prop Budget Calc'!Q61+2,FALSE)*M61,-2)-O61-T61)</f>
        <v>0</v>
      </c>
      <c r="T61" s="6">
        <f>IF(Q61="n",0,ROUNDUP(VLOOKUP(B61,'Current Step Plans'!B:T,'Prop Budget Calc'!Q61+2,FALSE)*M61,0)-O61)</f>
        <v>0</v>
      </c>
      <c r="U61" s="6">
        <f>IF(IFERROR(VLOOKUP($A61,'Market Study'!$A$5:$G$82,7,FALSE),"NA")="NA",0,VLOOKUP($A61,'Market Study'!$A$5:$G$82,7,FALSE))</f>
        <v>0</v>
      </c>
      <c r="V61" s="6">
        <f>IF(OR($T61&lt;&gt;0,$I61="50112",$I61="50109",$S61&lt;&gt;0),0,VLOOKUP($K61,Scenarios!$A$17:$F$73,6,FALSE)*$O61)</f>
        <v>781</v>
      </c>
      <c r="W61" s="6">
        <f t="shared" si="140"/>
        <v>781</v>
      </c>
      <c r="X61" s="6">
        <f>IF(OR($T61&lt;&gt;0,$I61="50112",$I61="50109",$S61&lt;&gt;0),0,VLOOKUP($K61,Scenarios!$A$17:$F$73,2,FALSE)*$O61)</f>
        <v>781</v>
      </c>
      <c r="Y61" s="6">
        <f>IF(OR($T61&lt;&gt;0,$I61="50110",$I61="50109",$S61&lt;&gt;0),0,VLOOKUP($K61,Scenarios!$A$17:$F$73,3,FALSE))</f>
        <v>1175</v>
      </c>
      <c r="Z61" s="6">
        <f>IF(OR($T61&lt;&gt;0,$I61="50112",$I61="50109",$S61&lt;&gt;0),0,VLOOKUP($K61,Scenarios!$A$17:$F$73,4,FALSE))</f>
        <v>0</v>
      </c>
      <c r="AA61" s="6">
        <f t="shared" si="141"/>
        <v>1175</v>
      </c>
      <c r="AB61" s="6">
        <f>IF(OR($T61&lt;&gt;0,$I61="50112",$I61="50109",$S61&lt;&gt;0),0,VLOOKUP($K61,Scenarios!$A$17:$F$73,5,FALSE))</f>
        <v>0</v>
      </c>
      <c r="AC61" s="6">
        <f t="shared" si="168"/>
        <v>1956</v>
      </c>
      <c r="AD61" s="6">
        <f t="shared" si="142"/>
        <v>41006</v>
      </c>
      <c r="AE61" s="84">
        <f t="shared" si="143"/>
        <v>5.0089628681178056E-2</v>
      </c>
      <c r="AF61" s="6">
        <f t="shared" si="144"/>
        <v>35.266666666666666</v>
      </c>
      <c r="AG61" s="6">
        <f>IF(AND(OR(I61="50101",I61="50102"),$AF61&gt;12),IF($AF61&gt;=300,(300*Scenarios!$B$14)*$E61,($AF61*Scenarios!$B$14)*$E61),0)</f>
        <v>176.33333333333331</v>
      </c>
      <c r="AH61" s="6">
        <f>IF($R61="y",IF($T61&gt;0,Scenarios!$B$10*'Prop Budget Calc'!$E61,Scenarios!$B$13*'Prop Budget Calc'!$E61))</f>
        <v>0</v>
      </c>
      <c r="AI61" s="6">
        <f>SUMIFS('Deduction Valuation'!$G:$G,'Deduction Valuation'!$F:$F,"CT - Certifications",'Deduction Valuation'!$B:$B,'Prop Budget Calc'!$A61)*$AI$3</f>
        <v>0</v>
      </c>
      <c r="AJ61" s="6">
        <f>SUMIFS('Deduction Valuation'!$G:$G,'Deduction Valuation'!$F:$F,"RP - Regional Pay",'Deduction Valuation'!$B:$B,'Prop Budget Calc'!$A61)*$AI$3</f>
        <v>0</v>
      </c>
      <c r="AK61" s="6">
        <f t="shared" si="145"/>
        <v>0</v>
      </c>
      <c r="AL61" s="6">
        <f>SUMIFS('Deduction Valuation'!$G:$G,'Deduction Valuation'!$F:$F,"CR - Car Allowance",'Deduction Valuation'!$B:$B,'Prop Budget Calc'!$A61)*$AI$3</f>
        <v>0</v>
      </c>
      <c r="AM61" s="6">
        <f>SUMIFS('Deduction Valuation'!$G:$G,'Deduction Valuation'!$F:$F,"DA - Device Allow",'Deduction Valuation'!$B:$B,'Prop Budget Calc'!$A61)*$AI$3</f>
        <v>0</v>
      </c>
      <c r="AN61" s="6">
        <f>SUMIFS('Deduction Valuation'!$G:$G,'Deduction Valuation'!$F:$F,"RA - Replace Allow",'Deduction Valuation'!$B:$B,'Prop Budget Calc'!$A61)</f>
        <v>0</v>
      </c>
      <c r="AO61" s="94">
        <f t="shared" si="146"/>
        <v>0</v>
      </c>
      <c r="AP61" s="94">
        <f t="shared" si="147"/>
        <v>41182.333333333336</v>
      </c>
      <c r="AQ61" s="10">
        <f>IF(OR($I61="50101", $I61="50102", $I61="50109", $I61="50140"),AP61*Scenarios!$H$8,0)</f>
        <v>6976.2872666666672</v>
      </c>
      <c r="AR61" s="9">
        <f>VLOOKUP($D61,WKCMP!$A$1:$C$15,3,FALSE)*AP61</f>
        <v>622.67687999999998</v>
      </c>
      <c r="AS61" s="10">
        <f t="shared" si="148"/>
        <v>597.14383333333342</v>
      </c>
      <c r="AT61" s="11">
        <f t="shared" si="149"/>
        <v>2553.3046666666669</v>
      </c>
      <c r="AU61" s="10">
        <f t="shared" si="150"/>
        <v>3160</v>
      </c>
      <c r="AV61" s="6">
        <f t="shared" si="151"/>
        <v>74.128200000000007</v>
      </c>
      <c r="AW61" s="19">
        <f t="shared" si="152"/>
        <v>79.2</v>
      </c>
      <c r="AX61" s="19">
        <f t="shared" si="153"/>
        <v>15.6</v>
      </c>
      <c r="AY61" s="19">
        <f t="shared" si="154"/>
        <v>11.28</v>
      </c>
      <c r="AZ61" s="88">
        <f t="shared" si="155"/>
        <v>180.20820000000001</v>
      </c>
      <c r="BA61" s="6">
        <f>IF(AND($C61="vacant vacant",$E61=1),$BA$2*$AZ$3,SUMIFS('Employee Enrollments'!$AE:$AE,'Employee Enrollments'!$S:$S,"Medical HDHP",'Employee Enrollments'!$C:$C,'Prop Budget Calc'!$A61)*$AZ$3*(1+Scenarios!$E$9))*(1-$BA$3)</f>
        <v>9838.3957199999986</v>
      </c>
      <c r="BB61" s="6">
        <f>IF(AND($C61="vacant vacant",$E61=1),500,SUMIFS('Employee Enrollments'!$AE:$AE,'Employee Enrollments'!$S:$S,"Health Savings Account",'Employee Enrollments'!$C:$C,'Prop Budget Calc'!$A61))</f>
        <v>500.05</v>
      </c>
      <c r="BC61" s="56">
        <f t="shared" si="156"/>
        <v>10338.445719999998</v>
      </c>
      <c r="BD61" s="6">
        <f>IF(AND($C61="vacant vacant",$E61=1),$BD$2*$AZ$3,SUMIFS('Employee Enrollments'!$AE:$AE,'Employee Enrollments'!$S:$S,"Dental Plan",'Employee Enrollments'!$C:$C,'Prop Budget Calc'!$A61)*$AZ$3)</f>
        <v>434.76</v>
      </c>
      <c r="BE61" s="6">
        <f t="shared" si="157"/>
        <v>10953.413919999997</v>
      </c>
      <c r="BF61" s="6">
        <f t="shared" si="158"/>
        <v>21712.378066666664</v>
      </c>
      <c r="BG61" s="6">
        <f t="shared" si="159"/>
        <v>62894.7114</v>
      </c>
      <c r="BH61" s="14"/>
      <c r="BI61" s="56"/>
      <c r="BJ61" s="93">
        <f t="shared" si="160"/>
        <v>10450.235999999999</v>
      </c>
      <c r="BK61" s="10">
        <f>IF(SUMIFS('Employee Enrollments'!AB:AB,'Employee Enrollments'!C:C,'Prop Budget Calc'!$A61,'Employee Enrollments'!Q:Q,"Medical")*12=0,'Employee Enrollments'!$AN$1,(SUMIFS('Employee Enrollments'!AB:AB,'Employee Enrollments'!C:C,'Prop Budget Calc'!$A61,'Employee Enrollments'!Q:Q,"Medical")*12))</f>
        <v>307.56</v>
      </c>
      <c r="BL61" s="10">
        <f>SUMIFS('Employee Enrollments'!AB:AB,'Employee Enrollments'!C:C,'Prop Budget Calc'!$A61,'Employee Enrollments'!Q:Q,"Dental")*12</f>
        <v>0</v>
      </c>
    </row>
    <row r="62" spans="1:64" s="1" customFormat="1" ht="12.75" customHeight="1">
      <c r="A62" s="419" t="s">
        <v>1882</v>
      </c>
      <c r="B62" s="3" t="str">
        <f>IF(IFERROR(VLOOKUP($A62,'Base Pay Report'!$A:$V,'Prop Budget Calc'!B$2,FALSE),"NO")="No","Update",PROPER(VLOOKUP($A62,'Base Pay Report'!$A:$V,'Prop Budget Calc'!B$2,FALSE)))</f>
        <v>Water/Sewer Maintenance Worker</v>
      </c>
      <c r="C62" s="3" t="str">
        <f>IF(IFERROR(VLOOKUP($A62,'Base Pay Report'!$A:$V,'Prop Budget Calc'!C$2,FALSE),"NO")="No","Update",PROPER(VLOOKUP($A62,'Base Pay Report'!$A:$V,'Prop Budget Calc'!C$2,FALSE)))</f>
        <v>Vacant Vacant</v>
      </c>
      <c r="D62" s="3" t="str">
        <f>IF(IFERROR(VLOOKUP($A62,'Base Pay Report'!$A:$V,'Prop Budget Calc'!D$2,FALSE),"NO")="No","Update",PROPER(VLOOKUP($A62,'Base Pay Report'!$A:$V,'Prop Budget Calc'!D$2,FALSE)))</f>
        <v>7520</v>
      </c>
      <c r="E62" s="8">
        <f t="shared" si="161"/>
        <v>1</v>
      </c>
      <c r="F62" s="3" t="str">
        <f>IF(IFERROR(VLOOKUP($A62,'Base Pay Report'!$A:$V,'Prop Budget Calc'!F$2,FALSE),"NO")="No","Update",PROPER(VLOOKUP($A62,'Base Pay Report'!$A:$V,'Prop Budget Calc'!F$2,FALSE)))</f>
        <v>200-73-735-50102</v>
      </c>
      <c r="G62" s="3" t="str">
        <f t="shared" si="162"/>
        <v>200-73-735</v>
      </c>
      <c r="H62" s="49" t="str">
        <f t="shared" si="163"/>
        <v>200</v>
      </c>
      <c r="I62" s="3" t="str">
        <f t="shared" si="164"/>
        <v>50102</v>
      </c>
      <c r="J62" s="3" t="str">
        <f t="shared" si="165"/>
        <v>73</v>
      </c>
      <c r="K62" s="3" t="str">
        <f t="shared" si="166"/>
        <v>735</v>
      </c>
      <c r="L62" s="3">
        <f>IF(SUMIF('Base Pay Report'!$A:$A,'Prop Budget Calc'!$A62,'Base Pay Report'!$I:$I)=80,SUMIF('Base Pay Report'!$A:$A,'Prop Budget Calc'!$A62,'Base Pay Report'!$H:$H)/SUMIF('Base Pay Report'!$A:$A,'Prop Budget Calc'!$A62,'Base Pay Report'!$I:$I),SUMIF('Base Pay Report'!$A:$A,'Prop Budget Calc'!$A62,'Base Pay Report'!$H:$H))</f>
        <v>17.34</v>
      </c>
      <c r="M62" s="3">
        <f t="shared" si="138"/>
        <v>2080</v>
      </c>
      <c r="N62" s="3" t="str">
        <f>IF(IFERROR(VLOOKUP($A62,'Base Pay Report'!$A:$V,'Prop Budget Calc'!N$2,FALSE),"NO")="No","Update",(VLOOKUP($A62,'Base Pay Report'!$A:$V,'Prop Budget Calc'!N$2,FALSE)))</f>
        <v>Update</v>
      </c>
      <c r="O62" s="6">
        <f t="shared" si="167"/>
        <v>36070</v>
      </c>
      <c r="P62" s="99">
        <f>IF(SUMIF('Base Pay Report'!A:A,$A62,'Base Pay Report'!J:J)=0,$P$1+40,SUMIF('Base Pay Report'!A:A,$A62,'Base Pay Report'!J:J))</f>
        <v>45027</v>
      </c>
      <c r="Q62" s="87" t="str">
        <f>IF($B62='Current Step Plans'!$B$36,HLOOKUP('Prop Budget Calc'!$L62,'Current Step Plans'!$C$36:$Q$42,7,FALSE),IF($B62='Current Step Plans'!$B$37,HLOOKUP('Prop Budget Calc'!$L62,'Current Step Plans'!$C$37:$Q$42,6,FALSE),IF($B62='Current Step Plans'!$B$38,HLOOKUP('Prop Budget Calc'!$L62,'Current Step Plans'!$C$38:$Q$42,5,FALSE),IF($B62='Current Step Plans'!$B$39,HLOOKUP('Prop Budget Calc'!$L62,'Current Step Plans'!$C$39:$Q$42,4,FALSE),IF($B62='Current Step Plans'!$B$40,HLOOKUP('Prop Budget Calc'!$L62,'Current Step Plans'!$C$40:$Q$42,3,FALSE),IF($B62='Current Step Plans'!$B$41,HLOOKUP('Prop Budget Calc'!$L62,'Current Step Plans'!$C$41:$Q$42,2,FALSE),IF($B62='Current Step Plans'!$B$50,HLOOKUP('Prop Budget Calc'!$L62,'Current Step Plans'!$C$50:$Q$56,7,FALSE),IF($B62='Current Step Plans'!$B$51,HLOOKUP('Prop Budget Calc'!$L62,'Current Step Plans'!$C$51:$Q$56,6,FALSE),IF($B62='Current Step Plans'!$B$52,HLOOKUP('Prop Budget Calc'!$L62,'Current Step Plans'!$C$52:$Q$56,5,FALSE), IF($B62='Current Step Plans'!$B$53,HLOOKUP('Prop Budget Calc'!$L62,'Current Step Plans'!$C$53:$Q$56,4,FALSE),IF($B62='Current Step Plans'!$B$54,HLOOKUP('Prop Budget Calc'!$L62,'Current Step Plans'!$C$54:$Q$56,3,FALSE),IF($B62='Current Step Plans'!$B$55,HLOOKUP('Prop Budget Calc'!$L62,'Current Step Plans'!$C$55:$Q$56,2,FALSE),IF($B62='Current Step Plans'!$B$65,HLOOKUP('Prop Budget Calc'!$L62,'Current Step Plans'!$C$65:$Q$75,11,FALSE),IF($B62='Current Step Plans'!$B$66,HLOOKUP('Prop Budget Calc'!$L62,'Current Step Plans'!$C$66:$Q$75,10,FALSE),IF($B62='Current Step Plans'!$B$67,HLOOKUP('Prop Budget Calc'!$L62,'Current Step Plans'!$C$67:$Q$75,9,FALSE),IF($B62='Current Step Plans'!$B$68,HLOOKUP('Prop Budget Calc'!$L62,'Current Step Plans'!$C$68:$Q$75,8,FALSE),IF($B62='Current Step Plans'!$B$69,HLOOKUP('Prop Budget Calc'!$L62,'Current Step Plans'!$C$69:$Q$75,7,FALSE),IF($B62='Current Step Plans'!$B$70,HLOOKUP('Prop Budget Calc'!$L62,'Current Step Plans'!$C$70:$Q$75,6,FALSE),IF($B62='Current Step Plans'!$B$71,HLOOKUP('Prop Budget Calc'!$L62,'Current Step Plans'!$C$71:$Q$75,5,FALSE),IF($B62='Current Step Plans'!$B$72,HLOOKUP('Prop Budget Calc'!$L62,'Current Step Plans'!$C$72:$Q$75,4,FALSE),IF($B62='Current Step Plans'!$B$73,HLOOKUP('Prop Budget Calc'!$L62,'Current Step Plans'!$C$73:$Q$75,3,FALSE),IF($B62='Current Step Plans'!$B$74,HLOOKUP('Prop Budget Calc'!$L62,'Current Step Plans'!$C$74:$Q$75,2,FALSE),"N"))))))))))))))))))))))</f>
        <v>N</v>
      </c>
      <c r="R62" s="9" t="str">
        <f t="shared" si="139"/>
        <v>N</v>
      </c>
      <c r="S62" s="6">
        <f>IF(Q62="n",0,ROUNDUP(VLOOKUP(B62,'Proposed Step Plans'!B:T,'Prop Budget Calc'!Q62+2,FALSE)*M62,-2)-O62-T62)</f>
        <v>0</v>
      </c>
      <c r="T62" s="6">
        <f>IF(Q62="n",0,ROUNDUP(VLOOKUP(B62,'Current Step Plans'!B:T,'Prop Budget Calc'!Q62+2,FALSE)*M62,0)-O62)</f>
        <v>0</v>
      </c>
      <c r="U62" s="6">
        <f>IF(IFERROR(VLOOKUP($A62,'Market Study'!$A$5:$G$82,7,FALSE),"NA")="NA",0,VLOOKUP($A62,'Market Study'!$A$5:$G$82,7,FALSE))</f>
        <v>0</v>
      </c>
      <c r="V62" s="6">
        <f>IF(OR($T62&lt;&gt;0,$I62="50112",$I62="50109",$S62&lt;&gt;0),0,VLOOKUP($K62,Scenarios!$A$17:$F$73,6,FALSE)*$O62)</f>
        <v>721.4</v>
      </c>
      <c r="W62" s="6">
        <f t="shared" si="140"/>
        <v>721.4</v>
      </c>
      <c r="X62" s="6">
        <f>IF(OR($T62&lt;&gt;0,$I62="50112",$I62="50109",$S62&lt;&gt;0),0,VLOOKUP($K62,Scenarios!$A$17:$F$73,2,FALSE)*$O62)</f>
        <v>721.4</v>
      </c>
      <c r="Y62" s="6">
        <f>IF(OR($T62&lt;&gt;0,$I62="50110",$I62="50109",$S62&lt;&gt;0),0,VLOOKUP($K62,Scenarios!$A$17:$F$73,3,FALSE))</f>
        <v>1175</v>
      </c>
      <c r="Z62" s="6">
        <f>IF(OR($T62&lt;&gt;0,$I62="50112",$I62="50109",$S62&lt;&gt;0),0,VLOOKUP($K62,Scenarios!$A$17:$F$73,4,FALSE))</f>
        <v>0</v>
      </c>
      <c r="AA62" s="6">
        <f t="shared" si="141"/>
        <v>1175</v>
      </c>
      <c r="AB62" s="6">
        <f>IF(OR($T62&lt;&gt;0,$I62="50112",$I62="50109",$S62&lt;&gt;0),0,VLOOKUP($K62,Scenarios!$A$17:$F$73,5,FALSE))</f>
        <v>0</v>
      </c>
      <c r="AC62" s="6">
        <f t="shared" si="168"/>
        <v>1896.4</v>
      </c>
      <c r="AD62" s="6">
        <f t="shared" si="142"/>
        <v>37967</v>
      </c>
      <c r="AE62" s="84">
        <f t="shared" si="143"/>
        <v>5.2592181868588828E-2</v>
      </c>
      <c r="AF62" s="6">
        <f t="shared" si="144"/>
        <v>21</v>
      </c>
      <c r="AG62" s="6">
        <f>IF(AND(OR(I62="50101",I62="50102"),$AF62&gt;12),IF($AF62&gt;=300,(300*Scenarios!$B$14)*$E62,($AF62*Scenarios!$B$14)*$E62),0)</f>
        <v>105</v>
      </c>
      <c r="AH62" s="6" t="b">
        <f>IF($R62="y",IF($T62&gt;0,Scenarios!$B$10*'Prop Budget Calc'!$E62,Scenarios!$B$13*'Prop Budget Calc'!$E62))</f>
        <v>0</v>
      </c>
      <c r="AI62" s="6">
        <f>SUMIFS('Deduction Valuation'!$G:$G,'Deduction Valuation'!$F:$F,"CT - Certifications",'Deduction Valuation'!$B:$B,'Prop Budget Calc'!$A62)*$AI$3</f>
        <v>0</v>
      </c>
      <c r="AJ62" s="6">
        <f>SUMIFS('Deduction Valuation'!$G:$G,'Deduction Valuation'!$F:$F,"RP - Regional Pay",'Deduction Valuation'!$B:$B,'Prop Budget Calc'!$A62)*$AI$3</f>
        <v>0</v>
      </c>
      <c r="AK62" s="6">
        <f t="shared" si="145"/>
        <v>0</v>
      </c>
      <c r="AL62" s="6">
        <f>SUMIFS('Deduction Valuation'!$G:$G,'Deduction Valuation'!$F:$F,"CR - Car Allowance",'Deduction Valuation'!$B:$B,'Prop Budget Calc'!$A62)*$AI$3</f>
        <v>0</v>
      </c>
      <c r="AM62" s="6">
        <f>SUMIFS('Deduction Valuation'!$G:$G,'Deduction Valuation'!$F:$F,"DA - Device Allow",'Deduction Valuation'!$B:$B,'Prop Budget Calc'!$A62)*$AI$3</f>
        <v>0</v>
      </c>
      <c r="AN62" s="6">
        <f>SUMIFS('Deduction Valuation'!$G:$G,'Deduction Valuation'!$F:$F,"RA - Replace Allow",'Deduction Valuation'!$B:$B,'Prop Budget Calc'!$A62)</f>
        <v>0</v>
      </c>
      <c r="AO62" s="94">
        <f t="shared" si="146"/>
        <v>0</v>
      </c>
      <c r="AP62" s="94">
        <f t="shared" si="147"/>
        <v>38072</v>
      </c>
      <c r="AQ62" s="10">
        <f>IF(OR($I62="50101", $I62="50102", $I62="50109", $I62="50140"),AP62*Scenarios!$H$8,0)</f>
        <v>6449.3967999999995</v>
      </c>
      <c r="AR62" s="9">
        <f>VLOOKUP($D62,WKCMP!$A$1:$C$15,3,FALSE)*AP62</f>
        <v>575.64864</v>
      </c>
      <c r="AS62" s="10">
        <f t="shared" si="148"/>
        <v>552.04399999999998</v>
      </c>
      <c r="AT62" s="11">
        <f t="shared" si="149"/>
        <v>2360.4639999999999</v>
      </c>
      <c r="AU62" s="10">
        <f t="shared" si="150"/>
        <v>2920</v>
      </c>
      <c r="AV62" s="6">
        <f t="shared" si="151"/>
        <v>68.529600000000002</v>
      </c>
      <c r="AW62" s="19">
        <f t="shared" si="152"/>
        <v>79.2</v>
      </c>
      <c r="AX62" s="19">
        <f t="shared" si="153"/>
        <v>15.6</v>
      </c>
      <c r="AY62" s="19">
        <f t="shared" si="154"/>
        <v>11.28</v>
      </c>
      <c r="AZ62" s="88">
        <f t="shared" si="155"/>
        <v>174.6096</v>
      </c>
      <c r="BA62" s="6">
        <f>IF(AND($C62="vacant vacant",$E62=1),$BA$2*$AZ$3,SUMIFS('Employee Enrollments'!$AE:$AE,'Employee Enrollments'!$S:$S,"Medical HDHP",'Employee Enrollments'!$C:$C,'Prop Budget Calc'!$A62)*$AZ$3*(1+Scenarios!$E$9))*(1-$BA$3)</f>
        <v>13438.438387310343</v>
      </c>
      <c r="BB62" s="6">
        <f>IF(AND($C62="vacant vacant",$E62=1),500,SUMIFS('Employee Enrollments'!$AE:$AE,'Employee Enrollments'!$S:$S,"Health Savings Account",'Employee Enrollments'!$C:$C,'Prop Budget Calc'!$A62))</f>
        <v>500</v>
      </c>
      <c r="BC62" s="56">
        <f t="shared" si="156"/>
        <v>13938.438387310343</v>
      </c>
      <c r="BD62" s="6">
        <f>IF(AND($C62="vacant vacant",$E62=1),$BD$2*$AZ$3,SUMIFS('Employee Enrollments'!$AE:$AE,'Employee Enrollments'!$S:$S,"Dental Plan",'Employee Enrollments'!$C:$C,'Prop Budget Calc'!$A62)*$AZ$3)</f>
        <v>628.6782481751826</v>
      </c>
      <c r="BE62" s="6">
        <f t="shared" si="157"/>
        <v>14741.726235485527</v>
      </c>
      <c r="BF62" s="6">
        <f t="shared" si="158"/>
        <v>24686.771675485525</v>
      </c>
      <c r="BG62" s="6">
        <f t="shared" si="159"/>
        <v>62758.771675485521</v>
      </c>
      <c r="BH62" s="14"/>
      <c r="BI62" s="56"/>
      <c r="BJ62" s="93">
        <f t="shared" si="160"/>
        <v>14985.927855938697</v>
      </c>
      <c r="BK62" s="10">
        <f>IF(SUMIFS('Employee Enrollments'!AB:AB,'Employee Enrollments'!C:C,'Prop Budget Calc'!$A62,'Employee Enrollments'!Q:Q,"Medical")*12=0,'Employee Enrollments'!$AN$1,(SUMIFS('Employee Enrollments'!AB:AB,'Employee Enrollments'!C:C,'Prop Budget Calc'!$A62,'Employee Enrollments'!Q:Q,"Medical")*12))</f>
        <v>1131.8676628352489</v>
      </c>
      <c r="BL62" s="10">
        <f>SUMIFS('Employee Enrollments'!AB:AB,'Employee Enrollments'!C:C,'Prop Budget Calc'!$A62,'Employee Enrollments'!Q:Q,"Dental")*12</f>
        <v>0</v>
      </c>
    </row>
    <row r="63" spans="1:64" s="1" customFormat="1" ht="12.75" customHeight="1">
      <c r="A63" s="20" t="s">
        <v>1576</v>
      </c>
      <c r="B63" s="3" t="str">
        <f>IF(IFERROR(VLOOKUP($A63,'Base Pay Report'!$A:$V,'Prop Budget Calc'!B$2,FALSE),"NO")="No","Update",PROPER(VLOOKUP($A63,'Base Pay Report'!$A:$V,'Prop Budget Calc'!B$2,FALSE)))</f>
        <v>Crew Leader - W &amp; Ww Maintenance</v>
      </c>
      <c r="C63" s="3" t="str">
        <f>IF(IFERROR(VLOOKUP($A63,'Base Pay Report'!$A:$V,'Prop Budget Calc'!C$2,FALSE),"NO")="No","Update",PROPER(VLOOKUP($A63,'Base Pay Report'!$A:$V,'Prop Budget Calc'!C$2,FALSE)))</f>
        <v>First Name Last Name</v>
      </c>
      <c r="D63" s="3" t="str">
        <f>IF(IFERROR(VLOOKUP($A63,'Base Pay Report'!$A:$V,'Prop Budget Calc'!D$2,FALSE),"NO")="No","Update",PROPER(VLOOKUP($A63,'Base Pay Report'!$A:$V,'Prop Budget Calc'!D$2,FALSE)))</f>
        <v>7520</v>
      </c>
      <c r="E63" s="8">
        <f t="shared" si="161"/>
        <v>1</v>
      </c>
      <c r="F63" s="3" t="str">
        <f>IF(IFERROR(VLOOKUP($A63,'Base Pay Report'!$A:$V,'Prop Budget Calc'!F$2,FALSE),"NO")="No","Update",PROPER(VLOOKUP($A63,'Base Pay Report'!$A:$V,'Prop Budget Calc'!F$2,FALSE)))</f>
        <v>200-73-735-50102</v>
      </c>
      <c r="G63" s="3" t="str">
        <f t="shared" si="162"/>
        <v>200-73-735</v>
      </c>
      <c r="H63" s="49" t="str">
        <f t="shared" si="163"/>
        <v>200</v>
      </c>
      <c r="I63" s="3" t="str">
        <f t="shared" si="164"/>
        <v>50102</v>
      </c>
      <c r="J63" s="3" t="str">
        <f t="shared" si="165"/>
        <v>73</v>
      </c>
      <c r="K63" s="3" t="str">
        <f t="shared" si="166"/>
        <v>735</v>
      </c>
      <c r="L63" s="3">
        <f>IF(SUMIF('Base Pay Report'!$A:$A,'Prop Budget Calc'!$A63,'Base Pay Report'!$I:$I)=80,SUMIF('Base Pay Report'!$A:$A,'Prop Budget Calc'!$A63,'Base Pay Report'!$H:$H)/SUMIF('Base Pay Report'!$A:$A,'Prop Budget Calc'!$A63,'Base Pay Report'!$I:$I),SUMIF('Base Pay Report'!$A:$A,'Prop Budget Calc'!$A63,'Base Pay Report'!$H:$H))</f>
        <v>27.5</v>
      </c>
      <c r="M63" s="3">
        <f t="shared" si="138"/>
        <v>1872</v>
      </c>
      <c r="N63" s="3" t="str">
        <f>IF(IFERROR(VLOOKUP($A63,'Base Pay Report'!$A:$V,'Prop Budget Calc'!N$2,FALSE),"NO")="No","Update",(VLOOKUP($A63,'Base Pay Report'!$A:$V,'Prop Budget Calc'!N$2,FALSE)))</f>
        <v>FT HOURLY- 4-9</v>
      </c>
      <c r="O63" s="6">
        <f t="shared" si="167"/>
        <v>51480</v>
      </c>
      <c r="P63" s="99">
        <f>IF(SUMIF('Base Pay Report'!A:A,$A63,'Base Pay Report'!J:J)=0,$P$1+40,SUMIF('Base Pay Report'!A:A,$A63,'Base Pay Report'!J:J))</f>
        <v>44004</v>
      </c>
      <c r="Q63" s="87" t="str">
        <f>IF($B63='Current Step Plans'!$B$36,HLOOKUP('Prop Budget Calc'!$L63,'Current Step Plans'!$C$36:$Q$42,7,FALSE),IF($B63='Current Step Plans'!$B$37,HLOOKUP('Prop Budget Calc'!$L63,'Current Step Plans'!$C$37:$Q$42,6,FALSE),IF($B63='Current Step Plans'!$B$38,HLOOKUP('Prop Budget Calc'!$L63,'Current Step Plans'!$C$38:$Q$42,5,FALSE),IF($B63='Current Step Plans'!$B$39,HLOOKUP('Prop Budget Calc'!$L63,'Current Step Plans'!$C$39:$Q$42,4,FALSE),IF($B63='Current Step Plans'!$B$40,HLOOKUP('Prop Budget Calc'!$L63,'Current Step Plans'!$C$40:$Q$42,3,FALSE),IF($B63='Current Step Plans'!$B$41,HLOOKUP('Prop Budget Calc'!$L63,'Current Step Plans'!$C$41:$Q$42,2,FALSE),IF($B63='Current Step Plans'!$B$50,HLOOKUP('Prop Budget Calc'!$L63,'Current Step Plans'!$C$50:$Q$56,7,FALSE),IF($B63='Current Step Plans'!$B$51,HLOOKUP('Prop Budget Calc'!$L63,'Current Step Plans'!$C$51:$Q$56,6,FALSE),IF($B63='Current Step Plans'!$B$52,HLOOKUP('Prop Budget Calc'!$L63,'Current Step Plans'!$C$52:$Q$56,5,FALSE), IF($B63='Current Step Plans'!$B$53,HLOOKUP('Prop Budget Calc'!$L63,'Current Step Plans'!$C$53:$Q$56,4,FALSE),IF($B63='Current Step Plans'!$B$54,HLOOKUP('Prop Budget Calc'!$L63,'Current Step Plans'!$C$54:$Q$56,3,FALSE),IF($B63='Current Step Plans'!$B$55,HLOOKUP('Prop Budget Calc'!$L63,'Current Step Plans'!$C$55:$Q$56,2,FALSE),IF($B63='Current Step Plans'!$B$65,HLOOKUP('Prop Budget Calc'!$L63,'Current Step Plans'!$C$65:$Q$75,11,FALSE),IF($B63='Current Step Plans'!$B$66,HLOOKUP('Prop Budget Calc'!$L63,'Current Step Plans'!$C$66:$Q$75,10,FALSE),IF($B63='Current Step Plans'!$B$67,HLOOKUP('Prop Budget Calc'!$L63,'Current Step Plans'!$C$67:$Q$75,9,FALSE),IF($B63='Current Step Plans'!$B$68,HLOOKUP('Prop Budget Calc'!$L63,'Current Step Plans'!$C$68:$Q$75,8,FALSE),IF($B63='Current Step Plans'!$B$69,HLOOKUP('Prop Budget Calc'!$L63,'Current Step Plans'!$C$69:$Q$75,7,FALSE),IF($B63='Current Step Plans'!$B$70,HLOOKUP('Prop Budget Calc'!$L63,'Current Step Plans'!$C$70:$Q$75,6,FALSE),IF($B63='Current Step Plans'!$B$71,HLOOKUP('Prop Budget Calc'!$L63,'Current Step Plans'!$C$71:$Q$75,5,FALSE),IF($B63='Current Step Plans'!$B$72,HLOOKUP('Prop Budget Calc'!$L63,'Current Step Plans'!$C$72:$Q$75,4,FALSE),IF($B63='Current Step Plans'!$B$73,HLOOKUP('Prop Budget Calc'!$L63,'Current Step Plans'!$C$73:$Q$75,3,FALSE),IF($B63='Current Step Plans'!$B$74,HLOOKUP('Prop Budget Calc'!$L63,'Current Step Plans'!$C$74:$Q$75,2,FALSE),"N"))))))))))))))))))))))</f>
        <v>N</v>
      </c>
      <c r="R63" s="9" t="str">
        <f t="shared" si="139"/>
        <v>Y</v>
      </c>
      <c r="S63" s="6">
        <f>IF(Q63="n",0,ROUNDUP(VLOOKUP(B63,'Proposed Step Plans'!B:T,'Prop Budget Calc'!Q63+2,FALSE)*M63,-2)-O63-T63)</f>
        <v>0</v>
      </c>
      <c r="T63" s="6">
        <f>IF(Q63="n",0,ROUNDUP(VLOOKUP(B63,'Current Step Plans'!B:T,'Prop Budget Calc'!Q63+2,FALSE)*M63,0)-O63)</f>
        <v>0</v>
      </c>
      <c r="U63" s="6">
        <f>IF(IFERROR(VLOOKUP($A63,'Market Study'!$A$5:$G$82,7,FALSE),"NA")="NA",0,VLOOKUP($A63,'Market Study'!$A$5:$G$82,7,FALSE))</f>
        <v>0</v>
      </c>
      <c r="V63" s="6">
        <f>IF(OR($T63&lt;&gt;0,$I63="50112",$I63="50109",$S63&lt;&gt;0),0,VLOOKUP($K63,Scenarios!$A$17:$F$73,6,FALSE)*$O63)</f>
        <v>1029.5999999999999</v>
      </c>
      <c r="W63" s="6">
        <f t="shared" si="140"/>
        <v>1029.5999999999999</v>
      </c>
      <c r="X63" s="6">
        <f>IF(OR($T63&lt;&gt;0,$I63="50112",$I63="50109",$S63&lt;&gt;0),0,VLOOKUP($K63,Scenarios!$A$17:$F$73,2,FALSE)*$O63)</f>
        <v>1029.5999999999999</v>
      </c>
      <c r="Y63" s="6">
        <f>IF(OR($T63&lt;&gt;0,$I63="50110",$I63="50109",$S63&lt;&gt;0),0,VLOOKUP($K63,Scenarios!$A$17:$F$73,3,FALSE))</f>
        <v>1175</v>
      </c>
      <c r="Z63" s="6">
        <f>IF(OR($T63&lt;&gt;0,$I63="50112",$I63="50109",$S63&lt;&gt;0),0,VLOOKUP($K63,Scenarios!$A$17:$F$73,4,FALSE))</f>
        <v>0</v>
      </c>
      <c r="AA63" s="6">
        <f t="shared" si="141"/>
        <v>1175</v>
      </c>
      <c r="AB63" s="6">
        <f>IF(OR($T63&lt;&gt;0,$I63="50112",$I63="50109",$S63&lt;&gt;0),0,VLOOKUP($K63,Scenarios!$A$17:$F$73,5,FALSE))</f>
        <v>0</v>
      </c>
      <c r="AC63" s="6">
        <f t="shared" si="168"/>
        <v>2204.6</v>
      </c>
      <c r="AD63" s="6">
        <f t="shared" si="142"/>
        <v>53685</v>
      </c>
      <c r="AE63" s="84">
        <f t="shared" si="143"/>
        <v>4.2832167832167922E-2</v>
      </c>
      <c r="AF63" s="6">
        <f t="shared" si="144"/>
        <v>55.1</v>
      </c>
      <c r="AG63" s="6">
        <f>IF(AND(OR(I63="50101",I63="50102"),$AF63&gt;12),IF($AF63&gt;=300,(300*Scenarios!$B$14)*$E63,($AF63*Scenarios!$B$14)*$E63),0)</f>
        <v>275.5</v>
      </c>
      <c r="AH63" s="6">
        <f>IF($R63="y",IF($T63&gt;0,Scenarios!$B$10*'Prop Budget Calc'!$E63,Scenarios!$B$13*'Prop Budget Calc'!$E63))</f>
        <v>0</v>
      </c>
      <c r="AI63" s="6">
        <f>SUMIFS('Deduction Valuation'!$G:$G,'Deduction Valuation'!$F:$F,"CT - Certifications",'Deduction Valuation'!$B:$B,'Prop Budget Calc'!$A63)*$AI$3</f>
        <v>900</v>
      </c>
      <c r="AJ63" s="6">
        <f>SUMIFS('Deduction Valuation'!$G:$G,'Deduction Valuation'!$F:$F,"RP - Regional Pay",'Deduction Valuation'!$B:$B,'Prop Budget Calc'!$A63)*$AI$3</f>
        <v>0</v>
      </c>
      <c r="AK63" s="6">
        <f t="shared" si="145"/>
        <v>900</v>
      </c>
      <c r="AL63" s="6">
        <f>SUMIFS('Deduction Valuation'!$G:$G,'Deduction Valuation'!$F:$F,"CR - Car Allowance",'Deduction Valuation'!$B:$B,'Prop Budget Calc'!$A63)*$AI$3</f>
        <v>0</v>
      </c>
      <c r="AM63" s="6">
        <f>SUMIFS('Deduction Valuation'!$G:$G,'Deduction Valuation'!$F:$F,"DA - Device Allow",'Deduction Valuation'!$B:$B,'Prop Budget Calc'!$A63)*$AI$3</f>
        <v>0</v>
      </c>
      <c r="AN63" s="6">
        <f>SUMIFS('Deduction Valuation'!$G:$G,'Deduction Valuation'!$F:$F,"RA - Replace Allow",'Deduction Valuation'!$B:$B,'Prop Budget Calc'!$A63)</f>
        <v>0</v>
      </c>
      <c r="AO63" s="94">
        <f t="shared" si="146"/>
        <v>0</v>
      </c>
      <c r="AP63" s="94">
        <f t="shared" si="147"/>
        <v>54860.5</v>
      </c>
      <c r="AQ63" s="10">
        <f>IF(OR($I63="50101", $I63="50102", $I63="50109", $I63="50140"),AP63*Scenarios!$H$8,0)</f>
        <v>9293.3686999999991</v>
      </c>
      <c r="AR63" s="9">
        <f>VLOOKUP($D63,WKCMP!$A$1:$C$15,3,FALSE)*AP63</f>
        <v>829.49076000000002</v>
      </c>
      <c r="AS63" s="10">
        <f t="shared" si="148"/>
        <v>795.47725000000003</v>
      </c>
      <c r="AT63" s="11">
        <f t="shared" si="149"/>
        <v>3401.3510000000001</v>
      </c>
      <c r="AU63" s="10">
        <f t="shared" si="150"/>
        <v>4200</v>
      </c>
      <c r="AV63" s="6">
        <f t="shared" si="151"/>
        <v>98.748899999999992</v>
      </c>
      <c r="AW63" s="19">
        <f t="shared" si="152"/>
        <v>79.2</v>
      </c>
      <c r="AX63" s="19">
        <f t="shared" si="153"/>
        <v>15.6</v>
      </c>
      <c r="AY63" s="19">
        <f t="shared" si="154"/>
        <v>11.28</v>
      </c>
      <c r="AZ63" s="88">
        <f t="shared" si="155"/>
        <v>204.82889999999998</v>
      </c>
      <c r="BA63" s="6">
        <f>IF(AND($C63="vacant vacant",$E63=1),$BA$2*$AZ$3,SUMIFS('Employee Enrollments'!$AE:$AE,'Employee Enrollments'!$S:$S,"Medical HDHP",'Employee Enrollments'!$C:$C,'Prop Budget Calc'!$A63)*$AZ$3*(1+Scenarios!$E$9))*(1-$BA$3)</f>
        <v>20751.279839999999</v>
      </c>
      <c r="BB63" s="6">
        <f>IF(AND($C63="vacant vacant",$E63=1),500,SUMIFS('Employee Enrollments'!$AE:$AE,'Employee Enrollments'!$S:$S,"Health Savings Account",'Employee Enrollments'!$C:$C,'Prop Budget Calc'!$A63))</f>
        <v>1000</v>
      </c>
      <c r="BC63" s="56">
        <f t="shared" si="156"/>
        <v>21751.279839999999</v>
      </c>
      <c r="BD63" s="6">
        <f>IF(AND($C63="vacant vacant",$E63=1),$BD$2*$AZ$3,SUMIFS('Employee Enrollments'!$AE:$AE,'Employee Enrollments'!$S:$S,"Dental Plan",'Employee Enrollments'!$C:$C,'Prop Budget Calc'!$A63)*$AZ$3)</f>
        <v>843.48</v>
      </c>
      <c r="BE63" s="6">
        <f t="shared" si="157"/>
        <v>22799.588739999999</v>
      </c>
      <c r="BF63" s="6">
        <f t="shared" si="158"/>
        <v>37122.448199999999</v>
      </c>
      <c r="BG63" s="6">
        <f t="shared" si="159"/>
        <v>91982.948199999999</v>
      </c>
      <c r="BH63" s="14"/>
      <c r="BI63" s="56"/>
      <c r="BJ63" s="93">
        <f t="shared" si="160"/>
        <v>25996.991999999998</v>
      </c>
      <c r="BK63" s="10">
        <f>IF(SUMIFS('Employee Enrollments'!AB:AB,'Employee Enrollments'!C:C,'Prop Budget Calc'!$A63,'Employee Enrollments'!Q:Q,"Medical")*12=0,'Employee Enrollments'!$AN$1,(SUMIFS('Employee Enrollments'!AB:AB,'Employee Enrollments'!C:C,'Prop Budget Calc'!$A63,'Employee Enrollments'!Q:Q,"Medical")*12))</f>
        <v>4603.92</v>
      </c>
      <c r="BL63" s="10">
        <f>SUMIFS('Employee Enrollments'!AB:AB,'Employee Enrollments'!C:C,'Prop Budget Calc'!$A63,'Employee Enrollments'!Q:Q,"Dental")*12</f>
        <v>364.92</v>
      </c>
    </row>
    <row r="64" spans="1:64" s="1" customFormat="1" ht="12.75" customHeight="1">
      <c r="A64" s="535" t="s">
        <v>2568</v>
      </c>
      <c r="B64" s="3" t="str">
        <f>IF(IFERROR(VLOOKUP($A64,'Base Pay Report'!$A:$V,'Prop Budget Calc'!B$2,FALSE),"NO")="No","Update",PROPER(VLOOKUP($A64,'Base Pay Report'!$A:$V,'Prop Budget Calc'!B$2,FALSE)))</f>
        <v>Maintenance Worker I - (W &amp; Ww)</v>
      </c>
      <c r="C64" s="3" t="str">
        <f>IF(IFERROR(VLOOKUP($A64,'Base Pay Report'!$A:$V,'Prop Budget Calc'!C$2,FALSE),"NO")="No","Update",PROPER(VLOOKUP($A64,'Base Pay Report'!$A:$V,'Prop Budget Calc'!C$2,FALSE)))</f>
        <v>First Name Last Name</v>
      </c>
      <c r="D64" s="3" t="str">
        <f>IF(IFERROR(VLOOKUP($A64,'Base Pay Report'!$A:$V,'Prop Budget Calc'!D$2,FALSE),"NO")="No","Update",PROPER(VLOOKUP($A64,'Base Pay Report'!$A:$V,'Prop Budget Calc'!D$2,FALSE)))</f>
        <v>7520</v>
      </c>
      <c r="E64" s="8">
        <f t="shared" si="161"/>
        <v>1</v>
      </c>
      <c r="F64" s="3" t="str">
        <f>IF(IFERROR(VLOOKUP($A64,'Base Pay Report'!$A:$V,'Prop Budget Calc'!F$2,FALSE),"NO")="No","Update",PROPER(VLOOKUP($A64,'Base Pay Report'!$A:$V,'Prop Budget Calc'!F$2,FALSE)))</f>
        <v>200-75-752-50102</v>
      </c>
      <c r="G64" s="3" t="str">
        <f t="shared" si="162"/>
        <v>200-75-752</v>
      </c>
      <c r="H64" s="49" t="str">
        <f t="shared" si="163"/>
        <v>200</v>
      </c>
      <c r="I64" s="3" t="str">
        <f t="shared" si="164"/>
        <v>50102</v>
      </c>
      <c r="J64" s="3" t="str">
        <f t="shared" si="165"/>
        <v>75</v>
      </c>
      <c r="K64" s="3" t="str">
        <f t="shared" si="166"/>
        <v>752</v>
      </c>
      <c r="L64" s="3">
        <f>IF(SUMIF('Base Pay Report'!$A:$A,'Prop Budget Calc'!$A64,'Base Pay Report'!$I:$I)=80,SUMIF('Base Pay Report'!$A:$A,'Prop Budget Calc'!$A64,'Base Pay Report'!$H:$H)/SUMIF('Base Pay Report'!$A:$A,'Prop Budget Calc'!$A64,'Base Pay Report'!$I:$I),SUMIF('Base Pay Report'!$A:$A,'Prop Budget Calc'!$A64,'Base Pay Report'!$H:$H))</f>
        <v>18.28</v>
      </c>
      <c r="M64" s="3">
        <f t="shared" si="138"/>
        <v>1872</v>
      </c>
      <c r="N64" s="3" t="str">
        <f>IF(IFERROR(VLOOKUP($A64,'Base Pay Report'!$A:$V,'Prop Budget Calc'!N$2,FALSE),"NO")="No","Update",(VLOOKUP($A64,'Base Pay Report'!$A:$V,'Prop Budget Calc'!N$2,FALSE)))</f>
        <v>FT HOURLY- 4-9</v>
      </c>
      <c r="O64" s="6">
        <f t="shared" si="167"/>
        <v>34230</v>
      </c>
      <c r="P64" s="99">
        <f>IF(SUMIF('Base Pay Report'!A:A,$A64,'Base Pay Report'!J:J)=0,$P$1+40,SUMIF('Base Pay Report'!A:A,$A64,'Base Pay Report'!J:J))</f>
        <v>45327</v>
      </c>
      <c r="Q64" s="87" t="str">
        <f>IF($B64='Current Step Plans'!$B$36,HLOOKUP('Prop Budget Calc'!$L64,'Current Step Plans'!$C$36:$Q$42,7,FALSE),IF($B64='Current Step Plans'!$B$37,HLOOKUP('Prop Budget Calc'!$L64,'Current Step Plans'!$C$37:$Q$42,6,FALSE),IF($B64='Current Step Plans'!$B$38,HLOOKUP('Prop Budget Calc'!$L64,'Current Step Plans'!$C$38:$Q$42,5,FALSE),IF($B64='Current Step Plans'!$B$39,HLOOKUP('Prop Budget Calc'!$L64,'Current Step Plans'!$C$39:$Q$42,4,FALSE),IF($B64='Current Step Plans'!$B$40,HLOOKUP('Prop Budget Calc'!$L64,'Current Step Plans'!$C$40:$Q$42,3,FALSE),IF($B64='Current Step Plans'!$B$41,HLOOKUP('Prop Budget Calc'!$L64,'Current Step Plans'!$C$41:$Q$42,2,FALSE),IF($B64='Current Step Plans'!$B$50,HLOOKUP('Prop Budget Calc'!$L64,'Current Step Plans'!$C$50:$Q$56,7,FALSE),IF($B64='Current Step Plans'!$B$51,HLOOKUP('Prop Budget Calc'!$L64,'Current Step Plans'!$C$51:$Q$56,6,FALSE),IF($B64='Current Step Plans'!$B$52,HLOOKUP('Prop Budget Calc'!$L64,'Current Step Plans'!$C$52:$Q$56,5,FALSE), IF($B64='Current Step Plans'!$B$53,HLOOKUP('Prop Budget Calc'!$L64,'Current Step Plans'!$C$53:$Q$56,4,FALSE),IF($B64='Current Step Plans'!$B$54,HLOOKUP('Prop Budget Calc'!$L64,'Current Step Plans'!$C$54:$Q$56,3,FALSE),IF($B64='Current Step Plans'!$B$55,HLOOKUP('Prop Budget Calc'!$L64,'Current Step Plans'!$C$55:$Q$56,2,FALSE),IF($B64='Current Step Plans'!$B$65,HLOOKUP('Prop Budget Calc'!$L64,'Current Step Plans'!$C$65:$Q$75,11,FALSE),IF($B64='Current Step Plans'!$B$66,HLOOKUP('Prop Budget Calc'!$L64,'Current Step Plans'!$C$66:$Q$75,10,FALSE),IF($B64='Current Step Plans'!$B$67,HLOOKUP('Prop Budget Calc'!$L64,'Current Step Plans'!$C$67:$Q$75,9,FALSE),IF($B64='Current Step Plans'!$B$68,HLOOKUP('Prop Budget Calc'!$L64,'Current Step Plans'!$C$68:$Q$75,8,FALSE),IF($B64='Current Step Plans'!$B$69,HLOOKUP('Prop Budget Calc'!$L64,'Current Step Plans'!$C$69:$Q$75,7,FALSE),IF($B64='Current Step Plans'!$B$70,HLOOKUP('Prop Budget Calc'!$L64,'Current Step Plans'!$C$70:$Q$75,6,FALSE),IF($B64='Current Step Plans'!$B$71,HLOOKUP('Prop Budget Calc'!$L64,'Current Step Plans'!$C$71:$Q$75,5,FALSE),IF($B64='Current Step Plans'!$B$72,HLOOKUP('Prop Budget Calc'!$L64,'Current Step Plans'!$C$72:$Q$75,4,FALSE),IF($B64='Current Step Plans'!$B$73,HLOOKUP('Prop Budget Calc'!$L64,'Current Step Plans'!$C$73:$Q$75,3,FALSE),IF($B64='Current Step Plans'!$B$74,HLOOKUP('Prop Budget Calc'!$L64,'Current Step Plans'!$C$74:$Q$75,2,FALSE),"N"))))))))))))))))))))))</f>
        <v>N</v>
      </c>
      <c r="R64" s="9" t="str">
        <f t="shared" si="139"/>
        <v>N</v>
      </c>
      <c r="S64" s="6">
        <f>IF(Q64="n",0,ROUNDUP(VLOOKUP(B64,'Proposed Step Plans'!B:T,'Prop Budget Calc'!Q64+2,FALSE)*M64,-2)-O64-T64)</f>
        <v>0</v>
      </c>
      <c r="T64" s="6">
        <f>IF(Q64="n",0,ROUNDUP(VLOOKUP(B64,'Current Step Plans'!B:T,'Prop Budget Calc'!Q64+2,FALSE)*M64,0)-O64)</f>
        <v>0</v>
      </c>
      <c r="U64" s="6">
        <f>IF(IFERROR(VLOOKUP($A64,'Market Study'!$A$5:$G$82,7,FALSE),"NA")="NA",0,VLOOKUP($A64,'Market Study'!$A$5:$G$82,7,FALSE))</f>
        <v>0</v>
      </c>
      <c r="V64" s="6">
        <f>IF(OR($T64&lt;&gt;0,$I64="50112",$I64="50109",$S64&lt;&gt;0),0,VLOOKUP($K64,Scenarios!$A$17:$F$73,6,FALSE)*$O64)</f>
        <v>684.6</v>
      </c>
      <c r="W64" s="6">
        <f t="shared" si="140"/>
        <v>684.6</v>
      </c>
      <c r="X64" s="6">
        <f>IF(OR($T64&lt;&gt;0,$I64="50112",$I64="50109",$S64&lt;&gt;0),0,VLOOKUP($K64,Scenarios!$A$17:$F$73,2,FALSE)*$O64)</f>
        <v>684.6</v>
      </c>
      <c r="Y64" s="6">
        <f>IF(OR($T64&lt;&gt;0,$I64="50110",$I64="50109",$S64&lt;&gt;0),0,VLOOKUP($K64,Scenarios!$A$17:$F$73,3,FALSE))</f>
        <v>1175</v>
      </c>
      <c r="Z64" s="6">
        <f>IF(OR($T64&lt;&gt;0,$I64="50112",$I64="50109",$S64&lt;&gt;0),0,VLOOKUP($K64,Scenarios!$A$17:$F$73,4,FALSE))</f>
        <v>0</v>
      </c>
      <c r="AA64" s="6">
        <f t="shared" si="141"/>
        <v>1175</v>
      </c>
      <c r="AB64" s="6">
        <f>IF(OR($T64&lt;&gt;0,$I64="50112",$I64="50109",$S64&lt;&gt;0),0,VLOOKUP($K64,Scenarios!$A$17:$F$73,5,FALSE))</f>
        <v>0</v>
      </c>
      <c r="AC64" s="6">
        <f t="shared" si="168"/>
        <v>1859.6</v>
      </c>
      <c r="AD64" s="6">
        <f t="shared" si="142"/>
        <v>36090</v>
      </c>
      <c r="AE64" s="84">
        <f t="shared" si="143"/>
        <v>5.4338299737072715E-2</v>
      </c>
      <c r="AF64" s="6">
        <f t="shared" si="144"/>
        <v>11</v>
      </c>
      <c r="AG64" s="6">
        <f>IF(AND(OR(I64="50101",I64="50102"),$AF64&gt;12),IF($AF64&gt;=300,(300*Scenarios!$B$14)*$E64,($AF64*Scenarios!$B$14)*$E64),0)</f>
        <v>0</v>
      </c>
      <c r="AH64" s="6" t="b">
        <f>IF($R64="y",IF($T64&gt;0,Scenarios!$B$10*'Prop Budget Calc'!$E64,Scenarios!$B$13*'Prop Budget Calc'!$E64))</f>
        <v>0</v>
      </c>
      <c r="AI64" s="6">
        <f>SUMIFS('Deduction Valuation'!$G:$G,'Deduction Valuation'!$F:$F,"CT - Certifications",'Deduction Valuation'!$B:$B,'Prop Budget Calc'!$A64)*$AI$3</f>
        <v>0</v>
      </c>
      <c r="AJ64" s="6">
        <f>SUMIFS('Deduction Valuation'!$G:$G,'Deduction Valuation'!$F:$F,"RP - Regional Pay",'Deduction Valuation'!$B:$B,'Prop Budget Calc'!$A64)*$AI$3</f>
        <v>0</v>
      </c>
      <c r="AK64" s="6">
        <f t="shared" si="145"/>
        <v>0</v>
      </c>
      <c r="AL64" s="6">
        <f>SUMIFS('Deduction Valuation'!$G:$G,'Deduction Valuation'!$F:$F,"CR - Car Allowance",'Deduction Valuation'!$B:$B,'Prop Budget Calc'!$A64)*$AI$3</f>
        <v>0</v>
      </c>
      <c r="AM64" s="6">
        <f>SUMIFS('Deduction Valuation'!$G:$G,'Deduction Valuation'!$F:$F,"DA - Device Allow",'Deduction Valuation'!$B:$B,'Prop Budget Calc'!$A64)*$AI$3</f>
        <v>0</v>
      </c>
      <c r="AN64" s="6">
        <f>SUMIFS('Deduction Valuation'!$G:$G,'Deduction Valuation'!$F:$F,"RA - Replace Allow",'Deduction Valuation'!$B:$B,'Prop Budget Calc'!$A64)</f>
        <v>0</v>
      </c>
      <c r="AO64" s="94">
        <f t="shared" si="146"/>
        <v>0</v>
      </c>
      <c r="AP64" s="94">
        <f t="shared" si="147"/>
        <v>36090</v>
      </c>
      <c r="AQ64" s="10">
        <f>IF(OR($I64="50101", $I64="50102", $I64="50109", $I64="50140"),AP64*Scenarios!$H$8,0)</f>
        <v>6113.6459999999997</v>
      </c>
      <c r="AR64" s="9">
        <f>VLOOKUP($D64,WKCMP!$A$1:$C$15,3,FALSE)*AP64</f>
        <v>545.68079999999998</v>
      </c>
      <c r="AS64" s="10">
        <f t="shared" si="148"/>
        <v>523.30500000000006</v>
      </c>
      <c r="AT64" s="11">
        <f t="shared" si="149"/>
        <v>2237.58</v>
      </c>
      <c r="AU64" s="10">
        <f t="shared" si="150"/>
        <v>2770</v>
      </c>
      <c r="AV64" s="6">
        <f t="shared" si="151"/>
        <v>64.962000000000003</v>
      </c>
      <c r="AW64" s="19">
        <f t="shared" si="152"/>
        <v>79.2</v>
      </c>
      <c r="AX64" s="19">
        <f t="shared" si="153"/>
        <v>15.6</v>
      </c>
      <c r="AY64" s="19">
        <f t="shared" si="154"/>
        <v>11.28</v>
      </c>
      <c r="AZ64" s="88">
        <f t="shared" si="155"/>
        <v>171.042</v>
      </c>
      <c r="BA64" s="6">
        <f>IF(AND($C64="vacant vacant",$E64=1),$BA$2*$AZ$3,SUMIFS('Employee Enrollments'!$AE:$AE,'Employee Enrollments'!$S:$S,"Medical HDHP",'Employee Enrollments'!$C:$C,'Prop Budget Calc'!$A64)*$AZ$3*(1+Scenarios!$E$9))*(1-$BA$3)</f>
        <v>17124.495623999999</v>
      </c>
      <c r="BB64" s="6">
        <f>IF(AND($C64="vacant vacant",$E64=1),500,SUMIFS('Employee Enrollments'!$AE:$AE,'Employee Enrollments'!$S:$S,"Health Savings Account",'Employee Enrollments'!$C:$C,'Prop Budget Calc'!$A64))</f>
        <v>1000</v>
      </c>
      <c r="BC64" s="56">
        <f t="shared" si="156"/>
        <v>18124.495623999999</v>
      </c>
      <c r="BD64" s="6">
        <f>IF(AND($C64="vacant vacant",$E64=1),$BD$2*$AZ$3,SUMIFS('Employee Enrollments'!$AE:$AE,'Employee Enrollments'!$S:$S,"Dental Plan",'Employee Enrollments'!$C:$C,'Prop Budget Calc'!$A64)*$AZ$3)</f>
        <v>434.76</v>
      </c>
      <c r="BE64" s="6">
        <f t="shared" si="157"/>
        <v>18730.297623999999</v>
      </c>
      <c r="BF64" s="6">
        <f t="shared" si="158"/>
        <v>28159.624423999998</v>
      </c>
      <c r="BG64" s="6">
        <f t="shared" si="159"/>
        <v>64249.624423999994</v>
      </c>
      <c r="BH64" s="14"/>
      <c r="BI64" s="56"/>
      <c r="BJ64" s="93">
        <f t="shared" si="160"/>
        <v>19793.2392</v>
      </c>
      <c r="BK64" s="10">
        <f>IF(SUMIFS('Employee Enrollments'!AB:AB,'Employee Enrollments'!C:C,'Prop Budget Calc'!$A64,'Employee Enrollments'!Q:Q,"Medical")*12=0,'Employee Enrollments'!$AN$1,(SUMIFS('Employee Enrollments'!AB:AB,'Employee Enrollments'!C:C,'Prop Budget Calc'!$A64,'Employee Enrollments'!Q:Q,"Medical")*12))</f>
        <v>2139.12</v>
      </c>
      <c r="BL64" s="10">
        <f>SUMIFS('Employee Enrollments'!AB:AB,'Employee Enrollments'!C:C,'Prop Budget Calc'!$A64,'Employee Enrollments'!Q:Q,"Dental")*12</f>
        <v>0</v>
      </c>
    </row>
    <row r="65" spans="1:68" s="1" customFormat="1" ht="12.75" customHeight="1">
      <c r="A65" s="535" t="s">
        <v>2898</v>
      </c>
      <c r="B65" s="3" t="str">
        <f>IF(IFERROR(VLOOKUP($A65,'Base Pay Report'!$A:$V,'Prop Budget Calc'!B$2,FALSE),"NO")="No","Update",PROPER(VLOOKUP($A65,'Base Pay Report'!$A:$V,'Prop Budget Calc'!B$2,FALSE)))</f>
        <v>Crew Leader - W &amp; Ww Maintenance</v>
      </c>
      <c r="C65" s="3" t="str">
        <f>IF(IFERROR(VLOOKUP($A65,'Base Pay Report'!$A:$V,'Prop Budget Calc'!C$2,FALSE),"NO")="No","Update",PROPER(VLOOKUP($A65,'Base Pay Report'!$A:$V,'Prop Budget Calc'!C$2,FALSE)))</f>
        <v>First Name Last Name</v>
      </c>
      <c r="D65" s="3" t="str">
        <f>IF(IFERROR(VLOOKUP($A65,'Base Pay Report'!$A:$V,'Prop Budget Calc'!D$2,FALSE),"NO")="No","Update",PROPER(VLOOKUP($A65,'Base Pay Report'!$A:$V,'Prop Budget Calc'!D$2,FALSE)))</f>
        <v>7520</v>
      </c>
      <c r="E65" s="8">
        <f t="shared" si="161"/>
        <v>1</v>
      </c>
      <c r="F65" s="3" t="str">
        <f>IF(IFERROR(VLOOKUP($A65,'Base Pay Report'!$A:$V,'Prop Budget Calc'!F$2,FALSE),"NO")="No","Update",PROPER(VLOOKUP($A65,'Base Pay Report'!$A:$V,'Prop Budget Calc'!F$2,FALSE)))</f>
        <v>200-75-752-50102</v>
      </c>
      <c r="G65" s="3" t="str">
        <f t="shared" si="162"/>
        <v>200-75-752</v>
      </c>
      <c r="H65" s="49" t="str">
        <f t="shared" si="163"/>
        <v>200</v>
      </c>
      <c r="I65" s="3" t="str">
        <f t="shared" si="164"/>
        <v>50102</v>
      </c>
      <c r="J65" s="3" t="str">
        <f t="shared" si="165"/>
        <v>75</v>
      </c>
      <c r="K65" s="3" t="str">
        <f t="shared" si="166"/>
        <v>752</v>
      </c>
      <c r="L65" s="3">
        <f>IF(SUMIF('Base Pay Report'!$A:$A,'Prop Budget Calc'!$A65,'Base Pay Report'!$I:$I)=80,SUMIF('Base Pay Report'!$A:$A,'Prop Budget Calc'!$A65,'Base Pay Report'!$H:$H)/SUMIF('Base Pay Report'!$A:$A,'Prop Budget Calc'!$A65,'Base Pay Report'!$I:$I),SUMIF('Base Pay Report'!$A:$A,'Prop Budget Calc'!$A65,'Base Pay Report'!$H:$H))</f>
        <v>24.76</v>
      </c>
      <c r="M65" s="3">
        <f t="shared" si="138"/>
        <v>1872</v>
      </c>
      <c r="N65" s="3" t="str">
        <f>IF(IFERROR(VLOOKUP($A65,'Base Pay Report'!$A:$V,'Prop Budget Calc'!N$2,FALSE),"NO")="No","Update",(VLOOKUP($A65,'Base Pay Report'!$A:$V,'Prop Budget Calc'!N$2,FALSE)))</f>
        <v>FT HOURLY- 4-9</v>
      </c>
      <c r="O65" s="6">
        <f t="shared" si="167"/>
        <v>46360</v>
      </c>
      <c r="P65" s="99">
        <f>IF(SUMIF('Base Pay Report'!A:A,$A65,'Base Pay Report'!J:J)=0,$P$1+40,SUMIF('Base Pay Report'!A:A,$A65,'Base Pay Report'!J:J))</f>
        <v>45384</v>
      </c>
      <c r="Q65" s="87" t="str">
        <f>IF($B65='Current Step Plans'!$B$36,HLOOKUP('Prop Budget Calc'!$L65,'Current Step Plans'!$C$36:$Q$42,7,FALSE),IF($B65='Current Step Plans'!$B$37,HLOOKUP('Prop Budget Calc'!$L65,'Current Step Plans'!$C$37:$Q$42,6,FALSE),IF($B65='Current Step Plans'!$B$38,HLOOKUP('Prop Budget Calc'!$L65,'Current Step Plans'!$C$38:$Q$42,5,FALSE),IF($B65='Current Step Plans'!$B$39,HLOOKUP('Prop Budget Calc'!$L65,'Current Step Plans'!$C$39:$Q$42,4,FALSE),IF($B65='Current Step Plans'!$B$40,HLOOKUP('Prop Budget Calc'!$L65,'Current Step Plans'!$C$40:$Q$42,3,FALSE),IF($B65='Current Step Plans'!$B$41,HLOOKUP('Prop Budget Calc'!$L65,'Current Step Plans'!$C$41:$Q$42,2,FALSE),IF($B65='Current Step Plans'!$B$50,HLOOKUP('Prop Budget Calc'!$L65,'Current Step Plans'!$C$50:$Q$56,7,FALSE),IF($B65='Current Step Plans'!$B$51,HLOOKUP('Prop Budget Calc'!$L65,'Current Step Plans'!$C$51:$Q$56,6,FALSE),IF($B65='Current Step Plans'!$B$52,HLOOKUP('Prop Budget Calc'!$L65,'Current Step Plans'!$C$52:$Q$56,5,FALSE), IF($B65='Current Step Plans'!$B$53,HLOOKUP('Prop Budget Calc'!$L65,'Current Step Plans'!$C$53:$Q$56,4,FALSE),IF($B65='Current Step Plans'!$B$54,HLOOKUP('Prop Budget Calc'!$L65,'Current Step Plans'!$C$54:$Q$56,3,FALSE),IF($B65='Current Step Plans'!$B$55,HLOOKUP('Prop Budget Calc'!$L65,'Current Step Plans'!$C$55:$Q$56,2,FALSE),IF($B65='Current Step Plans'!$B$65,HLOOKUP('Prop Budget Calc'!$L65,'Current Step Plans'!$C$65:$Q$75,11,FALSE),IF($B65='Current Step Plans'!$B$66,HLOOKUP('Prop Budget Calc'!$L65,'Current Step Plans'!$C$66:$Q$75,10,FALSE),IF($B65='Current Step Plans'!$B$67,HLOOKUP('Prop Budget Calc'!$L65,'Current Step Plans'!$C$67:$Q$75,9,FALSE),IF($B65='Current Step Plans'!$B$68,HLOOKUP('Prop Budget Calc'!$L65,'Current Step Plans'!$C$68:$Q$75,8,FALSE),IF($B65='Current Step Plans'!$B$69,HLOOKUP('Prop Budget Calc'!$L65,'Current Step Plans'!$C$69:$Q$75,7,FALSE),IF($B65='Current Step Plans'!$B$70,HLOOKUP('Prop Budget Calc'!$L65,'Current Step Plans'!$C$70:$Q$75,6,FALSE),IF($B65='Current Step Plans'!$B$71,HLOOKUP('Prop Budget Calc'!$L65,'Current Step Plans'!$C$71:$Q$75,5,FALSE),IF($B65='Current Step Plans'!$B$72,HLOOKUP('Prop Budget Calc'!$L65,'Current Step Plans'!$C$72:$Q$75,4,FALSE),IF($B65='Current Step Plans'!$B$73,HLOOKUP('Prop Budget Calc'!$L65,'Current Step Plans'!$C$73:$Q$75,3,FALSE),IF($B65='Current Step Plans'!$B$74,HLOOKUP('Prop Budget Calc'!$L65,'Current Step Plans'!$C$74:$Q$75,2,FALSE),"N"))))))))))))))))))))))</f>
        <v>N</v>
      </c>
      <c r="R65" s="9" t="str">
        <f t="shared" si="139"/>
        <v>N</v>
      </c>
      <c r="S65" s="6">
        <f>IF(Q65="n",0,ROUNDUP(VLOOKUP(B65,'Proposed Step Plans'!B:T,'Prop Budget Calc'!Q65+2,FALSE)*M65,-2)-O65-T65)</f>
        <v>0</v>
      </c>
      <c r="T65" s="6">
        <f>IF(Q65="n",0,ROUNDUP(VLOOKUP(B65,'Current Step Plans'!B:T,'Prop Budget Calc'!Q65+2,FALSE)*M65,0)-O65)</f>
        <v>0</v>
      </c>
      <c r="U65" s="6">
        <f>IF(IFERROR(VLOOKUP($A65,'Market Study'!$A$5:$G$82,7,FALSE),"NA")="NA",0,VLOOKUP($A65,'Market Study'!$A$5:$G$82,7,FALSE))</f>
        <v>0</v>
      </c>
      <c r="V65" s="6">
        <f>IF(OR($T65&lt;&gt;0,$I65="50112",$I65="50109",$S65&lt;&gt;0),0,VLOOKUP($K65,Scenarios!$A$17:$F$73,6,FALSE)*$O65)</f>
        <v>927.2</v>
      </c>
      <c r="W65" s="6">
        <f t="shared" si="140"/>
        <v>927.2</v>
      </c>
      <c r="X65" s="6">
        <f>IF(OR($T65&lt;&gt;0,$I65="50112",$I65="50109",$S65&lt;&gt;0),0,VLOOKUP($K65,Scenarios!$A$17:$F$73,2,FALSE)*$O65)</f>
        <v>927.2</v>
      </c>
      <c r="Y65" s="6">
        <f>IF(OR($T65&lt;&gt;0,$I65="50110",$I65="50109",$S65&lt;&gt;0),0,VLOOKUP($K65,Scenarios!$A$17:$F$73,3,FALSE))</f>
        <v>1175</v>
      </c>
      <c r="Z65" s="6">
        <f>IF(OR($T65&lt;&gt;0,$I65="50112",$I65="50109",$S65&lt;&gt;0),0,VLOOKUP($K65,Scenarios!$A$17:$F$73,4,FALSE))</f>
        <v>0</v>
      </c>
      <c r="AA65" s="6">
        <f t="shared" si="141"/>
        <v>1175</v>
      </c>
      <c r="AB65" s="6">
        <f>IF(OR($T65&lt;&gt;0,$I65="50112",$I65="50109",$S65&lt;&gt;0),0,VLOOKUP($K65,Scenarios!$A$17:$F$73,5,FALSE))</f>
        <v>0</v>
      </c>
      <c r="AC65" s="6">
        <f t="shared" si="168"/>
        <v>2102.1999999999998</v>
      </c>
      <c r="AD65" s="6">
        <f t="shared" si="142"/>
        <v>48463</v>
      </c>
      <c r="AE65" s="84">
        <f t="shared" si="143"/>
        <v>4.536238136324422E-2</v>
      </c>
      <c r="AF65" s="6">
        <f t="shared" si="144"/>
        <v>9.1</v>
      </c>
      <c r="AG65" s="6">
        <f>IF(AND(OR(I65="50101",I65="50102"),$AF65&gt;12),IF($AF65&gt;=300,(300*Scenarios!$B$14)*$E65,($AF65*Scenarios!$B$14)*$E65),0)</f>
        <v>0</v>
      </c>
      <c r="AH65" s="6" t="b">
        <f>IF($R65="y",IF($T65&gt;0,Scenarios!$B$10*'Prop Budget Calc'!$E65,Scenarios!$B$13*'Prop Budget Calc'!$E65))</f>
        <v>0</v>
      </c>
      <c r="AI65" s="6">
        <f>SUMIFS('Deduction Valuation'!$G:$G,'Deduction Valuation'!$F:$F,"CT - Certifications",'Deduction Valuation'!$B:$B,'Prop Budget Calc'!$A65)*$AI$3</f>
        <v>0</v>
      </c>
      <c r="AJ65" s="6">
        <f>SUMIFS('Deduction Valuation'!$G:$G,'Deduction Valuation'!$F:$F,"RP - Regional Pay",'Deduction Valuation'!$B:$B,'Prop Budget Calc'!$A65)*$AI$3</f>
        <v>0</v>
      </c>
      <c r="AK65" s="6">
        <f t="shared" si="145"/>
        <v>0</v>
      </c>
      <c r="AL65" s="6">
        <f>SUMIFS('Deduction Valuation'!$G:$G,'Deduction Valuation'!$F:$F,"CR - Car Allowance",'Deduction Valuation'!$B:$B,'Prop Budget Calc'!$A65)*$AI$3</f>
        <v>0</v>
      </c>
      <c r="AM65" s="6">
        <f>SUMIFS('Deduction Valuation'!$G:$G,'Deduction Valuation'!$F:$F,"DA - Device Allow",'Deduction Valuation'!$B:$B,'Prop Budget Calc'!$A65)*$AI$3</f>
        <v>0</v>
      </c>
      <c r="AN65" s="6">
        <f>SUMIFS('Deduction Valuation'!$G:$G,'Deduction Valuation'!$F:$F,"RA - Replace Allow",'Deduction Valuation'!$B:$B,'Prop Budget Calc'!$A65)</f>
        <v>0</v>
      </c>
      <c r="AO65" s="94">
        <f t="shared" si="146"/>
        <v>0</v>
      </c>
      <c r="AP65" s="94">
        <f t="shared" si="147"/>
        <v>48463</v>
      </c>
      <c r="AQ65" s="10">
        <f>IF(OR($I65="50101", $I65="50102", $I65="50109", $I65="50140"),AP65*Scenarios!$H$8,0)</f>
        <v>8209.6322</v>
      </c>
      <c r="AR65" s="9">
        <f>VLOOKUP($D65,WKCMP!$A$1:$C$15,3,FALSE)*AP65</f>
        <v>732.76055999999994</v>
      </c>
      <c r="AS65" s="10">
        <f t="shared" si="148"/>
        <v>702.71350000000007</v>
      </c>
      <c r="AT65" s="11">
        <f t="shared" si="149"/>
        <v>3004.7060000000001</v>
      </c>
      <c r="AU65" s="10">
        <f t="shared" si="150"/>
        <v>3710</v>
      </c>
      <c r="AV65" s="6">
        <f t="shared" si="151"/>
        <v>87.233400000000003</v>
      </c>
      <c r="AW65" s="19">
        <f t="shared" si="152"/>
        <v>79.2</v>
      </c>
      <c r="AX65" s="19">
        <f t="shared" si="153"/>
        <v>15.6</v>
      </c>
      <c r="AY65" s="19">
        <f t="shared" si="154"/>
        <v>11.28</v>
      </c>
      <c r="AZ65" s="88">
        <f t="shared" si="155"/>
        <v>193.3134</v>
      </c>
      <c r="BA65" s="6">
        <f>IF(AND($C65="vacant vacant",$E65=1),$BA$2*$AZ$3,SUMIFS('Employee Enrollments'!$AE:$AE,'Employee Enrollments'!$S:$S,"Medical HDHP",'Employee Enrollments'!$C:$C,'Prop Budget Calc'!$A65)*$AZ$3*(1+Scenarios!$E$9))*(1-$BA$3)</f>
        <v>21485.137608000001</v>
      </c>
      <c r="BB65" s="6">
        <f>IF(AND($C65="vacant vacant",$E65=1),500,SUMIFS('Employee Enrollments'!$AE:$AE,'Employee Enrollments'!$S:$S,"Health Savings Account",'Employee Enrollments'!$C:$C,'Prop Budget Calc'!$A65))</f>
        <v>1000</v>
      </c>
      <c r="BC65" s="56">
        <f t="shared" si="156"/>
        <v>22485.137608000001</v>
      </c>
      <c r="BD65" s="6">
        <f>IF(AND($C65="vacant vacant",$E65=1),$BD$2*$AZ$3,SUMIFS('Employee Enrollments'!$AE:$AE,'Employee Enrollments'!$S:$S,"Dental Plan",'Employee Enrollments'!$C:$C,'Prop Budget Calc'!$A65)*$AZ$3)</f>
        <v>843.48</v>
      </c>
      <c r="BE65" s="6">
        <f t="shared" si="157"/>
        <v>23521.931008</v>
      </c>
      <c r="BF65" s="6">
        <f t="shared" si="158"/>
        <v>36174.323768000002</v>
      </c>
      <c r="BG65" s="6">
        <f t="shared" si="159"/>
        <v>84637.323768000002</v>
      </c>
      <c r="BH65" s="14"/>
      <c r="BI65" s="56"/>
      <c r="BJ65" s="93">
        <f t="shared" si="160"/>
        <v>26011.826400000002</v>
      </c>
      <c r="BK65" s="10">
        <f>IF(SUMIFS('Employee Enrollments'!AB:AB,'Employee Enrollments'!C:C,'Prop Budget Calc'!$A65,'Employee Enrollments'!Q:Q,"Medical")*12=0,'Employee Enrollments'!$AN$1,(SUMIFS('Employee Enrollments'!AB:AB,'Employee Enrollments'!C:C,'Prop Budget Calc'!$A65,'Employee Enrollments'!Q:Q,"Medical")*12))</f>
        <v>3862.2000000000003</v>
      </c>
      <c r="BL65" s="10">
        <f>SUMIFS('Employee Enrollments'!AB:AB,'Employee Enrollments'!C:C,'Prop Budget Calc'!$A65,'Employee Enrollments'!Q:Q,"Dental")*12</f>
        <v>364.92</v>
      </c>
    </row>
    <row r="66" spans="1:68" s="1" customFormat="1" ht="12.75" customHeight="1">
      <c r="A66" s="20" t="s">
        <v>1451</v>
      </c>
      <c r="B66" s="3" t="str">
        <f>IF(IFERROR(VLOOKUP($A66,'Base Pay Report'!$A:$V,'Prop Budget Calc'!B$2,FALSE),"NO")="No","Update",PROPER(VLOOKUP($A66,'Base Pay Report'!$A:$V,'Prop Budget Calc'!B$2,FALSE)))</f>
        <v>Supervisor - Wastewater</v>
      </c>
      <c r="C66" s="3" t="str">
        <f>IF(IFERROR(VLOOKUP($A66,'Base Pay Report'!$A:$V,'Prop Budget Calc'!C$2,FALSE),"NO")="No","Update",PROPER(VLOOKUP($A66,'Base Pay Report'!$A:$V,'Prop Budget Calc'!C$2,FALSE)))</f>
        <v>First Name Last Name</v>
      </c>
      <c r="D66" s="3" t="str">
        <f>IF(IFERROR(VLOOKUP($A66,'Base Pay Report'!$A:$V,'Prop Budget Calc'!D$2,FALSE),"NO")="No","Update",PROPER(VLOOKUP($A66,'Base Pay Report'!$A:$V,'Prop Budget Calc'!D$2,FALSE)))</f>
        <v>7520</v>
      </c>
      <c r="E66" s="8">
        <f t="shared" si="161"/>
        <v>1</v>
      </c>
      <c r="F66" s="3" t="str">
        <f>IF(IFERROR(VLOOKUP($A66,'Base Pay Report'!$A:$V,'Prop Budget Calc'!F$2,FALSE),"NO")="No","Update",PROPER(VLOOKUP($A66,'Base Pay Report'!$A:$V,'Prop Budget Calc'!F$2,FALSE)))</f>
        <v>200-75-752-50102</v>
      </c>
      <c r="G66" s="3" t="str">
        <f t="shared" si="162"/>
        <v>200-75-752</v>
      </c>
      <c r="H66" s="49" t="str">
        <f t="shared" si="163"/>
        <v>200</v>
      </c>
      <c r="I66" s="3" t="str">
        <f t="shared" si="164"/>
        <v>50102</v>
      </c>
      <c r="J66" s="3" t="str">
        <f t="shared" si="165"/>
        <v>75</v>
      </c>
      <c r="K66" s="3" t="str">
        <f t="shared" si="166"/>
        <v>752</v>
      </c>
      <c r="L66" s="3">
        <f>IF(SUMIF('Base Pay Report'!$A:$A,'Prop Budget Calc'!$A66,'Base Pay Report'!$I:$I)=80,SUMIF('Base Pay Report'!$A:$A,'Prop Budget Calc'!$A66,'Base Pay Report'!$H:$H)/SUMIF('Base Pay Report'!$A:$A,'Prop Budget Calc'!$A66,'Base Pay Report'!$I:$I),SUMIF('Base Pay Report'!$A:$A,'Prop Budget Calc'!$A66,'Base Pay Report'!$H:$H))</f>
        <v>39.19</v>
      </c>
      <c r="M66" s="3">
        <f t="shared" si="138"/>
        <v>1872</v>
      </c>
      <c r="N66" s="3" t="str">
        <f>IF(IFERROR(VLOOKUP($A66,'Base Pay Report'!$A:$V,'Prop Budget Calc'!N$2,FALSE),"NO")="No","Update",(VLOOKUP($A66,'Base Pay Report'!$A:$V,'Prop Budget Calc'!N$2,FALSE)))</f>
        <v>FT HOURLY- 4-9</v>
      </c>
      <c r="O66" s="6">
        <f t="shared" si="167"/>
        <v>73370</v>
      </c>
      <c r="P66" s="99">
        <f>IF(SUMIF('Base Pay Report'!A:A,$A66,'Base Pay Report'!J:J)=0,$P$1+40,SUMIF('Base Pay Report'!A:A,$A66,'Base Pay Report'!J:J))</f>
        <v>37305</v>
      </c>
      <c r="Q66" s="87" t="str">
        <f>IF($B66='Current Step Plans'!$B$36,HLOOKUP('Prop Budget Calc'!$L66,'Current Step Plans'!$C$36:$Q$42,7,FALSE),IF($B66='Current Step Plans'!$B$37,HLOOKUP('Prop Budget Calc'!$L66,'Current Step Plans'!$C$37:$Q$42,6,FALSE),IF($B66='Current Step Plans'!$B$38,HLOOKUP('Prop Budget Calc'!$L66,'Current Step Plans'!$C$38:$Q$42,5,FALSE),IF($B66='Current Step Plans'!$B$39,HLOOKUP('Prop Budget Calc'!$L66,'Current Step Plans'!$C$39:$Q$42,4,FALSE),IF($B66='Current Step Plans'!$B$40,HLOOKUP('Prop Budget Calc'!$L66,'Current Step Plans'!$C$40:$Q$42,3,FALSE),IF($B66='Current Step Plans'!$B$41,HLOOKUP('Prop Budget Calc'!$L66,'Current Step Plans'!$C$41:$Q$42,2,FALSE),IF($B66='Current Step Plans'!$B$50,HLOOKUP('Prop Budget Calc'!$L66,'Current Step Plans'!$C$50:$Q$56,7,FALSE),IF($B66='Current Step Plans'!$B$51,HLOOKUP('Prop Budget Calc'!$L66,'Current Step Plans'!$C$51:$Q$56,6,FALSE),IF($B66='Current Step Plans'!$B$52,HLOOKUP('Prop Budget Calc'!$L66,'Current Step Plans'!$C$52:$Q$56,5,FALSE), IF($B66='Current Step Plans'!$B$53,HLOOKUP('Prop Budget Calc'!$L66,'Current Step Plans'!$C$53:$Q$56,4,FALSE),IF($B66='Current Step Plans'!$B$54,HLOOKUP('Prop Budget Calc'!$L66,'Current Step Plans'!$C$54:$Q$56,3,FALSE),IF($B66='Current Step Plans'!$B$55,HLOOKUP('Prop Budget Calc'!$L66,'Current Step Plans'!$C$55:$Q$56,2,FALSE),IF($B66='Current Step Plans'!$B$65,HLOOKUP('Prop Budget Calc'!$L66,'Current Step Plans'!$C$65:$Q$75,11,FALSE),IF($B66='Current Step Plans'!$B$66,HLOOKUP('Prop Budget Calc'!$L66,'Current Step Plans'!$C$66:$Q$75,10,FALSE),IF($B66='Current Step Plans'!$B$67,HLOOKUP('Prop Budget Calc'!$L66,'Current Step Plans'!$C$67:$Q$75,9,FALSE),IF($B66='Current Step Plans'!$B$68,HLOOKUP('Prop Budget Calc'!$L66,'Current Step Plans'!$C$68:$Q$75,8,FALSE),IF($B66='Current Step Plans'!$B$69,HLOOKUP('Prop Budget Calc'!$L66,'Current Step Plans'!$C$69:$Q$75,7,FALSE),IF($B66='Current Step Plans'!$B$70,HLOOKUP('Prop Budget Calc'!$L66,'Current Step Plans'!$C$70:$Q$75,6,FALSE),IF($B66='Current Step Plans'!$B$71,HLOOKUP('Prop Budget Calc'!$L66,'Current Step Plans'!$C$71:$Q$75,5,FALSE),IF($B66='Current Step Plans'!$B$72,HLOOKUP('Prop Budget Calc'!$L66,'Current Step Plans'!$C$72:$Q$75,4,FALSE),IF($B66='Current Step Plans'!$B$73,HLOOKUP('Prop Budget Calc'!$L66,'Current Step Plans'!$C$73:$Q$75,3,FALSE),IF($B66='Current Step Plans'!$B$74,HLOOKUP('Prop Budget Calc'!$L66,'Current Step Plans'!$C$74:$Q$75,2,FALSE),"N"))))))))))))))))))))))</f>
        <v>N</v>
      </c>
      <c r="R66" s="9" t="str">
        <f t="shared" si="139"/>
        <v>Y</v>
      </c>
      <c r="S66" s="6">
        <f>IF(Q66="n",0,ROUNDUP(VLOOKUP(B66,'Proposed Step Plans'!B:T,'Prop Budget Calc'!Q66+2,FALSE)*M66,-2)-O66-T66)</f>
        <v>0</v>
      </c>
      <c r="T66" s="6">
        <f>IF(Q66="n",0,ROUNDUP(VLOOKUP(B66,'Current Step Plans'!B:T,'Prop Budget Calc'!Q66+2,FALSE)*M66,0)-O66)</f>
        <v>0</v>
      </c>
      <c r="U66" s="6">
        <f>IF(IFERROR(VLOOKUP($A66,'Market Study'!$A$5:$G$82,7,FALSE),"NA")="NA",0,VLOOKUP($A66,'Market Study'!$A$5:$G$82,7,FALSE))</f>
        <v>0</v>
      </c>
      <c r="V66" s="6">
        <f>IF(OR($T66&lt;&gt;0,$I66="50112",$I66="50109",$S66&lt;&gt;0),0,VLOOKUP($K66,Scenarios!$A$17:$F$73,6,FALSE)*$O66)</f>
        <v>1467.4</v>
      </c>
      <c r="W66" s="6">
        <f t="shared" si="140"/>
        <v>1467.4</v>
      </c>
      <c r="X66" s="6">
        <f>IF(OR($T66&lt;&gt;0,$I66="50112",$I66="50109",$S66&lt;&gt;0),0,VLOOKUP($K66,Scenarios!$A$17:$F$73,2,FALSE)*$O66)</f>
        <v>1467.4</v>
      </c>
      <c r="Y66" s="6">
        <f>IF(OR($T66&lt;&gt;0,$I66="50110",$I66="50109",$S66&lt;&gt;0),0,VLOOKUP($K66,Scenarios!$A$17:$F$73,3,FALSE))</f>
        <v>1175</v>
      </c>
      <c r="Z66" s="6">
        <f>IF(OR($T66&lt;&gt;0,$I66="50112",$I66="50109",$S66&lt;&gt;0),0,VLOOKUP($K66,Scenarios!$A$17:$F$73,4,FALSE))</f>
        <v>0</v>
      </c>
      <c r="AA66" s="6">
        <f t="shared" si="141"/>
        <v>1467.4</v>
      </c>
      <c r="AB66" s="6">
        <f>IF(OR($T66&lt;&gt;0,$I66="50112",$I66="50109",$S66&lt;&gt;0),0,VLOOKUP($K66,Scenarios!$A$17:$F$73,5,FALSE))</f>
        <v>0</v>
      </c>
      <c r="AC66" s="6">
        <f t="shared" si="168"/>
        <v>2934.8</v>
      </c>
      <c r="AD66" s="6">
        <f t="shared" si="142"/>
        <v>76305</v>
      </c>
      <c r="AE66" s="84">
        <f t="shared" si="143"/>
        <v>4.0002725909772385E-2</v>
      </c>
      <c r="AF66" s="6">
        <f t="shared" si="144"/>
        <v>278.39999999999998</v>
      </c>
      <c r="AG66" s="6">
        <f>IF(AND(OR(I66="50101",I66="50102"),$AF66&gt;12),IF($AF66&gt;=300,(300*Scenarios!$B$14)*$E66,($AF66*Scenarios!$B$14)*$E66),0)</f>
        <v>1392</v>
      </c>
      <c r="AH66" s="6">
        <f>IF($R66="y",IF($T66&gt;0,Scenarios!$B$10*'Prop Budget Calc'!$E66,Scenarios!$B$13*'Prop Budget Calc'!$E66))</f>
        <v>0</v>
      </c>
      <c r="AI66" s="6">
        <f>SUMIFS('Deduction Valuation'!$G:$G,'Deduction Valuation'!$F:$F,"CT - Certifications",'Deduction Valuation'!$B:$B,'Prop Budget Calc'!$A66)*$AI$3</f>
        <v>450</v>
      </c>
      <c r="AJ66" s="6">
        <f>SUMIFS('Deduction Valuation'!$G:$G,'Deduction Valuation'!$F:$F,"RP - Regional Pay",'Deduction Valuation'!$B:$B,'Prop Budget Calc'!$A66)*$AI$3</f>
        <v>0</v>
      </c>
      <c r="AK66" s="6">
        <f t="shared" si="145"/>
        <v>450</v>
      </c>
      <c r="AL66" s="6">
        <f>SUMIFS('Deduction Valuation'!$G:$G,'Deduction Valuation'!$F:$F,"CR - Car Allowance",'Deduction Valuation'!$B:$B,'Prop Budget Calc'!$A66)*$AI$3</f>
        <v>0</v>
      </c>
      <c r="AM66" s="6">
        <f>SUMIFS('Deduction Valuation'!$G:$G,'Deduction Valuation'!$F:$F,"DA - Device Allow",'Deduction Valuation'!$B:$B,'Prop Budget Calc'!$A66)*$AI$3</f>
        <v>960</v>
      </c>
      <c r="AN66" s="6">
        <f>SUMIFS('Deduction Valuation'!$G:$G,'Deduction Valuation'!$F:$F,"RA - Replace Allow",'Deduction Valuation'!$B:$B,'Prop Budget Calc'!$A66)</f>
        <v>75</v>
      </c>
      <c r="AO66" s="94">
        <f t="shared" si="146"/>
        <v>1035</v>
      </c>
      <c r="AP66" s="94">
        <f t="shared" si="147"/>
        <v>79182</v>
      </c>
      <c r="AQ66" s="10">
        <f>IF(OR($I66="50101", $I66="50102", $I66="50109", $I66="50140"),AP66*Scenarios!$H$8,0)</f>
        <v>13413.4308</v>
      </c>
      <c r="AR66" s="9">
        <f>VLOOKUP($D66,WKCMP!$A$1:$C$15,3,FALSE)*AP66</f>
        <v>1197.2318399999999</v>
      </c>
      <c r="AS66" s="10">
        <f t="shared" si="148"/>
        <v>1148.1390000000001</v>
      </c>
      <c r="AT66" s="11">
        <f t="shared" si="149"/>
        <v>4909.2839999999997</v>
      </c>
      <c r="AU66" s="10">
        <f t="shared" si="150"/>
        <v>6060</v>
      </c>
      <c r="AV66" s="6">
        <f t="shared" si="151"/>
        <v>142.52760000000001</v>
      </c>
      <c r="AW66" s="19">
        <f t="shared" si="152"/>
        <v>79.2</v>
      </c>
      <c r="AX66" s="19">
        <f t="shared" si="153"/>
        <v>15.6</v>
      </c>
      <c r="AY66" s="19">
        <f t="shared" si="154"/>
        <v>11.28</v>
      </c>
      <c r="AZ66" s="88">
        <f t="shared" si="155"/>
        <v>248.60759999999999</v>
      </c>
      <c r="BA66" s="6">
        <f>IF(AND($C66="vacant vacant",$E66=1),$BA$2*$AZ$3,SUMIFS('Employee Enrollments'!$AE:$AE,'Employee Enrollments'!$S:$S,"Medical HDHP",'Employee Enrollments'!$C:$C,'Prop Budget Calc'!$A66)*$AZ$3*(1+Scenarios!$E$9))*(1-$BA$3)</f>
        <v>9726.7914000000001</v>
      </c>
      <c r="BB66" s="6">
        <f>IF(AND($C66="vacant vacant",$E66=1),500,SUMIFS('Employee Enrollments'!$AE:$AE,'Employee Enrollments'!$S:$S,"Health Savings Account",'Employee Enrollments'!$C:$C,'Prop Budget Calc'!$A66))</f>
        <v>500.05</v>
      </c>
      <c r="BC66" s="56">
        <f t="shared" si="156"/>
        <v>10226.841399999999</v>
      </c>
      <c r="BD66" s="6">
        <f>IF(AND($C66="vacant vacant",$E66=1),$BD$2*$AZ$3,SUMIFS('Employee Enrollments'!$AE:$AE,'Employee Enrollments'!$S:$S,"Dental Plan",'Employee Enrollments'!$C:$C,'Prop Budget Calc'!$A66)*$AZ$3)</f>
        <v>843.48</v>
      </c>
      <c r="BE66" s="6">
        <f t="shared" si="157"/>
        <v>11318.928999999998</v>
      </c>
      <c r="BF66" s="6">
        <f t="shared" si="158"/>
        <v>31989.591639999999</v>
      </c>
      <c r="BG66" s="6">
        <f t="shared" si="159"/>
        <v>111171.59164</v>
      </c>
      <c r="BH66" s="14"/>
      <c r="BI66" s="56"/>
      <c r="BJ66" s="93">
        <f t="shared" si="160"/>
        <v>10447.980000000001</v>
      </c>
      <c r="BK66" s="10">
        <f>IF(SUMIFS('Employee Enrollments'!AB:AB,'Employee Enrollments'!C:C,'Prop Budget Calc'!$A66,'Employee Enrollments'!Q:Q,"Medical")*12=0,'Employee Enrollments'!$AN$1,(SUMIFS('Employee Enrollments'!AB:AB,'Employee Enrollments'!C:C,'Prop Budget Calc'!$A66,'Employee Enrollments'!Q:Q,"Medical")*12))</f>
        <v>420.36</v>
      </c>
      <c r="BL66" s="10">
        <f>SUMIFS('Employee Enrollments'!AB:AB,'Employee Enrollments'!C:C,'Prop Budget Calc'!$A66,'Employee Enrollments'!Q:Q,"Dental")*12</f>
        <v>364.92</v>
      </c>
    </row>
    <row r="67" spans="1:68" s="1" customFormat="1" ht="12.75" customHeight="1">
      <c r="A67" s="20" t="s">
        <v>1481</v>
      </c>
      <c r="B67" s="3" t="str">
        <f>IF(IFERROR(VLOOKUP($A67,'Base Pay Report'!$A:$V,'Prop Budget Calc'!B$2,FALSE),"NO")="No","Update",PROPER(VLOOKUP($A67,'Base Pay Report'!$A:$V,'Prop Budget Calc'!B$2,FALSE)))</f>
        <v>Crew Leader - Pipeline Inspections</v>
      </c>
      <c r="C67" s="3" t="str">
        <f>IF(IFERROR(VLOOKUP($A67,'Base Pay Report'!$A:$V,'Prop Budget Calc'!C$2,FALSE),"NO")="No","Update",PROPER(VLOOKUP($A67,'Base Pay Report'!$A:$V,'Prop Budget Calc'!C$2,FALSE)))</f>
        <v>First Name Last Name</v>
      </c>
      <c r="D67" s="3" t="str">
        <f>IF(IFERROR(VLOOKUP($A67,'Base Pay Report'!$A:$V,'Prop Budget Calc'!D$2,FALSE),"NO")="No","Update",PROPER(VLOOKUP($A67,'Base Pay Report'!$A:$V,'Prop Budget Calc'!D$2,FALSE)))</f>
        <v>7520</v>
      </c>
      <c r="E67" s="8">
        <f t="shared" si="161"/>
        <v>1</v>
      </c>
      <c r="F67" s="3" t="str">
        <f>IF(IFERROR(VLOOKUP($A67,'Base Pay Report'!$A:$V,'Prop Budget Calc'!F$2,FALSE),"NO")="No","Update",PROPER(VLOOKUP($A67,'Base Pay Report'!$A:$V,'Prop Budget Calc'!F$2,FALSE)))</f>
        <v>200-75-752-50102</v>
      </c>
      <c r="G67" s="3" t="str">
        <f t="shared" si="162"/>
        <v>200-75-752</v>
      </c>
      <c r="H67" s="49" t="str">
        <f t="shared" si="163"/>
        <v>200</v>
      </c>
      <c r="I67" s="3" t="str">
        <f t="shared" si="164"/>
        <v>50102</v>
      </c>
      <c r="J67" s="3" t="str">
        <f t="shared" si="165"/>
        <v>75</v>
      </c>
      <c r="K67" s="3" t="str">
        <f t="shared" si="166"/>
        <v>752</v>
      </c>
      <c r="L67" s="3">
        <f>IF(SUMIF('Base Pay Report'!$A:$A,'Prop Budget Calc'!$A67,'Base Pay Report'!$I:$I)=80,SUMIF('Base Pay Report'!$A:$A,'Prop Budget Calc'!$A67,'Base Pay Report'!$H:$H)/SUMIF('Base Pay Report'!$A:$A,'Prop Budget Calc'!$A67,'Base Pay Report'!$I:$I),SUMIF('Base Pay Report'!$A:$A,'Prop Budget Calc'!$A67,'Base Pay Report'!$H:$H))</f>
        <v>27.86</v>
      </c>
      <c r="M67" s="3">
        <f t="shared" si="138"/>
        <v>1872</v>
      </c>
      <c r="N67" s="3" t="str">
        <f>IF(IFERROR(VLOOKUP($A67,'Base Pay Report'!$A:$V,'Prop Budget Calc'!N$2,FALSE),"NO")="No","Update",(VLOOKUP($A67,'Base Pay Report'!$A:$V,'Prop Budget Calc'!N$2,FALSE)))</f>
        <v>FT HOURLY- 4-9</v>
      </c>
      <c r="O67" s="6">
        <f t="shared" si="167"/>
        <v>52160</v>
      </c>
      <c r="P67" s="99">
        <f>IF(SUMIF('Base Pay Report'!A:A,$A67,'Base Pay Report'!J:J)=0,$P$1+40,SUMIF('Base Pay Report'!A:A,$A67,'Base Pay Report'!J:J))</f>
        <v>39034</v>
      </c>
      <c r="Q67" s="87" t="str">
        <f>IF($B67='Current Step Plans'!$B$36,HLOOKUP('Prop Budget Calc'!$L67,'Current Step Plans'!$C$36:$Q$42,7,FALSE),IF($B67='Current Step Plans'!$B$37,HLOOKUP('Prop Budget Calc'!$L67,'Current Step Plans'!$C$37:$Q$42,6,FALSE),IF($B67='Current Step Plans'!$B$38,HLOOKUP('Prop Budget Calc'!$L67,'Current Step Plans'!$C$38:$Q$42,5,FALSE),IF($B67='Current Step Plans'!$B$39,HLOOKUP('Prop Budget Calc'!$L67,'Current Step Plans'!$C$39:$Q$42,4,FALSE),IF($B67='Current Step Plans'!$B$40,HLOOKUP('Prop Budget Calc'!$L67,'Current Step Plans'!$C$40:$Q$42,3,FALSE),IF($B67='Current Step Plans'!$B$41,HLOOKUP('Prop Budget Calc'!$L67,'Current Step Plans'!$C$41:$Q$42,2,FALSE),IF($B67='Current Step Plans'!$B$50,HLOOKUP('Prop Budget Calc'!$L67,'Current Step Plans'!$C$50:$Q$56,7,FALSE),IF($B67='Current Step Plans'!$B$51,HLOOKUP('Prop Budget Calc'!$L67,'Current Step Plans'!$C$51:$Q$56,6,FALSE),IF($B67='Current Step Plans'!$B$52,HLOOKUP('Prop Budget Calc'!$L67,'Current Step Plans'!$C$52:$Q$56,5,FALSE), IF($B67='Current Step Plans'!$B$53,HLOOKUP('Prop Budget Calc'!$L67,'Current Step Plans'!$C$53:$Q$56,4,FALSE),IF($B67='Current Step Plans'!$B$54,HLOOKUP('Prop Budget Calc'!$L67,'Current Step Plans'!$C$54:$Q$56,3,FALSE),IF($B67='Current Step Plans'!$B$55,HLOOKUP('Prop Budget Calc'!$L67,'Current Step Plans'!$C$55:$Q$56,2,FALSE),IF($B67='Current Step Plans'!$B$65,HLOOKUP('Prop Budget Calc'!$L67,'Current Step Plans'!$C$65:$Q$75,11,FALSE),IF($B67='Current Step Plans'!$B$66,HLOOKUP('Prop Budget Calc'!$L67,'Current Step Plans'!$C$66:$Q$75,10,FALSE),IF($B67='Current Step Plans'!$B$67,HLOOKUP('Prop Budget Calc'!$L67,'Current Step Plans'!$C$67:$Q$75,9,FALSE),IF($B67='Current Step Plans'!$B$68,HLOOKUP('Prop Budget Calc'!$L67,'Current Step Plans'!$C$68:$Q$75,8,FALSE),IF($B67='Current Step Plans'!$B$69,HLOOKUP('Prop Budget Calc'!$L67,'Current Step Plans'!$C$69:$Q$75,7,FALSE),IF($B67='Current Step Plans'!$B$70,HLOOKUP('Prop Budget Calc'!$L67,'Current Step Plans'!$C$70:$Q$75,6,FALSE),IF($B67='Current Step Plans'!$B$71,HLOOKUP('Prop Budget Calc'!$L67,'Current Step Plans'!$C$71:$Q$75,5,FALSE),IF($B67='Current Step Plans'!$B$72,HLOOKUP('Prop Budget Calc'!$L67,'Current Step Plans'!$C$72:$Q$75,4,FALSE),IF($B67='Current Step Plans'!$B$73,HLOOKUP('Prop Budget Calc'!$L67,'Current Step Plans'!$C$73:$Q$75,3,FALSE),IF($B67='Current Step Plans'!$B$74,HLOOKUP('Prop Budget Calc'!$L67,'Current Step Plans'!$C$74:$Q$75,2,FALSE),"N"))))))))))))))))))))))</f>
        <v>N</v>
      </c>
      <c r="R67" s="9" t="str">
        <f t="shared" si="139"/>
        <v>Y</v>
      </c>
      <c r="S67" s="6">
        <f>IF(Q67="n",0,ROUNDUP(VLOOKUP(B67,'Proposed Step Plans'!B:T,'Prop Budget Calc'!Q67+2,FALSE)*M67,-2)-O67-T67)</f>
        <v>0</v>
      </c>
      <c r="T67" s="6">
        <f>IF(Q67="n",0,ROUNDUP(VLOOKUP(B67,'Current Step Plans'!B:T,'Prop Budget Calc'!Q67+2,FALSE)*M67,0)-O67)</f>
        <v>0</v>
      </c>
      <c r="U67" s="6">
        <f>IF(IFERROR(VLOOKUP($A67,'Market Study'!$A$5:$G$82,7,FALSE),"NA")="NA",0,VLOOKUP($A67,'Market Study'!$A$5:$G$82,7,FALSE))</f>
        <v>0</v>
      </c>
      <c r="V67" s="6">
        <f>IF(OR($T67&lt;&gt;0,$I67="50112",$I67="50109",$S67&lt;&gt;0),0,VLOOKUP($K67,Scenarios!$A$17:$F$73,6,FALSE)*$O67)</f>
        <v>1043.2</v>
      </c>
      <c r="W67" s="6">
        <f t="shared" si="140"/>
        <v>1043.2</v>
      </c>
      <c r="X67" s="6">
        <f>IF(OR($T67&lt;&gt;0,$I67="50112",$I67="50109",$S67&lt;&gt;0),0,VLOOKUP($K67,Scenarios!$A$17:$F$73,2,FALSE)*$O67)</f>
        <v>1043.2</v>
      </c>
      <c r="Y67" s="6">
        <f>IF(OR($T67&lt;&gt;0,$I67="50110",$I67="50109",$S67&lt;&gt;0),0,VLOOKUP($K67,Scenarios!$A$17:$F$73,3,FALSE))</f>
        <v>1175</v>
      </c>
      <c r="Z67" s="6">
        <f>IF(OR($T67&lt;&gt;0,$I67="50112",$I67="50109",$S67&lt;&gt;0),0,VLOOKUP($K67,Scenarios!$A$17:$F$73,4,FALSE))</f>
        <v>0</v>
      </c>
      <c r="AA67" s="6">
        <f t="shared" si="141"/>
        <v>1175</v>
      </c>
      <c r="AB67" s="6">
        <f>IF(OR($T67&lt;&gt;0,$I67="50112",$I67="50109",$S67&lt;&gt;0),0,VLOOKUP($K67,Scenarios!$A$17:$F$73,5,FALSE))</f>
        <v>0</v>
      </c>
      <c r="AC67" s="6">
        <f t="shared" si="168"/>
        <v>2218.1999999999998</v>
      </c>
      <c r="AD67" s="6">
        <f t="shared" si="142"/>
        <v>54379</v>
      </c>
      <c r="AE67" s="84">
        <f t="shared" si="143"/>
        <v>4.2542177914110413E-2</v>
      </c>
      <c r="AF67" s="6">
        <f t="shared" si="144"/>
        <v>220.76666666666668</v>
      </c>
      <c r="AG67" s="6">
        <f>IF(AND(OR(I67="50101",I67="50102"),$AF67&gt;12),IF($AF67&gt;=300,(300*Scenarios!$B$14)*$E67,($AF67*Scenarios!$B$14)*$E67),0)</f>
        <v>1103.8333333333335</v>
      </c>
      <c r="AH67" s="6">
        <f>IF($R67="y",IF($T67&gt;0,Scenarios!$B$10*'Prop Budget Calc'!$E67,Scenarios!$B$13*'Prop Budget Calc'!$E67))</f>
        <v>0</v>
      </c>
      <c r="AI67" s="6">
        <f>SUMIFS('Deduction Valuation'!$G:$G,'Deduction Valuation'!$F:$F,"CT - Certifications",'Deduction Valuation'!$B:$B,'Prop Budget Calc'!$A67)*$AI$3</f>
        <v>450</v>
      </c>
      <c r="AJ67" s="6">
        <f>SUMIFS('Deduction Valuation'!$G:$G,'Deduction Valuation'!$F:$F,"RP - Regional Pay",'Deduction Valuation'!$B:$B,'Prop Budget Calc'!$A67)*$AI$3</f>
        <v>0</v>
      </c>
      <c r="AK67" s="6">
        <f t="shared" si="145"/>
        <v>450</v>
      </c>
      <c r="AL67" s="6">
        <f>SUMIFS('Deduction Valuation'!$G:$G,'Deduction Valuation'!$F:$F,"CR - Car Allowance",'Deduction Valuation'!$B:$B,'Prop Budget Calc'!$A67)*$AI$3</f>
        <v>0</v>
      </c>
      <c r="AM67" s="6">
        <f>SUMIFS('Deduction Valuation'!$G:$G,'Deduction Valuation'!$F:$F,"DA - Device Allow",'Deduction Valuation'!$B:$B,'Prop Budget Calc'!$A67)*$AI$3</f>
        <v>0</v>
      </c>
      <c r="AN67" s="6">
        <f>SUMIFS('Deduction Valuation'!$G:$G,'Deduction Valuation'!$F:$F,"RA - Replace Allow",'Deduction Valuation'!$B:$B,'Prop Budget Calc'!$A67)</f>
        <v>0</v>
      </c>
      <c r="AO67" s="94">
        <f t="shared" si="146"/>
        <v>0</v>
      </c>
      <c r="AP67" s="94">
        <f t="shared" si="147"/>
        <v>55932.833333333336</v>
      </c>
      <c r="AQ67" s="10">
        <f>IF(OR($I67="50101", $I67="50102", $I67="50109", $I67="50140"),AP67*Scenarios!$H$8,0)</f>
        <v>9475.0219666666671</v>
      </c>
      <c r="AR67" s="9">
        <f>VLOOKUP($D67,WKCMP!$A$1:$C$15,3,FALSE)*AP67</f>
        <v>845.70443999999998</v>
      </c>
      <c r="AS67" s="10">
        <f t="shared" si="148"/>
        <v>811.02608333333342</v>
      </c>
      <c r="AT67" s="11">
        <f t="shared" si="149"/>
        <v>3467.8356666666668</v>
      </c>
      <c r="AU67" s="10">
        <f t="shared" si="150"/>
        <v>4280</v>
      </c>
      <c r="AV67" s="6">
        <f t="shared" si="151"/>
        <v>100.67910000000001</v>
      </c>
      <c r="AW67" s="19">
        <f t="shared" si="152"/>
        <v>79.2</v>
      </c>
      <c r="AX67" s="19">
        <f t="shared" si="153"/>
        <v>15.6</v>
      </c>
      <c r="AY67" s="19">
        <f t="shared" si="154"/>
        <v>11.28</v>
      </c>
      <c r="AZ67" s="88">
        <f t="shared" si="155"/>
        <v>206.75909999999999</v>
      </c>
      <c r="BA67" s="6">
        <f>IF(AND($C67="vacant vacant",$E67=1),$BA$2*$AZ$3,SUMIFS('Employee Enrollments'!$AE:$AE,'Employee Enrollments'!$S:$S,"Medical HDHP",'Employee Enrollments'!$C:$C,'Prop Budget Calc'!$A67)*$AZ$3*(1+Scenarios!$E$9))*(1-$BA$3)</f>
        <v>41502.559679999998</v>
      </c>
      <c r="BB67" s="6">
        <f>IF(AND($C67="vacant vacant",$E67=1),500,SUMIFS('Employee Enrollments'!$AE:$AE,'Employee Enrollments'!$S:$S,"Health Savings Account",'Employee Enrollments'!$C:$C,'Prop Budget Calc'!$A67))</f>
        <v>2000</v>
      </c>
      <c r="BC67" s="56">
        <f t="shared" si="156"/>
        <v>43502.559679999998</v>
      </c>
      <c r="BD67" s="6">
        <f>IF(AND($C67="vacant vacant",$E67=1),$BD$2*$AZ$3,SUMIFS('Employee Enrollments'!$AE:$AE,'Employee Enrollments'!$S:$S,"Dental Plan",'Employee Enrollments'!$C:$C,'Prop Budget Calc'!$A67)*$AZ$3)</f>
        <v>1686.96</v>
      </c>
      <c r="BE67" s="6">
        <f t="shared" si="157"/>
        <v>45396.278780000001</v>
      </c>
      <c r="BF67" s="6">
        <f t="shared" si="158"/>
        <v>59997.005186666669</v>
      </c>
      <c r="BG67" s="6">
        <f t="shared" si="159"/>
        <v>115929.83852</v>
      </c>
      <c r="BH67" s="14"/>
      <c r="BI67" s="56"/>
      <c r="BJ67" s="93">
        <f t="shared" si="160"/>
        <v>51993.983999999997</v>
      </c>
      <c r="BK67" s="10">
        <f>IF(SUMIFS('Employee Enrollments'!AB:AB,'Employee Enrollments'!C:C,'Prop Budget Calc'!$A67,'Employee Enrollments'!Q:Q,"Medical")*12=0,'Employee Enrollments'!$AN$1,(SUMIFS('Employee Enrollments'!AB:AB,'Employee Enrollments'!C:C,'Prop Budget Calc'!$A67,'Employee Enrollments'!Q:Q,"Medical")*12))</f>
        <v>9207.84</v>
      </c>
      <c r="BL67" s="10">
        <f>SUMIFS('Employee Enrollments'!AB:AB,'Employee Enrollments'!C:C,'Prop Budget Calc'!$A67,'Employee Enrollments'!Q:Q,"Dental")*12</f>
        <v>729.84</v>
      </c>
    </row>
    <row r="68" spans="1:68" s="1" customFormat="1" ht="12.75" customHeight="1">
      <c r="A68" s="456" t="s">
        <v>1573</v>
      </c>
      <c r="B68" s="3" t="str">
        <f>IF(IFERROR(VLOOKUP($A68,'Base Pay Report'!$A:$V,'Prop Budget Calc'!B$2,FALSE),"NO")="No","Update",PROPER(VLOOKUP($A68,'Base Pay Report'!$A:$V,'Prop Budget Calc'!B$2,FALSE)))</f>
        <v>Maintenance Worker Ii - (W &amp; Ww)</v>
      </c>
      <c r="C68" s="3" t="str">
        <f>IF(IFERROR(VLOOKUP($A68,'Base Pay Report'!$A:$V,'Prop Budget Calc'!C$2,FALSE),"NO")="No","Update",PROPER(VLOOKUP($A68,'Base Pay Report'!$A:$V,'Prop Budget Calc'!C$2,FALSE)))</f>
        <v>First Name Last Name</v>
      </c>
      <c r="D68" s="3" t="str">
        <f>IF(IFERROR(VLOOKUP($A68,'Base Pay Report'!$A:$V,'Prop Budget Calc'!D$2,FALSE),"NO")="No","Update",PROPER(VLOOKUP($A68,'Base Pay Report'!$A:$V,'Prop Budget Calc'!D$2,FALSE)))</f>
        <v>7520</v>
      </c>
      <c r="E68" s="8">
        <f t="shared" si="161"/>
        <v>1</v>
      </c>
      <c r="F68" s="3" t="str">
        <f>IF(IFERROR(VLOOKUP($A68,'Base Pay Report'!$A:$V,'Prop Budget Calc'!F$2,FALSE),"NO")="No","Update",PROPER(VLOOKUP($A68,'Base Pay Report'!$A:$V,'Prop Budget Calc'!F$2,FALSE)))</f>
        <v>200-75-752-50102</v>
      </c>
      <c r="G68" s="3" t="str">
        <f t="shared" si="162"/>
        <v>200-75-752</v>
      </c>
      <c r="H68" s="49" t="str">
        <f t="shared" si="163"/>
        <v>200</v>
      </c>
      <c r="I68" s="3" t="str">
        <f t="shared" si="164"/>
        <v>50102</v>
      </c>
      <c r="J68" s="3" t="str">
        <f t="shared" si="165"/>
        <v>75</v>
      </c>
      <c r="K68" s="3" t="str">
        <f t="shared" si="166"/>
        <v>752</v>
      </c>
      <c r="L68" s="3">
        <f>IF(SUMIF('Base Pay Report'!$A:$A,'Prop Budget Calc'!$A68,'Base Pay Report'!$I:$I)=80,SUMIF('Base Pay Report'!$A:$A,'Prop Budget Calc'!$A68,'Base Pay Report'!$H:$H)/SUMIF('Base Pay Report'!$A:$A,'Prop Budget Calc'!$A68,'Base Pay Report'!$I:$I),SUMIF('Base Pay Report'!$A:$A,'Prop Budget Calc'!$A68,'Base Pay Report'!$H:$H))</f>
        <v>21.48</v>
      </c>
      <c r="M68" s="3">
        <f t="shared" si="138"/>
        <v>1872</v>
      </c>
      <c r="N68" s="3" t="str">
        <f>IF(IFERROR(VLOOKUP($A68,'Base Pay Report'!$A:$V,'Prop Budget Calc'!N$2,FALSE),"NO")="No","Update",(VLOOKUP($A68,'Base Pay Report'!$A:$V,'Prop Budget Calc'!N$2,FALSE)))</f>
        <v>FT HOURLY- 4-9</v>
      </c>
      <c r="O68" s="6">
        <f t="shared" si="167"/>
        <v>40220</v>
      </c>
      <c r="P68" s="99">
        <f>IF(SUMIF('Base Pay Report'!A:A,$A68,'Base Pay Report'!J:J)=0,$P$1+40,SUMIF('Base Pay Report'!A:A,$A68,'Base Pay Report'!J:J))</f>
        <v>43983</v>
      </c>
      <c r="Q68" s="87" t="str">
        <f>IF($B68='Current Step Plans'!$B$36,HLOOKUP('Prop Budget Calc'!$L68,'Current Step Plans'!$C$36:$Q$42,7,FALSE),IF($B68='Current Step Plans'!$B$37,HLOOKUP('Prop Budget Calc'!$L68,'Current Step Plans'!$C$37:$Q$42,6,FALSE),IF($B68='Current Step Plans'!$B$38,HLOOKUP('Prop Budget Calc'!$L68,'Current Step Plans'!$C$38:$Q$42,5,FALSE),IF($B68='Current Step Plans'!$B$39,HLOOKUP('Prop Budget Calc'!$L68,'Current Step Plans'!$C$39:$Q$42,4,FALSE),IF($B68='Current Step Plans'!$B$40,HLOOKUP('Prop Budget Calc'!$L68,'Current Step Plans'!$C$40:$Q$42,3,FALSE),IF($B68='Current Step Plans'!$B$41,HLOOKUP('Prop Budget Calc'!$L68,'Current Step Plans'!$C$41:$Q$42,2,FALSE),IF($B68='Current Step Plans'!$B$50,HLOOKUP('Prop Budget Calc'!$L68,'Current Step Plans'!$C$50:$Q$56,7,FALSE),IF($B68='Current Step Plans'!$B$51,HLOOKUP('Prop Budget Calc'!$L68,'Current Step Plans'!$C$51:$Q$56,6,FALSE),IF($B68='Current Step Plans'!$B$52,HLOOKUP('Prop Budget Calc'!$L68,'Current Step Plans'!$C$52:$Q$56,5,FALSE), IF($B68='Current Step Plans'!$B$53,HLOOKUP('Prop Budget Calc'!$L68,'Current Step Plans'!$C$53:$Q$56,4,FALSE),IF($B68='Current Step Plans'!$B$54,HLOOKUP('Prop Budget Calc'!$L68,'Current Step Plans'!$C$54:$Q$56,3,FALSE),IF($B68='Current Step Plans'!$B$55,HLOOKUP('Prop Budget Calc'!$L68,'Current Step Plans'!$C$55:$Q$56,2,FALSE),IF($B68='Current Step Plans'!$B$65,HLOOKUP('Prop Budget Calc'!$L68,'Current Step Plans'!$C$65:$Q$75,11,FALSE),IF($B68='Current Step Plans'!$B$66,HLOOKUP('Prop Budget Calc'!$L68,'Current Step Plans'!$C$66:$Q$75,10,FALSE),IF($B68='Current Step Plans'!$B$67,HLOOKUP('Prop Budget Calc'!$L68,'Current Step Plans'!$C$67:$Q$75,9,FALSE),IF($B68='Current Step Plans'!$B$68,HLOOKUP('Prop Budget Calc'!$L68,'Current Step Plans'!$C$68:$Q$75,8,FALSE),IF($B68='Current Step Plans'!$B$69,HLOOKUP('Prop Budget Calc'!$L68,'Current Step Plans'!$C$69:$Q$75,7,FALSE),IF($B68='Current Step Plans'!$B$70,HLOOKUP('Prop Budget Calc'!$L68,'Current Step Plans'!$C$70:$Q$75,6,FALSE),IF($B68='Current Step Plans'!$B$71,HLOOKUP('Prop Budget Calc'!$L68,'Current Step Plans'!$C$71:$Q$75,5,FALSE),IF($B68='Current Step Plans'!$B$72,HLOOKUP('Prop Budget Calc'!$L68,'Current Step Plans'!$C$72:$Q$75,4,FALSE),IF($B68='Current Step Plans'!$B$73,HLOOKUP('Prop Budget Calc'!$L68,'Current Step Plans'!$C$73:$Q$75,3,FALSE),IF($B68='Current Step Plans'!$B$74,HLOOKUP('Prop Budget Calc'!$L68,'Current Step Plans'!$C$74:$Q$75,2,FALSE),"N"))))))))))))))))))))))</f>
        <v>N</v>
      </c>
      <c r="R68" s="9" t="str">
        <f t="shared" si="139"/>
        <v>Y</v>
      </c>
      <c r="S68" s="6">
        <f>IF(Q68="n",0,ROUNDUP(VLOOKUP(B68,'Proposed Step Plans'!B:T,'Prop Budget Calc'!Q68+2,FALSE)*M68,-2)-O68-T68)</f>
        <v>0</v>
      </c>
      <c r="T68" s="6">
        <f>IF(Q68="n",0,ROUNDUP(VLOOKUP(B68,'Current Step Plans'!B:T,'Prop Budget Calc'!Q68+2,FALSE)*M68,0)-O68)</f>
        <v>0</v>
      </c>
      <c r="U68" s="6">
        <f>IF(IFERROR(VLOOKUP($A68,'Market Study'!$A$5:$G$82,7,FALSE),"NA")="NA",0,VLOOKUP($A68,'Market Study'!$A$5:$G$82,7,FALSE))</f>
        <v>0</v>
      </c>
      <c r="V68" s="6">
        <f>IF(OR($T68&lt;&gt;0,$I68="50112",$I68="50109",$S68&lt;&gt;0),0,VLOOKUP($K68,Scenarios!$A$17:$F$73,6,FALSE)*$O68)</f>
        <v>804.4</v>
      </c>
      <c r="W68" s="6">
        <f t="shared" si="140"/>
        <v>804.4</v>
      </c>
      <c r="X68" s="6">
        <f>IF(OR($T68&lt;&gt;0,$I68="50112",$I68="50109",$S68&lt;&gt;0),0,VLOOKUP($K68,Scenarios!$A$17:$F$73,2,FALSE)*$O68)</f>
        <v>804.4</v>
      </c>
      <c r="Y68" s="6">
        <f>IF(OR($T68&lt;&gt;0,$I68="50110",$I68="50109",$S68&lt;&gt;0),0,VLOOKUP($K68,Scenarios!$A$17:$F$73,3,FALSE))</f>
        <v>1175</v>
      </c>
      <c r="Z68" s="6">
        <f>IF(OR($T68&lt;&gt;0,$I68="50112",$I68="50109",$S68&lt;&gt;0),0,VLOOKUP($K68,Scenarios!$A$17:$F$73,4,FALSE))</f>
        <v>0</v>
      </c>
      <c r="AA68" s="6">
        <f t="shared" si="141"/>
        <v>1175</v>
      </c>
      <c r="AB68" s="6">
        <f>IF(OR($T68&lt;&gt;0,$I68="50112",$I68="50109",$S68&lt;&gt;0),0,VLOOKUP($K68,Scenarios!$A$17:$F$73,5,FALSE))</f>
        <v>0</v>
      </c>
      <c r="AC68" s="6">
        <f t="shared" si="168"/>
        <v>1979.4</v>
      </c>
      <c r="AD68" s="6">
        <f t="shared" si="142"/>
        <v>42200</v>
      </c>
      <c r="AE68" s="84">
        <f t="shared" si="143"/>
        <v>4.9229239184485296E-2</v>
      </c>
      <c r="AF68" s="6">
        <f t="shared" si="144"/>
        <v>55.8</v>
      </c>
      <c r="AG68" s="6">
        <f>IF(AND(OR(I68="50101",I68="50102"),$AF68&gt;12),IF($AF68&gt;=300,(300*Scenarios!$B$14)*$E68,($AF68*Scenarios!$B$14)*$E68),0)</f>
        <v>279</v>
      </c>
      <c r="AH68" s="6">
        <f>IF($R68="y",IF($T68&gt;0,Scenarios!$B$10*'Prop Budget Calc'!$E68,Scenarios!$B$13*'Prop Budget Calc'!$E68))</f>
        <v>0</v>
      </c>
      <c r="AI68" s="6">
        <f>SUMIFS('Deduction Valuation'!$G:$G,'Deduction Valuation'!$F:$F,"CT - Certifications",'Deduction Valuation'!$B:$B,'Prop Budget Calc'!$A68)*$AI$3</f>
        <v>0</v>
      </c>
      <c r="AJ68" s="6">
        <f>SUMIFS('Deduction Valuation'!$G:$G,'Deduction Valuation'!$F:$F,"RP - Regional Pay",'Deduction Valuation'!$B:$B,'Prop Budget Calc'!$A68)*$AI$3</f>
        <v>0</v>
      </c>
      <c r="AK68" s="6">
        <f t="shared" si="145"/>
        <v>0</v>
      </c>
      <c r="AL68" s="6">
        <f>SUMIFS('Deduction Valuation'!$G:$G,'Deduction Valuation'!$F:$F,"CR - Car Allowance",'Deduction Valuation'!$B:$B,'Prop Budget Calc'!$A68)*$AI$3</f>
        <v>0</v>
      </c>
      <c r="AM68" s="6">
        <f>SUMIFS('Deduction Valuation'!$G:$G,'Deduction Valuation'!$F:$F,"DA - Device Allow",'Deduction Valuation'!$B:$B,'Prop Budget Calc'!$A68)*$AI$3</f>
        <v>0</v>
      </c>
      <c r="AN68" s="6">
        <f>SUMIFS('Deduction Valuation'!$G:$G,'Deduction Valuation'!$F:$F,"RA - Replace Allow",'Deduction Valuation'!$B:$B,'Prop Budget Calc'!$A68)</f>
        <v>0</v>
      </c>
      <c r="AO68" s="94">
        <f t="shared" si="146"/>
        <v>0</v>
      </c>
      <c r="AP68" s="94">
        <f t="shared" si="147"/>
        <v>42479</v>
      </c>
      <c r="AQ68" s="10">
        <f>IF(OR($I68="50101", $I68="50102", $I68="50109", $I68="50140"),AP68*Scenarios!$H$8,0)</f>
        <v>7195.9425999999994</v>
      </c>
      <c r="AR68" s="9">
        <f>VLOOKUP($D68,WKCMP!$A$1:$C$15,3,FALSE)*AP68</f>
        <v>642.28247999999996</v>
      </c>
      <c r="AS68" s="10">
        <f t="shared" si="148"/>
        <v>615.94550000000004</v>
      </c>
      <c r="AT68" s="11">
        <f t="shared" si="149"/>
        <v>2633.6979999999999</v>
      </c>
      <c r="AU68" s="10">
        <f t="shared" si="150"/>
        <v>3250</v>
      </c>
      <c r="AV68" s="6">
        <f t="shared" si="151"/>
        <v>76.462199999999996</v>
      </c>
      <c r="AW68" s="19">
        <f t="shared" si="152"/>
        <v>79.2</v>
      </c>
      <c r="AX68" s="19">
        <f t="shared" si="153"/>
        <v>15.6</v>
      </c>
      <c r="AY68" s="19">
        <f t="shared" si="154"/>
        <v>11.28</v>
      </c>
      <c r="AZ68" s="88">
        <f t="shared" si="155"/>
        <v>182.54219999999998</v>
      </c>
      <c r="BA68" s="6">
        <f>IF(AND($C68="vacant vacant",$E68=1),$BA$2*$AZ$3,SUMIFS('Employee Enrollments'!$AE:$AE,'Employee Enrollments'!$S:$S,"Medical HDHP",'Employee Enrollments'!$C:$C,'Prop Budget Calc'!$A68)*$AZ$3*(1+Scenarios!$E$9))*(1-$BA$3)</f>
        <v>18093.197376</v>
      </c>
      <c r="BB68" s="6">
        <f>IF(AND($C68="vacant vacant",$E68=1),500,SUMIFS('Employee Enrollments'!$AE:$AE,'Employee Enrollments'!$S:$S,"Health Savings Account",'Employee Enrollments'!$C:$C,'Prop Budget Calc'!$A68))</f>
        <v>1000</v>
      </c>
      <c r="BC68" s="56">
        <f t="shared" si="156"/>
        <v>19093.197376</v>
      </c>
      <c r="BD68" s="6">
        <f>IF(AND($C68="vacant vacant",$E68=1),$BD$2*$AZ$3,SUMIFS('Employee Enrollments'!$AE:$AE,'Employee Enrollments'!$S:$S,"Dental Plan",'Employee Enrollments'!$C:$C,'Prop Budget Calc'!$A68)*$AZ$3)</f>
        <v>843.48</v>
      </c>
      <c r="BE68" s="6">
        <f t="shared" si="157"/>
        <v>20119.219576</v>
      </c>
      <c r="BF68" s="6">
        <f t="shared" si="158"/>
        <v>31207.444656</v>
      </c>
      <c r="BG68" s="6">
        <f t="shared" si="159"/>
        <v>73686.444656000007</v>
      </c>
      <c r="BH68" s="14"/>
      <c r="BI68" s="56"/>
      <c r="BJ68" s="93">
        <f t="shared" si="160"/>
        <v>21754.060799999999</v>
      </c>
      <c r="BK68" s="10">
        <f>IF(SUMIFS('Employee Enrollments'!AB:AB,'Employee Enrollments'!C:C,'Prop Budget Calc'!$A68,'Employee Enrollments'!Q:Q,"Medical")*12=0,'Employee Enrollments'!$AN$1,(SUMIFS('Employee Enrollments'!AB:AB,'Employee Enrollments'!C:C,'Prop Budget Calc'!$A68,'Employee Enrollments'!Q:Q,"Medical")*12))</f>
        <v>3101.2799999999997</v>
      </c>
      <c r="BL68" s="10">
        <f>SUMIFS('Employee Enrollments'!AB:AB,'Employee Enrollments'!C:C,'Prop Budget Calc'!$A68,'Employee Enrollments'!Q:Q,"Dental")*12</f>
        <v>364.92</v>
      </c>
    </row>
    <row r="69" spans="1:68" s="1" customFormat="1" ht="12.75" customHeight="1">
      <c r="A69" s="20" t="s">
        <v>1441</v>
      </c>
      <c r="B69" s="3" t="str">
        <f>IF(IFERROR(VLOOKUP($A69,'Base Pay Report'!$A:$V,'Prop Budget Calc'!B$2,FALSE),"NO")="No","Update",PROPER(VLOOKUP($A69,'Base Pay Report'!$A:$V,'Prop Budget Calc'!B$2,FALSE)))</f>
        <v>Logistics Coordinator</v>
      </c>
      <c r="C69" s="3" t="str">
        <f>IF(IFERROR(VLOOKUP($A69,'Base Pay Report'!$A:$V,'Prop Budget Calc'!C$2,FALSE),"NO")="No","Update",PROPER(VLOOKUP($A69,'Base Pay Report'!$A:$V,'Prop Budget Calc'!C$2,FALSE)))</f>
        <v>First Name Last Name</v>
      </c>
      <c r="D69" s="3" t="str">
        <f>IF(IFERROR(VLOOKUP($A69,'Base Pay Report'!$A:$V,'Prop Budget Calc'!D$2,FALSE),"NO")="No","Update",PROPER(VLOOKUP($A69,'Base Pay Report'!$A:$V,'Prop Budget Calc'!D$2,FALSE)))</f>
        <v>9015</v>
      </c>
      <c r="E69" s="8">
        <f t="shared" si="161"/>
        <v>1</v>
      </c>
      <c r="F69" s="3" t="str">
        <f>IF(IFERROR(VLOOKUP($A69,'Base Pay Report'!$A:$V,'Prop Budget Calc'!F$2,FALSE),"NO")="No","Update",PROPER(VLOOKUP($A69,'Base Pay Report'!$A:$V,'Prop Budget Calc'!F$2,FALSE)))</f>
        <v>200-77-772-50102</v>
      </c>
      <c r="G69" s="3" t="str">
        <f t="shared" si="162"/>
        <v>200-77-772</v>
      </c>
      <c r="H69" s="49" t="str">
        <f t="shared" si="163"/>
        <v>200</v>
      </c>
      <c r="I69" s="3" t="str">
        <f t="shared" si="164"/>
        <v>50102</v>
      </c>
      <c r="J69" s="3" t="str">
        <f t="shared" si="165"/>
        <v>77</v>
      </c>
      <c r="K69" s="3" t="str">
        <f t="shared" si="166"/>
        <v>772</v>
      </c>
      <c r="L69" s="3">
        <f>IF(SUMIF('Base Pay Report'!$A:$A,'Prop Budget Calc'!$A69,'Base Pay Report'!$I:$I)=80,SUMIF('Base Pay Report'!$A:$A,'Prop Budget Calc'!$A69,'Base Pay Report'!$H:$H)/SUMIF('Base Pay Report'!$A:$A,'Prop Budget Calc'!$A69,'Base Pay Report'!$I:$I),SUMIF('Base Pay Report'!$A:$A,'Prop Budget Calc'!$A69,'Base Pay Report'!$H:$H))</f>
        <v>37.28</v>
      </c>
      <c r="M69" s="3">
        <f t="shared" si="138"/>
        <v>1872</v>
      </c>
      <c r="N69" s="3" t="str">
        <f>IF(IFERROR(VLOOKUP($A69,'Base Pay Report'!$A:$V,'Prop Budget Calc'!N$2,FALSE),"NO")="No","Update",(VLOOKUP($A69,'Base Pay Report'!$A:$V,'Prop Budget Calc'!N$2,FALSE)))</f>
        <v>FT HOURLY- 4-9</v>
      </c>
      <c r="O69" s="6">
        <f t="shared" si="167"/>
        <v>69790</v>
      </c>
      <c r="P69" s="99">
        <f>IF(SUMIF('Base Pay Report'!A:A,$A69,'Base Pay Report'!J:J)=0,$P$1+40,SUMIF('Base Pay Report'!A:A,$A69,'Base Pay Report'!J:J))</f>
        <v>35009</v>
      </c>
      <c r="Q69" s="87" t="str">
        <f>IF($B69='Current Step Plans'!$B$36,HLOOKUP('Prop Budget Calc'!$L69,'Current Step Plans'!$C$36:$Q$42,7,FALSE),IF($B69='Current Step Plans'!$B$37,HLOOKUP('Prop Budget Calc'!$L69,'Current Step Plans'!$C$37:$Q$42,6,FALSE),IF($B69='Current Step Plans'!$B$38,HLOOKUP('Prop Budget Calc'!$L69,'Current Step Plans'!$C$38:$Q$42,5,FALSE),IF($B69='Current Step Plans'!$B$39,HLOOKUP('Prop Budget Calc'!$L69,'Current Step Plans'!$C$39:$Q$42,4,FALSE),IF($B69='Current Step Plans'!$B$40,HLOOKUP('Prop Budget Calc'!$L69,'Current Step Plans'!$C$40:$Q$42,3,FALSE),IF($B69='Current Step Plans'!$B$41,HLOOKUP('Prop Budget Calc'!$L69,'Current Step Plans'!$C$41:$Q$42,2,FALSE),IF($B69='Current Step Plans'!$B$50,HLOOKUP('Prop Budget Calc'!$L69,'Current Step Plans'!$C$50:$Q$56,7,FALSE),IF($B69='Current Step Plans'!$B$51,HLOOKUP('Prop Budget Calc'!$L69,'Current Step Plans'!$C$51:$Q$56,6,FALSE),IF($B69='Current Step Plans'!$B$52,HLOOKUP('Prop Budget Calc'!$L69,'Current Step Plans'!$C$52:$Q$56,5,FALSE), IF($B69='Current Step Plans'!$B$53,HLOOKUP('Prop Budget Calc'!$L69,'Current Step Plans'!$C$53:$Q$56,4,FALSE),IF($B69='Current Step Plans'!$B$54,HLOOKUP('Prop Budget Calc'!$L69,'Current Step Plans'!$C$54:$Q$56,3,FALSE),IF($B69='Current Step Plans'!$B$55,HLOOKUP('Prop Budget Calc'!$L69,'Current Step Plans'!$C$55:$Q$56,2,FALSE),IF($B69='Current Step Plans'!$B$65,HLOOKUP('Prop Budget Calc'!$L69,'Current Step Plans'!$C$65:$Q$75,11,FALSE),IF($B69='Current Step Plans'!$B$66,HLOOKUP('Prop Budget Calc'!$L69,'Current Step Plans'!$C$66:$Q$75,10,FALSE),IF($B69='Current Step Plans'!$B$67,HLOOKUP('Prop Budget Calc'!$L69,'Current Step Plans'!$C$67:$Q$75,9,FALSE),IF($B69='Current Step Plans'!$B$68,HLOOKUP('Prop Budget Calc'!$L69,'Current Step Plans'!$C$68:$Q$75,8,FALSE),IF($B69='Current Step Plans'!$B$69,HLOOKUP('Prop Budget Calc'!$L69,'Current Step Plans'!$C$69:$Q$75,7,FALSE),IF($B69='Current Step Plans'!$B$70,HLOOKUP('Prop Budget Calc'!$L69,'Current Step Plans'!$C$70:$Q$75,6,FALSE),IF($B69='Current Step Plans'!$B$71,HLOOKUP('Prop Budget Calc'!$L69,'Current Step Plans'!$C$71:$Q$75,5,FALSE),IF($B69='Current Step Plans'!$B$72,HLOOKUP('Prop Budget Calc'!$L69,'Current Step Plans'!$C$72:$Q$75,4,FALSE),IF($B69='Current Step Plans'!$B$73,HLOOKUP('Prop Budget Calc'!$L69,'Current Step Plans'!$C$73:$Q$75,3,FALSE),IF($B69='Current Step Plans'!$B$74,HLOOKUP('Prop Budget Calc'!$L69,'Current Step Plans'!$C$74:$Q$75,2,FALSE),"N"))))))))))))))))))))))</f>
        <v>N</v>
      </c>
      <c r="R69" s="9" t="str">
        <f t="shared" si="139"/>
        <v>Y</v>
      </c>
      <c r="S69" s="6">
        <f>IF(Q69="n",0,ROUNDUP(VLOOKUP(B69,'Proposed Step Plans'!B:T,'Prop Budget Calc'!Q69+2,FALSE)*M69,-2)-O69-T69)</f>
        <v>0</v>
      </c>
      <c r="T69" s="6">
        <f>IF(Q69="n",0,ROUNDUP(VLOOKUP(B69,'Current Step Plans'!B:T,'Prop Budget Calc'!Q69+2,FALSE)*M69,0)-O69)</f>
        <v>0</v>
      </c>
      <c r="U69" s="6">
        <f>IF(IFERROR(VLOOKUP($A69,'Market Study'!$A$5:$G$82,7,FALSE),"NA")="NA",0,VLOOKUP($A69,'Market Study'!$A$5:$G$82,7,FALSE))</f>
        <v>0</v>
      </c>
      <c r="V69" s="6">
        <f>IF(OR($T69&lt;&gt;0,$I69="50112",$I69="50109",$S69&lt;&gt;0),0,VLOOKUP($K69,Scenarios!$A$17:$F$73,6,FALSE)*$O69)</f>
        <v>1395.8</v>
      </c>
      <c r="W69" s="6">
        <f t="shared" si="140"/>
        <v>1395.8</v>
      </c>
      <c r="X69" s="6">
        <f>IF(OR($T69&lt;&gt;0,$I69="50112",$I69="50109",$S69&lt;&gt;0),0,VLOOKUP($K69,Scenarios!$A$17:$F$73,2,FALSE)*$O69)</f>
        <v>1395.8</v>
      </c>
      <c r="Y69" s="6">
        <f>IF(OR($T69&lt;&gt;0,$I69="50110",$I69="50109",$S69&lt;&gt;0),0,VLOOKUP($K69,Scenarios!$A$17:$F$73,3,FALSE))</f>
        <v>1175</v>
      </c>
      <c r="Z69" s="6">
        <f>IF(OR($T69&lt;&gt;0,$I69="50112",$I69="50109",$S69&lt;&gt;0),0,VLOOKUP($K69,Scenarios!$A$17:$F$73,4,FALSE))</f>
        <v>0</v>
      </c>
      <c r="AA69" s="6">
        <f t="shared" si="141"/>
        <v>1395.8</v>
      </c>
      <c r="AB69" s="6">
        <f>IF(OR($T69&lt;&gt;0,$I69="50112",$I69="50109",$S69&lt;&gt;0),0,VLOOKUP($K69,Scenarios!$A$17:$F$73,5,FALSE))</f>
        <v>0</v>
      </c>
      <c r="AC69" s="6">
        <f t="shared" si="168"/>
        <v>2791.6</v>
      </c>
      <c r="AD69" s="6">
        <f t="shared" si="142"/>
        <v>72582</v>
      </c>
      <c r="AE69" s="84">
        <f t="shared" si="143"/>
        <v>4.0005731480154738E-2</v>
      </c>
      <c r="AF69" s="6">
        <f t="shared" si="144"/>
        <v>354.93333333333334</v>
      </c>
      <c r="AG69" s="6">
        <f>IF(AND(OR(I69="50101",I69="50102"),$AF69&gt;12),IF($AF69&gt;=300,(300*Scenarios!$B$14)*$E69,($AF69*Scenarios!$B$14)*$E69),0)</f>
        <v>1500</v>
      </c>
      <c r="AH69" s="6">
        <f>IF($R69="y",IF($T69&gt;0,Scenarios!$B$10*'Prop Budget Calc'!$E69,Scenarios!$B$13*'Prop Budget Calc'!$E69))</f>
        <v>0</v>
      </c>
      <c r="AI69" s="6">
        <f>SUMIFS('Deduction Valuation'!$G:$G,'Deduction Valuation'!$F:$F,"CT - Certifications",'Deduction Valuation'!$B:$B,'Prop Budget Calc'!$A69)*$AI$3</f>
        <v>0</v>
      </c>
      <c r="AJ69" s="6">
        <f>SUMIFS('Deduction Valuation'!$G:$G,'Deduction Valuation'!$F:$F,"RP - Regional Pay",'Deduction Valuation'!$B:$B,'Prop Budget Calc'!$A69)*$AI$3</f>
        <v>0</v>
      </c>
      <c r="AK69" s="6">
        <f t="shared" ref="AK69:AK73" si="169">AI69+AJ69</f>
        <v>0</v>
      </c>
      <c r="AL69" s="6">
        <f>SUMIFS('Deduction Valuation'!$G:$G,'Deduction Valuation'!$F:$F,"CR - Car Allowance",'Deduction Valuation'!$B:$B,'Prop Budget Calc'!$A69)*$AI$3</f>
        <v>0</v>
      </c>
      <c r="AM69" s="6">
        <f>SUMIFS('Deduction Valuation'!$G:$G,'Deduction Valuation'!$F:$F,"DA - Device Allow",'Deduction Valuation'!$B:$B,'Prop Budget Calc'!$A69)*$AI$3</f>
        <v>540</v>
      </c>
      <c r="AN69" s="6">
        <f>SUMIFS('Deduction Valuation'!$G:$G,'Deduction Valuation'!$F:$F,"RA - Replace Allow",'Deduction Valuation'!$B:$B,'Prop Budget Calc'!$A69)</f>
        <v>75</v>
      </c>
      <c r="AO69" s="94">
        <f t="shared" ref="AO69:AO73" si="170">AM69+AN69</f>
        <v>615</v>
      </c>
      <c r="AP69" s="94">
        <f t="shared" ref="AP69:AP73" si="171">AD69+AG69+AK69+AL69+AO69+AH69</f>
        <v>74697</v>
      </c>
      <c r="AQ69" s="10">
        <f>IF(OR($I69="50101", $I69="50102", $I69="50109", $I69="50140"),AP69*Scenarios!$H$8,0)</f>
        <v>12653.6718</v>
      </c>
      <c r="AR69" s="9">
        <f>VLOOKUP($D69,WKCMP!$A$1:$C$15,3,FALSE)*AP69</f>
        <v>1384.5919580640002</v>
      </c>
      <c r="AS69" s="10">
        <f t="shared" ref="AS69:AS73" si="172">AP69*$AS$2</f>
        <v>1083.1065000000001</v>
      </c>
      <c r="AT69" s="11">
        <f t="shared" ref="AT69:AT73" si="173">IF($AP69&lt;$AT$4,$AT$2*AP69,$AT$4*$AT$2*$E69)</f>
        <v>4631.2139999999999</v>
      </c>
      <c r="AU69" s="10">
        <f t="shared" ref="AU69:AU73" si="174">ROUNDUP((AS69+AT69), -1)</f>
        <v>5720</v>
      </c>
      <c r="AV69" s="6">
        <f t="shared" ref="AV69:AV73" si="175">AP69*$AV$2</f>
        <v>134.4546</v>
      </c>
      <c r="AW69" s="19">
        <f t="shared" ref="AW69:AW73" si="176">IF(AND($I69&lt;&gt;"50101", $I69&lt;&gt;"50102"),0,IF($I69="50101",IF(($AP69/52*$AW$3)&gt;$AV$1,$AV$1,$AP69/52*$AW$3),IF(($AD69/52*$AW$3)&gt;$AW$1,$AW$1,$AD69/52*$AW$3)))*E69</f>
        <v>79.2</v>
      </c>
      <c r="AX69" s="19">
        <f t="shared" ref="AX69:AX86" si="177">IF($E69=1,$AX$1,0)</f>
        <v>15.6</v>
      </c>
      <c r="AY69" s="19">
        <f t="shared" ref="AY69:AY86" si="178">IF($E69=1,$AY$1,0)</f>
        <v>11.28</v>
      </c>
      <c r="AZ69" s="88">
        <f t="shared" ref="AZ69:AZ73" si="179">AV69+AW69+AX69+AY69</f>
        <v>240.53460000000001</v>
      </c>
      <c r="BA69" s="6">
        <f>IF(AND($C69="vacant vacant",$E69=1),$BA$2*$AZ$3,SUMIFS('Employee Enrollments'!$AE:$AE,'Employee Enrollments'!$S:$S,"Medical HDHP",'Employee Enrollments'!$C:$C,'Prop Budget Calc'!$A69)*$AZ$3*(1+Scenarios!$E$9))*(1-$BA$3)</f>
        <v>17415.972864000003</v>
      </c>
      <c r="BB69" s="6">
        <f>IF(AND($C69="vacant vacant",$E69=1),500,SUMIFS('Employee Enrollments'!$AE:$AE,'Employee Enrollments'!$S:$S,"Health Savings Account",'Employee Enrollments'!$C:$C,'Prop Budget Calc'!$A69))</f>
        <v>1000</v>
      </c>
      <c r="BC69" s="56">
        <f t="shared" ref="BC69:BC73" si="180">BA69+BB69</f>
        <v>18415.972864000003</v>
      </c>
      <c r="BD69" s="6">
        <f>IF(AND($C69="vacant vacant",$E69=1),$BD$2*$AZ$3,SUMIFS('Employee Enrollments'!$AE:$AE,'Employee Enrollments'!$S:$S,"Dental Plan",'Employee Enrollments'!$C:$C,'Prop Budget Calc'!$A69)*$AZ$3)</f>
        <v>843.48</v>
      </c>
      <c r="BE69" s="6">
        <f t="shared" ref="BE69:BE73" si="181">BD69+BC69+AZ69</f>
        <v>19499.987464000002</v>
      </c>
      <c r="BF69" s="6">
        <f t="shared" ref="BF69:BF73" si="182">AU69+BE69+AR69+AQ69</f>
        <v>39258.251222064006</v>
      </c>
      <c r="BG69" s="6">
        <f t="shared" ref="BG69:BG73" si="183">AP69+BF69</f>
        <v>113955.25122206401</v>
      </c>
      <c r="BH69" s="14"/>
      <c r="BI69" s="56"/>
      <c r="BJ69" s="93">
        <f t="shared" ref="BJ69:BJ73" si="184">BA69/(1-$BA$3)+BK69</f>
        <v>21740.371200000001</v>
      </c>
      <c r="BK69" s="10">
        <f>IF(SUMIFS('Employee Enrollments'!AB:AB,'Employee Enrollments'!C:C,'Prop Budget Calc'!$A69,'Employee Enrollments'!Q:Q,"Medical")*12=0,'Employee Enrollments'!$AN$1,(SUMIFS('Employee Enrollments'!AB:AB,'Employee Enrollments'!C:C,'Prop Budget Calc'!$A69,'Employee Enrollments'!Q:Q,"Medical")*12))</f>
        <v>3785.76</v>
      </c>
      <c r="BL69" s="10">
        <f>SUMIFS('Employee Enrollments'!AB:AB,'Employee Enrollments'!C:C,'Prop Budget Calc'!$A69,'Employee Enrollments'!Q:Q,"Dental")*12</f>
        <v>364.92</v>
      </c>
    </row>
    <row r="70" spans="1:68" s="1" customFormat="1" ht="12.75" customHeight="1">
      <c r="A70" s="20" t="s">
        <v>1663</v>
      </c>
      <c r="B70" s="3" t="str">
        <f>IF(IFERROR(VLOOKUP($A70,'Base Pay Report'!$A:$V,'Prop Budget Calc'!B$2,FALSE),"NO")="No","Update",PROPER(VLOOKUP($A70,'Base Pay Report'!$A:$V,'Prop Budget Calc'!B$2,FALSE)))</f>
        <v>Public Works Technician</v>
      </c>
      <c r="C70" s="3" t="str">
        <f>IF(IFERROR(VLOOKUP($A70,'Base Pay Report'!$A:$V,'Prop Budget Calc'!C$2,FALSE),"NO")="No","Update",PROPER(VLOOKUP($A70,'Base Pay Report'!$A:$V,'Prop Budget Calc'!C$2,FALSE)))</f>
        <v>First Name Last Name</v>
      </c>
      <c r="D70" s="3" t="str">
        <f>IF(IFERROR(VLOOKUP($A70,'Base Pay Report'!$A:$V,'Prop Budget Calc'!D$2,FALSE),"NO")="No","Update",PROPER(VLOOKUP($A70,'Base Pay Report'!$A:$V,'Prop Budget Calc'!D$2,FALSE)))</f>
        <v>8810</v>
      </c>
      <c r="E70" s="8">
        <f>IF(OR(I70="50101",I70="50102"),1,IF(I70="50110",0.48,IF(I70="50112",0.25,1)))</f>
        <v>1</v>
      </c>
      <c r="F70" s="3" t="str">
        <f>IF(IFERROR(VLOOKUP($A70,'Base Pay Report'!$A:$V,'Prop Budget Calc'!F$2,FALSE),"NO")="No","Update",PROPER(VLOOKUP($A70,'Base Pay Report'!$A:$V,'Prop Budget Calc'!F$2,FALSE)))</f>
        <v>200-77-772-50102</v>
      </c>
      <c r="G70" s="3" t="str">
        <f>LEFT(F70,10)</f>
        <v>200-77-772</v>
      </c>
      <c r="H70" s="49" t="str">
        <f>LEFT(F70,3)</f>
        <v>200</v>
      </c>
      <c r="I70" s="3" t="str">
        <f>MID(F70,12,5)</f>
        <v>50102</v>
      </c>
      <c r="J70" s="3" t="str">
        <f>MID(F70,5,2)</f>
        <v>77</v>
      </c>
      <c r="K70" s="3" t="str">
        <f>MID(F70,8,3)</f>
        <v>772</v>
      </c>
      <c r="L70" s="3">
        <f>IF(SUMIF('Base Pay Report'!$A:$A,'Prop Budget Calc'!$A70,'Base Pay Report'!$I:$I)=80,SUMIF('Base Pay Report'!$A:$A,'Prop Budget Calc'!$A70,'Base Pay Report'!$H:$H)/SUMIF('Base Pay Report'!$A:$A,'Prop Budget Calc'!$A70,'Base Pay Report'!$I:$I),SUMIF('Base Pay Report'!$A:$A,'Prop Budget Calc'!$A70,'Base Pay Report'!$H:$H))</f>
        <v>18.39</v>
      </c>
      <c r="M70" s="3">
        <f t="shared" si="138"/>
        <v>1872</v>
      </c>
      <c r="N70" s="3" t="str">
        <f>IF(IFERROR(VLOOKUP($A70,'Base Pay Report'!$A:$V,'Prop Budget Calc'!N$2,FALSE),"NO")="No","Update",(VLOOKUP($A70,'Base Pay Report'!$A:$V,'Prop Budget Calc'!N$2,FALSE)))</f>
        <v>FT HOURLY- 4-9</v>
      </c>
      <c r="O70" s="6">
        <f>ROUNDUP(L70*M70,-1)</f>
        <v>34430</v>
      </c>
      <c r="P70" s="99">
        <f>IF(SUMIF('Base Pay Report'!A:A,$A70,'Base Pay Report'!J:J)=0,$P$1+40,SUMIF('Base Pay Report'!A:A,$A70,'Base Pay Report'!J:J))</f>
        <v>44608</v>
      </c>
      <c r="Q70" s="87" t="str">
        <f>IF($B70='Current Step Plans'!$B$36,HLOOKUP('Prop Budget Calc'!$L70,'Current Step Plans'!$C$36:$Q$42,7,FALSE),IF($B70='Current Step Plans'!$B$37,HLOOKUP('Prop Budget Calc'!$L70,'Current Step Plans'!$C$37:$Q$42,6,FALSE),IF($B70='Current Step Plans'!$B$38,HLOOKUP('Prop Budget Calc'!$L70,'Current Step Plans'!$C$38:$Q$42,5,FALSE),IF($B70='Current Step Plans'!$B$39,HLOOKUP('Prop Budget Calc'!$L70,'Current Step Plans'!$C$39:$Q$42,4,FALSE),IF($B70='Current Step Plans'!$B$40,HLOOKUP('Prop Budget Calc'!$L70,'Current Step Plans'!$C$40:$Q$42,3,FALSE),IF($B70='Current Step Plans'!$B$41,HLOOKUP('Prop Budget Calc'!$L70,'Current Step Plans'!$C$41:$Q$42,2,FALSE),IF($B70='Current Step Plans'!$B$50,HLOOKUP('Prop Budget Calc'!$L70,'Current Step Plans'!$C$50:$Q$56,7,FALSE),IF($B70='Current Step Plans'!$B$51,HLOOKUP('Prop Budget Calc'!$L70,'Current Step Plans'!$C$51:$Q$56,6,FALSE),IF($B70='Current Step Plans'!$B$52,HLOOKUP('Prop Budget Calc'!$L70,'Current Step Plans'!$C$52:$Q$56,5,FALSE), IF($B70='Current Step Plans'!$B$53,HLOOKUP('Prop Budget Calc'!$L70,'Current Step Plans'!$C$53:$Q$56,4,FALSE),IF($B70='Current Step Plans'!$B$54,HLOOKUP('Prop Budget Calc'!$L70,'Current Step Plans'!$C$54:$Q$56,3,FALSE),IF($B70='Current Step Plans'!$B$55,HLOOKUP('Prop Budget Calc'!$L70,'Current Step Plans'!$C$55:$Q$56,2,FALSE),IF($B70='Current Step Plans'!$B$65,HLOOKUP('Prop Budget Calc'!$L70,'Current Step Plans'!$C$65:$Q$75,11,FALSE),IF($B70='Current Step Plans'!$B$66,HLOOKUP('Prop Budget Calc'!$L70,'Current Step Plans'!$C$66:$Q$75,10,FALSE),IF($B70='Current Step Plans'!$B$67,HLOOKUP('Prop Budget Calc'!$L70,'Current Step Plans'!$C$67:$Q$75,9,FALSE),IF($B70='Current Step Plans'!$B$68,HLOOKUP('Prop Budget Calc'!$L70,'Current Step Plans'!$C$68:$Q$75,8,FALSE),IF($B70='Current Step Plans'!$B$69,HLOOKUP('Prop Budget Calc'!$L70,'Current Step Plans'!$C$69:$Q$75,7,FALSE),IF($B70='Current Step Plans'!$B$70,HLOOKUP('Prop Budget Calc'!$L70,'Current Step Plans'!$C$70:$Q$75,6,FALSE),IF($B70='Current Step Plans'!$B$71,HLOOKUP('Prop Budget Calc'!$L70,'Current Step Plans'!$C$71:$Q$75,5,FALSE),IF($B70='Current Step Plans'!$B$72,HLOOKUP('Prop Budget Calc'!$L70,'Current Step Plans'!$C$72:$Q$75,4,FALSE),IF($B70='Current Step Plans'!$B$73,HLOOKUP('Prop Budget Calc'!$L70,'Current Step Plans'!$C$73:$Q$75,3,FALSE),IF($B70='Current Step Plans'!$B$74,HLOOKUP('Prop Budget Calc'!$L70,'Current Step Plans'!$C$74:$Q$75,2,FALSE),"N"))))))))))))))))))))))</f>
        <v>N</v>
      </c>
      <c r="R70" s="9" t="str">
        <f t="shared" ref="R70:R73" si="185">IF(P70&lt;=$R$5,"Y","N")</f>
        <v>Y</v>
      </c>
      <c r="S70" s="6">
        <f>IF(Q70="n",0,ROUNDUP(VLOOKUP(B70,'Proposed Step Plans'!B:T,'Prop Budget Calc'!Q70+2,FALSE)*M70,-2)-O70-T70)</f>
        <v>0</v>
      </c>
      <c r="T70" s="6">
        <f>IF(Q70="n",0,ROUNDUP(VLOOKUP(B70,'Current Step Plans'!B:T,'Prop Budget Calc'!Q70+2,FALSE)*M70,0)-O70)</f>
        <v>0</v>
      </c>
      <c r="U70" s="6">
        <f>IF(IFERROR(VLOOKUP($A70,'Market Study'!$A$5:$G$82,7,FALSE),"NA")="NA",0,VLOOKUP($A70,'Market Study'!$A$5:$G$82,7,FALSE))</f>
        <v>0</v>
      </c>
      <c r="V70" s="6">
        <f>IF(OR($T70&lt;&gt;0,$I70="50112",$I70="50109",$S70&lt;&gt;0),0,VLOOKUP($K70,Scenarios!$A$17:$F$73,6,FALSE)*$O70)</f>
        <v>688.6</v>
      </c>
      <c r="W70" s="6">
        <f t="shared" si="140"/>
        <v>688.6</v>
      </c>
      <c r="X70" s="6">
        <f>IF(OR($T70&lt;&gt;0,$I70="50112",$I70="50109",$S70&lt;&gt;0),0,VLOOKUP($K70,Scenarios!$A$17:$F$73,2,FALSE)*$O70)</f>
        <v>688.6</v>
      </c>
      <c r="Y70" s="6">
        <f>IF(OR($T70&lt;&gt;0,$I70="50110",$I70="50109",$S70&lt;&gt;0),0,VLOOKUP($K70,Scenarios!$A$17:$F$73,3,FALSE))</f>
        <v>1175</v>
      </c>
      <c r="Z70" s="6">
        <f>IF(OR($T70&lt;&gt;0,$I70="50112",$I70="50109",$S70&lt;&gt;0),0,VLOOKUP($K70,Scenarios!$A$17:$F$73,4,FALSE))</f>
        <v>0</v>
      </c>
      <c r="AA70" s="6">
        <f t="shared" si="141"/>
        <v>1175</v>
      </c>
      <c r="AB70" s="6">
        <f>IF(OR($T70&lt;&gt;0,$I70="50112",$I70="50109",$S70&lt;&gt;0),0,VLOOKUP($K70,Scenarios!$A$17:$F$73,5,FALSE))</f>
        <v>0</v>
      </c>
      <c r="AC70" s="6">
        <f>W70+AA70+AB70</f>
        <v>1863.6</v>
      </c>
      <c r="AD70" s="6">
        <f t="shared" ref="AD70:AD115" si="186">ROUNDUP(AA70+S70+AB70+T70+W70+O70,0)</f>
        <v>36294</v>
      </c>
      <c r="AE70" s="84">
        <f t="shared" ref="AE70:AE73" si="187">AD70/O70-1</f>
        <v>5.4138832413592741E-2</v>
      </c>
      <c r="AF70" s="6">
        <f t="shared" ref="AF70:AF73" si="188">_xlfn.DAYS($AF$1,P70)/30</f>
        <v>34.966666666666669</v>
      </c>
      <c r="AG70" s="6">
        <f>IF(AND(OR(I70="50101",I70="50102"),$AF70&gt;12),IF($AF70&gt;=300,(300*Scenarios!$B$14)*$E70,($AF70*Scenarios!$B$14)*$E70),0)</f>
        <v>174.83333333333334</v>
      </c>
      <c r="AH70" s="6">
        <f>IF($R70="y",IF($T70&gt;0,Scenarios!$B$10*'Prop Budget Calc'!$E70,Scenarios!$B$13*'Prop Budget Calc'!$E70))</f>
        <v>0</v>
      </c>
      <c r="AI70" s="6">
        <f>SUMIFS('Deduction Valuation'!$G:$G,'Deduction Valuation'!$F:$F,"CT - Certifications",'Deduction Valuation'!$B:$B,'Prop Budget Calc'!$A70)*$AI$3</f>
        <v>0</v>
      </c>
      <c r="AJ70" s="6">
        <f>SUMIFS('Deduction Valuation'!$G:$G,'Deduction Valuation'!$F:$F,"RP - Regional Pay",'Deduction Valuation'!$B:$B,'Prop Budget Calc'!$A70)*$AI$3</f>
        <v>0</v>
      </c>
      <c r="AK70" s="6">
        <f t="shared" si="169"/>
        <v>0</v>
      </c>
      <c r="AL70" s="6">
        <f>SUMIFS('Deduction Valuation'!$G:$G,'Deduction Valuation'!$F:$F,"CR - Car Allowance",'Deduction Valuation'!$B:$B,'Prop Budget Calc'!$A70)*$AI$3</f>
        <v>0</v>
      </c>
      <c r="AM70" s="6">
        <f>SUMIFS('Deduction Valuation'!$G:$G,'Deduction Valuation'!$F:$F,"DA - Device Allow",'Deduction Valuation'!$B:$B,'Prop Budget Calc'!$A70)*$AI$3</f>
        <v>0</v>
      </c>
      <c r="AN70" s="6">
        <f>SUMIFS('Deduction Valuation'!$G:$G,'Deduction Valuation'!$F:$F,"RA - Replace Allow",'Deduction Valuation'!$B:$B,'Prop Budget Calc'!$A70)</f>
        <v>0</v>
      </c>
      <c r="AO70" s="94">
        <f t="shared" si="170"/>
        <v>0</v>
      </c>
      <c r="AP70" s="94">
        <f t="shared" si="171"/>
        <v>36468.833333333336</v>
      </c>
      <c r="AQ70" s="10">
        <f>IF(OR($I70="50101", $I70="50102", $I70="50109", $I70="50140"),AP70*Scenarios!$H$8,0)</f>
        <v>6177.8203666666668</v>
      </c>
      <c r="AR70" s="9">
        <f>VLOOKUP($D70,WKCMP!$A$1:$C$15,3,FALSE)*AP70</f>
        <v>50.239464800000015</v>
      </c>
      <c r="AS70" s="10">
        <f t="shared" si="172"/>
        <v>528.79808333333335</v>
      </c>
      <c r="AT70" s="11">
        <f t="shared" si="173"/>
        <v>2261.0676666666668</v>
      </c>
      <c r="AU70" s="10">
        <f t="shared" si="174"/>
        <v>2790</v>
      </c>
      <c r="AV70" s="6">
        <f t="shared" si="175"/>
        <v>65.643900000000002</v>
      </c>
      <c r="AW70" s="19">
        <f t="shared" si="176"/>
        <v>79.2</v>
      </c>
      <c r="AX70" s="19">
        <f t="shared" si="177"/>
        <v>15.6</v>
      </c>
      <c r="AY70" s="19">
        <f t="shared" si="178"/>
        <v>11.28</v>
      </c>
      <c r="AZ70" s="88">
        <f t="shared" si="179"/>
        <v>171.72390000000001</v>
      </c>
      <c r="BA70" s="6">
        <f>IF(AND($C70="vacant vacant",$E70=1),$BA$2*$AZ$3,SUMIFS('Employee Enrollments'!$AE:$AE,'Employee Enrollments'!$S:$S,"Medical HDHP",'Employee Enrollments'!$C:$C,'Prop Budget Calc'!$A70)*$AZ$3*(1+Scenarios!$E$9))*(1-$BA$3)</f>
        <v>0</v>
      </c>
      <c r="BB70" s="6">
        <f>IF(AND($C70="vacant vacant",$E70=1),500,SUMIFS('Employee Enrollments'!$AE:$AE,'Employee Enrollments'!$S:$S,"Health Savings Account",'Employee Enrollments'!$C:$C,'Prop Budget Calc'!$A70))</f>
        <v>0</v>
      </c>
      <c r="BC70" s="56">
        <f t="shared" si="180"/>
        <v>0</v>
      </c>
      <c r="BD70" s="6">
        <f>IF(AND($C70="vacant vacant",$E70=1),$BD$2*$AZ$3,SUMIFS('Employee Enrollments'!$AE:$AE,'Employee Enrollments'!$S:$S,"Dental Plan",'Employee Enrollments'!$C:$C,'Prop Budget Calc'!$A70)*$AZ$3)</f>
        <v>434.76</v>
      </c>
      <c r="BE70" s="6">
        <f t="shared" si="181"/>
        <v>606.48389999999995</v>
      </c>
      <c r="BF70" s="6">
        <f t="shared" si="182"/>
        <v>9624.5437314666669</v>
      </c>
      <c r="BG70" s="6">
        <f t="shared" si="183"/>
        <v>46093.377064800006</v>
      </c>
      <c r="BH70" s="14"/>
      <c r="BI70" s="56"/>
      <c r="BJ70" s="93">
        <f t="shared" si="184"/>
        <v>1131.8676628352489</v>
      </c>
      <c r="BK70" s="10">
        <f>IF(SUMIFS('Employee Enrollments'!AB:AB,'Employee Enrollments'!C:C,'Prop Budget Calc'!$A70,'Employee Enrollments'!Q:Q,"Medical")*12=0,'Employee Enrollments'!$AN$1,(SUMIFS('Employee Enrollments'!AB:AB,'Employee Enrollments'!C:C,'Prop Budget Calc'!$A70,'Employee Enrollments'!Q:Q,"Medical")*12))</f>
        <v>1131.8676628352489</v>
      </c>
      <c r="BL70" s="10">
        <f>SUMIFS('Employee Enrollments'!AB:AB,'Employee Enrollments'!C:C,'Prop Budget Calc'!$A70,'Employee Enrollments'!Q:Q,"Dental")*12</f>
        <v>0</v>
      </c>
    </row>
    <row r="71" spans="1:68" s="1" customFormat="1" ht="12.75" customHeight="1">
      <c r="A71" s="20" t="s">
        <v>1474</v>
      </c>
      <c r="B71" s="3" t="str">
        <f>IF(IFERROR(VLOOKUP($A71,'Base Pay Report'!$A:$V,'Prop Budget Calc'!B$2,FALSE),"NO")="No","Update",PROPER(VLOOKUP($A71,'Base Pay Report'!$A:$V,'Prop Budget Calc'!B$2,FALSE)))</f>
        <v>Construction Inspector</v>
      </c>
      <c r="C71" s="3" t="str">
        <f>IF(IFERROR(VLOOKUP($A71,'Base Pay Report'!$A:$V,'Prop Budget Calc'!C$2,FALSE),"NO")="No","Update",PROPER(VLOOKUP($A71,'Base Pay Report'!$A:$V,'Prop Budget Calc'!C$2,FALSE)))</f>
        <v>First Name Last Name</v>
      </c>
      <c r="D71" s="3" t="str">
        <f>IF(IFERROR(VLOOKUP($A71,'Base Pay Report'!$A:$V,'Prop Budget Calc'!D$2,FALSE),"NO")="No","Update",PROPER(VLOOKUP($A71,'Base Pay Report'!$A:$V,'Prop Budget Calc'!D$2,FALSE)))</f>
        <v>4511</v>
      </c>
      <c r="E71" s="8">
        <f t="shared" si="161"/>
        <v>1</v>
      </c>
      <c r="F71" s="3" t="str">
        <f>IF(IFERROR(VLOOKUP($A71,'Base Pay Report'!$A:$V,'Prop Budget Calc'!F$2,FALSE),"NO")="No","Update",PROPER(VLOOKUP($A71,'Base Pay Report'!$A:$V,'Prop Budget Calc'!F$2,FALSE)))</f>
        <v>400-81-815-50102</v>
      </c>
      <c r="G71" s="3" t="str">
        <f t="shared" si="162"/>
        <v>400-81-815</v>
      </c>
      <c r="H71" s="49" t="str">
        <f t="shared" si="163"/>
        <v>400</v>
      </c>
      <c r="I71" s="3" t="str">
        <f t="shared" si="164"/>
        <v>50102</v>
      </c>
      <c r="J71" s="3" t="str">
        <f t="shared" si="165"/>
        <v>81</v>
      </c>
      <c r="K71" s="3" t="str">
        <f t="shared" si="166"/>
        <v>815</v>
      </c>
      <c r="L71" s="3">
        <f>IF(SUMIF('Base Pay Report'!$A:$A,'Prop Budget Calc'!$A71,'Base Pay Report'!$I:$I)=80,SUMIF('Base Pay Report'!$A:$A,'Prop Budget Calc'!$A71,'Base Pay Report'!$H:$H)/SUMIF('Base Pay Report'!$A:$A,'Prop Budget Calc'!$A71,'Base Pay Report'!$I:$I),SUMIF('Base Pay Report'!$A:$A,'Prop Budget Calc'!$A71,'Base Pay Report'!$H:$H))</f>
        <v>33.43</v>
      </c>
      <c r="M71" s="3">
        <f t="shared" ref="M71:M73" si="189">IF(G71="100-35-352",2912,IF(N71=$N$3,36*52,E71*2080))</f>
        <v>2080</v>
      </c>
      <c r="N71" s="3" t="str">
        <f>IF(IFERROR(VLOOKUP($A71,'Base Pay Report'!$A:$V,'Prop Budget Calc'!N$2,FALSE),"NO")="No","Update",(VLOOKUP($A71,'Base Pay Report'!$A:$V,'Prop Budget Calc'!N$2,FALSE)))</f>
        <v>FT HOURLY</v>
      </c>
      <c r="O71" s="6">
        <f t="shared" si="167"/>
        <v>69540</v>
      </c>
      <c r="P71" s="99">
        <f>IF(SUMIF('Base Pay Report'!A:A,$A71,'Base Pay Report'!J:J)=0,$P$1+40,SUMIF('Base Pay Report'!A:A,$A71,'Base Pay Report'!J:J))</f>
        <v>38775</v>
      </c>
      <c r="Q71" s="87" t="str">
        <f>IF($B71='Current Step Plans'!$B$36,HLOOKUP('Prop Budget Calc'!$L71,'Current Step Plans'!$C$36:$Q$42,7,FALSE),IF($B71='Current Step Plans'!$B$37,HLOOKUP('Prop Budget Calc'!$L71,'Current Step Plans'!$C$37:$Q$42,6,FALSE),IF($B71='Current Step Plans'!$B$38,HLOOKUP('Prop Budget Calc'!$L71,'Current Step Plans'!$C$38:$Q$42,5,FALSE),IF($B71='Current Step Plans'!$B$39,HLOOKUP('Prop Budget Calc'!$L71,'Current Step Plans'!$C$39:$Q$42,4,FALSE),IF($B71='Current Step Plans'!$B$40,HLOOKUP('Prop Budget Calc'!$L71,'Current Step Plans'!$C$40:$Q$42,3,FALSE),IF($B71='Current Step Plans'!$B$41,HLOOKUP('Prop Budget Calc'!$L71,'Current Step Plans'!$C$41:$Q$42,2,FALSE),IF($B71='Current Step Plans'!$B$50,HLOOKUP('Prop Budget Calc'!$L71,'Current Step Plans'!$C$50:$Q$56,7,FALSE),IF($B71='Current Step Plans'!$B$51,HLOOKUP('Prop Budget Calc'!$L71,'Current Step Plans'!$C$51:$Q$56,6,FALSE),IF($B71='Current Step Plans'!$B$52,HLOOKUP('Prop Budget Calc'!$L71,'Current Step Plans'!$C$52:$Q$56,5,FALSE), IF($B71='Current Step Plans'!$B$53,HLOOKUP('Prop Budget Calc'!$L71,'Current Step Plans'!$C$53:$Q$56,4,FALSE),IF($B71='Current Step Plans'!$B$54,HLOOKUP('Prop Budget Calc'!$L71,'Current Step Plans'!$C$54:$Q$56,3,FALSE),IF($B71='Current Step Plans'!$B$55,HLOOKUP('Prop Budget Calc'!$L71,'Current Step Plans'!$C$55:$Q$56,2,FALSE),IF($B71='Current Step Plans'!$B$65,HLOOKUP('Prop Budget Calc'!$L71,'Current Step Plans'!$C$65:$Q$75,11,FALSE),IF($B71='Current Step Plans'!$B$66,HLOOKUP('Prop Budget Calc'!$L71,'Current Step Plans'!$C$66:$Q$75,10,FALSE),IF($B71='Current Step Plans'!$B$67,HLOOKUP('Prop Budget Calc'!$L71,'Current Step Plans'!$C$67:$Q$75,9,FALSE),IF($B71='Current Step Plans'!$B$68,HLOOKUP('Prop Budget Calc'!$L71,'Current Step Plans'!$C$68:$Q$75,8,FALSE),IF($B71='Current Step Plans'!$B$69,HLOOKUP('Prop Budget Calc'!$L71,'Current Step Plans'!$C$69:$Q$75,7,FALSE),IF($B71='Current Step Plans'!$B$70,HLOOKUP('Prop Budget Calc'!$L71,'Current Step Plans'!$C$70:$Q$75,6,FALSE),IF($B71='Current Step Plans'!$B$71,HLOOKUP('Prop Budget Calc'!$L71,'Current Step Plans'!$C$71:$Q$75,5,FALSE),IF($B71='Current Step Plans'!$B$72,HLOOKUP('Prop Budget Calc'!$L71,'Current Step Plans'!$C$72:$Q$75,4,FALSE),IF($B71='Current Step Plans'!$B$73,HLOOKUP('Prop Budget Calc'!$L71,'Current Step Plans'!$C$73:$Q$75,3,FALSE),IF($B71='Current Step Plans'!$B$74,HLOOKUP('Prop Budget Calc'!$L71,'Current Step Plans'!$C$74:$Q$75,2,FALSE),"N"))))))))))))))))))))))</f>
        <v>N</v>
      </c>
      <c r="R71" s="9" t="str">
        <f t="shared" si="185"/>
        <v>Y</v>
      </c>
      <c r="S71" s="6">
        <f>IF(Q71="n",0,ROUNDUP(VLOOKUP(B71,'Proposed Step Plans'!B:T,'Prop Budget Calc'!Q71+2,FALSE)*M71,-2)-O71-T71)</f>
        <v>0</v>
      </c>
      <c r="T71" s="6">
        <f>IF(Q71="n",0,ROUNDUP(VLOOKUP(B71,'Current Step Plans'!B:T,'Prop Budget Calc'!Q71+2,FALSE)*M71,0)-O71)</f>
        <v>0</v>
      </c>
      <c r="U71" s="6">
        <f>IF(IFERROR(VLOOKUP($A71,'Market Study'!$A$5:$G$82,7,FALSE),"NA")="NA",0,VLOOKUP($A71,'Market Study'!$A$5:$G$82,7,FALSE))</f>
        <v>0</v>
      </c>
      <c r="V71" s="6">
        <f>IF(OR($T71&lt;&gt;0,$I71="50112",$I71="50109",$S71&lt;&gt;0),0,VLOOKUP($K71,Scenarios!$A$17:$F$73,6,FALSE)*$O71)</f>
        <v>1390.8</v>
      </c>
      <c r="W71" s="6">
        <f t="shared" ref="W71:W73" si="190">IF(U71&gt;V71,U71,V71)</f>
        <v>1390.8</v>
      </c>
      <c r="X71" s="6">
        <f>IF(OR($T71&lt;&gt;0,$I71="50112",$I71="50109",$S71&lt;&gt;0),0,VLOOKUP($K71,Scenarios!$A$17:$F$73,2,FALSE)*$O71)</f>
        <v>1390.8</v>
      </c>
      <c r="Y71" s="6">
        <f>IF(OR($T71&lt;&gt;0,$I71="50110",$I71="50109",$S71&lt;&gt;0),0,VLOOKUP($K71,Scenarios!$A$17:$F$73,3,FALSE))</f>
        <v>1175</v>
      </c>
      <c r="Z71" s="6">
        <f>IF(OR($T71&lt;&gt;0,$I71="50112",$I71="50109",$S71&lt;&gt;0),0,VLOOKUP($K71,Scenarios!$A$17:$F$73,4,FALSE))</f>
        <v>0</v>
      </c>
      <c r="AA71" s="6">
        <f t="shared" ref="AA71:AA73" si="191">IF(X71&lt;Y71,Y71,IF(AND(X71&gt;Z71,Z71&gt;1),Z71,X71))</f>
        <v>1390.8</v>
      </c>
      <c r="AB71" s="6">
        <f>IF(OR($T71&lt;&gt;0,$I71="50112",$I71="50109",$S71&lt;&gt;0),0,VLOOKUP($K71,Scenarios!$A$17:$F$73,5,FALSE))</f>
        <v>0</v>
      </c>
      <c r="AC71" s="6">
        <f t="shared" si="168"/>
        <v>2781.6</v>
      </c>
      <c r="AD71" s="6">
        <f t="shared" si="186"/>
        <v>72322</v>
      </c>
      <c r="AE71" s="84">
        <f t="shared" si="187"/>
        <v>4.0005752085130908E-2</v>
      </c>
      <c r="AF71" s="6">
        <f t="shared" si="188"/>
        <v>229.4</v>
      </c>
      <c r="AG71" s="6">
        <f>IF(AND(OR(I71="50101",I71="50102"),$AF71&gt;12),IF($AF71&gt;=300,(300*Scenarios!$B$14)*$E71,($AF71*Scenarios!$B$14)*$E71),0)</f>
        <v>1147</v>
      </c>
      <c r="AH71" s="6">
        <f>IF($R71="y",IF($T71&gt;0,Scenarios!$B$10*'Prop Budget Calc'!$E71,Scenarios!$B$13*'Prop Budget Calc'!$E71))</f>
        <v>0</v>
      </c>
      <c r="AI71" s="6">
        <f>SUMIFS('Deduction Valuation'!$G:$G,'Deduction Valuation'!$F:$F,"CT - Certifications",'Deduction Valuation'!$B:$B,'Prop Budget Calc'!$A71)*$AI$3</f>
        <v>0</v>
      </c>
      <c r="AJ71" s="6">
        <f>SUMIFS('Deduction Valuation'!$G:$G,'Deduction Valuation'!$F:$F,"RP - Regional Pay",'Deduction Valuation'!$B:$B,'Prop Budget Calc'!$A71)*$AI$3</f>
        <v>0</v>
      </c>
      <c r="AK71" s="6">
        <f t="shared" si="169"/>
        <v>0</v>
      </c>
      <c r="AL71" s="6">
        <f>SUMIFS('Deduction Valuation'!$G:$G,'Deduction Valuation'!$F:$F,"CR - Car Allowance",'Deduction Valuation'!$B:$B,'Prop Budget Calc'!$A71)*$AI$3</f>
        <v>0</v>
      </c>
      <c r="AM71" s="6">
        <f>SUMIFS('Deduction Valuation'!$G:$G,'Deduction Valuation'!$F:$F,"DA - Device Allow",'Deduction Valuation'!$B:$B,'Prop Budget Calc'!$A71)*$AI$3</f>
        <v>1140</v>
      </c>
      <c r="AN71" s="6">
        <f>SUMIFS('Deduction Valuation'!$G:$G,'Deduction Valuation'!$F:$F,"RA - Replace Allow",'Deduction Valuation'!$B:$B,'Prop Budget Calc'!$A71)</f>
        <v>75</v>
      </c>
      <c r="AO71" s="94">
        <f t="shared" si="170"/>
        <v>1215</v>
      </c>
      <c r="AP71" s="94">
        <f t="shared" si="171"/>
        <v>74684</v>
      </c>
      <c r="AQ71" s="10">
        <f>IF(OR($I71="50101", $I71="50102", $I71="50109", $I71="50140"),AP71*Scenarios!$H$8,0)</f>
        <v>12651.4696</v>
      </c>
      <c r="AR71" s="9">
        <f>VLOOKUP($D71,WKCMP!$A$1:$C$15,3,FALSE)*AP71</f>
        <v>218.31626879999999</v>
      </c>
      <c r="AS71" s="10">
        <f t="shared" si="172"/>
        <v>1082.9180000000001</v>
      </c>
      <c r="AT71" s="11">
        <f t="shared" si="173"/>
        <v>4630.4080000000004</v>
      </c>
      <c r="AU71" s="10">
        <f t="shared" si="174"/>
        <v>5720</v>
      </c>
      <c r="AV71" s="6">
        <f t="shared" si="175"/>
        <v>134.43119999999999</v>
      </c>
      <c r="AW71" s="19">
        <f t="shared" si="176"/>
        <v>79.2</v>
      </c>
      <c r="AX71" s="19">
        <f t="shared" si="177"/>
        <v>15.6</v>
      </c>
      <c r="AY71" s="19">
        <f t="shared" si="178"/>
        <v>11.28</v>
      </c>
      <c r="AZ71" s="88">
        <f t="shared" si="179"/>
        <v>240.51119999999997</v>
      </c>
      <c r="BA71" s="6">
        <f>IF(AND($C71="vacant vacant",$E71=1),$BA$2*$AZ$3,SUMIFS('Employee Enrollments'!$AE:$AE,'Employee Enrollments'!$S:$S,"Medical HDHP",'Employee Enrollments'!$C:$C,'Prop Budget Calc'!$A71)*$AZ$3*(1+Scenarios!$E$9))*(1-$BA$3)</f>
        <v>9797.7907439999999</v>
      </c>
      <c r="BB71" s="6">
        <f>IF(AND($C71="vacant vacant",$E71=1),500,SUMIFS('Employee Enrollments'!$AE:$AE,'Employee Enrollments'!$S:$S,"Health Savings Account",'Employee Enrollments'!$C:$C,'Prop Budget Calc'!$A71))</f>
        <v>500.05</v>
      </c>
      <c r="BC71" s="56">
        <f t="shared" si="180"/>
        <v>10297.840743999999</v>
      </c>
      <c r="BD71" s="6">
        <f>IF(AND($C71="vacant vacant",$E71=1),$BD$2*$AZ$3,SUMIFS('Employee Enrollments'!$AE:$AE,'Employee Enrollments'!$S:$S,"Dental Plan",'Employee Enrollments'!$C:$C,'Prop Budget Calc'!$A71)*$AZ$3)</f>
        <v>434.76</v>
      </c>
      <c r="BE71" s="6">
        <f t="shared" si="181"/>
        <v>10973.111944</v>
      </c>
      <c r="BF71" s="6">
        <f t="shared" si="182"/>
        <v>29562.897812800002</v>
      </c>
      <c r="BG71" s="6">
        <f t="shared" si="183"/>
        <v>104246.8978128</v>
      </c>
      <c r="BH71" s="14"/>
      <c r="BI71" s="56"/>
      <c r="BJ71" s="93">
        <f t="shared" si="184"/>
        <v>10449.415200000001</v>
      </c>
      <c r="BK71" s="10">
        <f>IF(SUMIFS('Employee Enrollments'!AB:AB,'Employee Enrollments'!C:C,'Prop Budget Calc'!$A71,'Employee Enrollments'!Q:Q,"Medical")*12=0,'Employee Enrollments'!$AN$1,(SUMIFS('Employee Enrollments'!AB:AB,'Employee Enrollments'!C:C,'Prop Budget Calc'!$A71,'Employee Enrollments'!Q:Q,"Medical")*12))</f>
        <v>348.6</v>
      </c>
      <c r="BL71" s="10">
        <f>SUMIFS('Employee Enrollments'!AB:AB,'Employee Enrollments'!C:C,'Prop Budget Calc'!$A71,'Employee Enrollments'!Q:Q,"Dental")*12</f>
        <v>0</v>
      </c>
    </row>
    <row r="72" spans="1:68" s="1" customFormat="1" ht="12.75" customHeight="1">
      <c r="A72" s="20" t="s">
        <v>1385</v>
      </c>
      <c r="B72" s="3" t="str">
        <f>IF(IFERROR(VLOOKUP($A72,'Base Pay Report'!$A:$V,'Prop Budget Calc'!B$2,FALSE),"NO")="No","Update",PROPER(VLOOKUP($A72,'Base Pay Report'!$A:$V,'Prop Budget Calc'!B$2,FALSE)))</f>
        <v>Heavy Equipment Operator</v>
      </c>
      <c r="C72" s="3" t="str">
        <f>IF(IFERROR(VLOOKUP($A72,'Base Pay Report'!$A:$V,'Prop Budget Calc'!C$2,FALSE),"NO")="No","Update",PROPER(VLOOKUP($A72,'Base Pay Report'!$A:$V,'Prop Budget Calc'!C$2,FALSE)))</f>
        <v>First Name Last Name</v>
      </c>
      <c r="D72" s="3" t="str">
        <f>IF(IFERROR(VLOOKUP($A72,'Base Pay Report'!$A:$V,'Prop Budget Calc'!D$2,FALSE),"NO")="No","Update",PROPER(VLOOKUP($A72,'Base Pay Report'!$A:$V,'Prop Budget Calc'!D$2,FALSE)))</f>
        <v>5506</v>
      </c>
      <c r="E72" s="8">
        <f t="shared" ref="E72:E73" si="192">IF(OR(I72="50101",I72="50102"),1,IF(I72="50110",0.48,IF(I72="50112",0.25,1)))</f>
        <v>1</v>
      </c>
      <c r="F72" s="3" t="str">
        <f>IF(IFERROR(VLOOKUP($A72,'Base Pay Report'!$A:$V,'Prop Budget Calc'!F$2,FALSE),"NO")="No","Update",PROPER(VLOOKUP($A72,'Base Pay Report'!$A:$V,'Prop Budget Calc'!F$2,FALSE)))</f>
        <v>400-81-815-50102</v>
      </c>
      <c r="G72" s="3" t="str">
        <f t="shared" ref="G72:G73" si="193">LEFT(F72,10)</f>
        <v>400-81-815</v>
      </c>
      <c r="H72" s="49" t="str">
        <f t="shared" ref="H72:H73" si="194">LEFT(F72,3)</f>
        <v>400</v>
      </c>
      <c r="I72" s="3" t="str">
        <f t="shared" ref="I72:I73" si="195">MID(F72,12,5)</f>
        <v>50102</v>
      </c>
      <c r="J72" s="3" t="str">
        <f t="shared" ref="J72:J73" si="196">MID(F72,5,2)</f>
        <v>81</v>
      </c>
      <c r="K72" s="3" t="str">
        <f t="shared" ref="K72:K73" si="197">MID(F72,8,3)</f>
        <v>815</v>
      </c>
      <c r="L72" s="3">
        <f>IF(SUMIF('Base Pay Report'!$A:$A,'Prop Budget Calc'!$A72,'Base Pay Report'!$I:$I)=80,SUMIF('Base Pay Report'!$A:$A,'Prop Budget Calc'!$A72,'Base Pay Report'!$H:$H)/SUMIF('Base Pay Report'!$A:$A,'Prop Budget Calc'!$A72,'Base Pay Report'!$I:$I),SUMIF('Base Pay Report'!$A:$A,'Prop Budget Calc'!$A72,'Base Pay Report'!$H:$H))</f>
        <v>30.56</v>
      </c>
      <c r="M72" s="3">
        <f t="shared" si="189"/>
        <v>1872</v>
      </c>
      <c r="N72" s="3" t="str">
        <f>IF(IFERROR(VLOOKUP($A72,'Base Pay Report'!$A:$V,'Prop Budget Calc'!N$2,FALSE),"NO")="No","Update",(VLOOKUP($A72,'Base Pay Report'!$A:$V,'Prop Budget Calc'!N$2,FALSE)))</f>
        <v>FT HOURLY- 4-9</v>
      </c>
      <c r="O72" s="6">
        <f t="shared" ref="O72:O73" si="198">ROUNDUP(L72*M72,-1)</f>
        <v>57210</v>
      </c>
      <c r="P72" s="99">
        <f>IF(SUMIF('Base Pay Report'!A:A,$A72,'Base Pay Report'!J:J)=0,$P$1+40,SUMIF('Base Pay Report'!A:A,$A72,'Base Pay Report'!J:J))</f>
        <v>37004</v>
      </c>
      <c r="Q72" s="87" t="str">
        <f>IF($B72='Current Step Plans'!$B$36,HLOOKUP('Prop Budget Calc'!$L72,'Current Step Plans'!$C$36:$Q$42,7,FALSE),IF($B72='Current Step Plans'!$B$37,HLOOKUP('Prop Budget Calc'!$L72,'Current Step Plans'!$C$37:$Q$42,6,FALSE),IF($B72='Current Step Plans'!$B$38,HLOOKUP('Prop Budget Calc'!$L72,'Current Step Plans'!$C$38:$Q$42,5,FALSE),IF($B72='Current Step Plans'!$B$39,HLOOKUP('Prop Budget Calc'!$L72,'Current Step Plans'!$C$39:$Q$42,4,FALSE),IF($B72='Current Step Plans'!$B$40,HLOOKUP('Prop Budget Calc'!$L72,'Current Step Plans'!$C$40:$Q$42,3,FALSE),IF($B72='Current Step Plans'!$B$41,HLOOKUP('Prop Budget Calc'!$L72,'Current Step Plans'!$C$41:$Q$42,2,FALSE),IF($B72='Current Step Plans'!$B$50,HLOOKUP('Prop Budget Calc'!$L72,'Current Step Plans'!$C$50:$Q$56,7,FALSE),IF($B72='Current Step Plans'!$B$51,HLOOKUP('Prop Budget Calc'!$L72,'Current Step Plans'!$C$51:$Q$56,6,FALSE),IF($B72='Current Step Plans'!$B$52,HLOOKUP('Prop Budget Calc'!$L72,'Current Step Plans'!$C$52:$Q$56,5,FALSE), IF($B72='Current Step Plans'!$B$53,HLOOKUP('Prop Budget Calc'!$L72,'Current Step Plans'!$C$53:$Q$56,4,FALSE),IF($B72='Current Step Plans'!$B$54,HLOOKUP('Prop Budget Calc'!$L72,'Current Step Plans'!$C$54:$Q$56,3,FALSE),IF($B72='Current Step Plans'!$B$55,HLOOKUP('Prop Budget Calc'!$L72,'Current Step Plans'!$C$55:$Q$56,2,FALSE),IF($B72='Current Step Plans'!$B$65,HLOOKUP('Prop Budget Calc'!$L72,'Current Step Plans'!$C$65:$Q$75,11,FALSE),IF($B72='Current Step Plans'!$B$66,HLOOKUP('Prop Budget Calc'!$L72,'Current Step Plans'!$C$66:$Q$75,10,FALSE),IF($B72='Current Step Plans'!$B$67,HLOOKUP('Prop Budget Calc'!$L72,'Current Step Plans'!$C$67:$Q$75,9,FALSE),IF($B72='Current Step Plans'!$B$68,HLOOKUP('Prop Budget Calc'!$L72,'Current Step Plans'!$C$68:$Q$75,8,FALSE),IF($B72='Current Step Plans'!$B$69,HLOOKUP('Prop Budget Calc'!$L72,'Current Step Plans'!$C$69:$Q$75,7,FALSE),IF($B72='Current Step Plans'!$B$70,HLOOKUP('Prop Budget Calc'!$L72,'Current Step Plans'!$C$70:$Q$75,6,FALSE),IF($B72='Current Step Plans'!$B$71,HLOOKUP('Prop Budget Calc'!$L72,'Current Step Plans'!$C$71:$Q$75,5,FALSE),IF($B72='Current Step Plans'!$B$72,HLOOKUP('Prop Budget Calc'!$L72,'Current Step Plans'!$C$72:$Q$75,4,FALSE),IF($B72='Current Step Plans'!$B$73,HLOOKUP('Prop Budget Calc'!$L72,'Current Step Plans'!$C$73:$Q$75,3,FALSE),IF($B72='Current Step Plans'!$B$74,HLOOKUP('Prop Budget Calc'!$L72,'Current Step Plans'!$C$74:$Q$75,2,FALSE),"N"))))))))))))))))))))))</f>
        <v>N</v>
      </c>
      <c r="R72" s="9" t="str">
        <f t="shared" si="185"/>
        <v>Y</v>
      </c>
      <c r="S72" s="6">
        <f>IF(Q72="n",0,ROUNDUP(VLOOKUP(B72,'Proposed Step Plans'!B:T,'Prop Budget Calc'!Q72+2,FALSE)*M72,-2)-O72-T72)</f>
        <v>0</v>
      </c>
      <c r="T72" s="6">
        <f>IF(Q72="n",0,ROUNDUP(VLOOKUP(B72,'Current Step Plans'!B:T,'Prop Budget Calc'!Q72+2,FALSE)*M72,0)-O72)</f>
        <v>0</v>
      </c>
      <c r="U72" s="6">
        <f>IF(IFERROR(VLOOKUP($A72,'Market Study'!$A$5:$G$82,7,FALSE),"NA")="NA",0,VLOOKUP($A72,'Market Study'!$A$5:$G$82,7,FALSE))</f>
        <v>0</v>
      </c>
      <c r="V72" s="6">
        <f>IF(OR($T72&lt;&gt;0,$I72="50112",$I72="50109",$S72&lt;&gt;0),0,VLOOKUP($K72,Scenarios!$A$17:$F$73,6,FALSE)*$O72)</f>
        <v>1144.2</v>
      </c>
      <c r="W72" s="6">
        <f t="shared" si="190"/>
        <v>1144.2</v>
      </c>
      <c r="X72" s="6">
        <f>IF(OR($T72&lt;&gt;0,$I72="50112",$I72="50109",$S72&lt;&gt;0),0,VLOOKUP($K72,Scenarios!$A$17:$F$73,2,FALSE)*$O72)</f>
        <v>1144.2</v>
      </c>
      <c r="Y72" s="6">
        <f>IF(OR($T72&lt;&gt;0,$I72="50110",$I72="50109",$S72&lt;&gt;0),0,VLOOKUP($K72,Scenarios!$A$17:$F$73,3,FALSE))</f>
        <v>1175</v>
      </c>
      <c r="Z72" s="6">
        <f>IF(OR($T72&lt;&gt;0,$I72="50112",$I72="50109",$S72&lt;&gt;0),0,VLOOKUP($K72,Scenarios!$A$17:$F$73,4,FALSE))</f>
        <v>0</v>
      </c>
      <c r="AA72" s="6">
        <f t="shared" si="191"/>
        <v>1175</v>
      </c>
      <c r="AB72" s="6">
        <f>IF(OR($T72&lt;&gt;0,$I72="50112",$I72="50109",$S72&lt;&gt;0),0,VLOOKUP($K72,Scenarios!$A$17:$F$73,5,FALSE))</f>
        <v>0</v>
      </c>
      <c r="AC72" s="6">
        <f t="shared" ref="AC72:AC73" si="199">W72+AA72+AB72</f>
        <v>2319.1999999999998</v>
      </c>
      <c r="AD72" s="6">
        <f t="shared" si="186"/>
        <v>59530</v>
      </c>
      <c r="AE72" s="84">
        <f t="shared" si="187"/>
        <v>4.055235098758958E-2</v>
      </c>
      <c r="AF72" s="6">
        <f t="shared" si="188"/>
        <v>288.43333333333334</v>
      </c>
      <c r="AG72" s="6">
        <f>IF(AND(OR(I72="50101",I72="50102"),$AF72&gt;12),IF($AF72&gt;=300,(300*Scenarios!$B$14)*$E72,($AF72*Scenarios!$B$14)*$E72),0)</f>
        <v>1442.1666666666667</v>
      </c>
      <c r="AH72" s="6">
        <f>IF($R72="y",IF($T72&gt;0,Scenarios!$B$10*'Prop Budget Calc'!$E72,Scenarios!$B$13*'Prop Budget Calc'!$E72))</f>
        <v>0</v>
      </c>
      <c r="AI72" s="6">
        <f>SUMIFS('Deduction Valuation'!$G:$G,'Deduction Valuation'!$F:$F,"CT - Certifications",'Deduction Valuation'!$B:$B,'Prop Budget Calc'!$A72)*$AI$3</f>
        <v>0</v>
      </c>
      <c r="AJ72" s="6">
        <f>SUMIFS('Deduction Valuation'!$G:$G,'Deduction Valuation'!$F:$F,"RP - Regional Pay",'Deduction Valuation'!$B:$B,'Prop Budget Calc'!$A72)*$AI$3</f>
        <v>0</v>
      </c>
      <c r="AK72" s="6">
        <f t="shared" si="169"/>
        <v>0</v>
      </c>
      <c r="AL72" s="6">
        <f>SUMIFS('Deduction Valuation'!$G:$G,'Deduction Valuation'!$F:$F,"CR - Car Allowance",'Deduction Valuation'!$B:$B,'Prop Budget Calc'!$A72)*$AI$3</f>
        <v>0</v>
      </c>
      <c r="AM72" s="6">
        <f>SUMIFS('Deduction Valuation'!$G:$G,'Deduction Valuation'!$F:$F,"DA - Device Allow",'Deduction Valuation'!$B:$B,'Prop Budget Calc'!$A72)*$AI$3</f>
        <v>0</v>
      </c>
      <c r="AN72" s="6">
        <f>SUMIFS('Deduction Valuation'!$G:$G,'Deduction Valuation'!$F:$F,"RA - Replace Allow",'Deduction Valuation'!$B:$B,'Prop Budget Calc'!$A72)</f>
        <v>0</v>
      </c>
      <c r="AO72" s="94">
        <f t="shared" si="170"/>
        <v>0</v>
      </c>
      <c r="AP72" s="94">
        <f t="shared" si="171"/>
        <v>60972.166666666664</v>
      </c>
      <c r="AQ72" s="10">
        <f>IF(OR($I72="50101", $I72="50102", $I72="50109", $I72="50140"),AP72*Scenarios!$H$8,0)</f>
        <v>10328.685033333333</v>
      </c>
      <c r="AR72" s="9">
        <f>VLOOKUP($D72,WKCMP!$A$1:$C$15,3,FALSE)*AP72</f>
        <v>1483.2333152000003</v>
      </c>
      <c r="AS72" s="10">
        <f t="shared" si="172"/>
        <v>884.09641666666664</v>
      </c>
      <c r="AT72" s="11">
        <f t="shared" si="173"/>
        <v>3780.2743333333333</v>
      </c>
      <c r="AU72" s="10">
        <f t="shared" si="174"/>
        <v>4670</v>
      </c>
      <c r="AV72" s="6">
        <f t="shared" si="175"/>
        <v>109.7499</v>
      </c>
      <c r="AW72" s="19">
        <f t="shared" si="176"/>
        <v>79.2</v>
      </c>
      <c r="AX72" s="19">
        <f t="shared" si="177"/>
        <v>15.6</v>
      </c>
      <c r="AY72" s="19">
        <f t="shared" si="178"/>
        <v>11.28</v>
      </c>
      <c r="AZ72" s="88">
        <f t="shared" si="179"/>
        <v>215.82990000000001</v>
      </c>
      <c r="BA72" s="6">
        <f>IF(AND($C72="vacant vacant",$E72=1),$BA$2*$AZ$3,SUMIFS('Employee Enrollments'!$AE:$AE,'Employee Enrollments'!$S:$S,"Medical HDHP",'Employee Enrollments'!$C:$C,'Prop Budget Calc'!$A72)*$AZ$3*(1+Scenarios!$E$9))*(1-$BA$3)</f>
        <v>16547.240087999999</v>
      </c>
      <c r="BB72" s="6">
        <f>IF(AND($C72="vacant vacant",$E72=1),500,SUMIFS('Employee Enrollments'!$AE:$AE,'Employee Enrollments'!$S:$S,"Health Savings Account",'Employee Enrollments'!$C:$C,'Prop Budget Calc'!$A72))</f>
        <v>1000</v>
      </c>
      <c r="BC72" s="56">
        <f t="shared" si="180"/>
        <v>17547.240087999999</v>
      </c>
      <c r="BD72" s="6">
        <f>IF(AND($C72="vacant vacant",$E72=1),$BD$2*$AZ$3,SUMIFS('Employee Enrollments'!$AE:$AE,'Employee Enrollments'!$S:$S,"Dental Plan",'Employee Enrollments'!$C:$C,'Prop Budget Calc'!$A72)*$AZ$3)</f>
        <v>843.48</v>
      </c>
      <c r="BE72" s="6">
        <f t="shared" si="181"/>
        <v>18606.549987999999</v>
      </c>
      <c r="BF72" s="6">
        <f t="shared" si="182"/>
        <v>35088.468336533333</v>
      </c>
      <c r="BG72" s="6">
        <f t="shared" si="183"/>
        <v>96060.635003200005</v>
      </c>
      <c r="BH72" s="14"/>
      <c r="BI72" s="56"/>
      <c r="BJ72" s="93">
        <f t="shared" si="184"/>
        <v>19781.570400000001</v>
      </c>
      <c r="BK72" s="10">
        <f>IF(SUMIFS('Employee Enrollments'!AB:AB,'Employee Enrollments'!C:C,'Prop Budget Calc'!$A72,'Employee Enrollments'!Q:Q,"Medical")*12=0,'Employee Enrollments'!$AN$1,(SUMIFS('Employee Enrollments'!AB:AB,'Employee Enrollments'!C:C,'Prop Budget Calc'!$A72,'Employee Enrollments'!Q:Q,"Medical")*12))</f>
        <v>2722.56</v>
      </c>
      <c r="BL72" s="10">
        <f>SUMIFS('Employee Enrollments'!AB:AB,'Employee Enrollments'!C:C,'Prop Budget Calc'!$A72,'Employee Enrollments'!Q:Q,"Dental")*12</f>
        <v>364.92</v>
      </c>
      <c r="BP72" s="1">
        <v>215000</v>
      </c>
    </row>
    <row r="73" spans="1:68" s="1" customFormat="1" ht="12.75" customHeight="1">
      <c r="A73" s="456" t="s">
        <v>1937</v>
      </c>
      <c r="B73" s="3" t="str">
        <f>IF(IFERROR(VLOOKUP($A73,'Base Pay Report'!$A:$V,'Prop Budget Calc'!B$2,FALSE),"NO")="No","Update",PROPER(VLOOKUP($A73,'Base Pay Report'!$A:$V,'Prop Budget Calc'!B$2,FALSE)))</f>
        <v>Maintenance Worker Ii (Streets/Storm Drainage</v>
      </c>
      <c r="C73" s="3" t="str">
        <f>IF(IFERROR(VLOOKUP($A73,'Base Pay Report'!$A:$V,'Prop Budget Calc'!C$2,FALSE),"NO")="No","Update",PROPER(VLOOKUP($A73,'Base Pay Report'!$A:$V,'Prop Budget Calc'!C$2,FALSE)))</f>
        <v>First Name Last Name</v>
      </c>
      <c r="D73" s="3" t="str">
        <f>IF(IFERROR(VLOOKUP($A73,'Base Pay Report'!$A:$V,'Prop Budget Calc'!D$2,FALSE),"NO")="No","Update",PROPER(VLOOKUP($A73,'Base Pay Report'!$A:$V,'Prop Budget Calc'!D$2,FALSE)))</f>
        <v>5506</v>
      </c>
      <c r="E73" s="8">
        <f t="shared" si="192"/>
        <v>1</v>
      </c>
      <c r="F73" s="3" t="str">
        <f>IF(IFERROR(VLOOKUP($A73,'Base Pay Report'!$A:$V,'Prop Budget Calc'!F$2,FALSE),"NO")="No","Update",PROPER(VLOOKUP($A73,'Base Pay Report'!$A:$V,'Prop Budget Calc'!F$2,FALSE)))</f>
        <v>400-81-815-50102</v>
      </c>
      <c r="G73" s="3" t="str">
        <f t="shared" si="193"/>
        <v>400-81-815</v>
      </c>
      <c r="H73" s="49" t="str">
        <f t="shared" si="194"/>
        <v>400</v>
      </c>
      <c r="I73" s="3" t="str">
        <f t="shared" si="195"/>
        <v>50102</v>
      </c>
      <c r="J73" s="3" t="str">
        <f t="shared" si="196"/>
        <v>81</v>
      </c>
      <c r="K73" s="3" t="str">
        <f t="shared" si="197"/>
        <v>815</v>
      </c>
      <c r="L73" s="3">
        <f>IF(SUMIF('Base Pay Report'!$A:$A,'Prop Budget Calc'!$A73,'Base Pay Report'!$I:$I)=80,SUMIF('Base Pay Report'!$A:$A,'Prop Budget Calc'!$A73,'Base Pay Report'!$H:$H)/SUMIF('Base Pay Report'!$A:$A,'Prop Budget Calc'!$A73,'Base Pay Report'!$I:$I),SUMIF('Base Pay Report'!$A:$A,'Prop Budget Calc'!$A73,'Base Pay Report'!$H:$H))</f>
        <v>20.399999999999999</v>
      </c>
      <c r="M73" s="3">
        <f t="shared" si="189"/>
        <v>1872</v>
      </c>
      <c r="N73" s="3" t="str">
        <f>IF(IFERROR(VLOOKUP($A73,'Base Pay Report'!$A:$V,'Prop Budget Calc'!N$2,FALSE),"NO")="No","Update",(VLOOKUP($A73,'Base Pay Report'!$A:$V,'Prop Budget Calc'!N$2,FALSE)))</f>
        <v>FT HOURLY- 4-9</v>
      </c>
      <c r="O73" s="6">
        <f t="shared" si="198"/>
        <v>38190</v>
      </c>
      <c r="P73" s="99">
        <f>IF(SUMIF('Base Pay Report'!A:A,$A73,'Base Pay Report'!J:J)=0,$P$1+40,SUMIF('Base Pay Report'!A:A,$A73,'Base Pay Report'!J:J))</f>
        <v>45049</v>
      </c>
      <c r="Q73" s="87" t="str">
        <f>IF($B73='Current Step Plans'!$B$36,HLOOKUP('Prop Budget Calc'!$L73,'Current Step Plans'!$C$36:$Q$42,7,FALSE),IF($B73='Current Step Plans'!$B$37,HLOOKUP('Prop Budget Calc'!$L73,'Current Step Plans'!$C$37:$Q$42,6,FALSE),IF($B73='Current Step Plans'!$B$38,HLOOKUP('Prop Budget Calc'!$L73,'Current Step Plans'!$C$38:$Q$42,5,FALSE),IF($B73='Current Step Plans'!$B$39,HLOOKUP('Prop Budget Calc'!$L73,'Current Step Plans'!$C$39:$Q$42,4,FALSE),IF($B73='Current Step Plans'!$B$40,HLOOKUP('Prop Budget Calc'!$L73,'Current Step Plans'!$C$40:$Q$42,3,FALSE),IF($B73='Current Step Plans'!$B$41,HLOOKUP('Prop Budget Calc'!$L73,'Current Step Plans'!$C$41:$Q$42,2,FALSE),IF($B73='Current Step Plans'!$B$50,HLOOKUP('Prop Budget Calc'!$L73,'Current Step Plans'!$C$50:$Q$56,7,FALSE),IF($B73='Current Step Plans'!$B$51,HLOOKUP('Prop Budget Calc'!$L73,'Current Step Plans'!$C$51:$Q$56,6,FALSE),IF($B73='Current Step Plans'!$B$52,HLOOKUP('Prop Budget Calc'!$L73,'Current Step Plans'!$C$52:$Q$56,5,FALSE), IF($B73='Current Step Plans'!$B$53,HLOOKUP('Prop Budget Calc'!$L73,'Current Step Plans'!$C$53:$Q$56,4,FALSE),IF($B73='Current Step Plans'!$B$54,HLOOKUP('Prop Budget Calc'!$L73,'Current Step Plans'!$C$54:$Q$56,3,FALSE),IF($B73='Current Step Plans'!$B$55,HLOOKUP('Prop Budget Calc'!$L73,'Current Step Plans'!$C$55:$Q$56,2,FALSE),IF($B73='Current Step Plans'!$B$65,HLOOKUP('Prop Budget Calc'!$L73,'Current Step Plans'!$C$65:$Q$75,11,FALSE),IF($B73='Current Step Plans'!$B$66,HLOOKUP('Prop Budget Calc'!$L73,'Current Step Plans'!$C$66:$Q$75,10,FALSE),IF($B73='Current Step Plans'!$B$67,HLOOKUP('Prop Budget Calc'!$L73,'Current Step Plans'!$C$67:$Q$75,9,FALSE),IF($B73='Current Step Plans'!$B$68,HLOOKUP('Prop Budget Calc'!$L73,'Current Step Plans'!$C$68:$Q$75,8,FALSE),IF($B73='Current Step Plans'!$B$69,HLOOKUP('Prop Budget Calc'!$L73,'Current Step Plans'!$C$69:$Q$75,7,FALSE),IF($B73='Current Step Plans'!$B$70,HLOOKUP('Prop Budget Calc'!$L73,'Current Step Plans'!$C$70:$Q$75,6,FALSE),IF($B73='Current Step Plans'!$B$71,HLOOKUP('Prop Budget Calc'!$L73,'Current Step Plans'!$C$71:$Q$75,5,FALSE),IF($B73='Current Step Plans'!$B$72,HLOOKUP('Prop Budget Calc'!$L73,'Current Step Plans'!$C$72:$Q$75,4,FALSE),IF($B73='Current Step Plans'!$B$73,HLOOKUP('Prop Budget Calc'!$L73,'Current Step Plans'!$C$73:$Q$75,3,FALSE),IF($B73='Current Step Plans'!$B$74,HLOOKUP('Prop Budget Calc'!$L73,'Current Step Plans'!$C$74:$Q$75,2,FALSE),"N"))))))))))))))))))))))</f>
        <v>N</v>
      </c>
      <c r="R73" s="9" t="str">
        <f t="shared" si="185"/>
        <v>N</v>
      </c>
      <c r="S73" s="6">
        <f>IF(Q73="n",0,ROUNDUP(VLOOKUP(B73,'Proposed Step Plans'!B:T,'Prop Budget Calc'!Q73+2,FALSE)*M73,-2)-O73-T73)</f>
        <v>0</v>
      </c>
      <c r="T73" s="6">
        <f>IF(Q73="n",0,ROUNDUP(VLOOKUP(B73,'Current Step Plans'!B:T,'Prop Budget Calc'!Q73+2,FALSE)*M73,0)-O73)</f>
        <v>0</v>
      </c>
      <c r="U73" s="6">
        <f>IF(IFERROR(VLOOKUP($A73,'Market Study'!$A$5:$G$82,7,FALSE),"NA")="NA",0,VLOOKUP($A73,'Market Study'!$A$5:$G$82,7,FALSE))</f>
        <v>0</v>
      </c>
      <c r="V73" s="6">
        <f>IF(OR($T73&lt;&gt;0,$I73="50112",$I73="50109",$S73&lt;&gt;0),0,VLOOKUP($K73,Scenarios!$A$17:$F$73,6,FALSE)*$O73)</f>
        <v>763.80000000000007</v>
      </c>
      <c r="W73" s="6">
        <f t="shared" si="190"/>
        <v>763.80000000000007</v>
      </c>
      <c r="X73" s="6">
        <f>IF(OR($T73&lt;&gt;0,$I73="50112",$I73="50109",$S73&lt;&gt;0),0,VLOOKUP($K73,Scenarios!$A$17:$F$73,2,FALSE)*$O73)</f>
        <v>763.80000000000007</v>
      </c>
      <c r="Y73" s="6">
        <f>IF(OR($T73&lt;&gt;0,$I73="50110",$I73="50109",$S73&lt;&gt;0),0,VLOOKUP($K73,Scenarios!$A$17:$F$73,3,FALSE))</f>
        <v>1175</v>
      </c>
      <c r="Z73" s="6">
        <f>IF(OR($T73&lt;&gt;0,$I73="50112",$I73="50109",$S73&lt;&gt;0),0,VLOOKUP($K73,Scenarios!$A$17:$F$73,4,FALSE))</f>
        <v>0</v>
      </c>
      <c r="AA73" s="6">
        <f t="shared" si="191"/>
        <v>1175</v>
      </c>
      <c r="AB73" s="6">
        <f>IF(OR($T73&lt;&gt;0,$I73="50112",$I73="50109",$S73&lt;&gt;0),0,VLOOKUP($K73,Scenarios!$A$17:$F$73,5,FALSE))</f>
        <v>0</v>
      </c>
      <c r="AC73" s="6">
        <f t="shared" si="199"/>
        <v>1938.8000000000002</v>
      </c>
      <c r="AD73" s="6">
        <f t="shared" si="186"/>
        <v>40129</v>
      </c>
      <c r="AE73" s="84">
        <f t="shared" si="187"/>
        <v>5.0772453521864325E-2</v>
      </c>
      <c r="AF73" s="6">
        <f t="shared" si="188"/>
        <v>20.266666666666666</v>
      </c>
      <c r="AG73" s="6">
        <f>IF(AND(OR(I73="50101",I73="50102"),$AF73&gt;12),IF($AF73&gt;=300,(300*Scenarios!$B$14)*$E73,($AF73*Scenarios!$B$14)*$E73),0)</f>
        <v>101.33333333333333</v>
      </c>
      <c r="AH73" s="6" t="b">
        <f>IF($R73="y",IF($T73&gt;0,Scenarios!$B$10*'Prop Budget Calc'!$E73,Scenarios!$B$13*'Prop Budget Calc'!$E73))</f>
        <v>0</v>
      </c>
      <c r="AI73" s="6">
        <f>SUMIFS('Deduction Valuation'!$G:$G,'Deduction Valuation'!$F:$F,"CT - Certifications",'Deduction Valuation'!$B:$B,'Prop Budget Calc'!$A73)*$AI$3</f>
        <v>0</v>
      </c>
      <c r="AJ73" s="6">
        <f>SUMIFS('Deduction Valuation'!$G:$G,'Deduction Valuation'!$F:$F,"RP - Regional Pay",'Deduction Valuation'!$B:$B,'Prop Budget Calc'!$A73)*$AI$3</f>
        <v>0</v>
      </c>
      <c r="AK73" s="6">
        <f t="shared" si="169"/>
        <v>0</v>
      </c>
      <c r="AL73" s="6">
        <f>SUMIFS('Deduction Valuation'!$G:$G,'Deduction Valuation'!$F:$F,"CR - Car Allowance",'Deduction Valuation'!$B:$B,'Prop Budget Calc'!$A73)*$AI$3</f>
        <v>0</v>
      </c>
      <c r="AM73" s="6">
        <f>SUMIFS('Deduction Valuation'!$G:$G,'Deduction Valuation'!$F:$F,"DA - Device Allow",'Deduction Valuation'!$B:$B,'Prop Budget Calc'!$A73)*$AI$3</f>
        <v>0</v>
      </c>
      <c r="AN73" s="6">
        <f>SUMIFS('Deduction Valuation'!$G:$G,'Deduction Valuation'!$F:$F,"RA - Replace Allow",'Deduction Valuation'!$B:$B,'Prop Budget Calc'!$A73)</f>
        <v>0</v>
      </c>
      <c r="AO73" s="94">
        <f t="shared" si="170"/>
        <v>0</v>
      </c>
      <c r="AP73" s="94">
        <f t="shared" si="171"/>
        <v>40230.333333333336</v>
      </c>
      <c r="AQ73" s="10">
        <f>IF(OR($I73="50101", $I73="50102", $I73="50109", $I73="50140"),AP73*Scenarios!$H$8,0)</f>
        <v>6815.0184666666664</v>
      </c>
      <c r="AR73" s="9">
        <f>VLOOKUP($D73,WKCMP!$A$1:$C$15,3,FALSE)*AP73</f>
        <v>978.65918080000029</v>
      </c>
      <c r="AS73" s="10">
        <f t="shared" si="172"/>
        <v>583.33983333333344</v>
      </c>
      <c r="AT73" s="11">
        <f t="shared" si="173"/>
        <v>2494.280666666667</v>
      </c>
      <c r="AU73" s="10">
        <f t="shared" si="174"/>
        <v>3080</v>
      </c>
      <c r="AV73" s="6">
        <f t="shared" si="175"/>
        <v>72.414600000000007</v>
      </c>
      <c r="AW73" s="19">
        <f t="shared" si="176"/>
        <v>79.2</v>
      </c>
      <c r="AX73" s="19">
        <f t="shared" si="177"/>
        <v>15.6</v>
      </c>
      <c r="AY73" s="19">
        <f t="shared" si="178"/>
        <v>11.28</v>
      </c>
      <c r="AZ73" s="88">
        <f t="shared" si="179"/>
        <v>178.49459999999999</v>
      </c>
      <c r="BA73" s="6">
        <f>IF(AND($C73="vacant vacant",$E73=1),$BA$2*$AZ$3,SUMIFS('Employee Enrollments'!$AE:$AE,'Employee Enrollments'!$S:$S,"Medical HDHP",'Employee Enrollments'!$C:$C,'Prop Budget Calc'!$A73)*$AZ$3*(1+Scenarios!$E$9))*(1-$BA$3)</f>
        <v>9838.3957199999986</v>
      </c>
      <c r="BB73" s="6">
        <f>IF(AND($C73="vacant vacant",$E73=1),500,SUMIFS('Employee Enrollments'!$AE:$AE,'Employee Enrollments'!$S:$S,"Health Savings Account",'Employee Enrollments'!$C:$C,'Prop Budget Calc'!$A73))</f>
        <v>500.05</v>
      </c>
      <c r="BC73" s="56">
        <f t="shared" si="180"/>
        <v>10338.445719999998</v>
      </c>
      <c r="BD73" s="6">
        <f>IF(AND($C73="vacant vacant",$E73=1),$BD$2*$AZ$3,SUMIFS('Employee Enrollments'!$AE:$AE,'Employee Enrollments'!$S:$S,"Dental Plan",'Employee Enrollments'!$C:$C,'Prop Budget Calc'!$A73)*$AZ$3)</f>
        <v>434.76</v>
      </c>
      <c r="BE73" s="6">
        <f t="shared" si="181"/>
        <v>10951.700319999998</v>
      </c>
      <c r="BF73" s="6">
        <f t="shared" si="182"/>
        <v>21825.377967466666</v>
      </c>
      <c r="BG73" s="6">
        <f t="shared" si="183"/>
        <v>62055.711300800001</v>
      </c>
      <c r="BH73" s="14"/>
      <c r="BI73" s="56"/>
      <c r="BJ73" s="93">
        <f t="shared" si="184"/>
        <v>10450.235999999999</v>
      </c>
      <c r="BK73" s="10">
        <f>IF(SUMIFS('Employee Enrollments'!AB:AB,'Employee Enrollments'!C:C,'Prop Budget Calc'!$A73,'Employee Enrollments'!Q:Q,"Medical")*12=0,'Employee Enrollments'!$AN$1,(SUMIFS('Employee Enrollments'!AB:AB,'Employee Enrollments'!C:C,'Prop Budget Calc'!$A73,'Employee Enrollments'!Q:Q,"Medical")*12))</f>
        <v>307.56</v>
      </c>
      <c r="BL73" s="10">
        <f>SUMIFS('Employee Enrollments'!AB:AB,'Employee Enrollments'!C:C,'Prop Budget Calc'!$A73,'Employee Enrollments'!Q:Q,"Dental")*12</f>
        <v>0</v>
      </c>
    </row>
    <row r="74" spans="1:68" s="389" customFormat="1" ht="12.75" customHeight="1">
      <c r="A74" s="468"/>
      <c r="B74" s="93"/>
      <c r="C74" s="93"/>
      <c r="D74" s="93"/>
      <c r="E74" s="389">
        <f>SUM(E6:E73)</f>
        <v>65.399999999999991</v>
      </c>
      <c r="F74" s="93"/>
      <c r="G74" s="93"/>
      <c r="H74" s="390"/>
      <c r="I74" s="93"/>
      <c r="J74" s="93"/>
      <c r="K74" s="93"/>
      <c r="L74" s="93"/>
      <c r="M74" s="93"/>
      <c r="N74" s="389">
        <f>SUM(N6:N73)</f>
        <v>0</v>
      </c>
      <c r="O74" s="93"/>
      <c r="P74" s="93"/>
      <c r="Q74" s="93"/>
      <c r="R74" s="93"/>
      <c r="S74" s="389">
        <f>SUM(S6:S73)</f>
        <v>49857</v>
      </c>
      <c r="T74" s="389">
        <f>SUM(T6:T73)</f>
        <v>13903</v>
      </c>
      <c r="U74" s="389">
        <f>SUM(U6:U73)</f>
        <v>13606.092399999987</v>
      </c>
      <c r="V74" s="389">
        <f>SUM(V6:V73)</f>
        <v>63156.000000000022</v>
      </c>
      <c r="X74" s="389">
        <f>SUM(X6:X73)</f>
        <v>63156.000000000022</v>
      </c>
      <c r="Y74" s="389">
        <f>SUM(Y6:Y73)</f>
        <v>57575</v>
      </c>
      <c r="Z74" s="389">
        <f>SUM(Z6:Z73)</f>
        <v>0</v>
      </c>
      <c r="AB74" s="389">
        <f>SUM(AB6:AB73)</f>
        <v>0</v>
      </c>
      <c r="AD74" s="389">
        <f t="shared" ref="AD74:BG74" si="200">SUM(AD6:AD73)</f>
        <v>4483856</v>
      </c>
      <c r="AE74" s="389">
        <f t="shared" si="200"/>
        <v>3.3544497652212883</v>
      </c>
      <c r="AF74" s="389">
        <f t="shared" si="200"/>
        <v>7277.2000000000007</v>
      </c>
      <c r="AG74" s="389">
        <f t="shared" si="200"/>
        <v>34679.666666666657</v>
      </c>
      <c r="AH74" s="389">
        <f t="shared" si="200"/>
        <v>0</v>
      </c>
      <c r="AI74" s="389">
        <f t="shared" si="200"/>
        <v>13350</v>
      </c>
      <c r="AJ74" s="389">
        <f t="shared" si="200"/>
        <v>16500.239999999998</v>
      </c>
      <c r="AK74" s="389">
        <f t="shared" si="200"/>
        <v>29850.239999999998</v>
      </c>
      <c r="AL74" s="389">
        <f t="shared" si="200"/>
        <v>0</v>
      </c>
      <c r="AM74" s="389">
        <f t="shared" si="200"/>
        <v>17040</v>
      </c>
      <c r="AN74" s="389">
        <f t="shared" si="200"/>
        <v>1575</v>
      </c>
      <c r="AO74" s="389">
        <f t="shared" si="200"/>
        <v>18615</v>
      </c>
      <c r="AP74" s="389">
        <f t="shared" si="200"/>
        <v>4567000.9066666672</v>
      </c>
      <c r="AQ74" s="389">
        <f t="shared" si="200"/>
        <v>709974.35698933329</v>
      </c>
      <c r="AR74" s="389">
        <f t="shared" si="200"/>
        <v>46179.576346288006</v>
      </c>
      <c r="AS74" s="389">
        <f t="shared" si="200"/>
        <v>66221.513146666664</v>
      </c>
      <c r="AT74" s="389">
        <f t="shared" si="200"/>
        <v>276489.62909333332</v>
      </c>
      <c r="AU74" s="389">
        <f t="shared" si="200"/>
        <v>343040</v>
      </c>
      <c r="AV74" s="389">
        <f t="shared" si="200"/>
        <v>8220.6016320000017</v>
      </c>
      <c r="AW74" s="389">
        <f t="shared" si="200"/>
        <v>6256.7999999999938</v>
      </c>
      <c r="AX74" s="389">
        <f t="shared" si="200"/>
        <v>982.80000000000098</v>
      </c>
      <c r="AY74" s="389">
        <f t="shared" si="200"/>
        <v>710.63999999999896</v>
      </c>
      <c r="AZ74" s="389">
        <f t="shared" si="200"/>
        <v>16170.841632</v>
      </c>
      <c r="BA74" s="389">
        <f t="shared" si="200"/>
        <v>912423.35397655156</v>
      </c>
      <c r="BB74" s="389">
        <f t="shared" si="200"/>
        <v>48001.150000000009</v>
      </c>
      <c r="BC74" s="389">
        <f t="shared" si="200"/>
        <v>960424.50397655182</v>
      </c>
      <c r="BD74" s="389">
        <f t="shared" si="200"/>
        <v>41438.511240875916</v>
      </c>
      <c r="BE74" s="389">
        <f t="shared" si="200"/>
        <v>1018033.8568494277</v>
      </c>
      <c r="BF74" s="389">
        <f t="shared" si="200"/>
        <v>2117227.7901850487</v>
      </c>
      <c r="BG74" s="389">
        <f t="shared" si="200"/>
        <v>6684228.6968517173</v>
      </c>
      <c r="BH74" s="93"/>
      <c r="BK74" s="389">
        <f>SUM(BK6:BK73)</f>
        <v>161516.37195402299</v>
      </c>
      <c r="BL74" s="389">
        <f>SUM(BL6:BL73)</f>
        <v>11677.44</v>
      </c>
      <c r="BM74" s="389">
        <f>BK74+BL74</f>
        <v>173193.811954023</v>
      </c>
    </row>
    <row r="75" spans="1:68" ht="12.75" customHeight="1">
      <c r="B75" s="35" t="s">
        <v>67</v>
      </c>
      <c r="C75" s="3" t="s">
        <v>356</v>
      </c>
      <c r="D75" s="463" t="s">
        <v>1527</v>
      </c>
      <c r="E75" s="3">
        <v>0</v>
      </c>
      <c r="F75" s="3" t="s">
        <v>954</v>
      </c>
      <c r="G75" s="3" t="str">
        <f t="shared" ref="G75:G126" si="201">LEFT(F75,10)</f>
        <v>100-30-303</v>
      </c>
      <c r="H75" s="65" t="str">
        <f t="shared" ref="H75:H126" si="202">LEFT(F75,3)</f>
        <v>100</v>
      </c>
      <c r="I75" s="66" t="str">
        <f t="shared" ref="I75:I126" si="203">MID(F75,12,5)</f>
        <v>50102</v>
      </c>
      <c r="J75" s="16" t="str">
        <f t="shared" ref="J75:J126" si="204">MID(F75,5,2)</f>
        <v>30</v>
      </c>
      <c r="K75" s="16" t="str">
        <f t="shared" ref="K75:K126" si="205">MID(F75,8,3)</f>
        <v>303</v>
      </c>
      <c r="M75" s="3">
        <f t="shared" ref="M75:M99" si="206">IF(F75="100-50102-350-40",2912*E75,2080*E75)</f>
        <v>0</v>
      </c>
      <c r="N75" s="6"/>
      <c r="O75" s="68">
        <f t="shared" ref="O75:O78" si="207">N75</f>
        <v>0</v>
      </c>
      <c r="P75" s="99"/>
      <c r="Q75" s="99"/>
      <c r="R75" s="5"/>
      <c r="S75" s="6"/>
      <c r="T75" s="6"/>
      <c r="U75" s="6">
        <f>IF(IFERROR(VLOOKUP($A75,'Market Study'!$A$5:$F$82,18,FALSE),"NA")="NA",0,VLOOKUP($A75,'Market Study'!$A$5:$F$82,18,FALSE))</f>
        <v>0</v>
      </c>
      <c r="V75" s="6"/>
      <c r="W75" s="6">
        <f t="shared" ref="W75:W124" si="208">IF(U75&gt;V75,U75,V75)</f>
        <v>0</v>
      </c>
      <c r="X75" s="6"/>
      <c r="Y75" s="6"/>
      <c r="Z75" s="6">
        <f>IF(OR($S75&lt;&gt;0,$I75="50112",$I75="50109"),0,VLOOKUP($K75,Scenarios!$A$17:$F$73,4,FALSE))</f>
        <v>0</v>
      </c>
      <c r="AA75" s="6">
        <f t="shared" ref="AA75:AA124" si="209">IF(X75&lt;Y75,Y75,IF(AND(X75&gt;Z75,Z75&gt;1),Z75,X75))</f>
        <v>0</v>
      </c>
      <c r="AB75" s="6"/>
      <c r="AC75" s="6">
        <f t="shared" ref="AC75:AC124" si="210">W75+AA75+AB75</f>
        <v>0</v>
      </c>
      <c r="AD75" s="6">
        <f t="shared" si="186"/>
        <v>0</v>
      </c>
      <c r="AE75" s="84"/>
      <c r="AF75" s="6"/>
      <c r="AG75" s="6"/>
      <c r="AH75" s="6"/>
      <c r="AI75" s="67">
        <f>2100</f>
        <v>2100</v>
      </c>
      <c r="AK75" s="6">
        <f t="shared" ref="AK75:AK99" si="211">AI75+AJ75</f>
        <v>2100</v>
      </c>
      <c r="AL75" s="6"/>
      <c r="AM75" s="6"/>
      <c r="AN75" s="6"/>
      <c r="AO75" s="94">
        <f t="shared" ref="AO75" si="212">AM75+AN75</f>
        <v>0</v>
      </c>
      <c r="AP75" s="94">
        <f t="shared" ref="AP75" si="213">AD75+AG75+AK75+AL75+AO75+AH75</f>
        <v>2100</v>
      </c>
      <c r="AQ75" s="10">
        <f>IF(OR($I75="50101", $I75="50102", $I75="50109", $I75="50140"),AP75*Scenarios!$H$8,0)</f>
        <v>355.74</v>
      </c>
      <c r="AR75" s="9">
        <f>VLOOKUP($D75,WKCMP!$A$1:$C$15,3,FALSE)*AP75</f>
        <v>45.01728</v>
      </c>
      <c r="AS75" s="10">
        <f t="shared" ref="AS75" si="214">AP75*$AS$2</f>
        <v>30.450000000000003</v>
      </c>
      <c r="AT75" s="11">
        <f t="shared" ref="AT75" si="215">IF($AP75&lt;$AT$4,$AT$2*AP75,$AT$4*$AT$2*$E75)</f>
        <v>130.19999999999999</v>
      </c>
      <c r="AU75" s="10">
        <f t="shared" ref="AU75" si="216">ROUNDUP((AS75+AT75), -1)</f>
        <v>170</v>
      </c>
      <c r="AV75" s="6">
        <f t="shared" ref="AV75" si="217">AP75*$AV$2</f>
        <v>3.78</v>
      </c>
      <c r="AW75" s="19">
        <f t="shared" ref="AW75" si="218">IF(AND($I75&lt;&gt;"50101", $I75&lt;&gt;"50102"),0,IF($I75="50101",IF(($AP75/52*$AW$3)&gt;$AV$1,$AV$1,$AP75/52*$AW$3),IF(($AD75/52*$AW$3)&gt;$AW$1,$AW$1,$AD75/52*$AW$3)))*E75</f>
        <v>0</v>
      </c>
      <c r="AX75" s="19">
        <f t="shared" si="177"/>
        <v>0</v>
      </c>
      <c r="AY75" s="19">
        <f t="shared" si="178"/>
        <v>0</v>
      </c>
      <c r="AZ75" s="88">
        <f t="shared" ref="AZ75" si="219">AV75+AW75+AX75+AY75</f>
        <v>3.78</v>
      </c>
      <c r="BA75" s="6"/>
      <c r="BB75" s="6"/>
      <c r="BC75" s="56">
        <f t="shared" ref="BC75" si="220">BA75+BB75</f>
        <v>0</v>
      </c>
      <c r="BD75" s="6"/>
      <c r="BE75" s="6">
        <f t="shared" ref="BE75" si="221">BD75+BC75+AZ75</f>
        <v>3.78</v>
      </c>
      <c r="BF75" s="6">
        <f t="shared" ref="BF75" si="222">AU75+BE75+AR75+AQ75</f>
        <v>574.53728000000001</v>
      </c>
      <c r="BG75" s="6">
        <f t="shared" ref="BG75" si="223">AP75+BF75</f>
        <v>2674.53728</v>
      </c>
      <c r="BH75" s="14"/>
      <c r="BI75" s="391"/>
      <c r="BJ75" s="87">
        <f>SUMIF(C6:C73,"Vacant Vacant",BJ6:BJ73)-(SUMIF(C6:C73,"Vacant Vacant",BJ6:BJ73)/15770*10491)</f>
        <v>25082.661113348244</v>
      </c>
      <c r="BK75" s="391">
        <f>BA74</f>
        <v>912423.35397655156</v>
      </c>
      <c r="BL75" s="389">
        <f>BD74</f>
        <v>41438.511240875916</v>
      </c>
    </row>
    <row r="76" spans="1:68" ht="12.75" customHeight="1">
      <c r="B76" s="35" t="s">
        <v>67</v>
      </c>
      <c r="C76" s="3" t="s">
        <v>356</v>
      </c>
      <c r="D76" s="463" t="s">
        <v>1224</v>
      </c>
      <c r="E76" s="3">
        <v>0</v>
      </c>
      <c r="F76" s="3" t="s">
        <v>955</v>
      </c>
      <c r="G76" s="3" t="str">
        <f t="shared" si="201"/>
        <v>100-30-302</v>
      </c>
      <c r="H76" s="65" t="str">
        <f t="shared" si="202"/>
        <v>100</v>
      </c>
      <c r="I76" s="66" t="str">
        <f t="shared" si="203"/>
        <v>50102</v>
      </c>
      <c r="J76" s="16" t="str">
        <f t="shared" si="204"/>
        <v>30</v>
      </c>
      <c r="K76" s="16" t="str">
        <f t="shared" si="205"/>
        <v>302</v>
      </c>
      <c r="M76" s="3">
        <f t="shared" si="206"/>
        <v>0</v>
      </c>
      <c r="N76" s="6"/>
      <c r="O76" s="68">
        <f t="shared" si="207"/>
        <v>0</v>
      </c>
      <c r="P76" s="99"/>
      <c r="Q76" s="99"/>
      <c r="R76" s="5"/>
      <c r="S76" s="6"/>
      <c r="T76" s="6"/>
      <c r="U76" s="6">
        <f>IF(IFERROR(VLOOKUP($A76,'Market Study'!$A$5:$F$82,18,FALSE),"NA")="NA",0,VLOOKUP($A76,'Market Study'!$A$5:$F$82,18,FALSE))</f>
        <v>0</v>
      </c>
      <c r="V76" s="6"/>
      <c r="W76" s="6">
        <f t="shared" si="208"/>
        <v>0</v>
      </c>
      <c r="X76" s="6"/>
      <c r="Y76" s="6"/>
      <c r="Z76" s="6">
        <f>IF(OR($S76&lt;&gt;0,$I76="50112",$I76="50109"),0,VLOOKUP($K76,Scenarios!$A$17:$F$73,4,FALSE))</f>
        <v>0</v>
      </c>
      <c r="AA76" s="6">
        <f t="shared" si="209"/>
        <v>0</v>
      </c>
      <c r="AB76" s="6"/>
      <c r="AC76" s="6">
        <f t="shared" si="210"/>
        <v>0</v>
      </c>
      <c r="AD76" s="6">
        <f t="shared" si="186"/>
        <v>0</v>
      </c>
      <c r="AE76" s="84"/>
      <c r="AF76" s="6"/>
      <c r="AG76" s="6"/>
      <c r="AH76" s="6"/>
      <c r="AI76" s="67">
        <v>3900</v>
      </c>
      <c r="AK76" s="6">
        <f t="shared" si="211"/>
        <v>3900</v>
      </c>
      <c r="AL76" s="94"/>
      <c r="AM76" s="6"/>
      <c r="AN76" s="94"/>
      <c r="AO76" s="94">
        <f t="shared" ref="AO76:AO99" si="224">AM76+AN76</f>
        <v>0</v>
      </c>
      <c r="AP76" s="94">
        <f t="shared" ref="AP76:AP99" si="225">AD76+AG76+AK76+AL76+AO76</f>
        <v>3900</v>
      </c>
      <c r="AQ76" s="10">
        <f>IF(OR($I76="50101", $I76="50102", $I76="50109", $I76="50140"),AP76*Scenarios!$H$8,0)</f>
        <v>660.66</v>
      </c>
      <c r="AR76" s="9">
        <f>VLOOKUP($D76,WKCMP!$A$1:$C$15,3,FALSE)*AP76</f>
        <v>61.457759999999993</v>
      </c>
      <c r="AS76" s="10">
        <f t="shared" ref="AS76:AS86" si="226">AP76*$AS$2</f>
        <v>56.550000000000004</v>
      </c>
      <c r="AT76" s="11">
        <f t="shared" ref="AT76:AT86" si="227">IF($AP76&lt;$AT$4,$AT$2*AP76,$AT$4*$AT$2*$E76)</f>
        <v>241.8</v>
      </c>
      <c r="AU76" s="10">
        <f t="shared" ref="AU76:AU86" si="228">ROUNDUP((AS76+AT76), -1)</f>
        <v>300</v>
      </c>
      <c r="AV76" s="6">
        <f t="shared" ref="AV76:AV86" si="229">AP76*$AV$2</f>
        <v>7.02</v>
      </c>
      <c r="AW76" s="19">
        <f t="shared" ref="AW76:AW86" si="230">IF(AND($I76&lt;&gt;"50101", $I76&lt;&gt;"50102"),0,IF($I76="50101",IF(($AP76/52*$AW$3)&gt;$AV$1,$AV$1,$AP76/52*$AW$3),IF(($AD76/52*$AW$3)&gt;$AW$1,$AW$1,$AD76/52*$AW$3)))*E76</f>
        <v>0</v>
      </c>
      <c r="AX76" s="19">
        <f t="shared" si="177"/>
        <v>0</v>
      </c>
      <c r="AY76" s="19">
        <f t="shared" si="178"/>
        <v>0</v>
      </c>
      <c r="AZ76" s="88">
        <f t="shared" ref="AZ76:AZ86" si="231">AV76+AW76+AX76+AY76</f>
        <v>7.02</v>
      </c>
      <c r="BA76" s="6"/>
      <c r="BB76" s="6"/>
      <c r="BC76" s="56">
        <f t="shared" ref="BC76:BC124" si="232">BA76+BB76</f>
        <v>0</v>
      </c>
      <c r="BD76" s="6"/>
      <c r="BE76" s="6">
        <f t="shared" ref="BE76:BE86" si="233">BD76+BC76+AZ76</f>
        <v>7.02</v>
      </c>
      <c r="BF76" s="6">
        <f t="shared" ref="BF76:BF86" si="234">AU76+BE76+AR76+AQ76</f>
        <v>1029.1377600000001</v>
      </c>
      <c r="BG76" s="6">
        <f t="shared" ref="BG76:BG86" si="235">AP76+BF76</f>
        <v>4929.1377599999996</v>
      </c>
      <c r="BH76" s="14"/>
      <c r="BI76" s="391"/>
      <c r="BK76" s="391">
        <f>SUM(BK74:BK75)</f>
        <v>1073939.7259305746</v>
      </c>
      <c r="BL76" s="391">
        <f>SUM(BL74:BL75)</f>
        <v>53115.951240875918</v>
      </c>
      <c r="BM76" s="391">
        <f>SUM(BK76:BL76)</f>
        <v>1127055.6771714506</v>
      </c>
    </row>
    <row r="77" spans="1:68" ht="12.75" customHeight="1">
      <c r="B77" s="35" t="s">
        <v>152</v>
      </c>
      <c r="C77" s="35" t="s">
        <v>152</v>
      </c>
      <c r="D77" s="463" t="s">
        <v>1224</v>
      </c>
      <c r="E77" s="3">
        <v>0</v>
      </c>
      <c r="F77" s="3" t="s">
        <v>957</v>
      </c>
      <c r="G77" s="3" t="str">
        <f t="shared" si="201"/>
        <v>100-30-305</v>
      </c>
      <c r="H77" s="65" t="str">
        <f t="shared" si="202"/>
        <v>100</v>
      </c>
      <c r="I77" s="66" t="str">
        <f t="shared" si="203"/>
        <v>50102</v>
      </c>
      <c r="J77" s="16" t="str">
        <f t="shared" si="204"/>
        <v>30</v>
      </c>
      <c r="K77" s="16" t="str">
        <f t="shared" si="205"/>
        <v>305</v>
      </c>
      <c r="M77" s="3">
        <f t="shared" ref="M77" si="236">IF(F77="100-50102-350-40",2912*E77,2080*E77)</f>
        <v>0</v>
      </c>
      <c r="N77" s="6"/>
      <c r="O77" s="68">
        <f t="shared" ref="O77" si="237">N77</f>
        <v>0</v>
      </c>
      <c r="P77" s="99"/>
      <c r="Q77" s="99"/>
      <c r="R77" s="5"/>
      <c r="S77" s="6"/>
      <c r="T77" s="6"/>
      <c r="U77" s="6">
        <f>IF(IFERROR(VLOOKUP($A77,'Market Study'!$A$5:$F$82,18,FALSE),"NA")="NA",0,VLOOKUP($A77,'Market Study'!$A$5:$F$82,18,FALSE))</f>
        <v>0</v>
      </c>
      <c r="V77" s="6"/>
      <c r="W77" s="6">
        <f t="shared" si="208"/>
        <v>0</v>
      </c>
      <c r="X77" s="6"/>
      <c r="Y77" s="6"/>
      <c r="Z77" s="6">
        <f>IF(OR($S77&lt;&gt;0,$I77="50112",$I77="50109"),0,VLOOKUP($K77,Scenarios!$A$17:$F$73,4,FALSE))</f>
        <v>0</v>
      </c>
      <c r="AA77" s="6">
        <f t="shared" si="209"/>
        <v>0</v>
      </c>
      <c r="AB77" s="6"/>
      <c r="AC77" s="6">
        <f t="shared" si="210"/>
        <v>0</v>
      </c>
      <c r="AD77" s="6">
        <f t="shared" si="186"/>
        <v>0</v>
      </c>
      <c r="AE77" s="84"/>
      <c r="AF77" s="6"/>
      <c r="AG77" s="6"/>
      <c r="AH77" s="6"/>
      <c r="AI77" s="67">
        <v>4000</v>
      </c>
      <c r="AK77" s="6">
        <f t="shared" si="211"/>
        <v>4000</v>
      </c>
      <c r="AL77" s="94"/>
      <c r="AM77" s="6"/>
      <c r="AN77" s="94"/>
      <c r="AO77" s="94">
        <f t="shared" ref="AO77" si="238">AM77+AN77</f>
        <v>0</v>
      </c>
      <c r="AP77" s="94">
        <f t="shared" si="225"/>
        <v>4000</v>
      </c>
      <c r="AQ77" s="10">
        <f>IF(OR($I77="50101", $I77="50102", $I77="50109", $I77="50140"),AP77*Scenarios!$H$8,0)</f>
        <v>677.6</v>
      </c>
      <c r="AR77" s="9">
        <f>VLOOKUP($D77,WKCMP!$A$1:$C$15,3,FALSE)*AP77</f>
        <v>63.033599999999993</v>
      </c>
      <c r="AS77" s="10">
        <f t="shared" si="226"/>
        <v>58</v>
      </c>
      <c r="AT77" s="11">
        <f t="shared" si="227"/>
        <v>248</v>
      </c>
      <c r="AU77" s="10">
        <f t="shared" si="228"/>
        <v>310</v>
      </c>
      <c r="AV77" s="6">
        <f t="shared" si="229"/>
        <v>7.2</v>
      </c>
      <c r="AW77" s="19">
        <f t="shared" si="230"/>
        <v>0</v>
      </c>
      <c r="AX77" s="19">
        <f t="shared" si="177"/>
        <v>0</v>
      </c>
      <c r="AY77" s="19">
        <f t="shared" si="178"/>
        <v>0</v>
      </c>
      <c r="AZ77" s="88">
        <f t="shared" si="231"/>
        <v>7.2</v>
      </c>
      <c r="BA77" s="6"/>
      <c r="BB77" s="6"/>
      <c r="BC77" s="56">
        <f t="shared" si="232"/>
        <v>0</v>
      </c>
      <c r="BD77" s="6"/>
      <c r="BE77" s="6">
        <f t="shared" si="233"/>
        <v>7.2</v>
      </c>
      <c r="BF77" s="6">
        <f t="shared" si="234"/>
        <v>1057.8335999999999</v>
      </c>
      <c r="BG77" s="6">
        <f t="shared" si="235"/>
        <v>5057.8335999999999</v>
      </c>
      <c r="BH77" s="14"/>
      <c r="BM77" s="527" t="e">
        <f>BM76-#REF!</f>
        <v>#REF!</v>
      </c>
    </row>
    <row r="78" spans="1:68" ht="12.75" customHeight="1">
      <c r="B78" s="35" t="s">
        <v>68</v>
      </c>
      <c r="C78" s="3" t="s">
        <v>69</v>
      </c>
      <c r="D78" s="463" t="s">
        <v>1224</v>
      </c>
      <c r="E78" s="4">
        <v>0</v>
      </c>
      <c r="F78" s="4" t="s">
        <v>955</v>
      </c>
      <c r="G78" s="3" t="str">
        <f t="shared" si="201"/>
        <v>100-30-302</v>
      </c>
      <c r="H78" s="65" t="str">
        <f t="shared" si="202"/>
        <v>100</v>
      </c>
      <c r="I78" s="66" t="str">
        <f t="shared" si="203"/>
        <v>50102</v>
      </c>
      <c r="J78" s="16" t="str">
        <f t="shared" si="204"/>
        <v>30</v>
      </c>
      <c r="K78" s="16" t="str">
        <f t="shared" si="205"/>
        <v>302</v>
      </c>
      <c r="M78" s="3">
        <f t="shared" si="206"/>
        <v>0</v>
      </c>
      <c r="N78" s="55">
        <v>6000</v>
      </c>
      <c r="O78" s="68">
        <f t="shared" si="207"/>
        <v>6000</v>
      </c>
      <c r="P78" s="99"/>
      <c r="Q78" s="99"/>
      <c r="R78" s="5"/>
      <c r="S78" s="6"/>
      <c r="T78" s="6"/>
      <c r="U78" s="6">
        <f>IF(IFERROR(VLOOKUP($A78,'Market Study'!$A$5:$F$82,18,FALSE),"NA")="NA",0,VLOOKUP($A78,'Market Study'!$A$5:$F$82,18,FALSE))</f>
        <v>0</v>
      </c>
      <c r="V78" s="6"/>
      <c r="W78" s="6">
        <f t="shared" si="208"/>
        <v>0</v>
      </c>
      <c r="X78" s="6"/>
      <c r="Y78" s="6"/>
      <c r="Z78" s="6">
        <f>IF(OR($S78&lt;&gt;0,$I78="50112",$I78="50109"),0,VLOOKUP($K78,Scenarios!$A$17:$F$73,4,FALSE))</f>
        <v>0</v>
      </c>
      <c r="AA78" s="6">
        <f t="shared" si="209"/>
        <v>0</v>
      </c>
      <c r="AB78" s="6"/>
      <c r="AC78" s="6">
        <f t="shared" si="210"/>
        <v>0</v>
      </c>
      <c r="AD78" s="6">
        <f t="shared" si="186"/>
        <v>6000</v>
      </c>
      <c r="AE78" s="84">
        <f>AD78/O78-1</f>
        <v>0</v>
      </c>
      <c r="AF78" s="6"/>
      <c r="AG78" s="6"/>
      <c r="AH78" s="6"/>
      <c r="AI78" s="6">
        <v>0</v>
      </c>
      <c r="AK78" s="6">
        <f t="shared" si="211"/>
        <v>0</v>
      </c>
      <c r="AL78" s="94"/>
      <c r="AM78" s="6"/>
      <c r="AN78" s="94"/>
      <c r="AO78" s="94">
        <f t="shared" si="224"/>
        <v>0</v>
      </c>
      <c r="AP78" s="94">
        <f t="shared" si="225"/>
        <v>6000</v>
      </c>
      <c r="AQ78" s="10">
        <f>IF(OR($I78="50101", $I78="50102", $I78="50109", $I78="50140"),AP78*Scenarios!$H$8,0)</f>
        <v>1016.4</v>
      </c>
      <c r="AR78" s="9">
        <f>VLOOKUP($D78,WKCMP!$A$1:$C$15,3,FALSE)*AP78</f>
        <v>94.550399999999996</v>
      </c>
      <c r="AS78" s="10">
        <f t="shared" si="226"/>
        <v>87</v>
      </c>
      <c r="AT78" s="11">
        <f t="shared" si="227"/>
        <v>372</v>
      </c>
      <c r="AU78" s="10">
        <f t="shared" si="228"/>
        <v>460</v>
      </c>
      <c r="AV78" s="6">
        <f t="shared" si="229"/>
        <v>10.799999999999999</v>
      </c>
      <c r="AW78" s="19">
        <f t="shared" si="230"/>
        <v>0</v>
      </c>
      <c r="AX78" s="19">
        <f t="shared" si="177"/>
        <v>0</v>
      </c>
      <c r="AY78" s="19">
        <f t="shared" si="178"/>
        <v>0</v>
      </c>
      <c r="AZ78" s="88">
        <f t="shared" si="231"/>
        <v>10.799999999999999</v>
      </c>
      <c r="BA78" s="6"/>
      <c r="BB78" s="6"/>
      <c r="BC78" s="56">
        <f t="shared" si="232"/>
        <v>0</v>
      </c>
      <c r="BD78" s="6"/>
      <c r="BE78" s="6">
        <f t="shared" si="233"/>
        <v>10.799999999999999</v>
      </c>
      <c r="BF78" s="6">
        <f t="shared" si="234"/>
        <v>1581.7503999999999</v>
      </c>
      <c r="BG78" s="6">
        <f t="shared" si="235"/>
        <v>7581.7503999999999</v>
      </c>
      <c r="BH78" s="14"/>
    </row>
    <row r="79" spans="1:68" ht="12.75" customHeight="1">
      <c r="B79" s="35" t="s">
        <v>70</v>
      </c>
      <c r="C79" s="3" t="s">
        <v>70</v>
      </c>
      <c r="D79" s="463" t="s">
        <v>1224</v>
      </c>
      <c r="E79" s="4">
        <v>0</v>
      </c>
      <c r="F79" s="4" t="s">
        <v>955</v>
      </c>
      <c r="G79" s="3" t="str">
        <f t="shared" si="201"/>
        <v>100-30-302</v>
      </c>
      <c r="H79" s="65" t="str">
        <f t="shared" si="202"/>
        <v>100</v>
      </c>
      <c r="I79" s="66" t="str">
        <f t="shared" si="203"/>
        <v>50102</v>
      </c>
      <c r="J79" s="16" t="str">
        <f t="shared" si="204"/>
        <v>30</v>
      </c>
      <c r="K79" s="16" t="str">
        <f t="shared" si="205"/>
        <v>302</v>
      </c>
      <c r="M79" s="3">
        <f t="shared" si="206"/>
        <v>0</v>
      </c>
      <c r="N79" s="55">
        <v>5200</v>
      </c>
      <c r="O79" s="68">
        <f>N79</f>
        <v>5200</v>
      </c>
      <c r="P79" s="99"/>
      <c r="Q79" s="99"/>
      <c r="R79" s="5"/>
      <c r="S79" s="6"/>
      <c r="T79" s="6"/>
      <c r="U79" s="6">
        <f>IF(IFERROR(VLOOKUP($A79,'Market Study'!$A$5:$F$82,18,FALSE),"NA")="NA",0,VLOOKUP($A79,'Market Study'!$A$5:$F$82,18,FALSE))</f>
        <v>0</v>
      </c>
      <c r="V79" s="6"/>
      <c r="W79" s="6">
        <f t="shared" si="208"/>
        <v>0</v>
      </c>
      <c r="X79" s="6"/>
      <c r="Y79" s="6"/>
      <c r="Z79" s="6">
        <f>IF(OR($S79&lt;&gt;0,$I79="50112",$I79="50109"),0,VLOOKUP($K79,Scenarios!$A$17:$F$73,4,FALSE))</f>
        <v>0</v>
      </c>
      <c r="AA79" s="6">
        <f t="shared" si="209"/>
        <v>0</v>
      </c>
      <c r="AB79" s="6"/>
      <c r="AC79" s="6">
        <f t="shared" si="210"/>
        <v>0</v>
      </c>
      <c r="AD79" s="6">
        <f t="shared" si="186"/>
        <v>5200</v>
      </c>
      <c r="AE79" s="84">
        <f>AD79/O79-1</f>
        <v>0</v>
      </c>
      <c r="AF79" s="6"/>
      <c r="AG79" s="6"/>
      <c r="AH79" s="6"/>
      <c r="AI79" s="6">
        <v>0</v>
      </c>
      <c r="AK79" s="6">
        <f t="shared" si="211"/>
        <v>0</v>
      </c>
      <c r="AL79" s="94"/>
      <c r="AM79" s="6"/>
      <c r="AN79" s="94"/>
      <c r="AO79" s="94">
        <f t="shared" si="224"/>
        <v>0</v>
      </c>
      <c r="AP79" s="94">
        <f t="shared" si="225"/>
        <v>5200</v>
      </c>
      <c r="AQ79" s="10">
        <f>IF(OR($I79="50101", $I79="50102", $I79="50109", $I79="50140"),AP79*Scenarios!$H$8,0)</f>
        <v>880.88</v>
      </c>
      <c r="AR79" s="9">
        <f>VLOOKUP($D79,WKCMP!$A$1:$C$15,3,FALSE)*AP79</f>
        <v>81.943680000000001</v>
      </c>
      <c r="AS79" s="10">
        <f t="shared" si="226"/>
        <v>75.400000000000006</v>
      </c>
      <c r="AT79" s="11">
        <f t="shared" si="227"/>
        <v>322.39999999999998</v>
      </c>
      <c r="AU79" s="10">
        <f t="shared" si="228"/>
        <v>400</v>
      </c>
      <c r="AV79" s="6">
        <f t="shared" si="229"/>
        <v>9.36</v>
      </c>
      <c r="AW79" s="19">
        <f t="shared" si="230"/>
        <v>0</v>
      </c>
      <c r="AX79" s="19">
        <f t="shared" si="177"/>
        <v>0</v>
      </c>
      <c r="AY79" s="19">
        <f t="shared" si="178"/>
        <v>0</v>
      </c>
      <c r="AZ79" s="88">
        <f t="shared" si="231"/>
        <v>9.36</v>
      </c>
      <c r="BA79" s="6"/>
      <c r="BB79" s="6"/>
      <c r="BC79" s="56">
        <f t="shared" si="232"/>
        <v>0</v>
      </c>
      <c r="BD79" s="6"/>
      <c r="BE79" s="6">
        <f t="shared" si="233"/>
        <v>9.36</v>
      </c>
      <c r="BF79" s="6">
        <f t="shared" si="234"/>
        <v>1372.1836800000001</v>
      </c>
      <c r="BG79" s="6">
        <f t="shared" si="235"/>
        <v>6572.1836800000001</v>
      </c>
      <c r="BH79" s="14"/>
    </row>
    <row r="80" spans="1:68" ht="12.75" customHeight="1">
      <c r="B80" s="35" t="s">
        <v>71</v>
      </c>
      <c r="C80" s="3" t="s">
        <v>71</v>
      </c>
      <c r="D80" s="463" t="s">
        <v>1224</v>
      </c>
      <c r="E80" s="4">
        <v>0</v>
      </c>
      <c r="F80" s="4" t="s">
        <v>955</v>
      </c>
      <c r="G80" s="3" t="str">
        <f t="shared" si="201"/>
        <v>100-30-302</v>
      </c>
      <c r="H80" s="65" t="str">
        <f t="shared" si="202"/>
        <v>100</v>
      </c>
      <c r="I80" s="66" t="str">
        <f t="shared" si="203"/>
        <v>50102</v>
      </c>
      <c r="J80" s="16" t="str">
        <f t="shared" si="204"/>
        <v>30</v>
      </c>
      <c r="K80" s="16" t="str">
        <f t="shared" si="205"/>
        <v>302</v>
      </c>
      <c r="M80" s="3">
        <f t="shared" si="206"/>
        <v>0</v>
      </c>
      <c r="N80" s="69">
        <f>10200+8644</f>
        <v>18844</v>
      </c>
      <c r="O80" s="68">
        <f t="shared" ref="O80:O128" si="239">N80</f>
        <v>18844</v>
      </c>
      <c r="P80" s="99"/>
      <c r="Q80" s="99"/>
      <c r="S80" s="6"/>
      <c r="T80" s="6"/>
      <c r="U80" s="6">
        <f>O80*AVERAGEIF($G$4:$G$73,G80,$AE$4:$AE$73)</f>
        <v>1097.3857678673867</v>
      </c>
      <c r="V80" s="6"/>
      <c r="W80" s="6">
        <f t="shared" si="208"/>
        <v>1097.3857678673867</v>
      </c>
      <c r="X80" s="6"/>
      <c r="Y80" s="6"/>
      <c r="Z80" s="6">
        <f>IF(OR($S80&lt;&gt;0,$I80="50112",$I80="50109"),0,VLOOKUP($K80,Scenarios!$A$17:$F$73,4,FALSE))</f>
        <v>0</v>
      </c>
      <c r="AA80" s="6">
        <f t="shared" si="209"/>
        <v>0</v>
      </c>
      <c r="AB80" s="6"/>
      <c r="AC80" s="6">
        <f t="shared" si="210"/>
        <v>1097.3857678673867</v>
      </c>
      <c r="AD80" s="6">
        <f t="shared" si="186"/>
        <v>19942</v>
      </c>
      <c r="AE80" s="84">
        <f>AD80/O80-1</f>
        <v>5.8267883676501819E-2</v>
      </c>
      <c r="AF80" s="6"/>
      <c r="AG80" s="6"/>
      <c r="AH80" s="6"/>
      <c r="AI80" s="6">
        <v>0</v>
      </c>
      <c r="AK80" s="6">
        <f t="shared" si="211"/>
        <v>0</v>
      </c>
      <c r="AL80" s="94"/>
      <c r="AM80" s="6"/>
      <c r="AN80" s="94"/>
      <c r="AO80" s="94">
        <f t="shared" si="224"/>
        <v>0</v>
      </c>
      <c r="AP80" s="94">
        <f t="shared" si="225"/>
        <v>19942</v>
      </c>
      <c r="AQ80" s="10">
        <f>IF(OR($I80="50101", $I80="50102", $I80="50109", $I80="50140"),AP80*Scenarios!$H$8,0)</f>
        <v>3378.1747999999998</v>
      </c>
      <c r="AR80" s="9">
        <f>VLOOKUP($D80,WKCMP!$A$1:$C$15,3,FALSE)*AP80</f>
        <v>314.2540128</v>
      </c>
      <c r="AS80" s="10">
        <f t="shared" si="226"/>
        <v>289.15899999999999</v>
      </c>
      <c r="AT80" s="11">
        <f t="shared" si="227"/>
        <v>1236.404</v>
      </c>
      <c r="AU80" s="10">
        <f t="shared" si="228"/>
        <v>1530</v>
      </c>
      <c r="AV80" s="6">
        <f t="shared" si="229"/>
        <v>35.895600000000002</v>
      </c>
      <c r="AW80" s="19">
        <f t="shared" si="230"/>
        <v>0</v>
      </c>
      <c r="AX80" s="19">
        <f t="shared" si="177"/>
        <v>0</v>
      </c>
      <c r="AY80" s="19">
        <f t="shared" si="178"/>
        <v>0</v>
      </c>
      <c r="AZ80" s="88">
        <f t="shared" si="231"/>
        <v>35.895600000000002</v>
      </c>
      <c r="BA80" s="6"/>
      <c r="BB80" s="6"/>
      <c r="BC80" s="56">
        <f t="shared" si="232"/>
        <v>0</v>
      </c>
      <c r="BD80" s="6"/>
      <c r="BE80" s="6">
        <f t="shared" si="233"/>
        <v>35.895600000000002</v>
      </c>
      <c r="BF80" s="6">
        <f t="shared" si="234"/>
        <v>5258.3244127999997</v>
      </c>
      <c r="BG80" s="6">
        <f t="shared" si="235"/>
        <v>25200.324412800001</v>
      </c>
      <c r="BH80" s="14"/>
      <c r="BI80" s="393" t="s">
        <v>2415</v>
      </c>
      <c r="BJ80" s="93">
        <f t="shared" ref="BJ80:BJ85" si="240">ROUNDUP(SUMIF($H$6:$H$73,$BI80,$BA$6:$BA$73),0)</f>
        <v>510601</v>
      </c>
      <c r="BK80" s="3">
        <f t="shared" ref="BK80:BK85" si="241">+ROUNDUP(SUMIF($H$6:$H$73,$BI80,$BD$6:$BD$73),0)</f>
        <v>23376</v>
      </c>
      <c r="BL80" s="391">
        <f>BJ80+BK80</f>
        <v>533977</v>
      </c>
    </row>
    <row r="81" spans="1:89" ht="12.75" customHeight="1">
      <c r="B81" s="35" t="s">
        <v>67</v>
      </c>
      <c r="C81" s="3" t="s">
        <v>356</v>
      </c>
      <c r="D81" s="463" t="s">
        <v>1230</v>
      </c>
      <c r="E81" s="4">
        <v>0</v>
      </c>
      <c r="F81" s="4" t="s">
        <v>954</v>
      </c>
      <c r="G81" s="3" t="str">
        <f t="shared" si="201"/>
        <v>100-30-303</v>
      </c>
      <c r="H81" s="65" t="str">
        <f t="shared" si="202"/>
        <v>100</v>
      </c>
      <c r="I81" s="66" t="str">
        <f t="shared" si="203"/>
        <v>50102</v>
      </c>
      <c r="J81" s="16" t="str">
        <f t="shared" si="204"/>
        <v>30</v>
      </c>
      <c r="K81" s="16" t="str">
        <f t="shared" si="205"/>
        <v>303</v>
      </c>
      <c r="M81" s="3">
        <f t="shared" ref="M81" si="242">IF(F81="100-50102-350-40",2912*E81,2080*E81)</f>
        <v>0</v>
      </c>
      <c r="N81" s="6"/>
      <c r="O81" s="68">
        <f t="shared" ref="O81" si="243">N81</f>
        <v>0</v>
      </c>
      <c r="P81" s="99"/>
      <c r="Q81" s="99"/>
      <c r="S81" s="6"/>
      <c r="T81" s="6"/>
      <c r="U81" s="6">
        <f>O81*AVERAGEIF($G$4:$G$73,G81,$AE$4:$AE$73)</f>
        <v>0</v>
      </c>
      <c r="V81" s="6"/>
      <c r="W81" s="6">
        <f t="shared" si="208"/>
        <v>0</v>
      </c>
      <c r="X81" s="6"/>
      <c r="Y81" s="6"/>
      <c r="Z81" s="6">
        <f>IF(OR($S81&lt;&gt;0,$I81="50112",$I81="50109"),0,VLOOKUP($K81,Scenarios!$A$17:$F$73,4,FALSE))</f>
        <v>0</v>
      </c>
      <c r="AA81" s="6">
        <f t="shared" si="209"/>
        <v>0</v>
      </c>
      <c r="AB81" s="6"/>
      <c r="AC81" s="6">
        <f t="shared" si="210"/>
        <v>0</v>
      </c>
      <c r="AD81" s="6">
        <f t="shared" si="186"/>
        <v>0</v>
      </c>
      <c r="AE81" s="84"/>
      <c r="AF81" s="6"/>
      <c r="AG81" s="6"/>
      <c r="AH81" s="6"/>
      <c r="AI81" s="67">
        <v>15000</v>
      </c>
      <c r="AK81" s="6">
        <f t="shared" si="211"/>
        <v>15000</v>
      </c>
      <c r="AL81" s="94"/>
      <c r="AM81" s="6"/>
      <c r="AN81" s="94"/>
      <c r="AO81" s="94">
        <f t="shared" ref="AO81" si="244">AM81+AN81</f>
        <v>0</v>
      </c>
      <c r="AP81" s="94">
        <f t="shared" si="225"/>
        <v>15000</v>
      </c>
      <c r="AQ81" s="10">
        <f>IF(OR($I81="50101", $I81="50102", $I81="50109", $I81="50140"),AP81*Scenarios!$H$8,0)</f>
        <v>2541</v>
      </c>
      <c r="AR81" s="9">
        <f>VLOOKUP($D81,WKCMP!$A$1:$C$15,3,FALSE)*AP81</f>
        <v>20.664000000000005</v>
      </c>
      <c r="AS81" s="10">
        <f t="shared" si="226"/>
        <v>217.5</v>
      </c>
      <c r="AT81" s="11">
        <f t="shared" si="227"/>
        <v>930</v>
      </c>
      <c r="AU81" s="10">
        <f t="shared" si="228"/>
        <v>1150</v>
      </c>
      <c r="AV81" s="6">
        <f t="shared" si="229"/>
        <v>27</v>
      </c>
      <c r="AW81" s="19">
        <f t="shared" si="230"/>
        <v>0</v>
      </c>
      <c r="AX81" s="19">
        <f t="shared" si="177"/>
        <v>0</v>
      </c>
      <c r="AY81" s="19">
        <f t="shared" si="178"/>
        <v>0</v>
      </c>
      <c r="AZ81" s="88">
        <f t="shared" si="231"/>
        <v>27</v>
      </c>
      <c r="BA81" s="6"/>
      <c r="BB81" s="6"/>
      <c r="BC81" s="56">
        <f t="shared" si="232"/>
        <v>0</v>
      </c>
      <c r="BD81" s="6"/>
      <c r="BE81" s="6">
        <f t="shared" si="233"/>
        <v>27</v>
      </c>
      <c r="BF81" s="6">
        <f t="shared" si="234"/>
        <v>3738.6639999999998</v>
      </c>
      <c r="BG81" s="6">
        <f t="shared" si="235"/>
        <v>18738.664000000001</v>
      </c>
      <c r="BH81" s="14"/>
      <c r="BI81" s="393" t="s">
        <v>2416</v>
      </c>
      <c r="BJ81" s="93">
        <f t="shared" si="240"/>
        <v>0</v>
      </c>
      <c r="BK81" s="3">
        <f t="shared" si="241"/>
        <v>0</v>
      </c>
      <c r="BL81" s="391">
        <f t="shared" ref="BL81:BL85" si="245">BJ81+BK81</f>
        <v>0</v>
      </c>
    </row>
    <row r="82" spans="1:89" ht="12.75" customHeight="1">
      <c r="B82" s="35" t="s">
        <v>72</v>
      </c>
      <c r="C82" s="3" t="s">
        <v>73</v>
      </c>
      <c r="D82" s="463" t="s">
        <v>1230</v>
      </c>
      <c r="E82" s="4">
        <v>0</v>
      </c>
      <c r="F82" s="4" t="s">
        <v>954</v>
      </c>
      <c r="G82" s="3" t="str">
        <f t="shared" si="201"/>
        <v>100-30-303</v>
      </c>
      <c r="H82" s="65" t="str">
        <f t="shared" si="202"/>
        <v>100</v>
      </c>
      <c r="I82" s="66" t="str">
        <f t="shared" si="203"/>
        <v>50102</v>
      </c>
      <c r="J82" s="16" t="str">
        <f t="shared" si="204"/>
        <v>30</v>
      </c>
      <c r="K82" s="16" t="str">
        <f t="shared" si="205"/>
        <v>303</v>
      </c>
      <c r="M82" s="3">
        <f t="shared" si="206"/>
        <v>0</v>
      </c>
      <c r="N82" s="55">
        <v>5500</v>
      </c>
      <c r="O82" s="68">
        <f t="shared" si="239"/>
        <v>5500</v>
      </c>
      <c r="P82" s="99"/>
      <c r="Q82" s="99"/>
      <c r="R82" s="5"/>
      <c r="S82" s="6"/>
      <c r="T82" s="6"/>
      <c r="U82" s="6">
        <f>IF(IFERROR(VLOOKUP($A82,'Market Study'!$A$5:$F$82,18,FALSE),"NA")="NA",0,VLOOKUP($A82,'Market Study'!$A$5:$F$82,18,FALSE))</f>
        <v>0</v>
      </c>
      <c r="V82" s="6"/>
      <c r="W82" s="6">
        <f t="shared" si="208"/>
        <v>0</v>
      </c>
      <c r="X82" s="6"/>
      <c r="Y82" s="6"/>
      <c r="Z82" s="6">
        <f>IF(OR($S82&lt;&gt;0,$I82="50112",$I82="50109"),0,VLOOKUP($K82,Scenarios!$A$17:$F$73,4,FALSE))</f>
        <v>0</v>
      </c>
      <c r="AA82" s="6">
        <f t="shared" si="209"/>
        <v>0</v>
      </c>
      <c r="AB82" s="6"/>
      <c r="AC82" s="6">
        <f t="shared" si="210"/>
        <v>0</v>
      </c>
      <c r="AD82" s="6">
        <f t="shared" si="186"/>
        <v>5500</v>
      </c>
      <c r="AE82" s="84">
        <f>AD82/O82-1</f>
        <v>0</v>
      </c>
      <c r="AF82" s="6"/>
      <c r="AG82" s="6"/>
      <c r="AH82" s="6"/>
      <c r="AI82" s="6">
        <v>0</v>
      </c>
      <c r="AK82" s="6">
        <f t="shared" si="211"/>
        <v>0</v>
      </c>
      <c r="AL82" s="94"/>
      <c r="AM82" s="6"/>
      <c r="AN82" s="94"/>
      <c r="AO82" s="94">
        <f t="shared" si="224"/>
        <v>0</v>
      </c>
      <c r="AP82" s="94">
        <f t="shared" si="225"/>
        <v>5500</v>
      </c>
      <c r="AQ82" s="10">
        <f>IF(OR($I82="50101", $I82="50102", $I82="50109", $I82="50140"),AP82*Scenarios!$H$8,0)</f>
        <v>931.69999999999993</v>
      </c>
      <c r="AR82" s="9">
        <f>VLOOKUP($D82,WKCMP!$A$1:$C$15,3,FALSE)*AP82</f>
        <v>7.5768000000000013</v>
      </c>
      <c r="AS82" s="10">
        <f t="shared" si="226"/>
        <v>79.75</v>
      </c>
      <c r="AT82" s="11">
        <f t="shared" si="227"/>
        <v>341</v>
      </c>
      <c r="AU82" s="10">
        <f t="shared" si="228"/>
        <v>430</v>
      </c>
      <c r="AV82" s="6">
        <f t="shared" si="229"/>
        <v>9.9</v>
      </c>
      <c r="AW82" s="19">
        <f t="shared" si="230"/>
        <v>0</v>
      </c>
      <c r="AX82" s="19">
        <f t="shared" si="177"/>
        <v>0</v>
      </c>
      <c r="AY82" s="19">
        <f t="shared" si="178"/>
        <v>0</v>
      </c>
      <c r="AZ82" s="88">
        <f t="shared" si="231"/>
        <v>9.9</v>
      </c>
      <c r="BA82" s="6"/>
      <c r="BB82" s="6"/>
      <c r="BC82" s="56">
        <f t="shared" si="232"/>
        <v>0</v>
      </c>
      <c r="BD82" s="6"/>
      <c r="BE82" s="6">
        <f t="shared" si="233"/>
        <v>9.9</v>
      </c>
      <c r="BF82" s="6">
        <f t="shared" si="234"/>
        <v>1379.1768</v>
      </c>
      <c r="BG82" s="6">
        <f t="shared" si="235"/>
        <v>6879.1768000000002</v>
      </c>
      <c r="BH82" s="14"/>
      <c r="BI82" s="393" t="s">
        <v>2417</v>
      </c>
      <c r="BJ82" s="93">
        <f t="shared" si="240"/>
        <v>39188</v>
      </c>
      <c r="BK82" s="3">
        <f t="shared" si="241"/>
        <v>1713</v>
      </c>
      <c r="BL82" s="391">
        <f t="shared" si="245"/>
        <v>40901</v>
      </c>
    </row>
    <row r="83" spans="1:89" ht="12.75" customHeight="1">
      <c r="B83" s="35" t="s">
        <v>71</v>
      </c>
      <c r="C83" s="3" t="s">
        <v>71</v>
      </c>
      <c r="D83" s="463" t="s">
        <v>1230</v>
      </c>
      <c r="E83" s="4">
        <v>0</v>
      </c>
      <c r="F83" s="4" t="s">
        <v>954</v>
      </c>
      <c r="G83" s="3" t="str">
        <f t="shared" si="201"/>
        <v>100-30-303</v>
      </c>
      <c r="H83" s="65" t="str">
        <f t="shared" si="202"/>
        <v>100</v>
      </c>
      <c r="I83" s="66" t="str">
        <f t="shared" si="203"/>
        <v>50102</v>
      </c>
      <c r="J83" s="16" t="str">
        <f t="shared" si="204"/>
        <v>30</v>
      </c>
      <c r="K83" s="16" t="str">
        <f t="shared" si="205"/>
        <v>303</v>
      </c>
      <c r="M83" s="3">
        <f t="shared" si="206"/>
        <v>0</v>
      </c>
      <c r="N83" s="55">
        <v>6550</v>
      </c>
      <c r="O83" s="68">
        <f t="shared" si="239"/>
        <v>6550</v>
      </c>
      <c r="P83" s="99"/>
      <c r="Q83" s="99"/>
      <c r="R83" s="5"/>
      <c r="S83" s="6"/>
      <c r="T83" s="6"/>
      <c r="U83" s="6">
        <f>O83*AVERAGEIF($G$4:$G$73,G83,$AE$4:$AE$73)</f>
        <v>471.5071866436956</v>
      </c>
      <c r="V83" s="6"/>
      <c r="W83" s="6">
        <f t="shared" si="208"/>
        <v>471.5071866436956</v>
      </c>
      <c r="X83" s="6"/>
      <c r="Y83" s="6"/>
      <c r="Z83" s="6">
        <f>IF(OR($S83&lt;&gt;0,$I83="50112",$I83="50109"),0,VLOOKUP($K83,Scenarios!$A$17:$F$73,4,FALSE))</f>
        <v>0</v>
      </c>
      <c r="AA83" s="6">
        <f t="shared" si="209"/>
        <v>0</v>
      </c>
      <c r="AB83" s="6"/>
      <c r="AC83" s="6">
        <f t="shared" si="210"/>
        <v>471.5071866436956</v>
      </c>
      <c r="AD83" s="6">
        <f t="shared" si="186"/>
        <v>7022</v>
      </c>
      <c r="AE83" s="84">
        <f>AD83/O83-1</f>
        <v>7.206106870229001E-2</v>
      </c>
      <c r="AF83" s="6"/>
      <c r="AG83" s="6"/>
      <c r="AH83" s="6"/>
      <c r="AI83" s="6">
        <v>0</v>
      </c>
      <c r="AK83" s="6">
        <f t="shared" si="211"/>
        <v>0</v>
      </c>
      <c r="AL83" s="94"/>
      <c r="AM83" s="6"/>
      <c r="AN83" s="94"/>
      <c r="AO83" s="94">
        <f t="shared" si="224"/>
        <v>0</v>
      </c>
      <c r="AP83" s="94">
        <f t="shared" si="225"/>
        <v>7022</v>
      </c>
      <c r="AQ83" s="10">
        <f>IF(OR($I83="50101", $I83="50102", $I83="50109", $I83="50140"),AP83*Scenarios!$H$8,0)</f>
        <v>1189.5267999999999</v>
      </c>
      <c r="AR83" s="9">
        <f>VLOOKUP($D83,WKCMP!$A$1:$C$15,3,FALSE)*AP83</f>
        <v>9.6735072000000013</v>
      </c>
      <c r="AS83" s="10">
        <f t="shared" si="226"/>
        <v>101.819</v>
      </c>
      <c r="AT83" s="11">
        <f t="shared" si="227"/>
        <v>435.36399999999998</v>
      </c>
      <c r="AU83" s="10">
        <f t="shared" si="228"/>
        <v>540</v>
      </c>
      <c r="AV83" s="6">
        <f t="shared" si="229"/>
        <v>12.6396</v>
      </c>
      <c r="AW83" s="19">
        <f t="shared" si="230"/>
        <v>0</v>
      </c>
      <c r="AX83" s="19">
        <f t="shared" si="177"/>
        <v>0</v>
      </c>
      <c r="AY83" s="19">
        <f t="shared" si="178"/>
        <v>0</v>
      </c>
      <c r="AZ83" s="88">
        <f t="shared" si="231"/>
        <v>12.6396</v>
      </c>
      <c r="BA83" s="6"/>
      <c r="BB83" s="6"/>
      <c r="BC83" s="56">
        <f t="shared" si="232"/>
        <v>0</v>
      </c>
      <c r="BD83" s="6"/>
      <c r="BE83" s="6">
        <f t="shared" si="233"/>
        <v>12.6396</v>
      </c>
      <c r="BF83" s="6">
        <f t="shared" si="234"/>
        <v>1751.8399071999997</v>
      </c>
      <c r="BG83" s="6">
        <f t="shared" si="235"/>
        <v>8773.8399071999993</v>
      </c>
      <c r="BH83" s="14"/>
      <c r="BI83" s="393" t="s">
        <v>2418</v>
      </c>
      <c r="BJ83" s="93">
        <f t="shared" si="240"/>
        <v>16548</v>
      </c>
      <c r="BK83" s="3">
        <f t="shared" si="241"/>
        <v>844</v>
      </c>
      <c r="BL83" s="391">
        <f t="shared" si="245"/>
        <v>17392</v>
      </c>
    </row>
    <row r="84" spans="1:89" ht="12.75" customHeight="1">
      <c r="B84" s="35" t="s">
        <v>71</v>
      </c>
      <c r="C84" s="3" t="s">
        <v>71</v>
      </c>
      <c r="D84" s="463" t="s">
        <v>1224</v>
      </c>
      <c r="E84" s="4">
        <v>0</v>
      </c>
      <c r="F84" s="4" t="s">
        <v>957</v>
      </c>
      <c r="G84" s="3" t="str">
        <f t="shared" si="201"/>
        <v>100-30-305</v>
      </c>
      <c r="H84" s="65" t="str">
        <f t="shared" si="202"/>
        <v>100</v>
      </c>
      <c r="I84" s="66" t="str">
        <f t="shared" si="203"/>
        <v>50102</v>
      </c>
      <c r="J84" s="16" t="str">
        <f t="shared" si="204"/>
        <v>30</v>
      </c>
      <c r="K84" s="16" t="str">
        <f t="shared" si="205"/>
        <v>305</v>
      </c>
      <c r="M84" s="3">
        <f t="shared" si="206"/>
        <v>0</v>
      </c>
      <c r="N84" s="69">
        <v>1250</v>
      </c>
      <c r="O84" s="68">
        <f t="shared" si="239"/>
        <v>1250</v>
      </c>
      <c r="P84" s="99"/>
      <c r="Q84" s="99"/>
      <c r="S84" s="6"/>
      <c r="T84" s="6"/>
      <c r="U84" s="6">
        <f>O84*AVERAGEIF($G$4:$G$73,G84,$AE$4:$AE$73)</f>
        <v>103.99383740222812</v>
      </c>
      <c r="V84" s="6"/>
      <c r="W84" s="6">
        <f t="shared" si="208"/>
        <v>103.99383740222812</v>
      </c>
      <c r="X84" s="6"/>
      <c r="Y84" s="6"/>
      <c r="Z84" s="6">
        <f>IF(OR($S84&lt;&gt;0,$I84="50112",$I84="50109"),0,VLOOKUP($K84,Scenarios!$A$17:$F$73,4,FALSE))</f>
        <v>0</v>
      </c>
      <c r="AA84" s="6">
        <f t="shared" si="209"/>
        <v>0</v>
      </c>
      <c r="AB84" s="6"/>
      <c r="AC84" s="6">
        <f t="shared" si="210"/>
        <v>103.99383740222812</v>
      </c>
      <c r="AD84" s="6">
        <f t="shared" si="186"/>
        <v>1354</v>
      </c>
      <c r="AE84" s="84">
        <f>AD84/O84-1</f>
        <v>8.3199999999999941E-2</v>
      </c>
      <c r="AF84" s="6"/>
      <c r="AG84" s="6"/>
      <c r="AH84" s="6"/>
      <c r="AI84" s="6">
        <v>0</v>
      </c>
      <c r="AK84" s="6">
        <f t="shared" si="211"/>
        <v>0</v>
      </c>
      <c r="AL84" s="94"/>
      <c r="AM84" s="6"/>
      <c r="AN84" s="94"/>
      <c r="AO84" s="94">
        <f t="shared" si="224"/>
        <v>0</v>
      </c>
      <c r="AP84" s="94">
        <f t="shared" si="225"/>
        <v>1354</v>
      </c>
      <c r="AQ84" s="10">
        <f>IF(OR($I84="50101", $I84="50102", $I84="50109", $I84="50140"),AP84*Scenarios!$H$8,0)</f>
        <v>229.36759999999998</v>
      </c>
      <c r="AR84" s="9">
        <f>VLOOKUP($D84,WKCMP!$A$1:$C$15,3,FALSE)*AP84</f>
        <v>21.336873599999997</v>
      </c>
      <c r="AS84" s="10">
        <f t="shared" si="226"/>
        <v>19.633000000000003</v>
      </c>
      <c r="AT84" s="11">
        <f t="shared" si="227"/>
        <v>83.947999999999993</v>
      </c>
      <c r="AU84" s="10">
        <f t="shared" si="228"/>
        <v>110</v>
      </c>
      <c r="AV84" s="6">
        <f t="shared" si="229"/>
        <v>2.4371999999999998</v>
      </c>
      <c r="AW84" s="19">
        <f t="shared" si="230"/>
        <v>0</v>
      </c>
      <c r="AX84" s="19">
        <f t="shared" si="177"/>
        <v>0</v>
      </c>
      <c r="AY84" s="19">
        <f t="shared" si="178"/>
        <v>0</v>
      </c>
      <c r="AZ84" s="88">
        <f t="shared" si="231"/>
        <v>2.4371999999999998</v>
      </c>
      <c r="BA84" s="6"/>
      <c r="BB84" s="6"/>
      <c r="BC84" s="56">
        <f t="shared" si="232"/>
        <v>0</v>
      </c>
      <c r="BD84" s="6"/>
      <c r="BE84" s="6">
        <f t="shared" si="233"/>
        <v>2.4371999999999998</v>
      </c>
      <c r="BF84" s="6">
        <f t="shared" si="234"/>
        <v>363.14167359999999</v>
      </c>
      <c r="BG84" s="6">
        <f t="shared" si="235"/>
        <v>1717.1416736000001</v>
      </c>
      <c r="BH84" s="14"/>
      <c r="BI84" s="393" t="s">
        <v>2419</v>
      </c>
      <c r="BJ84" s="93">
        <f t="shared" si="240"/>
        <v>309905</v>
      </c>
      <c r="BK84" s="3">
        <f t="shared" si="241"/>
        <v>13794</v>
      </c>
      <c r="BL84" s="391">
        <f t="shared" si="245"/>
        <v>323699</v>
      </c>
    </row>
    <row r="85" spans="1:89" ht="12.75" customHeight="1">
      <c r="B85" s="3" t="s">
        <v>74</v>
      </c>
      <c r="C85" s="18" t="s">
        <v>75</v>
      </c>
      <c r="D85" s="463" t="s">
        <v>1230</v>
      </c>
      <c r="F85" s="4" t="s">
        <v>958</v>
      </c>
      <c r="G85" s="3" t="str">
        <f t="shared" si="201"/>
        <v>119-18-181</v>
      </c>
      <c r="H85" s="65" t="str">
        <f t="shared" si="202"/>
        <v>119</v>
      </c>
      <c r="I85" s="66" t="str">
        <f t="shared" si="203"/>
        <v>50140</v>
      </c>
      <c r="J85" s="16" t="str">
        <f t="shared" si="204"/>
        <v>18</v>
      </c>
      <c r="K85" s="16" t="str">
        <f t="shared" si="205"/>
        <v>181</v>
      </c>
      <c r="M85" s="3">
        <f t="shared" si="206"/>
        <v>0</v>
      </c>
      <c r="N85" s="55">
        <f>AO74+50*12*6+75*12*6</f>
        <v>27615</v>
      </c>
      <c r="O85" s="68">
        <f t="shared" si="239"/>
        <v>27615</v>
      </c>
      <c r="P85" s="99"/>
      <c r="Q85" s="99"/>
      <c r="S85" s="6"/>
      <c r="T85" s="6"/>
      <c r="U85" s="6">
        <f>IF(IFERROR(VLOOKUP($A85,'Market Study'!$A$5:$F$82,18,FALSE),"NA")="NA",0,VLOOKUP($A85,'Market Study'!$A$5:$F$82,18,FALSE))</f>
        <v>0</v>
      </c>
      <c r="V85" s="6"/>
      <c r="W85" s="6">
        <f t="shared" si="208"/>
        <v>0</v>
      </c>
      <c r="X85" s="6"/>
      <c r="Y85" s="6"/>
      <c r="Z85" s="6">
        <f>IF(OR($S85&lt;&gt;0,$I85="50112",$I85="50109"),0,VLOOKUP($K85,Scenarios!$A$17:$F$73,4,FALSE))</f>
        <v>0</v>
      </c>
      <c r="AA85" s="6">
        <f t="shared" si="209"/>
        <v>0</v>
      </c>
      <c r="AB85" s="6"/>
      <c r="AC85" s="6">
        <f t="shared" si="210"/>
        <v>0</v>
      </c>
      <c r="AD85" s="6">
        <f t="shared" si="186"/>
        <v>27615</v>
      </c>
      <c r="AE85" s="84">
        <f>AD85/O85-1</f>
        <v>0</v>
      </c>
      <c r="AF85" s="6"/>
      <c r="AG85" s="6"/>
      <c r="AH85" s="6"/>
      <c r="AI85" s="6">
        <v>0</v>
      </c>
      <c r="AK85" s="6">
        <f t="shared" si="211"/>
        <v>0</v>
      </c>
      <c r="AL85" s="94"/>
      <c r="AM85" s="6"/>
      <c r="AN85" s="94"/>
      <c r="AO85" s="94">
        <f t="shared" si="224"/>
        <v>0</v>
      </c>
      <c r="AP85" s="94">
        <f t="shared" si="225"/>
        <v>27615</v>
      </c>
      <c r="AQ85" s="10">
        <f>IF(OR($I85="50101", $I85="50102", $I85="50109", $I85="50140"),AP85*Scenarios!$H$8,0)</f>
        <v>4677.9809999999998</v>
      </c>
      <c r="AR85" s="9">
        <f>VLOOKUP($D85,WKCMP!$A$1:$C$15,3,FALSE)*AP85</f>
        <v>38.042424000000011</v>
      </c>
      <c r="AS85" s="10">
        <f t="shared" si="226"/>
        <v>400.41750000000002</v>
      </c>
      <c r="AT85" s="11">
        <f t="shared" si="227"/>
        <v>1712.1299999999999</v>
      </c>
      <c r="AU85" s="10">
        <f t="shared" si="228"/>
        <v>2120</v>
      </c>
      <c r="AV85" s="6">
        <f t="shared" si="229"/>
        <v>49.707000000000001</v>
      </c>
      <c r="AW85" s="19">
        <f t="shared" si="230"/>
        <v>0</v>
      </c>
      <c r="AX85" s="19">
        <f t="shared" si="177"/>
        <v>0</v>
      </c>
      <c r="AY85" s="19">
        <f t="shared" si="178"/>
        <v>0</v>
      </c>
      <c r="AZ85" s="88">
        <f t="shared" si="231"/>
        <v>49.707000000000001</v>
      </c>
      <c r="BA85" s="6"/>
      <c r="BB85" s="6"/>
      <c r="BC85" s="56">
        <f t="shared" si="232"/>
        <v>0</v>
      </c>
      <c r="BD85" s="6"/>
      <c r="BE85" s="6">
        <f t="shared" si="233"/>
        <v>49.707000000000001</v>
      </c>
      <c r="BF85" s="6">
        <f t="shared" si="234"/>
        <v>6885.7304239999994</v>
      </c>
      <c r="BG85" s="6">
        <f t="shared" si="235"/>
        <v>34500.730424000001</v>
      </c>
      <c r="BH85" s="14"/>
      <c r="BI85" s="393" t="s">
        <v>2414</v>
      </c>
      <c r="BJ85" s="93">
        <f t="shared" si="240"/>
        <v>36184</v>
      </c>
      <c r="BK85" s="3">
        <f t="shared" si="241"/>
        <v>1713</v>
      </c>
      <c r="BL85" s="391">
        <f t="shared" si="245"/>
        <v>37897</v>
      </c>
    </row>
    <row r="86" spans="1:89" ht="12.75" customHeight="1">
      <c r="B86" s="3" t="s">
        <v>67</v>
      </c>
      <c r="C86" s="3" t="s">
        <v>356</v>
      </c>
      <c r="D86" s="463" t="s">
        <v>1217</v>
      </c>
      <c r="E86" s="4">
        <v>0</v>
      </c>
      <c r="F86" s="4" t="s">
        <v>959</v>
      </c>
      <c r="G86" s="3" t="str">
        <f t="shared" si="201"/>
        <v>100-35-352</v>
      </c>
      <c r="H86" s="65" t="str">
        <f t="shared" si="202"/>
        <v>100</v>
      </c>
      <c r="I86" s="66" t="str">
        <f t="shared" si="203"/>
        <v>50102</v>
      </c>
      <c r="J86" s="16" t="str">
        <f t="shared" si="204"/>
        <v>35</v>
      </c>
      <c r="K86" s="16" t="str">
        <f t="shared" si="205"/>
        <v>352</v>
      </c>
      <c r="M86" s="3">
        <f t="shared" ref="M86" si="246">IF(F86="100-50102-350-40",2912*E86,2080*E86)</f>
        <v>0</v>
      </c>
      <c r="N86" s="10">
        <v>5400</v>
      </c>
      <c r="O86" s="68">
        <f t="shared" ref="O86" si="247">N86</f>
        <v>5400</v>
      </c>
      <c r="P86" s="99"/>
      <c r="Q86" s="99"/>
      <c r="R86" s="5"/>
      <c r="S86" s="6"/>
      <c r="T86" s="6"/>
      <c r="U86" s="6">
        <f>IF(IFERROR(VLOOKUP($A86,'Market Study'!$A$5:$F$82,18,FALSE),"NA")="NA",0,VLOOKUP($A86,'Market Study'!$A$5:$F$82,18,FALSE))</f>
        <v>0</v>
      </c>
      <c r="V86" s="6"/>
      <c r="W86" s="6">
        <f t="shared" si="208"/>
        <v>0</v>
      </c>
      <c r="X86" s="6"/>
      <c r="Y86" s="6"/>
      <c r="Z86" s="6">
        <f>IF(OR($S86&lt;&gt;0,$I86="50112",$I86="50109"),0,VLOOKUP($K86,Scenarios!$A$17:$F$73,4,FALSE))</f>
        <v>0</v>
      </c>
      <c r="AA86" s="6">
        <f t="shared" si="209"/>
        <v>0</v>
      </c>
      <c r="AB86" s="6"/>
      <c r="AC86" s="6">
        <f t="shared" si="210"/>
        <v>0</v>
      </c>
      <c r="AD86" s="6">
        <f t="shared" si="186"/>
        <v>5400</v>
      </c>
      <c r="AE86" s="84"/>
      <c r="AF86" s="6"/>
      <c r="AG86" s="6"/>
      <c r="AH86" s="6"/>
      <c r="AI86" s="67"/>
      <c r="AK86" s="6">
        <f t="shared" si="211"/>
        <v>0</v>
      </c>
      <c r="AL86" s="94"/>
      <c r="AM86" s="6"/>
      <c r="AN86" s="94"/>
      <c r="AO86" s="94">
        <f t="shared" ref="AO86" si="248">AM86+AN86</f>
        <v>0</v>
      </c>
      <c r="AP86" s="94">
        <f t="shared" si="225"/>
        <v>5400</v>
      </c>
      <c r="AQ86" s="10">
        <f>IF(OR($I86="50101", $I86="50102", $I86="50109", $I86="50140"),AP86*Scenarios!$H$8,0)</f>
        <v>914.76</v>
      </c>
      <c r="AR86" s="9">
        <f>VLOOKUP($D86,WKCMP!$A$1:$C$15,3,FALSE)*AP86</f>
        <v>96.163200000000003</v>
      </c>
      <c r="AS86" s="10">
        <f t="shared" si="226"/>
        <v>78.3</v>
      </c>
      <c r="AT86" s="11">
        <f t="shared" si="227"/>
        <v>334.8</v>
      </c>
      <c r="AU86" s="10">
        <f t="shared" si="228"/>
        <v>420</v>
      </c>
      <c r="AV86" s="6">
        <f t="shared" si="229"/>
        <v>9.7199999999999989</v>
      </c>
      <c r="AW86" s="19">
        <f t="shared" si="230"/>
        <v>0</v>
      </c>
      <c r="AX86" s="19">
        <f t="shared" si="177"/>
        <v>0</v>
      </c>
      <c r="AY86" s="19">
        <f t="shared" si="178"/>
        <v>0</v>
      </c>
      <c r="AZ86" s="88">
        <f t="shared" si="231"/>
        <v>9.7199999999999989</v>
      </c>
      <c r="BA86" s="6"/>
      <c r="BB86" s="6"/>
      <c r="BC86" s="56">
        <f t="shared" si="232"/>
        <v>0</v>
      </c>
      <c r="BD86" s="6"/>
      <c r="BE86" s="6">
        <f t="shared" si="233"/>
        <v>9.7199999999999989</v>
      </c>
      <c r="BF86" s="6">
        <f t="shared" si="234"/>
        <v>1440.6432</v>
      </c>
      <c r="BG86" s="6">
        <f t="shared" si="235"/>
        <v>6840.6432000000004</v>
      </c>
      <c r="BH86" s="14"/>
      <c r="BI86" s="393"/>
      <c r="BJ86" s="93">
        <f>ROUNDUP(SUMIF($H$6:$H$73,$BI86,$BJ$6:$BJ$73),0)</f>
        <v>0</v>
      </c>
    </row>
    <row r="87" spans="1:89" ht="12.75" customHeight="1">
      <c r="B87" s="3" t="s">
        <v>167</v>
      </c>
      <c r="C87" s="3" t="s">
        <v>167</v>
      </c>
      <c r="D87" s="463" t="s">
        <v>1217</v>
      </c>
      <c r="E87" s="4">
        <v>0</v>
      </c>
      <c r="F87" s="4" t="s">
        <v>960</v>
      </c>
      <c r="G87" s="3" t="str">
        <f t="shared" si="201"/>
        <v>112-64-642</v>
      </c>
      <c r="H87" s="65" t="str">
        <f t="shared" si="202"/>
        <v>112</v>
      </c>
      <c r="I87" s="66" t="str">
        <f t="shared" si="203"/>
        <v>50110</v>
      </c>
      <c r="J87" s="16" t="str">
        <f t="shared" si="204"/>
        <v>64</v>
      </c>
      <c r="K87" s="16" t="str">
        <f t="shared" si="205"/>
        <v>642</v>
      </c>
      <c r="M87" s="3">
        <f t="shared" si="206"/>
        <v>0</v>
      </c>
      <c r="N87" s="10">
        <v>250</v>
      </c>
      <c r="O87" s="68">
        <f t="shared" si="239"/>
        <v>250</v>
      </c>
      <c r="P87" s="99"/>
      <c r="Q87" s="99"/>
      <c r="R87" s="5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>
        <f t="shared" si="186"/>
        <v>250</v>
      </c>
      <c r="AE87" s="84"/>
      <c r="AF87" s="6"/>
      <c r="AG87" s="6"/>
      <c r="AH87" s="6"/>
      <c r="AI87" s="67"/>
      <c r="AK87" s="6">
        <f t="shared" si="211"/>
        <v>0</v>
      </c>
      <c r="AL87" s="94"/>
      <c r="AM87" s="6"/>
      <c r="AN87" s="94"/>
      <c r="AO87" s="94">
        <f t="shared" si="224"/>
        <v>0</v>
      </c>
      <c r="AP87" s="94">
        <f t="shared" si="225"/>
        <v>250</v>
      </c>
      <c r="AQ87" s="10">
        <f>IF(OR($I87="50101", $I87="50102", $I87="50109", $I87="50140"),AP87*Scenarios!$H$8,0)</f>
        <v>0</v>
      </c>
      <c r="AR87" s="9">
        <f>VLOOKUP($D87,WKCMP!$A$1:$C$15,3,FALSE)*AP87</f>
        <v>4.452</v>
      </c>
      <c r="AS87" s="10">
        <f t="shared" ref="AS87:AS99" si="249">AP87*$AS$2</f>
        <v>3.625</v>
      </c>
      <c r="AT87" s="11">
        <f t="shared" ref="AT87:AT99" si="250">IF($AP87&lt;$AT$4,$AT$2*AP87,$AT$4*$AT$2*$E87)</f>
        <v>15.5</v>
      </c>
      <c r="AU87" s="10">
        <f t="shared" ref="AU87:AU99" si="251">ROUNDUP((AS87+AT87), -1)</f>
        <v>20</v>
      </c>
      <c r="AV87" s="6">
        <f t="shared" ref="AV87:AV99" si="252">AD87*$AV$2</f>
        <v>0.45</v>
      </c>
      <c r="AW87" s="19">
        <f t="shared" ref="AW87:AW99" si="253">IF(AND($I87&lt;&gt;"50101", $I87&lt;&gt;"50102"),0,IF($I87="50101",IF(($AD87/52*$AW$3)&gt;$AV$1,$AV$1,$AD87/52*$AW$3),IF(($AD87/52*$AW$3)&gt;$AW$1,$AW$1,$AD87/52*$AW$3)))*E87</f>
        <v>0</v>
      </c>
      <c r="AX87" s="19">
        <f>IF(AND($A87="v",$E87=1),AX$1,IF(OR($A87=0,$E87&lt;&gt;1),0,SUMIFS(#REF!,#REF!,'Prop Budget Calc'!AX$4,#REF!,'Prop Budget Calc'!$A87)*(1+AX$2)*AX$3))</f>
        <v>0</v>
      </c>
      <c r="AY87" s="19">
        <f>IF(AND($A87="v",$E87=1),AY$1,IF(OR($A87=0,$E87&lt;&gt;1),0,SUMIFS(#REF!,#REF!,'Prop Budget Calc'!AY$4,#REF!,'Prop Budget Calc'!$A87)*(1+AY$2)*AY$3))</f>
        <v>0</v>
      </c>
      <c r="AZ87" s="88">
        <f t="shared" ref="AZ87:AZ99" si="254">AV87+AW87+AX87+AY87</f>
        <v>0.45</v>
      </c>
      <c r="BC87" s="56">
        <f t="shared" si="232"/>
        <v>0</v>
      </c>
      <c r="BE87" s="6">
        <f t="shared" ref="BE87:BE99" si="255">SUM(AZ87:BD87)</f>
        <v>0.45</v>
      </c>
      <c r="BF87" s="6">
        <f t="shared" ref="BF87:BF99" si="256">AU87+BE87+AR87+AQ87</f>
        <v>24.902000000000001</v>
      </c>
      <c r="BG87" s="6">
        <f t="shared" ref="BG87:BG99" si="257">AP87+BF87</f>
        <v>274.90199999999999</v>
      </c>
      <c r="BH87" s="14"/>
      <c r="BJ87" s="391">
        <f>SUM(BJ80:BJ86)</f>
        <v>912426</v>
      </c>
      <c r="BK87" s="391">
        <f>SUM(BK80:BK86)</f>
        <v>41440</v>
      </c>
      <c r="BL87" s="391">
        <f>SUM(BL80:BL86)</f>
        <v>953866</v>
      </c>
      <c r="BM87" s="391">
        <f>BL87+BK74+BL74</f>
        <v>1127059.8119540229</v>
      </c>
    </row>
    <row r="88" spans="1:89" ht="12.75" customHeight="1">
      <c r="B88" s="3" t="s">
        <v>168</v>
      </c>
      <c r="C88" s="3" t="s">
        <v>168</v>
      </c>
      <c r="D88" s="463" t="s">
        <v>1217</v>
      </c>
      <c r="E88" s="4">
        <v>0</v>
      </c>
      <c r="F88" s="4" t="s">
        <v>961</v>
      </c>
      <c r="G88" s="3" t="str">
        <f t="shared" si="201"/>
        <v>112-64-642</v>
      </c>
      <c r="H88" s="65" t="str">
        <f t="shared" si="202"/>
        <v>112</v>
      </c>
      <c r="I88" s="66" t="str">
        <f t="shared" si="203"/>
        <v>50109</v>
      </c>
      <c r="J88" s="16" t="str">
        <f t="shared" si="204"/>
        <v>64</v>
      </c>
      <c r="K88" s="16" t="str">
        <f t="shared" si="205"/>
        <v>642</v>
      </c>
      <c r="M88" s="3">
        <f t="shared" ref="M88" si="258">IF(F88="100-50102-350-40",2912*E88,2080*E88)</f>
        <v>0</v>
      </c>
      <c r="N88" s="10">
        <v>750</v>
      </c>
      <c r="O88" s="68">
        <f t="shared" ref="O88" si="259">N88</f>
        <v>750</v>
      </c>
      <c r="P88" s="99"/>
      <c r="Q88" s="99"/>
      <c r="R88" s="5"/>
      <c r="S88" s="6"/>
      <c r="T88" s="6"/>
      <c r="U88" s="6">
        <f>IF(IFERROR(VLOOKUP($A88,'Market Study'!$A$5:$F$82,18,FALSE),"NA")="NA",0,VLOOKUP($A88,'Market Study'!$A$5:$F$82,18,FALSE))</f>
        <v>0</v>
      </c>
      <c r="V88" s="6"/>
      <c r="W88" s="6">
        <f t="shared" si="208"/>
        <v>0</v>
      </c>
      <c r="X88" s="6"/>
      <c r="Y88" s="6"/>
      <c r="Z88" s="6">
        <f>IF(OR($S88&lt;&gt;0,$I88="50112",$I88="50109"),0,VLOOKUP($K88,Scenarios!$A$17:$F$73,4,FALSE))</f>
        <v>0</v>
      </c>
      <c r="AA88" s="6">
        <f t="shared" si="209"/>
        <v>0</v>
      </c>
      <c r="AB88" s="6"/>
      <c r="AC88" s="6">
        <f t="shared" si="210"/>
        <v>0</v>
      </c>
      <c r="AD88" s="6">
        <f t="shared" si="186"/>
        <v>750</v>
      </c>
      <c r="AE88" s="84"/>
      <c r="AF88" s="6"/>
      <c r="AG88" s="6"/>
      <c r="AH88" s="6"/>
      <c r="AI88" s="67"/>
      <c r="AK88" s="6">
        <f t="shared" si="211"/>
        <v>0</v>
      </c>
      <c r="AL88" s="94"/>
      <c r="AM88" s="6"/>
      <c r="AN88" s="94"/>
      <c r="AO88" s="94">
        <f t="shared" ref="AO88" si="260">AM88+AN88</f>
        <v>0</v>
      </c>
      <c r="AP88" s="94">
        <f t="shared" si="225"/>
        <v>750</v>
      </c>
      <c r="AQ88" s="10">
        <f>IF(OR($I88="50101", $I88="50102", $I88="50109", $I88="50140"),AP88*Scenarios!$H$8,0)</f>
        <v>127.05</v>
      </c>
      <c r="AR88" s="9">
        <f>VLOOKUP($D88,WKCMP!$A$1:$C$15,3,FALSE)*AP88</f>
        <v>13.356</v>
      </c>
      <c r="AS88" s="10">
        <f t="shared" ref="AS88" si="261">AP88*$AS$2</f>
        <v>10.875</v>
      </c>
      <c r="AT88" s="11">
        <f t="shared" si="250"/>
        <v>46.5</v>
      </c>
      <c r="AU88" s="10">
        <f t="shared" ref="AU88" si="262">ROUNDUP((AS88+AT88), -1)</f>
        <v>60</v>
      </c>
      <c r="AV88" s="6">
        <f t="shared" si="252"/>
        <v>1.3499999999999999</v>
      </c>
      <c r="AW88" s="19">
        <f t="shared" si="253"/>
        <v>0</v>
      </c>
      <c r="AX88" s="19">
        <f>IF(AND($A88="v",$E88=1),AX$1,IF(OR($A88=0,$E88&lt;&gt;1),0,SUMIFS(#REF!,#REF!,'Prop Budget Calc'!AX$4,#REF!,'Prop Budget Calc'!$A88)*(1+AX$2)*AX$3))</f>
        <v>0</v>
      </c>
      <c r="AY88" s="19">
        <f>IF(AND($A88="v",$E88=1),AY$1,IF(OR($A88=0,$E88&lt;&gt;1),0,SUMIFS(#REF!,#REF!,'Prop Budget Calc'!AY$4,#REF!,'Prop Budget Calc'!$A88)*(1+AY$2)*AY$3))</f>
        <v>0</v>
      </c>
      <c r="AZ88" s="88">
        <f t="shared" si="254"/>
        <v>1.3499999999999999</v>
      </c>
      <c r="BC88" s="56">
        <f t="shared" si="232"/>
        <v>0</v>
      </c>
      <c r="BE88" s="6">
        <f t="shared" si="255"/>
        <v>1.3499999999999999</v>
      </c>
      <c r="BF88" s="6">
        <f t="shared" si="256"/>
        <v>201.756</v>
      </c>
      <c r="BG88" s="6">
        <f t="shared" si="257"/>
        <v>951.75599999999997</v>
      </c>
      <c r="BH88" s="14"/>
      <c r="BJ88" s="391">
        <f>BJ87-(BA74+BD74)</f>
        <v>-41435.86521742749</v>
      </c>
    </row>
    <row r="89" spans="1:89" s="16" customFormat="1" ht="12.75" customHeight="1">
      <c r="A89" s="20"/>
      <c r="B89" s="18" t="s">
        <v>76</v>
      </c>
      <c r="C89" s="18" t="s">
        <v>76</v>
      </c>
      <c r="D89" s="463" t="s">
        <v>1230</v>
      </c>
      <c r="E89" s="4">
        <v>0</v>
      </c>
      <c r="F89" s="4" t="s">
        <v>959</v>
      </c>
      <c r="G89" s="3" t="str">
        <f t="shared" si="201"/>
        <v>100-35-352</v>
      </c>
      <c r="H89" s="65" t="str">
        <f t="shared" si="202"/>
        <v>100</v>
      </c>
      <c r="I89" s="66" t="str">
        <f t="shared" si="203"/>
        <v>50102</v>
      </c>
      <c r="J89" s="16" t="str">
        <f t="shared" si="204"/>
        <v>35</v>
      </c>
      <c r="K89" s="16" t="str">
        <f t="shared" si="205"/>
        <v>352</v>
      </c>
      <c r="L89" s="3"/>
      <c r="M89" s="3">
        <f t="shared" si="206"/>
        <v>0</v>
      </c>
      <c r="N89" s="69">
        <v>58000</v>
      </c>
      <c r="O89" s="68">
        <f t="shared" si="239"/>
        <v>58000</v>
      </c>
      <c r="P89" s="99"/>
      <c r="Q89" s="99"/>
      <c r="R89" s="3"/>
      <c r="S89" s="6"/>
      <c r="T89" s="6"/>
      <c r="U89" s="6">
        <f t="shared" ref="U89:U99" si="263">O89*AVERAGEIF($G$4:$G$73,G89,$AE$4:$AE$73)*1.5</f>
        <v>4771.2845493063332</v>
      </c>
      <c r="V89" s="6"/>
      <c r="W89" s="6">
        <f t="shared" si="208"/>
        <v>4771.2845493063332</v>
      </c>
      <c r="X89" s="6"/>
      <c r="Y89" s="6"/>
      <c r="Z89" s="6">
        <f>IF(OR($S89&lt;&gt;0,$I89="50112",$I89="50109"),0,VLOOKUP($K89,Scenarios!$A$17:$F$73,4,FALSE))</f>
        <v>0</v>
      </c>
      <c r="AA89" s="6">
        <f t="shared" si="209"/>
        <v>0</v>
      </c>
      <c r="AB89" s="6"/>
      <c r="AC89" s="6">
        <f t="shared" si="210"/>
        <v>4771.2845493063332</v>
      </c>
      <c r="AD89" s="6">
        <f t="shared" si="186"/>
        <v>62772</v>
      </c>
      <c r="AE89" s="84">
        <f>AD89/O89-1</f>
        <v>8.2275862068965422E-2</v>
      </c>
      <c r="AF89" s="6"/>
      <c r="AG89" s="6"/>
      <c r="AH89" s="6"/>
      <c r="AI89" s="6">
        <v>0</v>
      </c>
      <c r="AJ89" s="59"/>
      <c r="AK89" s="6">
        <f t="shared" si="211"/>
        <v>0</v>
      </c>
      <c r="AL89" s="94"/>
      <c r="AM89" s="6"/>
      <c r="AN89" s="94"/>
      <c r="AO89" s="94">
        <f t="shared" si="224"/>
        <v>0</v>
      </c>
      <c r="AP89" s="94">
        <f t="shared" si="225"/>
        <v>62772</v>
      </c>
      <c r="AQ89" s="10">
        <f>IF(OR($I89="50101", $I89="50102", $I89="50109", $I89="50140"),AP89*Scenarios!$H$8,0)</f>
        <v>10633.576799999999</v>
      </c>
      <c r="AR89" s="9">
        <f>VLOOKUP($D89,WKCMP!$A$1:$C$15,3,FALSE)*AP89</f>
        <v>86.474707200000026</v>
      </c>
      <c r="AS89" s="10">
        <f t="shared" si="249"/>
        <v>910.19400000000007</v>
      </c>
      <c r="AT89" s="11">
        <f t="shared" si="250"/>
        <v>3891.864</v>
      </c>
      <c r="AU89" s="10">
        <f t="shared" si="251"/>
        <v>4810</v>
      </c>
      <c r="AV89" s="6">
        <f t="shared" si="252"/>
        <v>112.9896</v>
      </c>
      <c r="AW89" s="19">
        <f t="shared" si="253"/>
        <v>0</v>
      </c>
      <c r="AX89" s="19">
        <f>IF(AND($A89="v",$E89=1),AX$1,IF(OR($A89=0,$E89&lt;&gt;1),0,SUMIFS(#REF!,#REF!,'Prop Budget Calc'!AX$4,#REF!,'Prop Budget Calc'!$A89)*(1+AX$2)*AX$3))</f>
        <v>0</v>
      </c>
      <c r="AY89" s="19">
        <f>IF(AND($A89="v",$E89=1),AY$1,IF(OR($A89=0,$E89&lt;&gt;1),0,SUMIFS(#REF!,#REF!,'Prop Budget Calc'!AY$4,#REF!,'Prop Budget Calc'!$A89)*(1+AY$2)*AY$3))</f>
        <v>0</v>
      </c>
      <c r="AZ89" s="88">
        <f t="shared" si="254"/>
        <v>112.9896</v>
      </c>
      <c r="BA89" s="19"/>
      <c r="BB89" s="19"/>
      <c r="BC89" s="56">
        <f t="shared" si="232"/>
        <v>0</v>
      </c>
      <c r="BD89" s="19"/>
      <c r="BE89" s="6">
        <f t="shared" si="255"/>
        <v>112.9896</v>
      </c>
      <c r="BF89" s="6">
        <f t="shared" si="256"/>
        <v>15643.041107199999</v>
      </c>
      <c r="BG89" s="6">
        <f t="shared" si="257"/>
        <v>78415.041107199999</v>
      </c>
      <c r="BH89" s="14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</row>
    <row r="90" spans="1:89" s="16" customFormat="1" ht="12.75" customHeight="1">
      <c r="A90" s="20"/>
      <c r="B90" s="3" t="s">
        <v>77</v>
      </c>
      <c r="C90" s="3" t="s">
        <v>77</v>
      </c>
      <c r="D90" s="463" t="s">
        <v>1217</v>
      </c>
      <c r="E90" s="4">
        <v>0</v>
      </c>
      <c r="F90" s="4" t="s">
        <v>959</v>
      </c>
      <c r="G90" s="3" t="str">
        <f t="shared" si="201"/>
        <v>100-35-352</v>
      </c>
      <c r="H90" s="65" t="str">
        <f t="shared" si="202"/>
        <v>100</v>
      </c>
      <c r="I90" s="66" t="str">
        <f t="shared" si="203"/>
        <v>50102</v>
      </c>
      <c r="J90" s="16" t="str">
        <f t="shared" si="204"/>
        <v>35</v>
      </c>
      <c r="K90" s="16" t="str">
        <f t="shared" si="205"/>
        <v>352</v>
      </c>
      <c r="L90" s="3"/>
      <c r="M90" s="3">
        <f t="shared" si="206"/>
        <v>0</v>
      </c>
      <c r="N90" s="55">
        <v>20000</v>
      </c>
      <c r="O90" s="68">
        <f t="shared" si="239"/>
        <v>20000</v>
      </c>
      <c r="P90" s="99"/>
      <c r="Q90" s="99"/>
      <c r="R90" s="5"/>
      <c r="S90" s="6"/>
      <c r="T90" s="6"/>
      <c r="U90" s="6">
        <f t="shared" si="263"/>
        <v>1645.2705342435631</v>
      </c>
      <c r="V90" s="6"/>
      <c r="W90" s="6">
        <f t="shared" si="208"/>
        <v>1645.2705342435631</v>
      </c>
      <c r="X90" s="6"/>
      <c r="Y90" s="6"/>
      <c r="Z90" s="6">
        <f>IF(OR($S90&lt;&gt;0,$I90="50112",$I90="50109"),0,VLOOKUP($K90,Scenarios!$A$17:$F$73,4,FALSE))</f>
        <v>0</v>
      </c>
      <c r="AA90" s="6">
        <f t="shared" si="209"/>
        <v>0</v>
      </c>
      <c r="AB90" s="6"/>
      <c r="AC90" s="6">
        <f t="shared" si="210"/>
        <v>1645.2705342435631</v>
      </c>
      <c r="AD90" s="6">
        <f t="shared" si="186"/>
        <v>21646</v>
      </c>
      <c r="AE90" s="84">
        <f>AD90/O90-1</f>
        <v>8.230000000000004E-2</v>
      </c>
      <c r="AF90" s="6"/>
      <c r="AG90" s="6"/>
      <c r="AH90" s="6"/>
      <c r="AI90" s="6">
        <v>0</v>
      </c>
      <c r="AJ90" s="59"/>
      <c r="AK90" s="6">
        <f t="shared" si="211"/>
        <v>0</v>
      </c>
      <c r="AL90" s="94"/>
      <c r="AM90" s="6"/>
      <c r="AN90" s="94"/>
      <c r="AO90" s="94">
        <f t="shared" si="224"/>
        <v>0</v>
      </c>
      <c r="AP90" s="94">
        <f t="shared" si="225"/>
        <v>21646</v>
      </c>
      <c r="AQ90" s="10">
        <f>IF(OR($I90="50101", $I90="50102", $I90="50109", $I90="50140"),AP90*Scenarios!$H$8,0)</f>
        <v>3666.8323999999998</v>
      </c>
      <c r="AR90" s="9">
        <f>VLOOKUP($D90,WKCMP!$A$1:$C$15,3,FALSE)*AP90</f>
        <v>385.471968</v>
      </c>
      <c r="AS90" s="10">
        <f t="shared" si="249"/>
        <v>313.86700000000002</v>
      </c>
      <c r="AT90" s="11">
        <f t="shared" si="250"/>
        <v>1342.0519999999999</v>
      </c>
      <c r="AU90" s="10">
        <f t="shared" si="251"/>
        <v>1660</v>
      </c>
      <c r="AV90" s="6">
        <f t="shared" si="252"/>
        <v>38.962800000000001</v>
      </c>
      <c r="AW90" s="19">
        <f t="shared" si="253"/>
        <v>0</v>
      </c>
      <c r="AX90" s="19">
        <f>IF(AND($A90="v",$E90=1),AX$1,IF(OR($A90=0,$E90&lt;&gt;1),0,SUMIFS(#REF!,#REF!,'Prop Budget Calc'!AX$4,#REF!,'Prop Budget Calc'!$A90)*(1+AX$2)*AX$3))</f>
        <v>0</v>
      </c>
      <c r="AY90" s="19">
        <f>IF(AND($A90="v",$E90=1),AY$1,IF(OR($A90=0,$E90&lt;&gt;1),0,SUMIFS(#REF!,#REF!,'Prop Budget Calc'!AY$4,#REF!,'Prop Budget Calc'!$A90)*(1+AY$2)*AY$3))</f>
        <v>0</v>
      </c>
      <c r="AZ90" s="88">
        <f t="shared" si="254"/>
        <v>38.962800000000001</v>
      </c>
      <c r="BA90" s="19"/>
      <c r="BB90" s="19"/>
      <c r="BC90" s="56">
        <f t="shared" si="232"/>
        <v>0</v>
      </c>
      <c r="BD90" s="19"/>
      <c r="BE90" s="6">
        <f t="shared" si="255"/>
        <v>38.962800000000001</v>
      </c>
      <c r="BF90" s="6">
        <f t="shared" si="256"/>
        <v>5751.2671680000003</v>
      </c>
      <c r="BG90" s="6">
        <f t="shared" si="257"/>
        <v>27397.267167999998</v>
      </c>
      <c r="BH90" s="14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</row>
    <row r="91" spans="1:89" ht="12.75" customHeight="1">
      <c r="B91" s="22" t="s">
        <v>78</v>
      </c>
      <c r="C91" s="22" t="s">
        <v>79</v>
      </c>
      <c r="D91" s="463" t="s">
        <v>1217</v>
      </c>
      <c r="E91" s="4">
        <v>0</v>
      </c>
      <c r="F91" s="22" t="s">
        <v>959</v>
      </c>
      <c r="G91" s="22" t="str">
        <f t="shared" si="201"/>
        <v>100-35-352</v>
      </c>
      <c r="H91" s="65" t="str">
        <f t="shared" si="202"/>
        <v>100</v>
      </c>
      <c r="I91" s="66" t="str">
        <f t="shared" si="203"/>
        <v>50102</v>
      </c>
      <c r="J91" s="16" t="str">
        <f t="shared" si="204"/>
        <v>35</v>
      </c>
      <c r="K91" s="16" t="str">
        <f t="shared" si="205"/>
        <v>352</v>
      </c>
      <c r="M91" s="3">
        <f t="shared" si="206"/>
        <v>0</v>
      </c>
      <c r="N91" s="10">
        <v>0</v>
      </c>
      <c r="O91" s="68">
        <f t="shared" si="239"/>
        <v>0</v>
      </c>
      <c r="R91" s="9"/>
      <c r="S91" s="6"/>
      <c r="T91" s="6"/>
      <c r="U91" s="6">
        <f t="shared" si="263"/>
        <v>0</v>
      </c>
      <c r="V91" s="6"/>
      <c r="W91" s="6">
        <f t="shared" si="208"/>
        <v>0</v>
      </c>
      <c r="X91" s="6"/>
      <c r="Y91" s="6"/>
      <c r="Z91" s="6">
        <f>IF(OR($S91&lt;&gt;0,$I91="50112",$I91="50109"),0,VLOOKUP($K91,Scenarios!$A$17:$F$73,4,FALSE))</f>
        <v>0</v>
      </c>
      <c r="AA91" s="6">
        <f t="shared" si="209"/>
        <v>0</v>
      </c>
      <c r="AB91" s="6"/>
      <c r="AC91" s="6">
        <f t="shared" si="210"/>
        <v>0</v>
      </c>
      <c r="AD91" s="6">
        <f t="shared" si="186"/>
        <v>0</v>
      </c>
      <c r="AE91" s="84"/>
      <c r="AF91" s="6"/>
      <c r="AG91" s="6"/>
      <c r="AH91" s="6"/>
      <c r="AI91" s="6">
        <v>0</v>
      </c>
      <c r="AK91" s="6">
        <f t="shared" si="211"/>
        <v>0</v>
      </c>
      <c r="AL91" s="94"/>
      <c r="AM91" s="6"/>
      <c r="AN91" s="94"/>
      <c r="AO91" s="94">
        <f t="shared" si="224"/>
        <v>0</v>
      </c>
      <c r="AP91" s="94">
        <f t="shared" si="225"/>
        <v>0</v>
      </c>
      <c r="AQ91" s="10">
        <f>IF(OR($I91="50101", $I91="50102", $I91="50109", $I91="50140"),AP91*Scenarios!$H$8,0)</f>
        <v>0</v>
      </c>
      <c r="AR91" s="9">
        <f>VLOOKUP($D91,WKCMP!$A$1:$C$15,3,FALSE)*AP91</f>
        <v>0</v>
      </c>
      <c r="AS91" s="10">
        <f t="shared" si="249"/>
        <v>0</v>
      </c>
      <c r="AT91" s="11">
        <f t="shared" si="250"/>
        <v>0</v>
      </c>
      <c r="AU91" s="10">
        <f t="shared" si="251"/>
        <v>0</v>
      </c>
      <c r="AV91" s="6">
        <f t="shared" si="252"/>
        <v>0</v>
      </c>
      <c r="AW91" s="19">
        <f t="shared" si="253"/>
        <v>0</v>
      </c>
      <c r="AX91" s="19">
        <f>IF(AND($A91="v",$E91=1),AX$1,IF(OR($A91=0,$E91&lt;&gt;1),0,SUMIFS(#REF!,#REF!,'Prop Budget Calc'!AX$4,#REF!,'Prop Budget Calc'!$A91)*(1+AX$2)*AX$3))</f>
        <v>0</v>
      </c>
      <c r="AY91" s="19">
        <f>IF(AND($A91="v",$E91=1),AY$1,IF(OR($A91=0,$E91&lt;&gt;1),0,SUMIFS(#REF!,#REF!,'Prop Budget Calc'!AY$4,#REF!,'Prop Budget Calc'!$A91)*(1+AY$2)*AY$3))</f>
        <v>0</v>
      </c>
      <c r="AZ91" s="88">
        <f t="shared" si="254"/>
        <v>0</v>
      </c>
      <c r="BC91" s="56">
        <f t="shared" si="232"/>
        <v>0</v>
      </c>
      <c r="BE91" s="6">
        <f t="shared" si="255"/>
        <v>0</v>
      </c>
      <c r="BF91" s="6">
        <f t="shared" si="256"/>
        <v>0</v>
      </c>
      <c r="BG91" s="6">
        <f t="shared" si="257"/>
        <v>0</v>
      </c>
      <c r="BH91" s="14"/>
    </row>
    <row r="92" spans="1:89" ht="12.75" customHeight="1">
      <c r="B92" s="3" t="s">
        <v>80</v>
      </c>
      <c r="C92" s="18" t="s">
        <v>70</v>
      </c>
      <c r="D92" s="463" t="s">
        <v>1290</v>
      </c>
      <c r="E92" s="4">
        <v>0</v>
      </c>
      <c r="F92" s="4" t="s">
        <v>962</v>
      </c>
      <c r="G92" s="3" t="str">
        <f t="shared" si="201"/>
        <v>200-71-712</v>
      </c>
      <c r="H92" s="65" t="str">
        <f t="shared" si="202"/>
        <v>200</v>
      </c>
      <c r="I92" s="66" t="str">
        <f t="shared" si="203"/>
        <v>50102</v>
      </c>
      <c r="J92" s="16" t="str">
        <f t="shared" si="204"/>
        <v>71</v>
      </c>
      <c r="K92" s="16" t="str">
        <f t="shared" si="205"/>
        <v>712</v>
      </c>
      <c r="M92" s="3">
        <f t="shared" si="206"/>
        <v>0</v>
      </c>
      <c r="N92" s="69">
        <v>2600</v>
      </c>
      <c r="O92" s="68">
        <f t="shared" si="239"/>
        <v>2600</v>
      </c>
      <c r="S92" s="6"/>
      <c r="T92" s="6"/>
      <c r="U92" s="6">
        <f t="shared" si="263"/>
        <v>159.4226327944574</v>
      </c>
      <c r="V92" s="6"/>
      <c r="W92" s="6">
        <f t="shared" si="208"/>
        <v>159.4226327944574</v>
      </c>
      <c r="X92" s="6"/>
      <c r="Y92" s="6"/>
      <c r="Z92" s="6">
        <f>IF(OR($S92&lt;&gt;0,$I92="50112",$I92="50109"),0,VLOOKUP($K92,Scenarios!$A$17:$F$73,4,FALSE))</f>
        <v>0</v>
      </c>
      <c r="AA92" s="6">
        <f t="shared" si="209"/>
        <v>0</v>
      </c>
      <c r="AB92" s="6"/>
      <c r="AC92" s="6">
        <f t="shared" si="210"/>
        <v>159.4226327944574</v>
      </c>
      <c r="AD92" s="6">
        <f t="shared" si="186"/>
        <v>2760</v>
      </c>
      <c r="AE92" s="84">
        <f>AD92/O92-1</f>
        <v>6.1538461538461542E-2</v>
      </c>
      <c r="AF92" s="6"/>
      <c r="AG92" s="6"/>
      <c r="AH92" s="6"/>
      <c r="AI92" s="6">
        <v>0</v>
      </c>
      <c r="AK92" s="6">
        <f t="shared" si="211"/>
        <v>0</v>
      </c>
      <c r="AL92" s="94"/>
      <c r="AM92" s="6"/>
      <c r="AN92" s="94"/>
      <c r="AO92" s="94">
        <f t="shared" si="224"/>
        <v>0</v>
      </c>
      <c r="AP92" s="94">
        <f t="shared" si="225"/>
        <v>2760</v>
      </c>
      <c r="AQ92" s="10">
        <f>IF(OR($I92="50101", $I92="50102", $I92="50109", $I92="50140"),AP92*Scenarios!$H$8,0)</f>
        <v>467.54399999999998</v>
      </c>
      <c r="AR92" s="9">
        <f>VLOOKUP($D92,WKCMP!$A$1:$C$15,3,FALSE)*AP92</f>
        <v>41.731200000000001</v>
      </c>
      <c r="AS92" s="10">
        <f t="shared" si="249"/>
        <v>40.020000000000003</v>
      </c>
      <c r="AT92" s="11">
        <f t="shared" si="250"/>
        <v>171.12</v>
      </c>
      <c r="AU92" s="10">
        <f t="shared" si="251"/>
        <v>220</v>
      </c>
      <c r="AV92" s="6">
        <f t="shared" si="252"/>
        <v>4.968</v>
      </c>
      <c r="AW92" s="19">
        <f t="shared" si="253"/>
        <v>0</v>
      </c>
      <c r="AX92" s="19">
        <f>IF(AND($A92="v",$E92=1),AX$1,IF(OR($A92=0,$E92&lt;&gt;1),0,SUMIFS(#REF!,#REF!,'Prop Budget Calc'!AX$4,#REF!,'Prop Budget Calc'!$A92)*(1+AX$2)*AX$3))</f>
        <v>0</v>
      </c>
      <c r="AY92" s="19">
        <f>IF(AND($A92="v",$E92=1),AY$1,IF(OR($A92=0,$E92&lt;&gt;1),0,SUMIFS(#REF!,#REF!,'Prop Budget Calc'!AY$4,#REF!,'Prop Budget Calc'!$A92)*(1+AY$2)*AY$3))</f>
        <v>0</v>
      </c>
      <c r="AZ92" s="88">
        <f t="shared" si="254"/>
        <v>4.968</v>
      </c>
      <c r="BC92" s="56">
        <f t="shared" si="232"/>
        <v>0</v>
      </c>
      <c r="BE92" s="6">
        <f t="shared" si="255"/>
        <v>4.968</v>
      </c>
      <c r="BF92" s="6">
        <f t="shared" si="256"/>
        <v>734.2432</v>
      </c>
      <c r="BG92" s="6">
        <f t="shared" si="257"/>
        <v>3494.2431999999999</v>
      </c>
      <c r="BH92" s="14"/>
      <c r="BM92" s="3">
        <v>4587645</v>
      </c>
    </row>
    <row r="93" spans="1:89" ht="12.75" customHeight="1">
      <c r="B93" s="3" t="s">
        <v>80</v>
      </c>
      <c r="C93" s="3" t="s">
        <v>80</v>
      </c>
      <c r="D93" s="463" t="s">
        <v>1290</v>
      </c>
      <c r="E93" s="4">
        <v>0</v>
      </c>
      <c r="F93" s="4" t="s">
        <v>963</v>
      </c>
      <c r="G93" s="3" t="str">
        <f t="shared" si="201"/>
        <v>200-73-734</v>
      </c>
      <c r="H93" s="65" t="str">
        <f t="shared" si="202"/>
        <v>200</v>
      </c>
      <c r="I93" s="66" t="str">
        <f t="shared" si="203"/>
        <v>50102</v>
      </c>
      <c r="J93" s="16" t="str">
        <f t="shared" si="204"/>
        <v>73</v>
      </c>
      <c r="K93" s="16" t="str">
        <f t="shared" si="205"/>
        <v>734</v>
      </c>
      <c r="M93" s="3">
        <f t="shared" si="206"/>
        <v>0</v>
      </c>
      <c r="N93" s="69">
        <v>1300</v>
      </c>
      <c r="O93" s="68">
        <f t="shared" si="239"/>
        <v>1300</v>
      </c>
      <c r="S93" s="6"/>
      <c r="T93" s="6"/>
      <c r="U93" s="6">
        <f t="shared" si="263"/>
        <v>78.736106979082251</v>
      </c>
      <c r="V93" s="6"/>
      <c r="W93" s="6">
        <f t="shared" si="208"/>
        <v>78.736106979082251</v>
      </c>
      <c r="X93" s="6"/>
      <c r="Y93" s="6"/>
      <c r="Z93" s="6">
        <f>IF(OR($S93&lt;&gt;0,$I93="50112",$I93="50109"),0,VLOOKUP($K93,Scenarios!$A$17:$F$73,4,FALSE))</f>
        <v>0</v>
      </c>
      <c r="AA93" s="6">
        <f t="shared" si="209"/>
        <v>0</v>
      </c>
      <c r="AB93" s="6"/>
      <c r="AC93" s="6">
        <f t="shared" si="210"/>
        <v>78.736106979082251</v>
      </c>
      <c r="AD93" s="6">
        <f t="shared" si="186"/>
        <v>1379</v>
      </c>
      <c r="AE93" s="84">
        <f>AD93/O93-1</f>
        <v>6.0769230769230687E-2</v>
      </c>
      <c r="AF93" s="6"/>
      <c r="AG93" s="6"/>
      <c r="AH93" s="6"/>
      <c r="AI93" s="6">
        <v>0</v>
      </c>
      <c r="AK93" s="6">
        <f t="shared" si="211"/>
        <v>0</v>
      </c>
      <c r="AL93" s="94"/>
      <c r="AM93" s="6"/>
      <c r="AN93" s="94"/>
      <c r="AO93" s="94">
        <f t="shared" si="224"/>
        <v>0</v>
      </c>
      <c r="AP93" s="94">
        <f t="shared" si="225"/>
        <v>1379</v>
      </c>
      <c r="AQ93" s="10">
        <f>IF(OR($I93="50101", $I93="50102", $I93="50109", $I93="50140"),AP93*Scenarios!$H$8,0)</f>
        <v>233.6026</v>
      </c>
      <c r="AR93" s="9">
        <f>VLOOKUP($D93,WKCMP!$A$1:$C$15,3,FALSE)*AP93</f>
        <v>20.850480000000001</v>
      </c>
      <c r="AS93" s="10">
        <f t="shared" si="249"/>
        <v>19.9955</v>
      </c>
      <c r="AT93" s="11">
        <f t="shared" si="250"/>
        <v>85.498000000000005</v>
      </c>
      <c r="AU93" s="10">
        <f t="shared" si="251"/>
        <v>110</v>
      </c>
      <c r="AV93" s="6">
        <f t="shared" si="252"/>
        <v>2.4821999999999997</v>
      </c>
      <c r="AW93" s="19">
        <f t="shared" si="253"/>
        <v>0</v>
      </c>
      <c r="AX93" s="19">
        <f>IF(AND($A93="v",$E93=1),AX$1,IF(OR($A93=0,$E93&lt;&gt;1),0,SUMIFS(#REF!,#REF!,'Prop Budget Calc'!AX$4,#REF!,'Prop Budget Calc'!$A93)*(1+AX$2)*AX$3))</f>
        <v>0</v>
      </c>
      <c r="AY93" s="19">
        <f>IF(AND($A93="v",$E93=1),AY$1,IF(OR($A93=0,$E93&lt;&gt;1),0,SUMIFS(#REF!,#REF!,'Prop Budget Calc'!AY$4,#REF!,'Prop Budget Calc'!$A93)*(1+AY$2)*AY$3))</f>
        <v>0</v>
      </c>
      <c r="AZ93" s="88">
        <f t="shared" si="254"/>
        <v>2.4821999999999997</v>
      </c>
      <c r="BC93" s="56">
        <f t="shared" si="232"/>
        <v>0</v>
      </c>
      <c r="BE93" s="6">
        <f t="shared" si="255"/>
        <v>2.4821999999999997</v>
      </c>
      <c r="BF93" s="6">
        <f t="shared" si="256"/>
        <v>366.93528000000003</v>
      </c>
      <c r="BG93" s="6">
        <f t="shared" si="257"/>
        <v>1745.9352800000001</v>
      </c>
      <c r="BH93" s="14"/>
      <c r="BM93" s="3">
        <f>4390578+250000</f>
        <v>4640578</v>
      </c>
      <c r="BN93" s="3">
        <f>BM92-BM93</f>
        <v>-52933</v>
      </c>
    </row>
    <row r="94" spans="1:89" ht="12.75" customHeight="1">
      <c r="B94" s="3" t="s">
        <v>80</v>
      </c>
      <c r="C94" s="3" t="s">
        <v>80</v>
      </c>
      <c r="D94" s="463" t="s">
        <v>1325</v>
      </c>
      <c r="E94" s="4">
        <v>0</v>
      </c>
      <c r="F94" s="4" t="s">
        <v>964</v>
      </c>
      <c r="G94" s="3" t="str">
        <f t="shared" si="201"/>
        <v>100-63-632</v>
      </c>
      <c r="H94" s="65" t="str">
        <f t="shared" si="202"/>
        <v>100</v>
      </c>
      <c r="I94" s="66" t="str">
        <f t="shared" si="203"/>
        <v>50102</v>
      </c>
      <c r="J94" s="16" t="str">
        <f t="shared" si="204"/>
        <v>63</v>
      </c>
      <c r="K94" s="16" t="str">
        <f t="shared" si="205"/>
        <v>632</v>
      </c>
      <c r="M94" s="3">
        <f t="shared" si="206"/>
        <v>0</v>
      </c>
      <c r="N94" s="69">
        <v>2600</v>
      </c>
      <c r="O94" s="68">
        <f t="shared" si="239"/>
        <v>2600</v>
      </c>
      <c r="S94" s="6"/>
      <c r="T94" s="6"/>
      <c r="U94" s="6">
        <f t="shared" si="263"/>
        <v>182.74285714285742</v>
      </c>
      <c r="V94" s="6"/>
      <c r="W94" s="6">
        <f t="shared" si="208"/>
        <v>182.74285714285742</v>
      </c>
      <c r="X94" s="6"/>
      <c r="Y94" s="6"/>
      <c r="Z94" s="6">
        <f>IF(OR($S94&lt;&gt;0,$I94="50112",$I94="50109"),0,VLOOKUP($K94,Scenarios!$A$17:$F$73,4,FALSE))</f>
        <v>0</v>
      </c>
      <c r="AA94" s="6">
        <f t="shared" si="209"/>
        <v>0</v>
      </c>
      <c r="AB94" s="6"/>
      <c r="AC94" s="6">
        <f t="shared" si="210"/>
        <v>182.74285714285742</v>
      </c>
      <c r="AD94" s="6">
        <f t="shared" si="186"/>
        <v>2783</v>
      </c>
      <c r="AE94" s="84">
        <f>AD94/O94-1</f>
        <v>7.038461538461549E-2</v>
      </c>
      <c r="AF94" s="6"/>
      <c r="AG94" s="6"/>
      <c r="AH94" s="6"/>
      <c r="AI94" s="6">
        <v>0</v>
      </c>
      <c r="AK94" s="6">
        <f t="shared" si="211"/>
        <v>0</v>
      </c>
      <c r="AL94" s="94"/>
      <c r="AM94" s="6"/>
      <c r="AN94" s="94"/>
      <c r="AO94" s="94">
        <f t="shared" si="224"/>
        <v>0</v>
      </c>
      <c r="AP94" s="94">
        <f t="shared" si="225"/>
        <v>2783</v>
      </c>
      <c r="AQ94" s="10">
        <f>IF(OR($I94="50101", $I94="50102", $I94="50109", $I94="50140"),AP94*Scenarios!$H$8,0)</f>
        <v>471.4402</v>
      </c>
      <c r="AR94" s="9">
        <f>VLOOKUP($D94,WKCMP!$A$1:$C$15,3,FALSE)*AP94</f>
        <v>31.980009600000006</v>
      </c>
      <c r="AS94" s="10">
        <f t="shared" si="249"/>
        <v>40.353500000000004</v>
      </c>
      <c r="AT94" s="11">
        <f t="shared" si="250"/>
        <v>172.54599999999999</v>
      </c>
      <c r="AU94" s="10">
        <f t="shared" si="251"/>
        <v>220</v>
      </c>
      <c r="AV94" s="6">
        <f t="shared" si="252"/>
        <v>5.0094000000000003</v>
      </c>
      <c r="AW94" s="19">
        <f t="shared" si="253"/>
        <v>0</v>
      </c>
      <c r="AX94" s="19">
        <f>IF(AND($A94="v",$E94=1),AX$1,IF(OR($A94=0,$E94&lt;&gt;1),0,SUMIFS(#REF!,#REF!,'Prop Budget Calc'!AX$4,#REF!,'Prop Budget Calc'!$A94)*(1+AX$2)*AX$3))</f>
        <v>0</v>
      </c>
      <c r="AY94" s="19">
        <f>IF(AND($A94="v",$E94=1),AY$1,IF(OR($A94=0,$E94&lt;&gt;1),0,SUMIFS(#REF!,#REF!,'Prop Budget Calc'!AY$4,#REF!,'Prop Budget Calc'!$A94)*(1+AY$2)*AY$3))</f>
        <v>0</v>
      </c>
      <c r="AZ94" s="88">
        <f t="shared" si="254"/>
        <v>5.0094000000000003</v>
      </c>
      <c r="BC94" s="56">
        <f t="shared" si="232"/>
        <v>0</v>
      </c>
      <c r="BE94" s="6">
        <f t="shared" si="255"/>
        <v>5.0094000000000003</v>
      </c>
      <c r="BF94" s="6">
        <f t="shared" si="256"/>
        <v>728.42960960000005</v>
      </c>
      <c r="BG94" s="6">
        <f t="shared" si="257"/>
        <v>3511.4296095999998</v>
      </c>
      <c r="BH94" s="14"/>
      <c r="BM94" s="528">
        <f>BM93/BM92-1</f>
        <v>1.1538163916344768E-2</v>
      </c>
    </row>
    <row r="95" spans="1:89" ht="12.75" customHeight="1">
      <c r="B95" s="3" t="s">
        <v>67</v>
      </c>
      <c r="C95" s="3" t="s">
        <v>356</v>
      </c>
      <c r="D95" s="463" t="s">
        <v>1290</v>
      </c>
      <c r="E95" s="4">
        <v>0</v>
      </c>
      <c r="F95" s="4" t="s">
        <v>965</v>
      </c>
      <c r="G95" s="3" t="str">
        <f t="shared" si="201"/>
        <v>200-73-735</v>
      </c>
      <c r="H95" s="65" t="str">
        <f t="shared" si="202"/>
        <v>200</v>
      </c>
      <c r="I95" s="66" t="str">
        <f t="shared" si="203"/>
        <v>50102</v>
      </c>
      <c r="J95" s="16" t="str">
        <f t="shared" si="204"/>
        <v>73</v>
      </c>
      <c r="K95" s="16" t="str">
        <f t="shared" si="205"/>
        <v>735</v>
      </c>
      <c r="M95" s="3">
        <f t="shared" si="206"/>
        <v>0</v>
      </c>
      <c r="N95" s="70"/>
      <c r="O95" s="68">
        <f t="shared" si="239"/>
        <v>0</v>
      </c>
      <c r="S95" s="6"/>
      <c r="T95" s="6"/>
      <c r="U95" s="6">
        <f t="shared" si="263"/>
        <v>0</v>
      </c>
      <c r="V95" s="6"/>
      <c r="W95" s="6">
        <f t="shared" si="208"/>
        <v>0</v>
      </c>
      <c r="X95" s="6"/>
      <c r="Y95" s="6"/>
      <c r="Z95" s="6">
        <f>IF(OR($S95&lt;&gt;0,$I95="50112",$I95="50109"),0,VLOOKUP($K95,Scenarios!$A$17:$F$73,4,FALSE))</f>
        <v>0</v>
      </c>
      <c r="AA95" s="6">
        <f t="shared" si="209"/>
        <v>0</v>
      </c>
      <c r="AB95" s="6"/>
      <c r="AC95" s="6">
        <f t="shared" si="210"/>
        <v>0</v>
      </c>
      <c r="AD95" s="6">
        <f t="shared" si="186"/>
        <v>0</v>
      </c>
      <c r="AE95" s="84"/>
      <c r="AF95" s="6"/>
      <c r="AG95" s="6"/>
      <c r="AH95" s="6"/>
      <c r="AI95" s="67">
        <v>500</v>
      </c>
      <c r="AK95" s="6">
        <f t="shared" si="211"/>
        <v>500</v>
      </c>
      <c r="AL95" s="94"/>
      <c r="AM95" s="6"/>
      <c r="AN95" s="94"/>
      <c r="AO95" s="94">
        <f t="shared" si="224"/>
        <v>0</v>
      </c>
      <c r="AP95" s="94">
        <f t="shared" si="225"/>
        <v>500</v>
      </c>
      <c r="AQ95" s="10">
        <f>IF(OR($I95="50101", $I95="50102", $I95="50109", $I95="50140"),AP95*Scenarios!$H$8,0)</f>
        <v>84.7</v>
      </c>
      <c r="AR95" s="9">
        <f>VLOOKUP($D95,WKCMP!$A$1:$C$15,3,FALSE)*AP95</f>
        <v>7.56</v>
      </c>
      <c r="AS95" s="10">
        <f t="shared" si="249"/>
        <v>7.25</v>
      </c>
      <c r="AT95" s="11">
        <f t="shared" si="250"/>
        <v>31</v>
      </c>
      <c r="AU95" s="10">
        <f t="shared" si="251"/>
        <v>40</v>
      </c>
      <c r="AV95" s="6">
        <f t="shared" si="252"/>
        <v>0</v>
      </c>
      <c r="AW95" s="19">
        <f t="shared" si="253"/>
        <v>0</v>
      </c>
      <c r="AX95" s="19">
        <f>IF(AND($A95="v",$E95=1),AX$1,IF(OR($A95=0,$E95&lt;&gt;1),0,SUMIFS(#REF!,#REF!,'Prop Budget Calc'!AX$4,#REF!,'Prop Budget Calc'!$A95)*(1+AX$2)*AX$3))</f>
        <v>0</v>
      </c>
      <c r="AY95" s="19">
        <f>IF(AND($A95="v",$E95=1),AY$1,IF(OR($A95=0,$E95&lt;&gt;1),0,SUMIFS(#REF!,#REF!,'Prop Budget Calc'!AY$4,#REF!,'Prop Budget Calc'!$A95)*(1+AY$2)*AY$3))</f>
        <v>0</v>
      </c>
      <c r="AZ95" s="88">
        <f t="shared" si="254"/>
        <v>0</v>
      </c>
      <c r="BC95" s="56">
        <f t="shared" si="232"/>
        <v>0</v>
      </c>
      <c r="BE95" s="6">
        <f t="shared" si="255"/>
        <v>0</v>
      </c>
      <c r="BF95" s="6">
        <f t="shared" si="256"/>
        <v>132.26</v>
      </c>
      <c r="BG95" s="6">
        <f t="shared" si="257"/>
        <v>632.26</v>
      </c>
      <c r="BH95" s="14"/>
    </row>
    <row r="96" spans="1:89" ht="12.75" customHeight="1">
      <c r="B96" s="3" t="s">
        <v>80</v>
      </c>
      <c r="C96" s="3" t="s">
        <v>80</v>
      </c>
      <c r="D96" s="463" t="s">
        <v>1230</v>
      </c>
      <c r="E96" s="4">
        <v>0</v>
      </c>
      <c r="F96" s="4" t="s">
        <v>966</v>
      </c>
      <c r="G96" s="3" t="str">
        <f t="shared" si="201"/>
        <v>119-18-181</v>
      </c>
      <c r="H96" s="65" t="str">
        <f t="shared" si="202"/>
        <v>119</v>
      </c>
      <c r="I96" s="66" t="str">
        <f t="shared" si="203"/>
        <v>50102</v>
      </c>
      <c r="J96" s="16" t="str">
        <f t="shared" si="204"/>
        <v>18</v>
      </c>
      <c r="K96" s="16" t="str">
        <f t="shared" si="205"/>
        <v>181</v>
      </c>
      <c r="M96" s="3">
        <f t="shared" si="206"/>
        <v>0</v>
      </c>
      <c r="N96" s="69">
        <v>600</v>
      </c>
      <c r="O96" s="68">
        <f t="shared" si="239"/>
        <v>600</v>
      </c>
      <c r="S96" s="6"/>
      <c r="T96" s="6"/>
      <c r="U96" s="6">
        <f t="shared" si="263"/>
        <v>50.071144192720254</v>
      </c>
      <c r="V96" s="6"/>
      <c r="W96" s="6">
        <f t="shared" si="208"/>
        <v>50.071144192720254</v>
      </c>
      <c r="X96" s="6"/>
      <c r="Y96" s="6"/>
      <c r="Z96" s="6">
        <f>IF(OR($S96&lt;&gt;0,$I96="50112",$I96="50109"),0,VLOOKUP($K96,Scenarios!$A$17:$F$73,4,FALSE))</f>
        <v>0</v>
      </c>
      <c r="AA96" s="6">
        <f t="shared" si="209"/>
        <v>0</v>
      </c>
      <c r="AB96" s="6"/>
      <c r="AC96" s="6">
        <f t="shared" si="210"/>
        <v>50.071144192720254</v>
      </c>
      <c r="AD96" s="6">
        <f t="shared" si="186"/>
        <v>651</v>
      </c>
      <c r="AE96" s="84">
        <f>AD96/O96-1</f>
        <v>8.4999999999999964E-2</v>
      </c>
      <c r="AF96" s="6"/>
      <c r="AG96" s="6"/>
      <c r="AH96" s="6"/>
      <c r="AI96" s="6">
        <v>0</v>
      </c>
      <c r="AK96" s="6">
        <f t="shared" si="211"/>
        <v>0</v>
      </c>
      <c r="AL96" s="94"/>
      <c r="AM96" s="6"/>
      <c r="AN96" s="94"/>
      <c r="AO96" s="94">
        <f t="shared" si="224"/>
        <v>0</v>
      </c>
      <c r="AP96" s="94">
        <f t="shared" si="225"/>
        <v>651</v>
      </c>
      <c r="AQ96" s="10">
        <f>IF(OR($I96="50101", $I96="50102", $I96="50109", $I96="50140"),AP96*Scenarios!$H$8,0)</f>
        <v>110.2794</v>
      </c>
      <c r="AR96" s="9">
        <f>VLOOKUP($D96,WKCMP!$A$1:$C$15,3,FALSE)*AP96</f>
        <v>0.89681760000000021</v>
      </c>
      <c r="AS96" s="10">
        <f t="shared" si="249"/>
        <v>9.4395000000000007</v>
      </c>
      <c r="AT96" s="11">
        <f t="shared" si="250"/>
        <v>40.362000000000002</v>
      </c>
      <c r="AU96" s="10">
        <f t="shared" si="251"/>
        <v>50</v>
      </c>
      <c r="AV96" s="6">
        <f t="shared" si="252"/>
        <v>1.1718</v>
      </c>
      <c r="AW96" s="19">
        <f t="shared" si="253"/>
        <v>0</v>
      </c>
      <c r="AX96" s="19">
        <f>IF(AND($A96="v",$E96=1),AX$1,IF(OR($A96=0,$E96&lt;&gt;1),0,SUMIFS(#REF!,#REF!,'Prop Budget Calc'!AX$4,#REF!,'Prop Budget Calc'!$A96)*(1+AX$2)*AX$3))</f>
        <v>0</v>
      </c>
      <c r="AY96" s="19">
        <f>IF(AND($A96="v",$E96=1),AY$1,IF(OR($A96=0,$E96&lt;&gt;1),0,SUMIFS(#REF!,#REF!,'Prop Budget Calc'!AY$4,#REF!,'Prop Budget Calc'!$A96)*(1+AY$2)*AY$3))</f>
        <v>0</v>
      </c>
      <c r="AZ96" s="88">
        <f t="shared" si="254"/>
        <v>1.1718</v>
      </c>
      <c r="BC96" s="56">
        <f t="shared" si="232"/>
        <v>0</v>
      </c>
      <c r="BE96" s="6">
        <f t="shared" si="255"/>
        <v>1.1718</v>
      </c>
      <c r="BF96" s="6">
        <f t="shared" si="256"/>
        <v>162.34801759999999</v>
      </c>
      <c r="BG96" s="6">
        <f t="shared" si="257"/>
        <v>813.34801760000005</v>
      </c>
      <c r="BH96" s="6"/>
    </row>
    <row r="97" spans="1:89" s="16" customFormat="1" ht="12.75" customHeight="1">
      <c r="A97" s="20"/>
      <c r="B97" s="3" t="s">
        <v>80</v>
      </c>
      <c r="C97" s="3" t="s">
        <v>80</v>
      </c>
      <c r="D97" s="463" t="s">
        <v>1290</v>
      </c>
      <c r="E97" s="4"/>
      <c r="F97" s="4" t="s">
        <v>965</v>
      </c>
      <c r="G97" s="3" t="str">
        <f t="shared" si="201"/>
        <v>200-73-735</v>
      </c>
      <c r="H97" s="65" t="str">
        <f t="shared" si="202"/>
        <v>200</v>
      </c>
      <c r="I97" s="66" t="str">
        <f t="shared" si="203"/>
        <v>50102</v>
      </c>
      <c r="J97" s="16" t="str">
        <f t="shared" si="204"/>
        <v>73</v>
      </c>
      <c r="K97" s="16" t="str">
        <f t="shared" si="205"/>
        <v>735</v>
      </c>
      <c r="L97" s="3"/>
      <c r="M97" s="3">
        <f t="shared" si="206"/>
        <v>0</v>
      </c>
      <c r="N97" s="34">
        <v>3250</v>
      </c>
      <c r="O97" s="68">
        <f t="shared" si="239"/>
        <v>3250</v>
      </c>
      <c r="P97" s="3"/>
      <c r="Q97" s="3"/>
      <c r="R97" s="5"/>
      <c r="S97" s="6"/>
      <c r="T97" s="6"/>
      <c r="U97" s="6">
        <f t="shared" si="263"/>
        <v>226.10174988118948</v>
      </c>
      <c r="V97" s="6"/>
      <c r="W97" s="6">
        <f t="shared" si="208"/>
        <v>226.10174988118948</v>
      </c>
      <c r="X97" s="6"/>
      <c r="Y97" s="6"/>
      <c r="Z97" s="6">
        <f>IF(OR($S97&lt;&gt;0,$I97="50112",$I97="50109"),0,VLOOKUP($K97,Scenarios!$A$17:$F$73,4,FALSE))</f>
        <v>0</v>
      </c>
      <c r="AA97" s="6">
        <f t="shared" si="209"/>
        <v>0</v>
      </c>
      <c r="AB97" s="6"/>
      <c r="AC97" s="6">
        <f t="shared" si="210"/>
        <v>226.10174988118948</v>
      </c>
      <c r="AD97" s="6">
        <f t="shared" si="186"/>
        <v>3477</v>
      </c>
      <c r="AE97" s="84">
        <f>AD97/O97-1</f>
        <v>6.9846153846153891E-2</v>
      </c>
      <c r="AF97" s="6"/>
      <c r="AG97" s="6"/>
      <c r="AH97" s="6"/>
      <c r="AI97" s="6">
        <v>0</v>
      </c>
      <c r="AJ97" s="59"/>
      <c r="AK97" s="6">
        <f t="shared" si="211"/>
        <v>0</v>
      </c>
      <c r="AL97" s="94"/>
      <c r="AM97" s="6"/>
      <c r="AN97" s="94"/>
      <c r="AO97" s="94">
        <f t="shared" si="224"/>
        <v>0</v>
      </c>
      <c r="AP97" s="94">
        <f t="shared" si="225"/>
        <v>3477</v>
      </c>
      <c r="AQ97" s="10">
        <f>IF(OR($I97="50101", $I97="50102", $I97="50109", $I97="50140"),AP97*Scenarios!$H$8,0)</f>
        <v>589.00379999999996</v>
      </c>
      <c r="AR97" s="9">
        <f>VLOOKUP($D97,WKCMP!$A$1:$C$15,3,FALSE)*AP97</f>
        <v>52.572240000000001</v>
      </c>
      <c r="AS97" s="10">
        <f t="shared" si="249"/>
        <v>50.416499999999999</v>
      </c>
      <c r="AT97" s="11">
        <f t="shared" si="250"/>
        <v>215.57400000000001</v>
      </c>
      <c r="AU97" s="10">
        <f t="shared" si="251"/>
        <v>270</v>
      </c>
      <c r="AV97" s="6">
        <f t="shared" si="252"/>
        <v>6.2585999999999995</v>
      </c>
      <c r="AW97" s="19">
        <f t="shared" si="253"/>
        <v>0</v>
      </c>
      <c r="AX97" s="19">
        <f>IF(AND($A97="v",$E97=1),AX$1,IF(OR($A97=0,$E97&lt;&gt;1),0,SUMIFS(#REF!,#REF!,'Prop Budget Calc'!AX$4,#REF!,'Prop Budget Calc'!$A97)*(1+AX$2)*AX$3))</f>
        <v>0</v>
      </c>
      <c r="AY97" s="19">
        <f>IF(AND($A97="v",$E97=1),AY$1,IF(OR($A97=0,$E97&lt;&gt;1),0,SUMIFS(#REF!,#REF!,'Prop Budget Calc'!AY$4,#REF!,'Prop Budget Calc'!$A97)*(1+AY$2)*AY$3))</f>
        <v>0</v>
      </c>
      <c r="AZ97" s="88">
        <f t="shared" si="254"/>
        <v>6.2585999999999995</v>
      </c>
      <c r="BA97" s="19"/>
      <c r="BB97" s="19"/>
      <c r="BC97" s="56">
        <f t="shared" si="232"/>
        <v>0</v>
      </c>
      <c r="BD97" s="19"/>
      <c r="BE97" s="6">
        <f t="shared" si="255"/>
        <v>6.2585999999999995</v>
      </c>
      <c r="BF97" s="6">
        <f t="shared" si="256"/>
        <v>917.83464000000004</v>
      </c>
      <c r="BG97" s="6">
        <f t="shared" si="257"/>
        <v>4394.83464</v>
      </c>
      <c r="BH97" s="6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</row>
    <row r="98" spans="1:89" s="8" customFormat="1" ht="12.75" customHeight="1">
      <c r="A98" s="20"/>
      <c r="B98" s="3" t="s">
        <v>67</v>
      </c>
      <c r="C98" s="3" t="s">
        <v>356</v>
      </c>
      <c r="D98" s="463" t="s">
        <v>1290</v>
      </c>
      <c r="E98" s="4"/>
      <c r="F98" s="4" t="s">
        <v>968</v>
      </c>
      <c r="G98" s="3" t="str">
        <f t="shared" si="201"/>
        <v>200-75-752</v>
      </c>
      <c r="H98" s="65" t="str">
        <f t="shared" si="202"/>
        <v>200</v>
      </c>
      <c r="I98" s="66" t="str">
        <f t="shared" si="203"/>
        <v>50102</v>
      </c>
      <c r="J98" s="16" t="str">
        <f t="shared" si="204"/>
        <v>75</v>
      </c>
      <c r="K98" s="16" t="str">
        <f t="shared" si="205"/>
        <v>752</v>
      </c>
      <c r="L98" s="3"/>
      <c r="M98" s="3">
        <f t="shared" si="206"/>
        <v>0</v>
      </c>
      <c r="N98" s="6"/>
      <c r="O98" s="68">
        <f t="shared" si="239"/>
        <v>0</v>
      </c>
      <c r="P98" s="3"/>
      <c r="Q98" s="3"/>
      <c r="R98" s="5"/>
      <c r="S98" s="6"/>
      <c r="T98" s="6"/>
      <c r="U98" s="6">
        <f t="shared" si="263"/>
        <v>0</v>
      </c>
      <c r="V98" s="6"/>
      <c r="W98" s="6">
        <f t="shared" si="208"/>
        <v>0</v>
      </c>
      <c r="X98" s="6"/>
      <c r="Y98" s="6"/>
      <c r="Z98" s="6">
        <f>IF(OR($S98&lt;&gt;0,$I98="50112",$I98="50109"),0,VLOOKUP($K98,Scenarios!$A$17:$F$73,4,FALSE))</f>
        <v>0</v>
      </c>
      <c r="AA98" s="6">
        <f t="shared" si="209"/>
        <v>0</v>
      </c>
      <c r="AB98" s="6"/>
      <c r="AC98" s="6">
        <f t="shared" si="210"/>
        <v>0</v>
      </c>
      <c r="AD98" s="6">
        <f t="shared" si="186"/>
        <v>0</v>
      </c>
      <c r="AE98" s="84"/>
      <c r="AF98" s="6"/>
      <c r="AG98" s="6"/>
      <c r="AH98" s="6"/>
      <c r="AI98" s="67">
        <v>500</v>
      </c>
      <c r="AJ98" s="59"/>
      <c r="AK98" s="6">
        <f t="shared" si="211"/>
        <v>500</v>
      </c>
      <c r="AL98" s="94"/>
      <c r="AM98" s="6"/>
      <c r="AN98" s="94"/>
      <c r="AO98" s="94">
        <f t="shared" si="224"/>
        <v>0</v>
      </c>
      <c r="AP98" s="94">
        <f t="shared" si="225"/>
        <v>500</v>
      </c>
      <c r="AQ98" s="10">
        <f>IF(OR($I98="50101", $I98="50102", $I98="50109", $I98="50140"),AP98*Scenarios!$H$8,0)</f>
        <v>84.7</v>
      </c>
      <c r="AR98" s="9">
        <f>VLOOKUP($D98,WKCMP!$A$1:$C$15,3,FALSE)*AP98</f>
        <v>7.56</v>
      </c>
      <c r="AS98" s="10">
        <f t="shared" si="249"/>
        <v>7.25</v>
      </c>
      <c r="AT98" s="11">
        <f t="shared" si="250"/>
        <v>31</v>
      </c>
      <c r="AU98" s="10">
        <f t="shared" si="251"/>
        <v>40</v>
      </c>
      <c r="AV98" s="6">
        <f t="shared" si="252"/>
        <v>0</v>
      </c>
      <c r="AW98" s="19">
        <f t="shared" si="253"/>
        <v>0</v>
      </c>
      <c r="AX98" s="19">
        <f>IF(AND($A98="v",$E98=1),AX$1,IF(OR($A98=0,$E98&lt;&gt;1),0,SUMIFS(#REF!,#REF!,'Prop Budget Calc'!AX$4,#REF!,'Prop Budget Calc'!$A98)*(1+AX$2)*AX$3))</f>
        <v>0</v>
      </c>
      <c r="AY98" s="19">
        <f>IF(AND($A98="v",$E98=1),AY$1,IF(OR($A98=0,$E98&lt;&gt;1),0,SUMIFS(#REF!,#REF!,'Prop Budget Calc'!AY$4,#REF!,'Prop Budget Calc'!$A98)*(1+AY$2)*AY$3))</f>
        <v>0</v>
      </c>
      <c r="AZ98" s="88">
        <f t="shared" si="254"/>
        <v>0</v>
      </c>
      <c r="BA98" s="19"/>
      <c r="BB98" s="19"/>
      <c r="BC98" s="56">
        <f t="shared" si="232"/>
        <v>0</v>
      </c>
      <c r="BD98" s="19"/>
      <c r="BE98" s="6">
        <f t="shared" si="255"/>
        <v>0</v>
      </c>
      <c r="BF98" s="6">
        <f t="shared" si="256"/>
        <v>132.26</v>
      </c>
      <c r="BG98" s="6">
        <f t="shared" si="257"/>
        <v>632.26</v>
      </c>
      <c r="BH98" s="6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</row>
    <row r="99" spans="1:89" ht="12.75" customHeight="1">
      <c r="B99" s="3" t="s">
        <v>80</v>
      </c>
      <c r="C99" s="3" t="s">
        <v>80</v>
      </c>
      <c r="D99" s="463" t="s">
        <v>1290</v>
      </c>
      <c r="F99" s="4" t="s">
        <v>968</v>
      </c>
      <c r="G99" s="3" t="str">
        <f t="shared" si="201"/>
        <v>200-75-752</v>
      </c>
      <c r="H99" s="65" t="str">
        <f t="shared" si="202"/>
        <v>200</v>
      </c>
      <c r="I99" s="66" t="str">
        <f t="shared" si="203"/>
        <v>50102</v>
      </c>
      <c r="J99" s="16" t="str">
        <f t="shared" si="204"/>
        <v>75</v>
      </c>
      <c r="K99" s="16" t="str">
        <f t="shared" si="205"/>
        <v>752</v>
      </c>
      <c r="M99" s="3">
        <f t="shared" si="206"/>
        <v>0</v>
      </c>
      <c r="N99" s="34">
        <v>3250</v>
      </c>
      <c r="O99" s="68">
        <f t="shared" si="239"/>
        <v>3250</v>
      </c>
      <c r="R99" s="5"/>
      <c r="S99" s="6"/>
      <c r="T99" s="6"/>
      <c r="U99" s="6">
        <f t="shared" si="263"/>
        <v>225.6879535059679</v>
      </c>
      <c r="V99" s="6"/>
      <c r="W99" s="6">
        <f t="shared" si="208"/>
        <v>225.6879535059679</v>
      </c>
      <c r="X99" s="6"/>
      <c r="Y99" s="6"/>
      <c r="Z99" s="6">
        <f>IF(OR($S99&lt;&gt;0,$I99="50112",$I99="50109"),0,VLOOKUP($K99,Scenarios!$A$17:$F$73,4,FALSE))</f>
        <v>0</v>
      </c>
      <c r="AA99" s="6">
        <f t="shared" si="209"/>
        <v>0</v>
      </c>
      <c r="AB99" s="6"/>
      <c r="AC99" s="6">
        <f t="shared" si="210"/>
        <v>225.6879535059679</v>
      </c>
      <c r="AD99" s="6">
        <f t="shared" si="186"/>
        <v>3476</v>
      </c>
      <c r="AE99" s="84">
        <f t="shared" ref="AE99:AE128" si="264">AD99/O99-1</f>
        <v>6.9538461538461549E-2</v>
      </c>
      <c r="AF99" s="6"/>
      <c r="AG99" s="6"/>
      <c r="AH99" s="6"/>
      <c r="AI99" s="6">
        <v>0</v>
      </c>
      <c r="AK99" s="6">
        <f t="shared" si="211"/>
        <v>0</v>
      </c>
      <c r="AL99" s="94"/>
      <c r="AM99" s="6"/>
      <c r="AN99" s="94"/>
      <c r="AO99" s="94">
        <f t="shared" si="224"/>
        <v>0</v>
      </c>
      <c r="AP99" s="94">
        <f t="shared" si="225"/>
        <v>3476</v>
      </c>
      <c r="AQ99" s="10">
        <f>IF(OR($I99="50101", $I99="50102", $I99="50109", $I99="50140"),AP99*Scenarios!$H$8,0)</f>
        <v>588.83439999999996</v>
      </c>
      <c r="AR99" s="9">
        <f>VLOOKUP($D99,WKCMP!$A$1:$C$15,3,FALSE)*AP99</f>
        <v>52.557119999999998</v>
      </c>
      <c r="AS99" s="10">
        <f t="shared" si="249"/>
        <v>50.402000000000001</v>
      </c>
      <c r="AT99" s="11">
        <f t="shared" si="250"/>
        <v>215.512</v>
      </c>
      <c r="AU99" s="10">
        <f t="shared" si="251"/>
        <v>270</v>
      </c>
      <c r="AV99" s="6">
        <f t="shared" si="252"/>
        <v>6.2568000000000001</v>
      </c>
      <c r="AW99" s="19">
        <f t="shared" si="253"/>
        <v>0</v>
      </c>
      <c r="AX99" s="19">
        <f>IF(AND($A99="v",$E99=1),AX$1,IF(OR($A99=0,$E99&lt;&gt;1),0,SUMIFS(#REF!,#REF!,'Prop Budget Calc'!AX$4,#REF!,'Prop Budget Calc'!$A99)*(1+AX$2)*AX$3))</f>
        <v>0</v>
      </c>
      <c r="AY99" s="19">
        <f>IF(AND($A99="v",$E99=1),AY$1,IF(OR($A99=0,$E99&lt;&gt;1),0,SUMIFS(#REF!,#REF!,'Prop Budget Calc'!AY$4,#REF!,'Prop Budget Calc'!$A99)*(1+AY$2)*AY$3))</f>
        <v>0</v>
      </c>
      <c r="AZ99" s="88">
        <f t="shared" si="254"/>
        <v>6.2568000000000001</v>
      </c>
      <c r="BC99" s="56">
        <f t="shared" si="232"/>
        <v>0</v>
      </c>
      <c r="BE99" s="6">
        <f t="shared" si="255"/>
        <v>6.2568000000000001</v>
      </c>
      <c r="BF99" s="6">
        <f t="shared" si="256"/>
        <v>917.64832000000001</v>
      </c>
      <c r="BG99" s="6">
        <f t="shared" si="257"/>
        <v>4393.6483200000002</v>
      </c>
      <c r="BH99" s="6"/>
    </row>
    <row r="100" spans="1:89" s="17" customFormat="1" ht="12.75" customHeight="1">
      <c r="A100" s="20"/>
      <c r="B100" s="18" t="s">
        <v>12</v>
      </c>
      <c r="C100" s="18" t="s">
        <v>12</v>
      </c>
      <c r="D100" s="463" t="s">
        <v>1230</v>
      </c>
      <c r="E100" s="4">
        <v>0</v>
      </c>
      <c r="F100" s="4" t="s">
        <v>927</v>
      </c>
      <c r="G100" s="3" t="str">
        <f t="shared" si="201"/>
        <v>100-17-171</v>
      </c>
      <c r="H100" s="65" t="str">
        <f t="shared" si="202"/>
        <v>100</v>
      </c>
      <c r="I100" s="66" t="str">
        <f t="shared" si="203"/>
        <v>50109</v>
      </c>
      <c r="J100" s="16" t="str">
        <f t="shared" si="204"/>
        <v>17</v>
      </c>
      <c r="K100" s="16" t="str">
        <f t="shared" si="205"/>
        <v>171</v>
      </c>
      <c r="L100" s="3"/>
      <c r="M100" s="3">
        <f t="shared" ref="M100:M128" si="265">IF(F100="100-50102-350-40",2912*E100,2080*E100)</f>
        <v>0</v>
      </c>
      <c r="N100" s="82">
        <v>500</v>
      </c>
      <c r="O100" s="68">
        <f t="shared" si="239"/>
        <v>500</v>
      </c>
      <c r="P100" s="3"/>
      <c r="Q100" s="3"/>
      <c r="R100" s="3"/>
      <c r="S100" s="6"/>
      <c r="T100" s="6"/>
      <c r="U100" s="6"/>
      <c r="V100" s="6"/>
      <c r="W100" s="6">
        <f t="shared" si="208"/>
        <v>0</v>
      </c>
      <c r="X100" s="6"/>
      <c r="Y100" s="6"/>
      <c r="Z100" s="6">
        <f>IF(OR($S100&lt;&gt;0,$I100="50112",$I100="50109"),0,VLOOKUP($K100,Scenarios!$A$17:$F$73,4,FALSE))</f>
        <v>0</v>
      </c>
      <c r="AA100" s="6">
        <f t="shared" si="209"/>
        <v>0</v>
      </c>
      <c r="AB100" s="6"/>
      <c r="AC100" s="6">
        <f t="shared" si="210"/>
        <v>0</v>
      </c>
      <c r="AD100" s="6">
        <f t="shared" si="186"/>
        <v>500</v>
      </c>
      <c r="AE100" s="84">
        <f t="shared" si="264"/>
        <v>0</v>
      </c>
      <c r="AF100" s="6"/>
      <c r="AG100" s="6"/>
      <c r="AH100" s="6"/>
      <c r="AI100" s="6">
        <v>0</v>
      </c>
      <c r="AJ100" s="59"/>
      <c r="AK100" s="6">
        <f t="shared" ref="AK100:AK126" si="266">AI100+AJ100</f>
        <v>0</v>
      </c>
      <c r="AL100" s="94"/>
      <c r="AM100" s="6"/>
      <c r="AN100" s="94"/>
      <c r="AO100" s="94">
        <f t="shared" ref="AO100:AO128" si="267">AM100+AN100</f>
        <v>0</v>
      </c>
      <c r="AP100" s="94">
        <f t="shared" ref="AP100:AP126" si="268">AD100+AG100+AK100+AL100+AO100</f>
        <v>500</v>
      </c>
      <c r="AQ100" s="10">
        <f>IF(OR($I100="50101", $I100="50102", $I100="50109", $I100="50140"),AP100*Scenarios!$H$8,0)</f>
        <v>84.7</v>
      </c>
      <c r="AR100" s="9">
        <f>VLOOKUP($D100,WKCMP!$A$1:$C$15,3,FALSE)*AP100</f>
        <v>0.68880000000000019</v>
      </c>
      <c r="AS100" s="10">
        <f t="shared" ref="AS100:AS128" si="269">AP100*$AS$2</f>
        <v>7.25</v>
      </c>
      <c r="AT100" s="11">
        <f t="shared" ref="AT100:AT128" si="270">IF($AP100&lt;$AT$4,$AT$2*AP100,$AT$4*$AT$2*$E100)</f>
        <v>31</v>
      </c>
      <c r="AU100" s="10">
        <f t="shared" ref="AU100:AU128" si="271">ROUNDUP((AS100+AT100), -1)</f>
        <v>40</v>
      </c>
      <c r="AV100" s="6">
        <f t="shared" ref="AV100:AV128" si="272">AD100*$AV$2</f>
        <v>0.9</v>
      </c>
      <c r="AW100" s="19">
        <f t="shared" ref="AW100:AW128" si="273">IF(AND($I100&lt;&gt;"50101", $I100&lt;&gt;"50102"),0,IF($I100="50101",IF(($AD100/52*$AW$3)&gt;$AV$1,$AV$1,$AD100/52*$AW$3),IF(($AD100/52*$AW$3)&gt;$AW$1,$AW$1,$AD100/52*$AW$3)))*E100</f>
        <v>0</v>
      </c>
      <c r="AX100" s="19">
        <f>IF(AND($A100="v",$E100=1),AX$1,IF(OR($A100=0,$E100&lt;&gt;1),0,SUMIFS(#REF!,#REF!,'Prop Budget Calc'!AX$4,#REF!,'Prop Budget Calc'!$A106)*(1+AX$2)*AX$3))</f>
        <v>0</v>
      </c>
      <c r="AY100" s="19">
        <f>IF(AND($A100="v",$E100=1),AY$1,IF(OR($A100=0,$E100&lt;&gt;1),0,SUMIFS(#REF!,#REF!,'Prop Budget Calc'!AY$4,#REF!,'Prop Budget Calc'!$A106)*(1+AY$2)*AY$3))</f>
        <v>0</v>
      </c>
      <c r="AZ100" s="88">
        <f t="shared" ref="AZ100:AZ126" si="274">AV100+AW100+AX100+AY100</f>
        <v>0.9</v>
      </c>
      <c r="BA100" s="19"/>
      <c r="BB100" s="19"/>
      <c r="BC100" s="56">
        <f t="shared" si="232"/>
        <v>0</v>
      </c>
      <c r="BD100" s="19"/>
      <c r="BE100" s="6">
        <f t="shared" ref="BE100:BE124" si="275">SUM(AZ100:BD100)</f>
        <v>0.9</v>
      </c>
      <c r="BF100" s="6">
        <f t="shared" ref="BF100:BF124" si="276">AU100+BE100+AR100+AQ100</f>
        <v>126.28880000000001</v>
      </c>
      <c r="BG100" s="6">
        <f t="shared" ref="BG100:BG124" si="277">AP100+BF100</f>
        <v>626.28880000000004</v>
      </c>
      <c r="BH100" s="6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</row>
    <row r="101" spans="1:89" ht="12.75" customHeight="1">
      <c r="B101" s="18" t="s">
        <v>12</v>
      </c>
      <c r="C101" s="18" t="s">
        <v>12</v>
      </c>
      <c r="D101" s="463" t="s">
        <v>1230</v>
      </c>
      <c r="E101" s="4">
        <v>0</v>
      </c>
      <c r="F101" s="4" t="s">
        <v>928</v>
      </c>
      <c r="G101" s="3" t="str">
        <f t="shared" si="201"/>
        <v>100-20-201</v>
      </c>
      <c r="H101" s="65" t="str">
        <f t="shared" si="202"/>
        <v>100</v>
      </c>
      <c r="I101" s="66" t="str">
        <f t="shared" si="203"/>
        <v>50109</v>
      </c>
      <c r="J101" s="16" t="str">
        <f t="shared" si="204"/>
        <v>20</v>
      </c>
      <c r="K101" s="16" t="str">
        <f t="shared" si="205"/>
        <v>201</v>
      </c>
      <c r="M101" s="3">
        <f t="shared" si="265"/>
        <v>0</v>
      </c>
      <c r="N101" s="82">
        <v>0</v>
      </c>
      <c r="O101" s="68">
        <f t="shared" si="239"/>
        <v>0</v>
      </c>
      <c r="S101" s="6"/>
      <c r="T101" s="6"/>
      <c r="U101" s="6">
        <f>O101*AVERAGEIF($G$4:$G$73,G101,$AE$4:$AE$73)</f>
        <v>0</v>
      </c>
      <c r="V101" s="6"/>
      <c r="W101" s="6">
        <f t="shared" si="208"/>
        <v>0</v>
      </c>
      <c r="X101" s="6"/>
      <c r="Y101" s="6"/>
      <c r="Z101" s="6">
        <f>IF(OR($S101&lt;&gt;0,$I101="50112",$I101="50109"),0,VLOOKUP($K101,Scenarios!$A$17:$F$73,4,FALSE))</f>
        <v>0</v>
      </c>
      <c r="AA101" s="6">
        <f t="shared" si="209"/>
        <v>0</v>
      </c>
      <c r="AB101" s="6"/>
      <c r="AC101" s="6">
        <f t="shared" si="210"/>
        <v>0</v>
      </c>
      <c r="AD101" s="6">
        <f t="shared" si="186"/>
        <v>0</v>
      </c>
      <c r="AE101" s="84" t="e">
        <f t="shared" si="264"/>
        <v>#DIV/0!</v>
      </c>
      <c r="AF101" s="6"/>
      <c r="AG101" s="6"/>
      <c r="AH101" s="6"/>
      <c r="AI101" s="6">
        <v>0</v>
      </c>
      <c r="AK101" s="6">
        <f t="shared" si="266"/>
        <v>0</v>
      </c>
      <c r="AL101" s="94"/>
      <c r="AM101" s="6"/>
      <c r="AN101" s="94"/>
      <c r="AO101" s="94">
        <f t="shared" si="267"/>
        <v>0</v>
      </c>
      <c r="AP101" s="94">
        <f t="shared" si="268"/>
        <v>0</v>
      </c>
      <c r="AQ101" s="10">
        <f>IF(OR($I101="50101", $I101="50102", $I101="50109", $I101="50140"),AP101*Scenarios!$H$8,0)</f>
        <v>0</v>
      </c>
      <c r="AR101" s="9">
        <f>VLOOKUP($D101,WKCMP!$A$1:$C$15,3,FALSE)*AP101</f>
        <v>0</v>
      </c>
      <c r="AS101" s="10">
        <f t="shared" si="269"/>
        <v>0</v>
      </c>
      <c r="AT101" s="11">
        <f t="shared" si="270"/>
        <v>0</v>
      </c>
      <c r="AU101" s="10">
        <f t="shared" si="271"/>
        <v>0</v>
      </c>
      <c r="AV101" s="6">
        <f t="shared" si="272"/>
        <v>0</v>
      </c>
      <c r="AW101" s="19">
        <f t="shared" si="273"/>
        <v>0</v>
      </c>
      <c r="AX101" s="19">
        <f>IF(AND($A101="v",$E101=1),AX$1,IF(OR($A101=0,$E101&lt;&gt;1),0,SUMIFS(#REF!,#REF!,'Prop Budget Calc'!AX$4,#REF!,'Prop Budget Calc'!$A100)*(1+AX$2)*AX$3))</f>
        <v>0</v>
      </c>
      <c r="AY101" s="19">
        <f>IF(AND($A101="v",$E101=1),AY$1,IF(OR($A101=0,$E101&lt;&gt;1),0,SUMIFS(#REF!,#REF!,'Prop Budget Calc'!AY$4,#REF!,'Prop Budget Calc'!$A100)*(1+AY$2)*AY$3))</f>
        <v>0</v>
      </c>
      <c r="AZ101" s="88">
        <f t="shared" si="274"/>
        <v>0</v>
      </c>
      <c r="BC101" s="56">
        <f t="shared" si="232"/>
        <v>0</v>
      </c>
      <c r="BE101" s="6">
        <f t="shared" si="275"/>
        <v>0</v>
      </c>
      <c r="BF101" s="6">
        <f t="shared" si="276"/>
        <v>0</v>
      </c>
      <c r="BG101" s="6">
        <f t="shared" si="277"/>
        <v>0</v>
      </c>
      <c r="BH101" s="6"/>
    </row>
    <row r="102" spans="1:89" ht="12.75" customHeight="1">
      <c r="A102" s="3"/>
      <c r="B102" s="71" t="s">
        <v>12</v>
      </c>
      <c r="C102" s="18" t="s">
        <v>12</v>
      </c>
      <c r="D102" s="463" t="s">
        <v>1224</v>
      </c>
      <c r="E102" s="4">
        <v>0</v>
      </c>
      <c r="F102" s="4" t="s">
        <v>929</v>
      </c>
      <c r="G102" s="3" t="str">
        <f t="shared" si="201"/>
        <v>100-30-302</v>
      </c>
      <c r="H102" s="65" t="str">
        <f t="shared" si="202"/>
        <v>100</v>
      </c>
      <c r="I102" s="66" t="str">
        <f t="shared" si="203"/>
        <v>50109</v>
      </c>
      <c r="J102" s="16" t="str">
        <f t="shared" si="204"/>
        <v>30</v>
      </c>
      <c r="K102" s="16" t="str">
        <f t="shared" si="205"/>
        <v>302</v>
      </c>
      <c r="M102" s="3">
        <f t="shared" si="265"/>
        <v>0</v>
      </c>
      <c r="N102" s="82">
        <v>185500</v>
      </c>
      <c r="O102" s="68">
        <f t="shared" si="239"/>
        <v>185500</v>
      </c>
      <c r="S102" s="6"/>
      <c r="T102" s="6"/>
      <c r="U102" s="6">
        <f>O102*AVERAGEIF($G$4:$G$73,G102,$AE$4:$AE$73)</f>
        <v>10802.645931829771</v>
      </c>
      <c r="V102" s="6"/>
      <c r="W102" s="6">
        <f t="shared" si="208"/>
        <v>10802.645931829771</v>
      </c>
      <c r="X102" s="6"/>
      <c r="Y102" s="6"/>
      <c r="Z102" s="6">
        <f>IF(OR($S102&lt;&gt;0,$I102="50112",$I102="50109"),0,VLOOKUP($K102,Scenarios!$A$17:$F$73,4,FALSE))</f>
        <v>0</v>
      </c>
      <c r="AA102" s="6">
        <f t="shared" si="209"/>
        <v>0</v>
      </c>
      <c r="AB102" s="6"/>
      <c r="AC102" s="6">
        <f t="shared" si="210"/>
        <v>10802.645931829771</v>
      </c>
      <c r="AD102" s="6">
        <f t="shared" si="186"/>
        <v>196303</v>
      </c>
      <c r="AE102" s="84">
        <f t="shared" si="264"/>
        <v>5.8237196765498656E-2</v>
      </c>
      <c r="AF102" s="6"/>
      <c r="AG102" s="6"/>
      <c r="AH102" s="6"/>
      <c r="AI102" s="6">
        <v>0</v>
      </c>
      <c r="AK102" s="6">
        <f t="shared" si="266"/>
        <v>0</v>
      </c>
      <c r="AL102" s="94"/>
      <c r="AM102" s="6"/>
      <c r="AN102" s="94"/>
      <c r="AO102" s="94">
        <f t="shared" si="267"/>
        <v>0</v>
      </c>
      <c r="AP102" s="94">
        <f t="shared" si="268"/>
        <v>196303</v>
      </c>
      <c r="AQ102" s="10">
        <f>IF(OR($I102="50101", $I102="50102", $I102="50109", $I102="50140"),AP102*Scenarios!$H$8,0)</f>
        <v>33253.728199999998</v>
      </c>
      <c r="AR102" s="9">
        <f>VLOOKUP($D102,WKCMP!$A$1:$C$15,3,FALSE)*AP102</f>
        <v>3093.4211951999996</v>
      </c>
      <c r="AS102" s="10">
        <f t="shared" si="269"/>
        <v>2846.3935000000001</v>
      </c>
      <c r="AT102" s="11">
        <f t="shared" si="270"/>
        <v>0</v>
      </c>
      <c r="AU102" s="10">
        <f t="shared" si="271"/>
        <v>2850</v>
      </c>
      <c r="AV102" s="6">
        <f t="shared" si="272"/>
        <v>353.34539999999998</v>
      </c>
      <c r="AW102" s="19">
        <f t="shared" si="273"/>
        <v>0</v>
      </c>
      <c r="AX102" s="19">
        <f>IF(AND($A102="v",$E102=1),AX$1,IF(OR($A102=0,$E102&lt;&gt;1),0,SUMIFS(#REF!,#REF!,'Prop Budget Calc'!AX$4,#REF!,'Prop Budget Calc'!$A119)*(1+AX$2)*AX$3))</f>
        <v>0</v>
      </c>
      <c r="AY102" s="19">
        <f>IF(AND($A102="v",$E102=1),AY$1,IF(OR($A102=0,$E102&lt;&gt;1),0,SUMIFS(#REF!,#REF!,'Prop Budget Calc'!AY$4,#REF!,'Prop Budget Calc'!$A119)*(1+AY$2)*AY$3))</f>
        <v>0</v>
      </c>
      <c r="AZ102" s="88">
        <f t="shared" si="274"/>
        <v>353.34539999999998</v>
      </c>
      <c r="BC102" s="56">
        <f t="shared" si="232"/>
        <v>0</v>
      </c>
      <c r="BE102" s="6">
        <f t="shared" si="275"/>
        <v>353.34539999999998</v>
      </c>
      <c r="BF102" s="6">
        <f t="shared" si="276"/>
        <v>39550.4947952</v>
      </c>
      <c r="BG102" s="6">
        <f t="shared" si="277"/>
        <v>235853.49479520001</v>
      </c>
      <c r="BH102" s="6"/>
    </row>
    <row r="103" spans="1:89" ht="12.75" customHeight="1">
      <c r="A103" s="3"/>
      <c r="B103" s="71" t="s">
        <v>12</v>
      </c>
      <c r="C103" s="18" t="s">
        <v>12</v>
      </c>
      <c r="D103" s="463" t="s">
        <v>1230</v>
      </c>
      <c r="E103" s="4">
        <v>0</v>
      </c>
      <c r="F103" s="4" t="s">
        <v>930</v>
      </c>
      <c r="G103" s="3" t="str">
        <f t="shared" si="201"/>
        <v>100-30-303</v>
      </c>
      <c r="H103" s="65" t="str">
        <f t="shared" si="202"/>
        <v>100</v>
      </c>
      <c r="I103" s="66" t="str">
        <f t="shared" si="203"/>
        <v>50109</v>
      </c>
      <c r="J103" s="16" t="str">
        <f t="shared" si="204"/>
        <v>30</v>
      </c>
      <c r="K103" s="16" t="str">
        <f t="shared" si="205"/>
        <v>303</v>
      </c>
      <c r="M103" s="3">
        <f t="shared" si="265"/>
        <v>0</v>
      </c>
      <c r="N103" s="82">
        <f>60000+17906+16916</f>
        <v>94822</v>
      </c>
      <c r="O103" s="68">
        <f t="shared" si="239"/>
        <v>94822</v>
      </c>
      <c r="S103" s="6"/>
      <c r="T103" s="6"/>
      <c r="U103" s="6">
        <f>O103*AVERAGEIF($G$4:$G$73,G103,$AE$4:$AE$73)</f>
        <v>6825.8403743402296</v>
      </c>
      <c r="V103" s="6"/>
      <c r="W103" s="6">
        <f t="shared" si="208"/>
        <v>6825.8403743402296</v>
      </c>
      <c r="X103" s="6"/>
      <c r="Y103" s="6"/>
      <c r="Z103" s="6">
        <f>IF(OR($S103&lt;&gt;0,$I103="50112",$I103="50109"),0,VLOOKUP($K103,Scenarios!$A$17:$F$73,4,FALSE))</f>
        <v>0</v>
      </c>
      <c r="AA103" s="6">
        <f t="shared" si="209"/>
        <v>0</v>
      </c>
      <c r="AB103" s="6"/>
      <c r="AC103" s="6">
        <f t="shared" si="210"/>
        <v>6825.8403743402296</v>
      </c>
      <c r="AD103" s="6">
        <f t="shared" si="186"/>
        <v>101648</v>
      </c>
      <c r="AE103" s="84">
        <f t="shared" si="264"/>
        <v>7.1987513446246654E-2</v>
      </c>
      <c r="AF103" s="6"/>
      <c r="AG103" s="6"/>
      <c r="AH103" s="6"/>
      <c r="AI103" s="6">
        <v>0</v>
      </c>
      <c r="AK103" s="6">
        <f t="shared" si="266"/>
        <v>0</v>
      </c>
      <c r="AL103" s="94"/>
      <c r="AM103" s="6"/>
      <c r="AN103" s="94"/>
      <c r="AO103" s="94">
        <f t="shared" si="267"/>
        <v>0</v>
      </c>
      <c r="AP103" s="94">
        <f t="shared" si="268"/>
        <v>101648</v>
      </c>
      <c r="AQ103" s="10">
        <f>IF(OR($I103="50101", $I103="50102", $I103="50109", $I103="50140"),AP103*Scenarios!$H$8,0)</f>
        <v>17219.171200000001</v>
      </c>
      <c r="AR103" s="9">
        <f>VLOOKUP($D103,WKCMP!$A$1:$C$15,3,FALSE)*AP103</f>
        <v>140.03028480000003</v>
      </c>
      <c r="AS103" s="10">
        <f t="shared" si="269"/>
        <v>1473.8960000000002</v>
      </c>
      <c r="AT103" s="11">
        <f t="shared" si="270"/>
        <v>6302.1760000000004</v>
      </c>
      <c r="AU103" s="10">
        <f t="shared" si="271"/>
        <v>7780</v>
      </c>
      <c r="AV103" s="6">
        <f t="shared" si="272"/>
        <v>182.96639999999999</v>
      </c>
      <c r="AW103" s="19">
        <f t="shared" si="273"/>
        <v>0</v>
      </c>
      <c r="AX103" s="19">
        <f>IF(AND($A103="v",$E103=1),AX$1,IF(OR($A103=0,$E103&lt;&gt;1),0,SUMIFS(#REF!,#REF!,'Prop Budget Calc'!AX$4,#REF!,'Prop Budget Calc'!$A122)*(1+AX$2)*AX$3))</f>
        <v>0</v>
      </c>
      <c r="AY103" s="19">
        <f>IF(AND($A103="v",$E103=1),AY$1,IF(OR($A103=0,$E103&lt;&gt;1),0,SUMIFS(#REF!,#REF!,'Prop Budget Calc'!AY$4,#REF!,'Prop Budget Calc'!$A122)*(1+AY$2)*AY$3))</f>
        <v>0</v>
      </c>
      <c r="AZ103" s="88">
        <f t="shared" si="274"/>
        <v>182.96639999999999</v>
      </c>
      <c r="BC103" s="56">
        <f t="shared" si="232"/>
        <v>0</v>
      </c>
      <c r="BE103" s="6">
        <f t="shared" si="275"/>
        <v>182.96639999999999</v>
      </c>
      <c r="BF103" s="6">
        <f t="shared" si="276"/>
        <v>25322.167884800001</v>
      </c>
      <c r="BG103" s="6">
        <f t="shared" si="277"/>
        <v>126970.1678848</v>
      </c>
      <c r="BH103" s="6"/>
      <c r="BJ103" s="6">
        <f>BG103-BI103</f>
        <v>126970.1678848</v>
      </c>
    </row>
    <row r="104" spans="1:89" ht="12.75" customHeight="1">
      <c r="A104" s="3"/>
      <c r="B104" s="71" t="s">
        <v>12</v>
      </c>
      <c r="C104" s="18" t="s">
        <v>12</v>
      </c>
      <c r="D104" s="463" t="s">
        <v>1527</v>
      </c>
      <c r="E104" s="4">
        <v>0</v>
      </c>
      <c r="F104" s="4" t="s">
        <v>931</v>
      </c>
      <c r="G104" s="3" t="str">
        <f t="shared" si="201"/>
        <v>100-30-304</v>
      </c>
      <c r="H104" s="65" t="str">
        <f t="shared" si="202"/>
        <v>100</v>
      </c>
      <c r="I104" s="66" t="str">
        <f t="shared" si="203"/>
        <v>50109</v>
      </c>
      <c r="J104" s="16" t="str">
        <f t="shared" si="204"/>
        <v>30</v>
      </c>
      <c r="K104" s="16" t="str">
        <f t="shared" si="205"/>
        <v>304</v>
      </c>
      <c r="M104" s="3">
        <f t="shared" si="265"/>
        <v>0</v>
      </c>
      <c r="N104" s="82">
        <v>10000</v>
      </c>
      <c r="O104" s="68">
        <f t="shared" si="239"/>
        <v>10000</v>
      </c>
      <c r="S104" s="6"/>
      <c r="T104" s="6"/>
      <c r="U104" s="6">
        <f>O104*AVERAGEIF($G$4:$G$73,G104,$AE$4:$AE$73)</f>
        <v>1713.2960298427924</v>
      </c>
      <c r="V104" s="6"/>
      <c r="W104" s="6">
        <f t="shared" si="208"/>
        <v>1713.2960298427924</v>
      </c>
      <c r="X104" s="6"/>
      <c r="Y104" s="6"/>
      <c r="Z104" s="6">
        <f>IF(OR($S104&lt;&gt;0,$I104="50112",$I104="50109"),0,VLOOKUP($K104,Scenarios!$A$17:$F$73,4,FALSE))</f>
        <v>0</v>
      </c>
      <c r="AA104" s="6">
        <f t="shared" si="209"/>
        <v>0</v>
      </c>
      <c r="AB104" s="6"/>
      <c r="AC104" s="6">
        <f t="shared" si="210"/>
        <v>1713.2960298427924</v>
      </c>
      <c r="AD104" s="6">
        <f t="shared" si="186"/>
        <v>11714</v>
      </c>
      <c r="AE104" s="84">
        <f t="shared" si="264"/>
        <v>0.1714</v>
      </c>
      <c r="AF104" s="6"/>
      <c r="AG104" s="6"/>
      <c r="AH104" s="6"/>
      <c r="AI104" s="6">
        <v>0</v>
      </c>
      <c r="AK104" s="6">
        <f t="shared" si="266"/>
        <v>0</v>
      </c>
      <c r="AL104" s="94"/>
      <c r="AM104" s="6"/>
      <c r="AN104" s="94"/>
      <c r="AO104" s="94">
        <f t="shared" si="267"/>
        <v>0</v>
      </c>
      <c r="AP104" s="94">
        <f t="shared" si="268"/>
        <v>11714</v>
      </c>
      <c r="AQ104" s="10">
        <f>IF(OR($I104="50101", $I104="50102", $I104="50109", $I104="50140"),AP104*Scenarios!$H$8,0)</f>
        <v>1984.3516</v>
      </c>
      <c r="AR104" s="9">
        <f>VLOOKUP($D104,WKCMP!$A$1:$C$15,3,FALSE)*AP104</f>
        <v>251.11067519999997</v>
      </c>
      <c r="AS104" s="10">
        <f t="shared" si="269"/>
        <v>169.85300000000001</v>
      </c>
      <c r="AT104" s="11">
        <f t="shared" si="270"/>
        <v>726.26800000000003</v>
      </c>
      <c r="AU104" s="10">
        <f t="shared" si="271"/>
        <v>900</v>
      </c>
      <c r="AV104" s="6">
        <f t="shared" si="272"/>
        <v>21.0852</v>
      </c>
      <c r="AW104" s="19">
        <f t="shared" si="273"/>
        <v>0</v>
      </c>
      <c r="AX104" s="19">
        <f>IF(AND($A104="v",$E104=1),AX$1,IF(OR($A104=0,$E104&lt;&gt;1),0,SUMIFS(#REF!,#REF!,'Prop Budget Calc'!AX$4,#REF!,'Prop Budget Calc'!#REF!)*(1+AX$2)*AX$3))</f>
        <v>0</v>
      </c>
      <c r="AY104" s="19">
        <f>IF(AND($A104="v",$E104=1),AY$1,IF(OR($A104=0,$E104&lt;&gt;1),0,SUMIFS(#REF!,#REF!,'Prop Budget Calc'!AY$4,#REF!,'Prop Budget Calc'!#REF!)*(1+AY$2)*AY$3))</f>
        <v>0</v>
      </c>
      <c r="AZ104" s="88">
        <f t="shared" si="274"/>
        <v>21.0852</v>
      </c>
      <c r="BC104" s="56">
        <f t="shared" si="232"/>
        <v>0</v>
      </c>
      <c r="BE104" s="6">
        <f t="shared" si="275"/>
        <v>21.0852</v>
      </c>
      <c r="BF104" s="6">
        <f t="shared" si="276"/>
        <v>3156.5474752</v>
      </c>
      <c r="BG104" s="6">
        <f t="shared" si="277"/>
        <v>14870.547475200001</v>
      </c>
      <c r="BH104" s="6"/>
    </row>
    <row r="105" spans="1:89" ht="12.75" customHeight="1">
      <c r="A105" s="3"/>
      <c r="B105" s="71" t="s">
        <v>12</v>
      </c>
      <c r="C105" s="18" t="s">
        <v>12</v>
      </c>
      <c r="D105" s="463" t="s">
        <v>1224</v>
      </c>
      <c r="E105" s="4">
        <v>0</v>
      </c>
      <c r="F105" s="4" t="s">
        <v>932</v>
      </c>
      <c r="G105" s="3" t="str">
        <f t="shared" si="201"/>
        <v>100-30-305</v>
      </c>
      <c r="H105" s="65" t="str">
        <f t="shared" si="202"/>
        <v>100</v>
      </c>
      <c r="I105" s="66" t="str">
        <f t="shared" si="203"/>
        <v>50109</v>
      </c>
      <c r="J105" s="16" t="str">
        <f t="shared" si="204"/>
        <v>30</v>
      </c>
      <c r="K105" s="16" t="str">
        <f t="shared" si="205"/>
        <v>305</v>
      </c>
      <c r="M105" s="3">
        <f t="shared" si="265"/>
        <v>0</v>
      </c>
      <c r="N105" s="82">
        <v>11500</v>
      </c>
      <c r="O105" s="68">
        <f t="shared" si="239"/>
        <v>11500</v>
      </c>
      <c r="S105" s="6"/>
      <c r="T105" s="6"/>
      <c r="U105" s="6">
        <f>O105*AVERAGEIF($G$4:$G$73,G105,$AE$4:$AE$73)</f>
        <v>956.74330410049868</v>
      </c>
      <c r="V105" s="6"/>
      <c r="W105" s="6">
        <f t="shared" si="208"/>
        <v>956.74330410049868</v>
      </c>
      <c r="X105" s="6"/>
      <c r="Y105" s="6"/>
      <c r="Z105" s="6">
        <f>IF(OR($S105&lt;&gt;0,$I105="50112",$I105="50109"),0,VLOOKUP($K105,Scenarios!$A$17:$F$73,4,FALSE))</f>
        <v>0</v>
      </c>
      <c r="AA105" s="6">
        <f t="shared" si="209"/>
        <v>0</v>
      </c>
      <c r="AB105" s="6"/>
      <c r="AC105" s="6">
        <f t="shared" si="210"/>
        <v>956.74330410049868</v>
      </c>
      <c r="AD105" s="6">
        <f t="shared" si="186"/>
        <v>12457</v>
      </c>
      <c r="AE105" s="84">
        <f t="shared" si="264"/>
        <v>8.321739130434791E-2</v>
      </c>
      <c r="AF105" s="6"/>
      <c r="AG105" s="6"/>
      <c r="AH105" s="6"/>
      <c r="AI105" s="6">
        <v>0</v>
      </c>
      <c r="AK105" s="6">
        <f t="shared" si="266"/>
        <v>0</v>
      </c>
      <c r="AL105" s="94"/>
      <c r="AM105" s="6"/>
      <c r="AN105" s="94"/>
      <c r="AO105" s="94">
        <f t="shared" si="267"/>
        <v>0</v>
      </c>
      <c r="AP105" s="94">
        <f t="shared" si="268"/>
        <v>12457</v>
      </c>
      <c r="AQ105" s="10">
        <f>IF(OR($I105="50101", $I105="50102", $I105="50109", $I105="50140"),AP105*Scenarios!$H$8,0)</f>
        <v>2110.2157999999999</v>
      </c>
      <c r="AR105" s="9">
        <f>VLOOKUP($D105,WKCMP!$A$1:$C$15,3,FALSE)*AP105</f>
        <v>196.30238879999999</v>
      </c>
      <c r="AS105" s="10">
        <f t="shared" si="269"/>
        <v>180.62650000000002</v>
      </c>
      <c r="AT105" s="11">
        <f t="shared" si="270"/>
        <v>772.33399999999995</v>
      </c>
      <c r="AU105" s="10">
        <f t="shared" si="271"/>
        <v>960</v>
      </c>
      <c r="AV105" s="6">
        <f t="shared" si="272"/>
        <v>22.422599999999999</v>
      </c>
      <c r="AW105" s="19">
        <f t="shared" si="273"/>
        <v>0</v>
      </c>
      <c r="AX105" s="19">
        <f>IF(AND($A105="v",$E105=1),AX$1,IF(OR($A105=0,$E105&lt;&gt;1),0,SUMIFS(#REF!,#REF!,'Prop Budget Calc'!AX$4,#REF!,'Prop Budget Calc'!$A128)*(1+AX$2)*AX$3))</f>
        <v>0</v>
      </c>
      <c r="AY105" s="19">
        <f>IF(AND($A105="v",$E105=1),AY$1,IF(OR($A105=0,$E105&lt;&gt;1),0,SUMIFS(#REF!,#REF!,'Prop Budget Calc'!AY$4,#REF!,'Prop Budget Calc'!$A128)*(1+AY$2)*AY$3))</f>
        <v>0</v>
      </c>
      <c r="AZ105" s="88">
        <f t="shared" si="274"/>
        <v>22.422599999999999</v>
      </c>
      <c r="BC105" s="56">
        <f t="shared" si="232"/>
        <v>0</v>
      </c>
      <c r="BE105" s="6">
        <f t="shared" si="275"/>
        <v>22.422599999999999</v>
      </c>
      <c r="BF105" s="6">
        <f t="shared" si="276"/>
        <v>3288.9407887999996</v>
      </c>
      <c r="BG105" s="6">
        <f t="shared" si="277"/>
        <v>15745.940788799999</v>
      </c>
      <c r="BH105" s="6"/>
    </row>
    <row r="106" spans="1:89" ht="12.75" customHeight="1">
      <c r="A106" s="3"/>
      <c r="B106" s="18" t="s">
        <v>12</v>
      </c>
      <c r="C106" s="18" t="s">
        <v>12</v>
      </c>
      <c r="D106" s="463" t="s">
        <v>1217</v>
      </c>
      <c r="E106" s="4">
        <v>0</v>
      </c>
      <c r="F106" s="4" t="s">
        <v>933</v>
      </c>
      <c r="G106" s="3" t="str">
        <f t="shared" si="201"/>
        <v>100-35-351</v>
      </c>
      <c r="H106" s="65" t="str">
        <f t="shared" si="202"/>
        <v>100</v>
      </c>
      <c r="I106" s="66" t="str">
        <f t="shared" si="203"/>
        <v>50109</v>
      </c>
      <c r="J106" s="16" t="str">
        <f t="shared" si="204"/>
        <v>35</v>
      </c>
      <c r="K106" s="16" t="str">
        <f t="shared" si="205"/>
        <v>351</v>
      </c>
      <c r="M106" s="3">
        <f t="shared" si="265"/>
        <v>0</v>
      </c>
      <c r="N106" s="82">
        <v>9000</v>
      </c>
      <c r="O106" s="68">
        <f t="shared" si="239"/>
        <v>9000</v>
      </c>
      <c r="S106" s="6"/>
      <c r="T106" s="6"/>
      <c r="U106" s="6"/>
      <c r="V106" s="6"/>
      <c r="W106" s="6">
        <f t="shared" si="208"/>
        <v>0</v>
      </c>
      <c r="X106" s="6"/>
      <c r="Y106" s="6"/>
      <c r="Z106" s="6">
        <f>IF(OR($S106&lt;&gt;0,$I106="50112",$I106="50109"),0,VLOOKUP($K106,Scenarios!$A$17:$F$73,4,FALSE))</f>
        <v>0</v>
      </c>
      <c r="AA106" s="6">
        <f t="shared" si="209"/>
        <v>0</v>
      </c>
      <c r="AB106" s="6"/>
      <c r="AC106" s="6">
        <f t="shared" si="210"/>
        <v>0</v>
      </c>
      <c r="AD106" s="6">
        <f t="shared" si="186"/>
        <v>9000</v>
      </c>
      <c r="AE106" s="84">
        <f t="shared" si="264"/>
        <v>0</v>
      </c>
      <c r="AF106" s="6"/>
      <c r="AG106" s="6"/>
      <c r="AH106" s="6"/>
      <c r="AI106" s="6">
        <v>0</v>
      </c>
      <c r="AK106" s="6">
        <f t="shared" si="266"/>
        <v>0</v>
      </c>
      <c r="AL106" s="94"/>
      <c r="AM106" s="6"/>
      <c r="AN106" s="94"/>
      <c r="AO106" s="94">
        <f t="shared" si="267"/>
        <v>0</v>
      </c>
      <c r="AP106" s="94">
        <f t="shared" si="268"/>
        <v>9000</v>
      </c>
      <c r="AQ106" s="10">
        <f>IF(OR($I106="50101", $I106="50102", $I106="50109", $I106="50140"),AP106*Scenarios!$H$8,0)</f>
        <v>1524.6</v>
      </c>
      <c r="AR106" s="9">
        <f>VLOOKUP($D106,WKCMP!$A$1:$C$15,3,FALSE)*AP106</f>
        <v>160.27200000000002</v>
      </c>
      <c r="AS106" s="10">
        <f t="shared" si="269"/>
        <v>130.5</v>
      </c>
      <c r="AT106" s="11">
        <f t="shared" si="270"/>
        <v>558</v>
      </c>
      <c r="AU106" s="10">
        <f t="shared" si="271"/>
        <v>690</v>
      </c>
      <c r="AV106" s="6">
        <f t="shared" si="272"/>
        <v>16.2</v>
      </c>
      <c r="AW106" s="19">
        <f t="shared" si="273"/>
        <v>0</v>
      </c>
      <c r="AX106" s="19">
        <f>IF(AND($A106="v",$E106=1),AX$1,IF(OR($A106=0,$E106&lt;&gt;1),0,SUMIFS(#REF!,#REF!,'Prop Budget Calc'!AX$4,#REF!,'Prop Budget Calc'!$A103)*(1+AX$2)*AX$3))</f>
        <v>0</v>
      </c>
      <c r="AY106" s="19">
        <f>IF(AND($A106="v",$E106=1),AY$1,IF(OR($A106=0,$E106&lt;&gt;1),0,SUMIFS(#REF!,#REF!,'Prop Budget Calc'!AY$4,#REF!,'Prop Budget Calc'!$A103)*(1+AY$2)*AY$3))</f>
        <v>0</v>
      </c>
      <c r="AZ106" s="88">
        <f t="shared" si="274"/>
        <v>16.2</v>
      </c>
      <c r="BC106" s="56">
        <f t="shared" si="232"/>
        <v>0</v>
      </c>
      <c r="BE106" s="6">
        <f t="shared" si="275"/>
        <v>16.2</v>
      </c>
      <c r="BF106" s="6">
        <f t="shared" si="276"/>
        <v>2391.0720000000001</v>
      </c>
      <c r="BG106" s="6">
        <f t="shared" si="277"/>
        <v>11391.072</v>
      </c>
      <c r="BH106" s="6"/>
    </row>
    <row r="107" spans="1:89" ht="12.75" customHeight="1">
      <c r="A107" s="3"/>
      <c r="B107" s="18" t="s">
        <v>12</v>
      </c>
      <c r="C107" s="18" t="s">
        <v>12</v>
      </c>
      <c r="D107" s="463" t="s">
        <v>1217</v>
      </c>
      <c r="E107" s="4">
        <v>0</v>
      </c>
      <c r="F107" s="4" t="s">
        <v>934</v>
      </c>
      <c r="G107" s="3" t="str">
        <f t="shared" si="201"/>
        <v>100-35-352</v>
      </c>
      <c r="H107" s="65" t="str">
        <f t="shared" si="202"/>
        <v>100</v>
      </c>
      <c r="I107" s="66" t="str">
        <f t="shared" si="203"/>
        <v>50109</v>
      </c>
      <c r="J107" s="16" t="str">
        <f t="shared" si="204"/>
        <v>35</v>
      </c>
      <c r="K107" s="16" t="str">
        <f t="shared" si="205"/>
        <v>352</v>
      </c>
      <c r="M107" s="3">
        <f t="shared" si="265"/>
        <v>0</v>
      </c>
      <c r="N107" s="82">
        <f>466315+90000</f>
        <v>556315</v>
      </c>
      <c r="O107" s="68">
        <f t="shared" si="239"/>
        <v>556315</v>
      </c>
      <c r="S107" s="6"/>
      <c r="T107" s="6"/>
      <c r="U107" s="6">
        <f>O107*AVERAGEIF($G$4:$G$73,G107,$AE$4:$AE$73)</f>
        <v>30509.622575256926</v>
      </c>
      <c r="V107" s="6"/>
      <c r="W107" s="6">
        <f t="shared" si="208"/>
        <v>30509.622575256926</v>
      </c>
      <c r="X107" s="6"/>
      <c r="Y107" s="6"/>
      <c r="Z107" s="6">
        <f>IF(OR($S107&lt;&gt;0,$I107="50112",$I107="50109"),0,VLOOKUP($K107,Scenarios!$A$17:$F$73,4,FALSE))</f>
        <v>0</v>
      </c>
      <c r="AA107" s="6">
        <f t="shared" si="209"/>
        <v>0</v>
      </c>
      <c r="AB107" s="6"/>
      <c r="AC107" s="6">
        <f t="shared" si="210"/>
        <v>30509.622575256926</v>
      </c>
      <c r="AD107" s="6">
        <f t="shared" si="186"/>
        <v>586825</v>
      </c>
      <c r="AE107" s="84">
        <f t="shared" si="264"/>
        <v>5.4843029578566016E-2</v>
      </c>
      <c r="AF107" s="6"/>
      <c r="AG107" s="6"/>
      <c r="AH107" s="6"/>
      <c r="AI107" s="6">
        <v>0</v>
      </c>
      <c r="AK107" s="6">
        <f t="shared" si="266"/>
        <v>0</v>
      </c>
      <c r="AL107" s="94"/>
      <c r="AM107" s="6"/>
      <c r="AN107" s="94"/>
      <c r="AO107" s="94">
        <f t="shared" si="267"/>
        <v>0</v>
      </c>
      <c r="AP107" s="94">
        <f t="shared" si="268"/>
        <v>586825</v>
      </c>
      <c r="AQ107" s="10">
        <f>IF(OR($I107="50101", $I107="50102", $I107="50109", $I107="50140"),AP107*Scenarios!$H$8,0)</f>
        <v>99408.154999999999</v>
      </c>
      <c r="AR107" s="9">
        <f>VLOOKUP($D107,WKCMP!$A$1:$C$15,3,FALSE)*AP107</f>
        <v>10450.179600000001</v>
      </c>
      <c r="AS107" s="10">
        <f t="shared" si="269"/>
        <v>8508.9624999999996</v>
      </c>
      <c r="AT107" s="11">
        <f t="shared" si="270"/>
        <v>0</v>
      </c>
      <c r="AU107" s="10">
        <f t="shared" si="271"/>
        <v>8510</v>
      </c>
      <c r="AV107" s="6">
        <f t="shared" si="272"/>
        <v>1056.2850000000001</v>
      </c>
      <c r="AW107" s="19">
        <f t="shared" si="273"/>
        <v>0</v>
      </c>
      <c r="AX107" s="19">
        <f>IF(AND($A107="v",$E107=1),AX$1,IF(OR($A107=0,$E107&lt;&gt;1),0,SUMIFS(#REF!,#REF!,'Prop Budget Calc'!AX$4,#REF!,'Prop Budget Calc'!$A118)*(1+AX$2)*AX$3))</f>
        <v>0</v>
      </c>
      <c r="AY107" s="19">
        <f>IF(AND($A107="v",$E107=1),AY$1,IF(OR($A107=0,$E107&lt;&gt;1),0,SUMIFS(#REF!,#REF!,'Prop Budget Calc'!AY$4,#REF!,'Prop Budget Calc'!$A118)*(1+AY$2)*AY$3))</f>
        <v>0</v>
      </c>
      <c r="AZ107" s="88">
        <f t="shared" si="274"/>
        <v>1056.2850000000001</v>
      </c>
      <c r="BC107" s="56">
        <f t="shared" si="232"/>
        <v>0</v>
      </c>
      <c r="BE107" s="6">
        <f t="shared" si="275"/>
        <v>1056.2850000000001</v>
      </c>
      <c r="BF107" s="6">
        <f t="shared" si="276"/>
        <v>119424.61960000001</v>
      </c>
      <c r="BG107" s="6">
        <f t="shared" si="277"/>
        <v>706249.61959999998</v>
      </c>
      <c r="BH107" s="6"/>
    </row>
    <row r="108" spans="1:89" ht="12.75" customHeight="1">
      <c r="A108" s="3"/>
      <c r="B108" s="18" t="s">
        <v>12</v>
      </c>
      <c r="C108" s="18" t="s">
        <v>12</v>
      </c>
      <c r="D108" s="463" t="s">
        <v>1265</v>
      </c>
      <c r="E108" s="4">
        <v>0</v>
      </c>
      <c r="F108" s="4" t="s">
        <v>935</v>
      </c>
      <c r="G108" s="3" t="str">
        <f t="shared" si="201"/>
        <v>100-50-502</v>
      </c>
      <c r="H108" s="65" t="str">
        <f t="shared" si="202"/>
        <v>100</v>
      </c>
      <c r="I108" s="66" t="str">
        <f t="shared" si="203"/>
        <v>50109</v>
      </c>
      <c r="J108" s="16" t="str">
        <f t="shared" si="204"/>
        <v>50</v>
      </c>
      <c r="K108" s="16" t="str">
        <f t="shared" si="205"/>
        <v>502</v>
      </c>
      <c r="M108" s="3">
        <f t="shared" si="265"/>
        <v>0</v>
      </c>
      <c r="N108" s="82">
        <v>16000</v>
      </c>
      <c r="O108" s="68">
        <f t="shared" si="239"/>
        <v>16000</v>
      </c>
      <c r="S108" s="6"/>
      <c r="T108" s="6"/>
      <c r="U108" s="6"/>
      <c r="V108" s="6"/>
      <c r="W108" s="6">
        <f t="shared" si="208"/>
        <v>0</v>
      </c>
      <c r="X108" s="6"/>
      <c r="Y108" s="6"/>
      <c r="Z108" s="6">
        <f>IF(OR($S108&lt;&gt;0,$I108="50112",$I108="50109"),0,VLOOKUP($K108,Scenarios!$A$17:$F$73,4,FALSE))</f>
        <v>0</v>
      </c>
      <c r="AA108" s="6">
        <f t="shared" si="209"/>
        <v>0</v>
      </c>
      <c r="AB108" s="6"/>
      <c r="AC108" s="6">
        <f t="shared" si="210"/>
        <v>0</v>
      </c>
      <c r="AD108" s="6">
        <f t="shared" si="186"/>
        <v>16000</v>
      </c>
      <c r="AE108" s="84">
        <f t="shared" si="264"/>
        <v>0</v>
      </c>
      <c r="AF108" s="6"/>
      <c r="AG108" s="6"/>
      <c r="AH108" s="6"/>
      <c r="AI108" s="6">
        <v>0</v>
      </c>
      <c r="AK108" s="6">
        <f t="shared" si="266"/>
        <v>0</v>
      </c>
      <c r="AL108" s="94"/>
      <c r="AM108" s="6"/>
      <c r="AN108" s="94"/>
      <c r="AO108" s="94">
        <f t="shared" si="267"/>
        <v>0</v>
      </c>
      <c r="AP108" s="94">
        <f t="shared" si="268"/>
        <v>16000</v>
      </c>
      <c r="AQ108" s="10">
        <f>IF(OR($I108="50101", $I108="50102", $I108="50109", $I108="50140"),AP108*Scenarios!$H$8,0)</f>
        <v>2710.4</v>
      </c>
      <c r="AR108" s="9">
        <f>VLOOKUP($D108,WKCMP!$A$1:$C$15,3,FALSE)*AP108</f>
        <v>46.7712</v>
      </c>
      <c r="AS108" s="10">
        <f t="shared" si="269"/>
        <v>232</v>
      </c>
      <c r="AT108" s="11">
        <f t="shared" si="270"/>
        <v>992</v>
      </c>
      <c r="AU108" s="10">
        <f t="shared" si="271"/>
        <v>1230</v>
      </c>
      <c r="AV108" s="6">
        <f t="shared" si="272"/>
        <v>28.8</v>
      </c>
      <c r="AW108" s="19">
        <f t="shared" si="273"/>
        <v>0</v>
      </c>
      <c r="AX108" s="19">
        <f>IF(AND($A108="v",$E108=1),AX$1,IF(OR($A108=0,$E108&lt;&gt;1),0,SUMIFS(#REF!,#REF!,'Prop Budget Calc'!AX$4,#REF!,'Prop Budget Calc'!$A102)*(1+AX$2)*AX$3))</f>
        <v>0</v>
      </c>
      <c r="AY108" s="19">
        <f>IF(AND($A108="v",$E108=1),AY$1,IF(OR($A108=0,$E108&lt;&gt;1),0,SUMIFS(#REF!,#REF!,'Prop Budget Calc'!AY$4,#REF!,'Prop Budget Calc'!$A102)*(1+AY$2)*AY$3))</f>
        <v>0</v>
      </c>
      <c r="AZ108" s="88">
        <f t="shared" si="274"/>
        <v>28.8</v>
      </c>
      <c r="BC108" s="56">
        <f t="shared" si="232"/>
        <v>0</v>
      </c>
      <c r="BE108" s="6">
        <f t="shared" si="275"/>
        <v>28.8</v>
      </c>
      <c r="BF108" s="6">
        <f t="shared" si="276"/>
        <v>4015.9712</v>
      </c>
      <c r="BG108" s="6">
        <f t="shared" si="277"/>
        <v>20015.9712</v>
      </c>
      <c r="BH108" s="6"/>
    </row>
    <row r="109" spans="1:89" ht="12.75" customHeight="1">
      <c r="A109" s="3"/>
      <c r="B109" s="18" t="s">
        <v>12</v>
      </c>
      <c r="C109" s="18" t="s">
        <v>12</v>
      </c>
      <c r="D109" s="463" t="s">
        <v>1338</v>
      </c>
      <c r="E109" s="4">
        <v>0</v>
      </c>
      <c r="F109" s="4" t="s">
        <v>936</v>
      </c>
      <c r="G109" s="3" t="str">
        <f t="shared" si="201"/>
        <v>100-50-503</v>
      </c>
      <c r="H109" s="65" t="str">
        <f t="shared" si="202"/>
        <v>100</v>
      </c>
      <c r="I109" s="66" t="str">
        <f t="shared" si="203"/>
        <v>50109</v>
      </c>
      <c r="J109" s="16" t="str">
        <f t="shared" si="204"/>
        <v>50</v>
      </c>
      <c r="K109" s="16" t="str">
        <f t="shared" si="205"/>
        <v>503</v>
      </c>
      <c r="M109" s="3">
        <f t="shared" si="265"/>
        <v>0</v>
      </c>
      <c r="N109" s="82">
        <v>29516</v>
      </c>
      <c r="O109" s="68">
        <f t="shared" si="239"/>
        <v>29516</v>
      </c>
      <c r="S109" s="6"/>
      <c r="T109" s="6"/>
      <c r="U109" s="6">
        <f>O109*AVERAGEIF($G$4:$G$73,G109,$AE$4:$AE$73)</f>
        <v>1366.5637383888654</v>
      </c>
      <c r="V109" s="6"/>
      <c r="W109" s="6">
        <f t="shared" si="208"/>
        <v>1366.5637383888654</v>
      </c>
      <c r="X109" s="6"/>
      <c r="Y109" s="6"/>
      <c r="Z109" s="6">
        <f>IF(OR($S109&lt;&gt;0,$I109="50112",$I109="50109"),0,VLOOKUP($K109,Scenarios!$A$17:$F$73,4,FALSE))</f>
        <v>0</v>
      </c>
      <c r="AA109" s="6">
        <f t="shared" si="209"/>
        <v>0</v>
      </c>
      <c r="AB109" s="6"/>
      <c r="AC109" s="6">
        <f t="shared" si="210"/>
        <v>1366.5637383888654</v>
      </c>
      <c r="AD109" s="6">
        <f t="shared" si="186"/>
        <v>30883</v>
      </c>
      <c r="AE109" s="84">
        <f t="shared" si="264"/>
        <v>4.6313863667163613E-2</v>
      </c>
      <c r="AF109" s="6"/>
      <c r="AG109" s="6"/>
      <c r="AH109" s="6"/>
      <c r="AI109" s="6">
        <v>0</v>
      </c>
      <c r="AK109" s="6">
        <f t="shared" si="266"/>
        <v>0</v>
      </c>
      <c r="AL109" s="94"/>
      <c r="AM109" s="6"/>
      <c r="AN109" s="94"/>
      <c r="AO109" s="94">
        <f t="shared" si="267"/>
        <v>0</v>
      </c>
      <c r="AP109" s="94">
        <f t="shared" si="268"/>
        <v>30883</v>
      </c>
      <c r="AQ109" s="10">
        <f>IF(OR($I109="50101", $I109="50102", $I109="50109", $I109="50140"),AP109*Scenarios!$H$8,0)</f>
        <v>5231.5801999999994</v>
      </c>
      <c r="AR109" s="9">
        <f>VLOOKUP($D109,WKCMP!$A$1:$C$15,3,FALSE)*AP109</f>
        <v>751.27221120000013</v>
      </c>
      <c r="AS109" s="10">
        <f t="shared" si="269"/>
        <v>447.80350000000004</v>
      </c>
      <c r="AT109" s="11">
        <f t="shared" si="270"/>
        <v>1914.7460000000001</v>
      </c>
      <c r="AU109" s="10">
        <f t="shared" si="271"/>
        <v>2370</v>
      </c>
      <c r="AV109" s="6">
        <f t="shared" si="272"/>
        <v>55.589399999999998</v>
      </c>
      <c r="AW109" s="19">
        <f t="shared" si="273"/>
        <v>0</v>
      </c>
      <c r="AX109" s="19">
        <f>IF(AND($A109="v",$E109=1),AX$1,IF(OR($A109=0,$E109&lt;&gt;1),0,SUMIFS(#REF!,#REF!,'Prop Budget Calc'!AX$4,#REF!,'Prop Budget Calc'!$A116)*(1+AX$2)*AX$3))</f>
        <v>0</v>
      </c>
      <c r="AY109" s="19">
        <f>IF(AND($A109="v",$E109=1),AY$1,IF(OR($A109=0,$E109&lt;&gt;1),0,SUMIFS(#REF!,#REF!,'Prop Budget Calc'!AY$4,#REF!,'Prop Budget Calc'!$A116)*(1+AY$2)*AY$3))</f>
        <v>0</v>
      </c>
      <c r="AZ109" s="88">
        <f t="shared" si="274"/>
        <v>55.589399999999998</v>
      </c>
      <c r="BC109" s="56">
        <f t="shared" si="232"/>
        <v>0</v>
      </c>
      <c r="BE109" s="6">
        <f t="shared" si="275"/>
        <v>55.589399999999998</v>
      </c>
      <c r="BF109" s="6">
        <f t="shared" si="276"/>
        <v>8408.4418111999985</v>
      </c>
      <c r="BG109" s="6">
        <f t="shared" si="277"/>
        <v>39291.441811199998</v>
      </c>
      <c r="BH109" s="6"/>
    </row>
    <row r="110" spans="1:89" ht="12.75" customHeight="1">
      <c r="A110" s="3"/>
      <c r="B110" s="18" t="s">
        <v>12</v>
      </c>
      <c r="C110" s="18" t="s">
        <v>12</v>
      </c>
      <c r="D110" s="463" t="s">
        <v>1304</v>
      </c>
      <c r="E110" s="4">
        <v>0</v>
      </c>
      <c r="F110" s="4" t="s">
        <v>937</v>
      </c>
      <c r="G110" s="3" t="str">
        <f t="shared" si="201"/>
        <v>100-60-601</v>
      </c>
      <c r="H110" s="65" t="str">
        <f t="shared" si="202"/>
        <v>100</v>
      </c>
      <c r="I110" s="66" t="str">
        <f t="shared" si="203"/>
        <v>50109</v>
      </c>
      <c r="J110" s="16" t="str">
        <f t="shared" si="204"/>
        <v>60</v>
      </c>
      <c r="K110" s="16" t="str">
        <f t="shared" si="205"/>
        <v>601</v>
      </c>
      <c r="M110" s="3">
        <f t="shared" si="265"/>
        <v>0</v>
      </c>
      <c r="N110" s="82">
        <v>250</v>
      </c>
      <c r="O110" s="68">
        <f t="shared" si="239"/>
        <v>250</v>
      </c>
      <c r="S110" s="6"/>
      <c r="T110" s="6"/>
      <c r="U110" s="6"/>
      <c r="V110" s="6"/>
      <c r="W110" s="6">
        <f t="shared" si="208"/>
        <v>0</v>
      </c>
      <c r="X110" s="6"/>
      <c r="Y110" s="6"/>
      <c r="Z110" s="6">
        <f>IF(OR($S110&lt;&gt;0,$I110="50112",$I110="50109"),0,VLOOKUP($K110,Scenarios!$A$17:$F$73,4,FALSE))</f>
        <v>0</v>
      </c>
      <c r="AA110" s="6">
        <f t="shared" si="209"/>
        <v>0</v>
      </c>
      <c r="AB110" s="6"/>
      <c r="AC110" s="6">
        <f t="shared" si="210"/>
        <v>0</v>
      </c>
      <c r="AD110" s="6">
        <f t="shared" si="186"/>
        <v>250</v>
      </c>
      <c r="AE110" s="84">
        <f t="shared" si="264"/>
        <v>0</v>
      </c>
      <c r="AF110" s="6"/>
      <c r="AG110" s="6"/>
      <c r="AH110" s="6"/>
      <c r="AI110" s="6">
        <v>0</v>
      </c>
      <c r="AK110" s="6">
        <f t="shared" si="266"/>
        <v>0</v>
      </c>
      <c r="AL110" s="94"/>
      <c r="AM110" s="6"/>
      <c r="AN110" s="94"/>
      <c r="AO110" s="94">
        <f t="shared" si="267"/>
        <v>0</v>
      </c>
      <c r="AP110" s="94">
        <f t="shared" si="268"/>
        <v>250</v>
      </c>
      <c r="AQ110" s="10">
        <f>IF(OR($I110="50101", $I110="50102", $I110="50109", $I110="50140"),AP110*Scenarios!$H$8,0)</f>
        <v>42.35</v>
      </c>
      <c r="AR110" s="9">
        <f>VLOOKUP($D110,WKCMP!$A$1:$C$15,3,FALSE)*AP110</f>
        <v>0.46200000000000002</v>
      </c>
      <c r="AS110" s="10">
        <f t="shared" si="269"/>
        <v>3.625</v>
      </c>
      <c r="AT110" s="11">
        <f t="shared" si="270"/>
        <v>15.5</v>
      </c>
      <c r="AU110" s="10">
        <f t="shared" si="271"/>
        <v>20</v>
      </c>
      <c r="AV110" s="6">
        <f t="shared" si="272"/>
        <v>0.45</v>
      </c>
      <c r="AW110" s="19">
        <f t="shared" si="273"/>
        <v>0</v>
      </c>
      <c r="AX110" s="19">
        <f>IF(AND($A110="v",$E110=1),AX$1,IF(OR($A110=0,$E110&lt;&gt;1),0,SUMIFS(#REF!,#REF!,'Prop Budget Calc'!AX$4,#REF!,'Prop Budget Calc'!$A111)*(1+AX$2)*AX$3))</f>
        <v>0</v>
      </c>
      <c r="AY110" s="19">
        <f>IF(AND($A110="v",$E110=1),AY$1,IF(OR($A110=0,$E110&lt;&gt;1),0,SUMIFS(#REF!,#REF!,'Prop Budget Calc'!AY$4,#REF!,'Prop Budget Calc'!$A111)*(1+AY$2)*AY$3))</f>
        <v>0</v>
      </c>
      <c r="AZ110" s="88">
        <f t="shared" si="274"/>
        <v>0.45</v>
      </c>
      <c r="BC110" s="56">
        <f t="shared" si="232"/>
        <v>0</v>
      </c>
      <c r="BE110" s="6">
        <f t="shared" si="275"/>
        <v>0.45</v>
      </c>
      <c r="BF110" s="6">
        <f t="shared" si="276"/>
        <v>63.262</v>
      </c>
      <c r="BG110" s="6">
        <f t="shared" si="277"/>
        <v>313.262</v>
      </c>
      <c r="BH110" s="6"/>
    </row>
    <row r="111" spans="1:89" ht="12.75" customHeight="1">
      <c r="A111" s="3"/>
      <c r="B111" s="18" t="s">
        <v>12</v>
      </c>
      <c r="C111" s="18" t="s">
        <v>12</v>
      </c>
      <c r="D111" s="463" t="s">
        <v>1325</v>
      </c>
      <c r="E111" s="4">
        <v>0</v>
      </c>
      <c r="F111" s="4" t="s">
        <v>938</v>
      </c>
      <c r="G111" s="3" t="str">
        <f t="shared" si="201"/>
        <v>100-63-632</v>
      </c>
      <c r="H111" s="65" t="str">
        <f t="shared" si="202"/>
        <v>100</v>
      </c>
      <c r="I111" s="66" t="str">
        <f t="shared" si="203"/>
        <v>50109</v>
      </c>
      <c r="J111" s="16" t="str">
        <f t="shared" si="204"/>
        <v>63</v>
      </c>
      <c r="K111" s="16" t="str">
        <f t="shared" si="205"/>
        <v>632</v>
      </c>
      <c r="M111" s="3">
        <f t="shared" si="265"/>
        <v>0</v>
      </c>
      <c r="N111" s="82">
        <v>19000</v>
      </c>
      <c r="O111" s="68">
        <f t="shared" si="239"/>
        <v>19000</v>
      </c>
      <c r="S111" s="6"/>
      <c r="T111" s="6"/>
      <c r="U111" s="6"/>
      <c r="V111" s="6"/>
      <c r="W111" s="6">
        <f t="shared" si="208"/>
        <v>0</v>
      </c>
      <c r="X111" s="6"/>
      <c r="Y111" s="6"/>
      <c r="Z111" s="6">
        <f>IF(OR($S111&lt;&gt;0,$I111="50112",$I111="50109"),0,VLOOKUP($K111,Scenarios!$A$17:$F$73,4,FALSE))</f>
        <v>0</v>
      </c>
      <c r="AA111" s="6">
        <f t="shared" si="209"/>
        <v>0</v>
      </c>
      <c r="AB111" s="6"/>
      <c r="AC111" s="6">
        <f t="shared" si="210"/>
        <v>0</v>
      </c>
      <c r="AD111" s="6">
        <f t="shared" si="186"/>
        <v>19000</v>
      </c>
      <c r="AE111" s="84">
        <f t="shared" si="264"/>
        <v>0</v>
      </c>
      <c r="AF111" s="6"/>
      <c r="AG111" s="6"/>
      <c r="AH111" s="6"/>
      <c r="AI111" s="6">
        <v>0</v>
      </c>
      <c r="AK111" s="6">
        <f t="shared" si="266"/>
        <v>0</v>
      </c>
      <c r="AL111" s="94"/>
      <c r="AM111" s="6"/>
      <c r="AN111" s="94"/>
      <c r="AO111" s="94">
        <f t="shared" si="267"/>
        <v>0</v>
      </c>
      <c r="AP111" s="94">
        <f t="shared" si="268"/>
        <v>19000</v>
      </c>
      <c r="AQ111" s="10">
        <f>IF(OR($I111="50101", $I111="50102", $I111="50109", $I111="50140"),AP111*Scenarios!$H$8,0)</f>
        <v>3218.6</v>
      </c>
      <c r="AR111" s="9">
        <f>VLOOKUP($D111,WKCMP!$A$1:$C$15,3,FALSE)*AP111</f>
        <v>218.33280000000002</v>
      </c>
      <c r="AS111" s="10">
        <f t="shared" si="269"/>
        <v>275.5</v>
      </c>
      <c r="AT111" s="11">
        <f t="shared" si="270"/>
        <v>1178</v>
      </c>
      <c r="AU111" s="10">
        <f t="shared" si="271"/>
        <v>1460</v>
      </c>
      <c r="AV111" s="6">
        <f t="shared" si="272"/>
        <v>34.199999999999996</v>
      </c>
      <c r="AW111" s="19">
        <f t="shared" si="273"/>
        <v>0</v>
      </c>
      <c r="AX111" s="19">
        <f>IF(AND($A111="v",$E111=1),AX$1,IF(OR($A111=0,$E111&lt;&gt;1),0,SUMIFS(#REF!,#REF!,'Prop Budget Calc'!AX$4,#REF!,'Prop Budget Calc'!$A120)*(1+AX$2)*AX$3))</f>
        <v>0</v>
      </c>
      <c r="AY111" s="19">
        <f>IF(AND($A111="v",$E111=1),AY$1,IF(OR($A111=0,$E111&lt;&gt;1),0,SUMIFS(#REF!,#REF!,'Prop Budget Calc'!AY$4,#REF!,'Prop Budget Calc'!$A120)*(1+AY$2)*AY$3))</f>
        <v>0</v>
      </c>
      <c r="AZ111" s="88">
        <f t="shared" si="274"/>
        <v>34.199999999999996</v>
      </c>
      <c r="BC111" s="56">
        <f t="shared" si="232"/>
        <v>0</v>
      </c>
      <c r="BE111" s="6">
        <f t="shared" si="275"/>
        <v>34.199999999999996</v>
      </c>
      <c r="BF111" s="6">
        <f t="shared" si="276"/>
        <v>4931.1327999999994</v>
      </c>
      <c r="BG111" s="6">
        <f t="shared" si="277"/>
        <v>23931.132799999999</v>
      </c>
      <c r="BH111" s="6"/>
    </row>
    <row r="112" spans="1:89" ht="12.75" customHeight="1">
      <c r="A112" s="3"/>
      <c r="B112" s="18" t="s">
        <v>12</v>
      </c>
      <c r="C112" s="18" t="s">
        <v>12</v>
      </c>
      <c r="D112" s="463" t="s">
        <v>1325</v>
      </c>
      <c r="E112" s="4">
        <v>0</v>
      </c>
      <c r="F112" s="4" t="s">
        <v>939</v>
      </c>
      <c r="G112" s="3" t="str">
        <f t="shared" si="201"/>
        <v>100-63-633</v>
      </c>
      <c r="H112" s="65" t="str">
        <f t="shared" si="202"/>
        <v>100</v>
      </c>
      <c r="I112" s="66" t="str">
        <f t="shared" si="203"/>
        <v>50109</v>
      </c>
      <c r="J112" s="16" t="str">
        <f t="shared" si="204"/>
        <v>63</v>
      </c>
      <c r="K112" s="16" t="str">
        <f t="shared" si="205"/>
        <v>633</v>
      </c>
      <c r="M112" s="3">
        <f t="shared" si="265"/>
        <v>0</v>
      </c>
      <c r="N112" s="82">
        <v>0</v>
      </c>
      <c r="O112" s="68">
        <f t="shared" si="239"/>
        <v>0</v>
      </c>
      <c r="S112" s="6"/>
      <c r="T112" s="6"/>
      <c r="U112" s="6">
        <f>O112*AVERAGEIF($G$4:$G$73,G112,$AE$4:$AE$73)</f>
        <v>0</v>
      </c>
      <c r="V112" s="6"/>
      <c r="W112" s="6">
        <f t="shared" si="208"/>
        <v>0</v>
      </c>
      <c r="X112" s="6"/>
      <c r="Y112" s="6"/>
      <c r="Z112" s="6">
        <f>IF(OR($S112&lt;&gt;0,$I112="50112",$I112="50109"),0,VLOOKUP($K112,Scenarios!$A$17:$F$73,4,FALSE))</f>
        <v>0</v>
      </c>
      <c r="AA112" s="6">
        <f t="shared" si="209"/>
        <v>0</v>
      </c>
      <c r="AB112" s="6"/>
      <c r="AC112" s="6">
        <f t="shared" si="210"/>
        <v>0</v>
      </c>
      <c r="AD112" s="6">
        <f t="shared" si="186"/>
        <v>0</v>
      </c>
      <c r="AE112" s="84"/>
      <c r="AF112" s="6"/>
      <c r="AG112" s="6"/>
      <c r="AH112" s="6"/>
      <c r="AI112" s="6">
        <v>0</v>
      </c>
      <c r="AK112" s="6">
        <f t="shared" si="266"/>
        <v>0</v>
      </c>
      <c r="AL112" s="94"/>
      <c r="AM112" s="6"/>
      <c r="AN112" s="94"/>
      <c r="AO112" s="94">
        <f t="shared" si="267"/>
        <v>0</v>
      </c>
      <c r="AP112" s="94">
        <f t="shared" si="268"/>
        <v>0</v>
      </c>
      <c r="AQ112" s="10">
        <f>IF(OR($I112="50101", $I112="50102", $I112="50109", $I112="50140"),AP112*Scenarios!$H$8,0)</f>
        <v>0</v>
      </c>
      <c r="AR112" s="9">
        <f>VLOOKUP($D112,WKCMP!$A$1:$C$15,3,FALSE)*AP112</f>
        <v>0</v>
      </c>
      <c r="AS112" s="10">
        <f t="shared" si="269"/>
        <v>0</v>
      </c>
      <c r="AT112" s="11">
        <f t="shared" si="270"/>
        <v>0</v>
      </c>
      <c r="AU112" s="10">
        <f t="shared" si="271"/>
        <v>0</v>
      </c>
      <c r="AV112" s="6">
        <f t="shared" si="272"/>
        <v>0</v>
      </c>
      <c r="AW112" s="19">
        <f t="shared" si="273"/>
        <v>0</v>
      </c>
      <c r="AX112" s="19">
        <f>IF(AND($A112="v",$E112=1),AX$1,IF(OR($A112=0,$E112&lt;&gt;1),0,SUMIFS(#REF!,#REF!,'Prop Budget Calc'!AX$4,#REF!,'Prop Budget Calc'!$A123)*(1+AX$2)*AX$3))</f>
        <v>0</v>
      </c>
      <c r="AY112" s="19">
        <f>IF(AND($A112="v",$E112=1),AY$1,IF(OR($A112=0,$E112&lt;&gt;1),0,SUMIFS(#REF!,#REF!,'Prop Budget Calc'!AY$4,#REF!,'Prop Budget Calc'!$A123)*(1+AY$2)*AY$3))</f>
        <v>0</v>
      </c>
      <c r="AZ112" s="88">
        <f t="shared" si="274"/>
        <v>0</v>
      </c>
      <c r="BC112" s="56">
        <f t="shared" si="232"/>
        <v>0</v>
      </c>
      <c r="BE112" s="6">
        <f t="shared" si="275"/>
        <v>0</v>
      </c>
      <c r="BF112" s="6">
        <f t="shared" si="276"/>
        <v>0</v>
      </c>
      <c r="BG112" s="6">
        <f t="shared" si="277"/>
        <v>0</v>
      </c>
      <c r="BH112" s="6"/>
    </row>
    <row r="113" spans="1:89" ht="12.75" customHeight="1">
      <c r="A113" s="3"/>
      <c r="B113" s="18" t="s">
        <v>12</v>
      </c>
      <c r="C113" s="18" t="s">
        <v>12</v>
      </c>
      <c r="D113" s="463" t="s">
        <v>1325</v>
      </c>
      <c r="E113" s="4">
        <v>0</v>
      </c>
      <c r="F113" s="4" t="s">
        <v>940</v>
      </c>
      <c r="G113" s="3" t="str">
        <f t="shared" si="201"/>
        <v>100-63-634</v>
      </c>
      <c r="H113" s="65" t="str">
        <f t="shared" si="202"/>
        <v>100</v>
      </c>
      <c r="I113" s="66" t="str">
        <f t="shared" si="203"/>
        <v>50109</v>
      </c>
      <c r="J113" s="16" t="str">
        <f t="shared" si="204"/>
        <v>63</v>
      </c>
      <c r="K113" s="16" t="str">
        <f t="shared" si="205"/>
        <v>634</v>
      </c>
      <c r="M113" s="3">
        <f t="shared" si="265"/>
        <v>0</v>
      </c>
      <c r="N113" s="82">
        <v>500</v>
      </c>
      <c r="O113" s="68">
        <f t="shared" si="239"/>
        <v>500</v>
      </c>
      <c r="S113" s="6"/>
      <c r="T113" s="6"/>
      <c r="U113" s="6"/>
      <c r="V113" s="6"/>
      <c r="W113" s="6">
        <f t="shared" si="208"/>
        <v>0</v>
      </c>
      <c r="X113" s="6"/>
      <c r="Y113" s="6"/>
      <c r="Z113" s="6">
        <f>IF(OR($S113&lt;&gt;0,$I113="50112",$I113="50109"),0,VLOOKUP($K113,Scenarios!$A$17:$F$73,4,FALSE))</f>
        <v>0</v>
      </c>
      <c r="AA113" s="6">
        <f t="shared" si="209"/>
        <v>0</v>
      </c>
      <c r="AB113" s="6"/>
      <c r="AC113" s="6">
        <f t="shared" si="210"/>
        <v>0</v>
      </c>
      <c r="AD113" s="6">
        <f t="shared" si="186"/>
        <v>500</v>
      </c>
      <c r="AE113" s="84">
        <f t="shared" si="264"/>
        <v>0</v>
      </c>
      <c r="AF113" s="6"/>
      <c r="AG113" s="6"/>
      <c r="AH113" s="6"/>
      <c r="AI113" s="6">
        <v>0</v>
      </c>
      <c r="AK113" s="6">
        <f t="shared" si="266"/>
        <v>0</v>
      </c>
      <c r="AL113" s="94"/>
      <c r="AM113" s="6"/>
      <c r="AN113" s="94"/>
      <c r="AO113" s="94">
        <f t="shared" si="267"/>
        <v>0</v>
      </c>
      <c r="AP113" s="94">
        <f t="shared" si="268"/>
        <v>500</v>
      </c>
      <c r="AQ113" s="10">
        <f>IF(OR($I113="50101", $I113="50102", $I113="50109", $I113="50140"),AP113*Scenarios!$H$8,0)</f>
        <v>84.7</v>
      </c>
      <c r="AR113" s="9">
        <f>VLOOKUP($D113,WKCMP!$A$1:$C$15,3,FALSE)*AP113</f>
        <v>5.7456000000000005</v>
      </c>
      <c r="AS113" s="10">
        <f t="shared" si="269"/>
        <v>7.25</v>
      </c>
      <c r="AT113" s="11">
        <f t="shared" si="270"/>
        <v>31</v>
      </c>
      <c r="AU113" s="10">
        <f t="shared" si="271"/>
        <v>40</v>
      </c>
      <c r="AV113" s="6">
        <f t="shared" si="272"/>
        <v>0.9</v>
      </c>
      <c r="AW113" s="19">
        <f t="shared" si="273"/>
        <v>0</v>
      </c>
      <c r="AX113" s="19">
        <f>IF(AND($A113="v",$E113=1),AX$1,IF(OR($A113=0,$E113&lt;&gt;1),0,SUMIFS(#REF!,#REF!,'Prop Budget Calc'!AX$4,#REF!,'Prop Budget Calc'!$A124)*(1+AX$2)*AX$3))</f>
        <v>0</v>
      </c>
      <c r="AY113" s="19">
        <f>IF(AND($A113="v",$E113=1),AY$1,IF(OR($A113=0,$E113&lt;&gt;1),0,SUMIFS(#REF!,#REF!,'Prop Budget Calc'!AY$4,#REF!,'Prop Budget Calc'!$A124)*(1+AY$2)*AY$3))</f>
        <v>0</v>
      </c>
      <c r="AZ113" s="88">
        <f t="shared" si="274"/>
        <v>0.9</v>
      </c>
      <c r="BC113" s="56">
        <f t="shared" si="232"/>
        <v>0</v>
      </c>
      <c r="BE113" s="6">
        <f t="shared" si="275"/>
        <v>0.9</v>
      </c>
      <c r="BF113" s="6">
        <f t="shared" si="276"/>
        <v>131.34559999999999</v>
      </c>
      <c r="BG113" s="6">
        <f t="shared" si="277"/>
        <v>631.34559999999999</v>
      </c>
      <c r="BH113" s="6"/>
    </row>
    <row r="114" spans="1:89" ht="12.75" customHeight="1">
      <c r="A114" s="3"/>
      <c r="B114" s="18" t="s">
        <v>12</v>
      </c>
      <c r="C114" s="18" t="s">
        <v>12</v>
      </c>
      <c r="D114" s="463" t="s">
        <v>1325</v>
      </c>
      <c r="E114" s="4">
        <v>0</v>
      </c>
      <c r="F114" s="4" t="s">
        <v>941</v>
      </c>
      <c r="G114" s="3" t="str">
        <f t="shared" si="201"/>
        <v>100-63-635</v>
      </c>
      <c r="H114" s="65" t="str">
        <f t="shared" si="202"/>
        <v>100</v>
      </c>
      <c r="I114" s="66" t="str">
        <f t="shared" si="203"/>
        <v>50109</v>
      </c>
      <c r="J114" s="16" t="str">
        <f t="shared" si="204"/>
        <v>63</v>
      </c>
      <c r="K114" s="16" t="str">
        <f t="shared" si="205"/>
        <v>635</v>
      </c>
      <c r="M114" s="3">
        <f t="shared" si="265"/>
        <v>0</v>
      </c>
      <c r="N114" s="82">
        <v>5000</v>
      </c>
      <c r="O114" s="68">
        <f t="shared" si="239"/>
        <v>5000</v>
      </c>
      <c r="S114" s="6"/>
      <c r="T114" s="6"/>
      <c r="U114" s="6"/>
      <c r="V114" s="6"/>
      <c r="W114" s="6">
        <f t="shared" si="208"/>
        <v>0</v>
      </c>
      <c r="X114" s="6"/>
      <c r="Y114" s="6"/>
      <c r="Z114" s="6">
        <f>IF(OR($S114&lt;&gt;0,$I114="50112",$I114="50109"),0,VLOOKUP($K114,Scenarios!$A$17:$F$73,4,FALSE))</f>
        <v>0</v>
      </c>
      <c r="AA114" s="6">
        <f t="shared" si="209"/>
        <v>0</v>
      </c>
      <c r="AB114" s="6"/>
      <c r="AC114" s="6">
        <f t="shared" si="210"/>
        <v>0</v>
      </c>
      <c r="AD114" s="6">
        <f t="shared" si="186"/>
        <v>5000</v>
      </c>
      <c r="AE114" s="84">
        <f t="shared" si="264"/>
        <v>0</v>
      </c>
      <c r="AF114" s="6"/>
      <c r="AG114" s="6"/>
      <c r="AH114" s="6"/>
      <c r="AI114" s="6">
        <v>0</v>
      </c>
      <c r="AK114" s="6">
        <f t="shared" si="266"/>
        <v>0</v>
      </c>
      <c r="AL114" s="94"/>
      <c r="AM114" s="6"/>
      <c r="AN114" s="94"/>
      <c r="AO114" s="94">
        <f t="shared" si="267"/>
        <v>0</v>
      </c>
      <c r="AP114" s="94">
        <f t="shared" si="268"/>
        <v>5000</v>
      </c>
      <c r="AQ114" s="10">
        <f>IF(OR($I114="50101", $I114="50102", $I114="50109", $I114="50140"),AP114*Scenarios!$H$8,0)</f>
        <v>847</v>
      </c>
      <c r="AR114" s="9">
        <f>VLOOKUP($D114,WKCMP!$A$1:$C$15,3,FALSE)*AP114</f>
        <v>57.45600000000001</v>
      </c>
      <c r="AS114" s="10">
        <f t="shared" si="269"/>
        <v>72.5</v>
      </c>
      <c r="AT114" s="11">
        <f t="shared" si="270"/>
        <v>310</v>
      </c>
      <c r="AU114" s="10">
        <f t="shared" si="271"/>
        <v>390</v>
      </c>
      <c r="AV114" s="6">
        <f t="shared" si="272"/>
        <v>9</v>
      </c>
      <c r="AW114" s="19">
        <f t="shared" si="273"/>
        <v>0</v>
      </c>
      <c r="AX114" s="19">
        <f>IF(AND($A114="v",$E114=1),AX$1,IF(OR($A114=0,$E114&lt;&gt;1),0,SUMIFS(#REF!,#REF!,'Prop Budget Calc'!AX$4,#REF!,'Prop Budget Calc'!$A125)*(1+AX$2)*AX$3))</f>
        <v>0</v>
      </c>
      <c r="AY114" s="19">
        <f>IF(AND($A114="v",$E114=1),AY$1,IF(OR($A114=0,$E114&lt;&gt;1),0,SUMIFS(#REF!,#REF!,'Prop Budget Calc'!AY$4,#REF!,'Prop Budget Calc'!$A125)*(1+AY$2)*AY$3))</f>
        <v>0</v>
      </c>
      <c r="AZ114" s="88">
        <f t="shared" si="274"/>
        <v>9</v>
      </c>
      <c r="BC114" s="56">
        <f t="shared" si="232"/>
        <v>0</v>
      </c>
      <c r="BE114" s="6">
        <f t="shared" si="275"/>
        <v>9</v>
      </c>
      <c r="BF114" s="6">
        <f t="shared" si="276"/>
        <v>1303.4560000000001</v>
      </c>
      <c r="BG114" s="6">
        <f t="shared" si="277"/>
        <v>6303.4560000000001</v>
      </c>
      <c r="BH114" s="6"/>
    </row>
    <row r="115" spans="1:89" ht="12.75" customHeight="1">
      <c r="B115" s="18" t="s">
        <v>12</v>
      </c>
      <c r="C115" s="18" t="s">
        <v>12</v>
      </c>
      <c r="D115" s="463" t="s">
        <v>1230</v>
      </c>
      <c r="E115" s="4">
        <v>0</v>
      </c>
      <c r="F115" s="4" t="s">
        <v>1120</v>
      </c>
      <c r="G115" s="3" t="str">
        <f t="shared" ref="G115" si="278">LEFT(F115,10)</f>
        <v>115-30-301</v>
      </c>
      <c r="H115" s="65" t="str">
        <f t="shared" ref="H115" si="279">LEFT(F115,3)</f>
        <v>115</v>
      </c>
      <c r="I115" s="66" t="str">
        <f t="shared" ref="I115" si="280">MID(F115,12,5)</f>
        <v>50109</v>
      </c>
      <c r="J115" s="16" t="str">
        <f t="shared" ref="J115" si="281">MID(F115,5,2)</f>
        <v>30</v>
      </c>
      <c r="K115" s="16" t="str">
        <f t="shared" ref="K115" si="282">MID(F115,8,3)</f>
        <v>301</v>
      </c>
      <c r="M115" s="3">
        <f t="shared" ref="M115" si="283">IF(F115="100-50102-350-40",2912*E115,2080*E115)</f>
        <v>0</v>
      </c>
      <c r="N115" s="82">
        <v>0</v>
      </c>
      <c r="O115" s="68">
        <f t="shared" ref="O115" si="284">N115</f>
        <v>0</v>
      </c>
      <c r="S115" s="6"/>
      <c r="T115" s="6"/>
      <c r="U115" s="6"/>
      <c r="V115" s="6"/>
      <c r="W115" s="6">
        <f t="shared" si="208"/>
        <v>0</v>
      </c>
      <c r="X115" s="6"/>
      <c r="Y115" s="6"/>
      <c r="Z115" s="6">
        <f>IF(OR($S115&lt;&gt;0,$I115="50112",$I115="50109"),0,VLOOKUP($K115,Scenarios!$A$17:$F$73,4,FALSE))</f>
        <v>0</v>
      </c>
      <c r="AA115" s="6">
        <f t="shared" si="209"/>
        <v>0</v>
      </c>
      <c r="AB115" s="6"/>
      <c r="AC115" s="6">
        <f t="shared" si="210"/>
        <v>0</v>
      </c>
      <c r="AD115" s="6">
        <f t="shared" si="186"/>
        <v>0</v>
      </c>
      <c r="AE115" s="84"/>
      <c r="AF115" s="6"/>
      <c r="AG115" s="6"/>
      <c r="AH115" s="6"/>
      <c r="AI115" s="6">
        <v>0</v>
      </c>
      <c r="AK115" s="6">
        <f t="shared" ref="AK115" si="285">AI115+AJ115</f>
        <v>0</v>
      </c>
      <c r="AL115" s="94"/>
      <c r="AM115" s="6"/>
      <c r="AN115" s="94"/>
      <c r="AO115" s="94">
        <f t="shared" ref="AO115" si="286">AM115+AN115</f>
        <v>0</v>
      </c>
      <c r="AP115" s="94">
        <f t="shared" ref="AP115" si="287">AD115+AG115+AK115+AL115+AO115</f>
        <v>0</v>
      </c>
      <c r="AQ115" s="10">
        <f>IF(OR($I115="50101", $I115="50102", $I115="50109", $I115="50140"),AP115*Scenarios!$H$8,0)</f>
        <v>0</v>
      </c>
      <c r="AR115" s="9">
        <f>VLOOKUP($D115,WKCMP!$A$1:$C$15,3,FALSE)*AP115</f>
        <v>0</v>
      </c>
      <c r="AS115" s="10">
        <f t="shared" ref="AS115" si="288">AP115*$AS$2</f>
        <v>0</v>
      </c>
      <c r="AT115" s="11">
        <f t="shared" si="270"/>
        <v>0</v>
      </c>
      <c r="AU115" s="10">
        <f t="shared" ref="AU115" si="289">ROUNDUP((AS115+AT115), -1)</f>
        <v>0</v>
      </c>
      <c r="AV115" s="6">
        <f t="shared" ref="AV115" si="290">AD115*$AV$2</f>
        <v>0</v>
      </c>
      <c r="AW115" s="19">
        <f t="shared" si="273"/>
        <v>0</v>
      </c>
      <c r="AX115" s="19">
        <f>IF(AND($A115="v",$E115=1),AX$1,IF(OR($A115=0,$E115&lt;&gt;1),0,SUMIFS(#REF!,#REF!,'Prop Budget Calc'!AX$4,#REF!,'Prop Budget Calc'!$A109)*(1+AX$2)*AX$3))</f>
        <v>0</v>
      </c>
      <c r="AY115" s="19">
        <f>IF(AND($A115="v",$E115=1),AY$1,IF(OR($A115=0,$E115&lt;&gt;1),0,SUMIFS(#REF!,#REF!,'Prop Budget Calc'!AY$4,#REF!,'Prop Budget Calc'!$A109)*(1+AY$2)*AY$3))</f>
        <v>0</v>
      </c>
      <c r="AZ115" s="88">
        <f t="shared" ref="AZ115" si="291">AV115+AW115+AX115+AY115</f>
        <v>0</v>
      </c>
      <c r="BC115" s="56">
        <f t="shared" si="232"/>
        <v>0</v>
      </c>
      <c r="BE115" s="6">
        <f t="shared" si="275"/>
        <v>0</v>
      </c>
      <c r="BF115" s="6">
        <f t="shared" si="276"/>
        <v>0</v>
      </c>
      <c r="BG115" s="6">
        <f t="shared" si="277"/>
        <v>0</v>
      </c>
      <c r="BH115" s="6"/>
    </row>
    <row r="116" spans="1:89" ht="12.75" customHeight="1">
      <c r="B116" s="18" t="s">
        <v>12</v>
      </c>
      <c r="C116" s="18" t="s">
        <v>12</v>
      </c>
      <c r="D116" s="463" t="s">
        <v>1230</v>
      </c>
      <c r="E116" s="4">
        <v>0</v>
      </c>
      <c r="F116" s="4" t="s">
        <v>942</v>
      </c>
      <c r="G116" s="3" t="str">
        <f t="shared" si="201"/>
        <v>119-18-181</v>
      </c>
      <c r="H116" s="65" t="str">
        <f t="shared" si="202"/>
        <v>119</v>
      </c>
      <c r="I116" s="66" t="str">
        <f t="shared" si="203"/>
        <v>50109</v>
      </c>
      <c r="J116" s="16" t="str">
        <f t="shared" si="204"/>
        <v>18</v>
      </c>
      <c r="K116" s="16" t="str">
        <f t="shared" si="205"/>
        <v>181</v>
      </c>
      <c r="M116" s="3">
        <f t="shared" si="265"/>
        <v>0</v>
      </c>
      <c r="N116" s="82">
        <v>3000</v>
      </c>
      <c r="O116" s="68">
        <f t="shared" si="239"/>
        <v>3000</v>
      </c>
      <c r="S116" s="6"/>
      <c r="T116" s="6"/>
      <c r="U116" s="6"/>
      <c r="V116" s="6"/>
      <c r="W116" s="6">
        <f t="shared" si="208"/>
        <v>0</v>
      </c>
      <c r="X116" s="6"/>
      <c r="Y116" s="6"/>
      <c r="Z116" s="6">
        <f>IF(OR($S116&lt;&gt;0,$I116="50112",$I116="50109"),0,VLOOKUP($K116,Scenarios!$A$17:$F$73,4,FALSE))</f>
        <v>0</v>
      </c>
      <c r="AA116" s="6">
        <f t="shared" si="209"/>
        <v>0</v>
      </c>
      <c r="AB116" s="6"/>
      <c r="AC116" s="6">
        <f t="shared" si="210"/>
        <v>0</v>
      </c>
      <c r="AD116" s="6">
        <f t="shared" ref="AD116:AD128" si="292">ROUNDUP(AA116+S116+AB116+T116+W116+O116,0)</f>
        <v>3000</v>
      </c>
      <c r="AE116" s="84">
        <f t="shared" si="264"/>
        <v>0</v>
      </c>
      <c r="AF116" s="6"/>
      <c r="AG116" s="6"/>
      <c r="AH116" s="6"/>
      <c r="AI116" s="6">
        <v>0</v>
      </c>
      <c r="AK116" s="6">
        <f t="shared" si="266"/>
        <v>0</v>
      </c>
      <c r="AL116" s="94"/>
      <c r="AM116" s="6"/>
      <c r="AN116" s="94"/>
      <c r="AO116" s="94">
        <f t="shared" si="267"/>
        <v>0</v>
      </c>
      <c r="AP116" s="94">
        <f t="shared" si="268"/>
        <v>3000</v>
      </c>
      <c r="AQ116" s="10">
        <f>IF(OR($I116="50101", $I116="50102", $I116="50109", $I116="50140"),AP116*Scenarios!$H$8,0)</f>
        <v>508.2</v>
      </c>
      <c r="AR116" s="9">
        <f>VLOOKUP($D116,WKCMP!$A$1:$C$15,3,FALSE)*AP116</f>
        <v>4.1328000000000014</v>
      </c>
      <c r="AS116" s="10">
        <f t="shared" si="269"/>
        <v>43.5</v>
      </c>
      <c r="AT116" s="11">
        <f t="shared" si="270"/>
        <v>186</v>
      </c>
      <c r="AU116" s="10">
        <f t="shared" si="271"/>
        <v>230</v>
      </c>
      <c r="AV116" s="6">
        <f t="shared" si="272"/>
        <v>5.3999999999999995</v>
      </c>
      <c r="AW116" s="19">
        <f t="shared" si="273"/>
        <v>0</v>
      </c>
      <c r="AX116" s="19">
        <f>IF(AND($A116="v",$E116=1),AX$1,IF(OR($A116=0,$E116&lt;&gt;1),0,SUMIFS(#REF!,#REF!,'Prop Budget Calc'!AX$4,#REF!,'Prop Budget Calc'!$A110)*(1+AX$2)*AX$3))</f>
        <v>0</v>
      </c>
      <c r="AY116" s="19">
        <f>IF(AND($A116="v",$E116=1),AY$1,IF(OR($A116=0,$E116&lt;&gt;1),0,SUMIFS(#REF!,#REF!,'Prop Budget Calc'!AY$4,#REF!,'Prop Budget Calc'!$A110)*(1+AY$2)*AY$3))</f>
        <v>0</v>
      </c>
      <c r="AZ116" s="88">
        <f t="shared" si="274"/>
        <v>5.3999999999999995</v>
      </c>
      <c r="BC116" s="56">
        <f t="shared" si="232"/>
        <v>0</v>
      </c>
      <c r="BE116" s="6">
        <f t="shared" si="275"/>
        <v>5.3999999999999995</v>
      </c>
      <c r="BF116" s="6">
        <f t="shared" si="276"/>
        <v>747.7328</v>
      </c>
      <c r="BG116" s="6">
        <f t="shared" si="277"/>
        <v>3747.7327999999998</v>
      </c>
      <c r="BH116" s="6"/>
    </row>
    <row r="117" spans="1:89" ht="12.75" customHeight="1">
      <c r="B117" s="18" t="s">
        <v>12</v>
      </c>
      <c r="C117" s="18" t="s">
        <v>12</v>
      </c>
      <c r="D117" s="463" t="s">
        <v>1230</v>
      </c>
      <c r="E117" s="4">
        <v>0</v>
      </c>
      <c r="F117" s="4" t="s">
        <v>943</v>
      </c>
      <c r="G117" s="3" t="str">
        <f t="shared" si="201"/>
        <v>119-18-183</v>
      </c>
      <c r="H117" s="65" t="str">
        <f t="shared" si="202"/>
        <v>119</v>
      </c>
      <c r="I117" s="66" t="str">
        <f t="shared" si="203"/>
        <v>50109</v>
      </c>
      <c r="J117" s="16" t="str">
        <f t="shared" si="204"/>
        <v>18</v>
      </c>
      <c r="K117" s="16" t="str">
        <f t="shared" si="205"/>
        <v>183</v>
      </c>
      <c r="M117" s="3">
        <f t="shared" si="265"/>
        <v>0</v>
      </c>
      <c r="N117" s="82">
        <v>1500</v>
      </c>
      <c r="O117" s="68">
        <f t="shared" si="239"/>
        <v>1500</v>
      </c>
      <c r="S117" s="6"/>
      <c r="T117" s="6"/>
      <c r="U117" s="6"/>
      <c r="V117" s="6"/>
      <c r="W117" s="6">
        <f t="shared" si="208"/>
        <v>0</v>
      </c>
      <c r="X117" s="6"/>
      <c r="Y117" s="6"/>
      <c r="Z117" s="6">
        <f>IF(OR($S117&lt;&gt;0,$I117="50112",$I117="50109"),0,VLOOKUP($K117,Scenarios!$A$17:$F$73,4,FALSE))</f>
        <v>0</v>
      </c>
      <c r="AA117" s="6">
        <f t="shared" si="209"/>
        <v>0</v>
      </c>
      <c r="AB117" s="6"/>
      <c r="AC117" s="6">
        <f t="shared" si="210"/>
        <v>0</v>
      </c>
      <c r="AD117" s="6">
        <f t="shared" si="292"/>
        <v>1500</v>
      </c>
      <c r="AE117" s="84">
        <f t="shared" si="264"/>
        <v>0</v>
      </c>
      <c r="AF117" s="6"/>
      <c r="AG117" s="6"/>
      <c r="AH117" s="6"/>
      <c r="AI117" s="6">
        <v>0</v>
      </c>
      <c r="AK117" s="6">
        <f t="shared" si="266"/>
        <v>0</v>
      </c>
      <c r="AL117" s="94"/>
      <c r="AM117" s="6"/>
      <c r="AN117" s="94"/>
      <c r="AO117" s="94">
        <f t="shared" si="267"/>
        <v>0</v>
      </c>
      <c r="AP117" s="94">
        <f t="shared" si="268"/>
        <v>1500</v>
      </c>
      <c r="AQ117" s="10">
        <f>IF(OR($I117="50101", $I117="50102", $I117="50109", $I117="50140"),AP117*Scenarios!$H$8,0)</f>
        <v>254.1</v>
      </c>
      <c r="AR117" s="9">
        <f>VLOOKUP($D117,WKCMP!$A$1:$C$15,3,FALSE)*AP117</f>
        <v>2.0664000000000007</v>
      </c>
      <c r="AS117" s="10">
        <f t="shared" si="269"/>
        <v>21.75</v>
      </c>
      <c r="AT117" s="11">
        <f t="shared" si="270"/>
        <v>93</v>
      </c>
      <c r="AU117" s="10">
        <f t="shared" si="271"/>
        <v>120</v>
      </c>
      <c r="AV117" s="6">
        <f t="shared" si="272"/>
        <v>2.6999999999999997</v>
      </c>
      <c r="AW117" s="19">
        <f t="shared" si="273"/>
        <v>0</v>
      </c>
      <c r="AX117" s="19">
        <f>IF(AND($A117="v",$E117=1),AX$1,IF(OR($A117=0,$E117&lt;&gt;1),0,SUMIFS(#REF!,#REF!,'Prop Budget Calc'!AX$4,#REF!,'Prop Budget Calc'!#REF!)*(1+AX$2)*AX$3))</f>
        <v>0</v>
      </c>
      <c r="AY117" s="19">
        <f>IF(AND($A117="v",$E117=1),AY$1,IF(OR($A117=0,$E117&lt;&gt;1),0,SUMIFS(#REF!,#REF!,'Prop Budget Calc'!AY$4,#REF!,'Prop Budget Calc'!#REF!)*(1+AY$2)*AY$3))</f>
        <v>0</v>
      </c>
      <c r="AZ117" s="88">
        <f t="shared" si="274"/>
        <v>2.6999999999999997</v>
      </c>
      <c r="BC117" s="56">
        <f t="shared" si="232"/>
        <v>0</v>
      </c>
      <c r="BE117" s="6">
        <f t="shared" si="275"/>
        <v>2.6999999999999997</v>
      </c>
      <c r="BF117" s="6">
        <f t="shared" si="276"/>
        <v>378.8664</v>
      </c>
      <c r="BG117" s="6">
        <f t="shared" si="277"/>
        <v>1878.8663999999999</v>
      </c>
      <c r="BH117" s="6"/>
    </row>
    <row r="118" spans="1:89" ht="12.75" customHeight="1">
      <c r="B118" s="18" t="s">
        <v>12</v>
      </c>
      <c r="C118" s="18" t="s">
        <v>12</v>
      </c>
      <c r="D118" s="463" t="s">
        <v>1230</v>
      </c>
      <c r="E118" s="4">
        <v>0</v>
      </c>
      <c r="F118" s="4" t="s">
        <v>944</v>
      </c>
      <c r="G118" s="3" t="str">
        <f t="shared" si="201"/>
        <v>125-65-652</v>
      </c>
      <c r="H118" s="65" t="str">
        <f t="shared" si="202"/>
        <v>125</v>
      </c>
      <c r="I118" s="66" t="str">
        <f t="shared" si="203"/>
        <v>50109</v>
      </c>
      <c r="J118" s="16" t="str">
        <f t="shared" si="204"/>
        <v>65</v>
      </c>
      <c r="K118" s="16" t="str">
        <f t="shared" si="205"/>
        <v>652</v>
      </c>
      <c r="M118" s="3">
        <f t="shared" si="265"/>
        <v>0</v>
      </c>
      <c r="N118" s="82">
        <v>600</v>
      </c>
      <c r="O118" s="68">
        <f t="shared" si="239"/>
        <v>600</v>
      </c>
      <c r="S118" s="6"/>
      <c r="T118" s="6"/>
      <c r="U118" s="6"/>
      <c r="V118" s="6"/>
      <c r="W118" s="6">
        <f t="shared" si="208"/>
        <v>0</v>
      </c>
      <c r="X118" s="6"/>
      <c r="Y118" s="6"/>
      <c r="Z118" s="6">
        <f>IF(OR($S118&lt;&gt;0,$I118="50112",$I118="50109"),0,VLOOKUP($K118,Scenarios!$A$17:$F$73,4,FALSE))</f>
        <v>0</v>
      </c>
      <c r="AA118" s="6">
        <f t="shared" si="209"/>
        <v>0</v>
      </c>
      <c r="AB118" s="6"/>
      <c r="AC118" s="6">
        <f t="shared" si="210"/>
        <v>0</v>
      </c>
      <c r="AD118" s="6">
        <f t="shared" si="292"/>
        <v>600</v>
      </c>
      <c r="AE118" s="84">
        <f t="shared" si="264"/>
        <v>0</v>
      </c>
      <c r="AF118" s="6"/>
      <c r="AG118" s="6"/>
      <c r="AH118" s="6"/>
      <c r="AI118" s="6">
        <v>0</v>
      </c>
      <c r="AK118" s="6">
        <f t="shared" si="266"/>
        <v>0</v>
      </c>
      <c r="AL118" s="94"/>
      <c r="AM118" s="6"/>
      <c r="AN118" s="94"/>
      <c r="AO118" s="94">
        <f t="shared" si="267"/>
        <v>0</v>
      </c>
      <c r="AP118" s="94">
        <f t="shared" si="268"/>
        <v>600</v>
      </c>
      <c r="AQ118" s="10">
        <f>IF(OR($I118="50101", $I118="50102", $I118="50109", $I118="50140"),AP118*Scenarios!$H$8,0)</f>
        <v>101.64</v>
      </c>
      <c r="AR118" s="9">
        <f>VLOOKUP($D118,WKCMP!$A$1:$C$15,3,FALSE)*AP118</f>
        <v>0.82656000000000018</v>
      </c>
      <c r="AS118" s="10">
        <f t="shared" si="269"/>
        <v>8.7000000000000011</v>
      </c>
      <c r="AT118" s="11">
        <f t="shared" si="270"/>
        <v>37.200000000000003</v>
      </c>
      <c r="AU118" s="10">
        <f t="shared" si="271"/>
        <v>50</v>
      </c>
      <c r="AV118" s="6">
        <f t="shared" si="272"/>
        <v>1.08</v>
      </c>
      <c r="AW118" s="19">
        <f t="shared" si="273"/>
        <v>0</v>
      </c>
      <c r="AX118" s="19">
        <f>IF(AND($A118="v",$E118=1),AX$1,IF(OR($A118=0,$E118&lt;&gt;1),0,SUMIFS(#REF!,#REF!,'Prop Budget Calc'!AX$4,#REF!,'Prop Budget Calc'!#REF!)*(1+AX$2)*AX$3))</f>
        <v>0</v>
      </c>
      <c r="AY118" s="19">
        <f>IF(AND($A118="v",$E118=1),AY$1,IF(OR($A118=0,$E118&lt;&gt;1),0,SUMIFS(#REF!,#REF!,'Prop Budget Calc'!AY$4,#REF!,'Prop Budget Calc'!#REF!)*(1+AY$2)*AY$3))</f>
        <v>0</v>
      </c>
      <c r="AZ118" s="88">
        <f t="shared" si="274"/>
        <v>1.08</v>
      </c>
      <c r="BC118" s="56">
        <f t="shared" si="232"/>
        <v>0</v>
      </c>
      <c r="BE118" s="6">
        <f t="shared" si="275"/>
        <v>1.08</v>
      </c>
      <c r="BF118" s="6">
        <f t="shared" si="276"/>
        <v>153.54656</v>
      </c>
      <c r="BG118" s="6">
        <f t="shared" si="277"/>
        <v>753.54656</v>
      </c>
      <c r="BH118" s="6"/>
    </row>
    <row r="119" spans="1:89" ht="12.75" customHeight="1">
      <c r="B119" s="18" t="s">
        <v>12</v>
      </c>
      <c r="C119" s="18" t="s">
        <v>12</v>
      </c>
      <c r="D119" s="463" t="s">
        <v>1230</v>
      </c>
      <c r="E119" s="4">
        <v>0</v>
      </c>
      <c r="F119" s="4" t="s">
        <v>945</v>
      </c>
      <c r="G119" s="3" t="str">
        <f t="shared" si="201"/>
        <v>125-65-654</v>
      </c>
      <c r="H119" s="65" t="str">
        <f t="shared" si="202"/>
        <v>125</v>
      </c>
      <c r="I119" s="66" t="str">
        <f t="shared" si="203"/>
        <v>50109</v>
      </c>
      <c r="J119" s="16" t="str">
        <f t="shared" si="204"/>
        <v>65</v>
      </c>
      <c r="K119" s="16" t="str">
        <f t="shared" si="205"/>
        <v>654</v>
      </c>
      <c r="M119" s="3">
        <f t="shared" si="265"/>
        <v>0</v>
      </c>
      <c r="N119" s="82">
        <v>800</v>
      </c>
      <c r="O119" s="68">
        <f t="shared" si="239"/>
        <v>800</v>
      </c>
      <c r="S119" s="6"/>
      <c r="T119" s="6"/>
      <c r="U119" s="6"/>
      <c r="V119" s="6"/>
      <c r="W119" s="6">
        <f t="shared" si="208"/>
        <v>0</v>
      </c>
      <c r="X119" s="6"/>
      <c r="Y119" s="6"/>
      <c r="Z119" s="6">
        <f>IF(OR($S119&lt;&gt;0,$I119="50112",$I119="50109"),0,VLOOKUP($K119,Scenarios!$A$17:$F$73,4,FALSE))</f>
        <v>0</v>
      </c>
      <c r="AA119" s="6">
        <f t="shared" si="209"/>
        <v>0</v>
      </c>
      <c r="AB119" s="6"/>
      <c r="AC119" s="6">
        <f t="shared" si="210"/>
        <v>0</v>
      </c>
      <c r="AD119" s="6">
        <f t="shared" si="292"/>
        <v>800</v>
      </c>
      <c r="AE119" s="84">
        <f t="shared" si="264"/>
        <v>0</v>
      </c>
      <c r="AF119" s="6"/>
      <c r="AG119" s="6"/>
      <c r="AH119" s="6"/>
      <c r="AI119" s="6">
        <v>0</v>
      </c>
      <c r="AK119" s="6">
        <f t="shared" si="266"/>
        <v>0</v>
      </c>
      <c r="AL119" s="94"/>
      <c r="AM119" s="6"/>
      <c r="AN119" s="94"/>
      <c r="AO119" s="94">
        <f t="shared" si="267"/>
        <v>0</v>
      </c>
      <c r="AP119" s="94">
        <f t="shared" si="268"/>
        <v>800</v>
      </c>
      <c r="AQ119" s="10">
        <f>IF(OR($I119="50101", $I119="50102", $I119="50109", $I119="50140"),AP119*Scenarios!$H$8,0)</f>
        <v>135.51999999999998</v>
      </c>
      <c r="AR119" s="9">
        <f>VLOOKUP($D119,WKCMP!$A$1:$C$15,3,FALSE)*AP119</f>
        <v>1.1020800000000002</v>
      </c>
      <c r="AS119" s="10">
        <f t="shared" si="269"/>
        <v>11.600000000000001</v>
      </c>
      <c r="AT119" s="11">
        <f t="shared" si="270"/>
        <v>49.6</v>
      </c>
      <c r="AU119" s="10">
        <f t="shared" si="271"/>
        <v>70</v>
      </c>
      <c r="AV119" s="6">
        <f t="shared" si="272"/>
        <v>1.44</v>
      </c>
      <c r="AW119" s="19">
        <f t="shared" si="273"/>
        <v>0</v>
      </c>
      <c r="AX119" s="19">
        <f>IF(AND($A119="v",$E119=1),AX$1,IF(OR($A119=0,$E119&lt;&gt;1),0,SUMIFS(#REF!,#REF!,'Prop Budget Calc'!AX$4,#REF!,'Prop Budget Calc'!$A108)*(1+AX$2)*AX$3))</f>
        <v>0</v>
      </c>
      <c r="AY119" s="19">
        <f>IF(AND($A119="v",$E119=1),AY$1,IF(OR($A119=0,$E119&lt;&gt;1),0,SUMIFS(#REF!,#REF!,'Prop Budget Calc'!AY$4,#REF!,'Prop Budget Calc'!$A108)*(1+AY$2)*AY$3))</f>
        <v>0</v>
      </c>
      <c r="AZ119" s="88">
        <f t="shared" si="274"/>
        <v>1.44</v>
      </c>
      <c r="BC119" s="56">
        <f t="shared" si="232"/>
        <v>0</v>
      </c>
      <c r="BE119" s="6">
        <f t="shared" si="275"/>
        <v>1.44</v>
      </c>
      <c r="BF119" s="6">
        <f t="shared" si="276"/>
        <v>208.06207999999998</v>
      </c>
      <c r="BG119" s="6">
        <f t="shared" si="277"/>
        <v>1008.0620799999999</v>
      </c>
      <c r="BH119" s="6"/>
    </row>
    <row r="120" spans="1:89" ht="12.75" customHeight="1">
      <c r="B120" s="18" t="s">
        <v>12</v>
      </c>
      <c r="C120" s="18" t="s">
        <v>12</v>
      </c>
      <c r="D120" s="463" t="s">
        <v>1230</v>
      </c>
      <c r="E120" s="4">
        <v>0</v>
      </c>
      <c r="F120" s="4" t="s">
        <v>946</v>
      </c>
      <c r="G120" s="3" t="str">
        <f t="shared" si="201"/>
        <v>125-65-656</v>
      </c>
      <c r="H120" s="65" t="str">
        <f t="shared" si="202"/>
        <v>125</v>
      </c>
      <c r="I120" s="66" t="str">
        <f t="shared" si="203"/>
        <v>50109</v>
      </c>
      <c r="J120" s="16" t="str">
        <f t="shared" si="204"/>
        <v>65</v>
      </c>
      <c r="K120" s="16" t="str">
        <f t="shared" si="205"/>
        <v>656</v>
      </c>
      <c r="M120" s="3">
        <f t="shared" si="265"/>
        <v>0</v>
      </c>
      <c r="N120" s="82">
        <v>800</v>
      </c>
      <c r="O120" s="68">
        <f t="shared" si="239"/>
        <v>800</v>
      </c>
      <c r="S120" s="6"/>
      <c r="T120" s="6"/>
      <c r="U120" s="6"/>
      <c r="V120" s="6"/>
      <c r="W120" s="6">
        <f t="shared" si="208"/>
        <v>0</v>
      </c>
      <c r="X120" s="6"/>
      <c r="Y120" s="6"/>
      <c r="Z120" s="6">
        <f>IF(OR($S120&lt;&gt;0,$I120="50112",$I120="50109"),0,VLOOKUP($K120,Scenarios!$A$17:$F$73,4,FALSE))</f>
        <v>0</v>
      </c>
      <c r="AA120" s="6">
        <f t="shared" si="209"/>
        <v>0</v>
      </c>
      <c r="AB120" s="6"/>
      <c r="AC120" s="6">
        <f t="shared" si="210"/>
        <v>0</v>
      </c>
      <c r="AD120" s="6">
        <f t="shared" si="292"/>
        <v>800</v>
      </c>
      <c r="AE120" s="84">
        <f t="shared" si="264"/>
        <v>0</v>
      </c>
      <c r="AF120" s="6"/>
      <c r="AG120" s="6"/>
      <c r="AH120" s="6"/>
      <c r="AI120" s="6">
        <v>0</v>
      </c>
      <c r="AK120" s="6">
        <f t="shared" si="266"/>
        <v>0</v>
      </c>
      <c r="AL120" s="94"/>
      <c r="AM120" s="6"/>
      <c r="AN120" s="94"/>
      <c r="AO120" s="94">
        <f t="shared" si="267"/>
        <v>0</v>
      </c>
      <c r="AP120" s="94">
        <f t="shared" si="268"/>
        <v>800</v>
      </c>
      <c r="AQ120" s="10">
        <f>IF(OR($I120="50101", $I120="50102", $I120="50109", $I120="50140"),AP120*Scenarios!$H$8,0)</f>
        <v>135.51999999999998</v>
      </c>
      <c r="AR120" s="9">
        <f>VLOOKUP($D120,WKCMP!$A$1:$C$15,3,FALSE)*AP120</f>
        <v>1.1020800000000002</v>
      </c>
      <c r="AS120" s="10">
        <f t="shared" si="269"/>
        <v>11.600000000000001</v>
      </c>
      <c r="AT120" s="11">
        <f t="shared" si="270"/>
        <v>49.6</v>
      </c>
      <c r="AU120" s="10">
        <f t="shared" si="271"/>
        <v>70</v>
      </c>
      <c r="AV120" s="6">
        <f t="shared" si="272"/>
        <v>1.44</v>
      </c>
      <c r="AW120" s="19">
        <f t="shared" si="273"/>
        <v>0</v>
      </c>
      <c r="AX120" s="19">
        <f>IF(AND($A120="v",$E120=1),AX$1,IF(OR($A120=0,$E120&lt;&gt;1),0,SUMIFS(#REF!,#REF!,'Prop Budget Calc'!AX$4,#REF!,'Prop Budget Calc'!$A109)*(1+AX$2)*AX$3))</f>
        <v>0</v>
      </c>
      <c r="AY120" s="19">
        <f>IF(AND($A120="v",$E120=1),AY$1,IF(OR($A120=0,$E120&lt;&gt;1),0,SUMIFS(#REF!,#REF!,'Prop Budget Calc'!AY$4,#REF!,'Prop Budget Calc'!$A109)*(1+AY$2)*AY$3))</f>
        <v>0</v>
      </c>
      <c r="AZ120" s="88">
        <f t="shared" si="274"/>
        <v>1.44</v>
      </c>
      <c r="BC120" s="56">
        <f t="shared" si="232"/>
        <v>0</v>
      </c>
      <c r="BE120" s="6">
        <f t="shared" si="275"/>
        <v>1.44</v>
      </c>
      <c r="BF120" s="6">
        <f t="shared" si="276"/>
        <v>208.06207999999998</v>
      </c>
      <c r="BG120" s="6">
        <f t="shared" si="277"/>
        <v>1008.0620799999999</v>
      </c>
      <c r="BH120" s="6"/>
    </row>
    <row r="121" spans="1:89" ht="12.75" customHeight="1">
      <c r="B121" s="18" t="s">
        <v>12</v>
      </c>
      <c r="C121" s="18" t="s">
        <v>12</v>
      </c>
      <c r="D121" s="463" t="s">
        <v>1230</v>
      </c>
      <c r="E121" s="4">
        <v>0</v>
      </c>
      <c r="F121" s="4" t="s">
        <v>947</v>
      </c>
      <c r="G121" s="3" t="str">
        <f t="shared" si="201"/>
        <v>200-70-701</v>
      </c>
      <c r="H121" s="65" t="str">
        <f t="shared" si="202"/>
        <v>200</v>
      </c>
      <c r="I121" s="66" t="str">
        <f t="shared" si="203"/>
        <v>50109</v>
      </c>
      <c r="J121" s="16" t="str">
        <f t="shared" si="204"/>
        <v>70</v>
      </c>
      <c r="K121" s="16" t="str">
        <f t="shared" si="205"/>
        <v>701</v>
      </c>
      <c r="M121" s="3">
        <f t="shared" si="265"/>
        <v>0</v>
      </c>
      <c r="N121" s="82">
        <v>40000</v>
      </c>
      <c r="O121" s="68">
        <f t="shared" si="239"/>
        <v>40000</v>
      </c>
      <c r="S121" s="6"/>
      <c r="T121" s="6"/>
      <c r="U121" s="6"/>
      <c r="V121" s="6"/>
      <c r="W121" s="6">
        <f t="shared" si="208"/>
        <v>0</v>
      </c>
      <c r="X121" s="6"/>
      <c r="Y121" s="6"/>
      <c r="Z121" s="6">
        <f>IF(OR($S121&lt;&gt;0,$I121="50112",$I121="50109"),0,VLOOKUP($K121,Scenarios!$A$17:$F$73,4,FALSE))</f>
        <v>0</v>
      </c>
      <c r="AA121" s="6">
        <f t="shared" si="209"/>
        <v>0</v>
      </c>
      <c r="AB121" s="6"/>
      <c r="AC121" s="6">
        <f t="shared" si="210"/>
        <v>0</v>
      </c>
      <c r="AD121" s="6">
        <f t="shared" si="292"/>
        <v>40000</v>
      </c>
      <c r="AE121" s="84">
        <f t="shared" si="264"/>
        <v>0</v>
      </c>
      <c r="AF121" s="6"/>
      <c r="AG121" s="6"/>
      <c r="AH121" s="6"/>
      <c r="AI121" s="6">
        <v>0</v>
      </c>
      <c r="AK121" s="6">
        <f t="shared" si="266"/>
        <v>0</v>
      </c>
      <c r="AL121" s="94"/>
      <c r="AM121" s="6"/>
      <c r="AN121" s="94"/>
      <c r="AO121" s="94">
        <f t="shared" si="267"/>
        <v>0</v>
      </c>
      <c r="AP121" s="94">
        <f t="shared" si="268"/>
        <v>40000</v>
      </c>
      <c r="AQ121" s="10">
        <f>IF(OR($I121="50101", $I121="50102", $I121="50109", $I121="50140"),AP121*Scenarios!$H$8,0)</f>
        <v>6776</v>
      </c>
      <c r="AR121" s="9">
        <f>VLOOKUP($D121,WKCMP!$A$1:$C$15,3,FALSE)*AP121</f>
        <v>55.104000000000013</v>
      </c>
      <c r="AS121" s="10">
        <f t="shared" si="269"/>
        <v>580</v>
      </c>
      <c r="AT121" s="11">
        <f t="shared" si="270"/>
        <v>2480</v>
      </c>
      <c r="AU121" s="10">
        <f t="shared" si="271"/>
        <v>3060</v>
      </c>
      <c r="AV121" s="6">
        <f t="shared" si="272"/>
        <v>72</v>
      </c>
      <c r="AW121" s="19">
        <f t="shared" si="273"/>
        <v>0</v>
      </c>
      <c r="AX121" s="19">
        <f>IF(AND($A121="v",$E121=1),AX$1,IF(OR($A121=0,$E121&lt;&gt;1),0,SUMIFS(#REF!,#REF!,'Prop Budget Calc'!AX$4,#REF!,'Prop Budget Calc'!$A101)*(1+AX$2)*AX$3))</f>
        <v>0</v>
      </c>
      <c r="AY121" s="19">
        <f>IF(AND($A121="v",$E121=1),AY$1,IF(OR($A121=0,$E121&lt;&gt;1),0,SUMIFS(#REF!,#REF!,'Prop Budget Calc'!AY$4,#REF!,'Prop Budget Calc'!$A101)*(1+AY$2)*AY$3))</f>
        <v>0</v>
      </c>
      <c r="AZ121" s="88">
        <f t="shared" si="274"/>
        <v>72</v>
      </c>
      <c r="BC121" s="56">
        <f t="shared" si="232"/>
        <v>0</v>
      </c>
      <c r="BE121" s="6">
        <f t="shared" si="275"/>
        <v>72</v>
      </c>
      <c r="BF121" s="6">
        <f t="shared" si="276"/>
        <v>9963.1039999999994</v>
      </c>
      <c r="BG121" s="6">
        <f t="shared" si="277"/>
        <v>49963.103999999999</v>
      </c>
      <c r="BH121" s="6"/>
    </row>
    <row r="122" spans="1:89" ht="12.75" customHeight="1">
      <c r="B122" s="18" t="s">
        <v>12</v>
      </c>
      <c r="C122" s="18" t="s">
        <v>12</v>
      </c>
      <c r="D122" s="463" t="s">
        <v>1230</v>
      </c>
      <c r="E122" s="4">
        <v>0</v>
      </c>
      <c r="F122" s="4" t="s">
        <v>948</v>
      </c>
      <c r="G122" s="3" t="str">
        <f t="shared" si="201"/>
        <v>200-71-711</v>
      </c>
      <c r="H122" s="65" t="str">
        <f t="shared" si="202"/>
        <v>200</v>
      </c>
      <c r="I122" s="66" t="str">
        <f t="shared" si="203"/>
        <v>50109</v>
      </c>
      <c r="J122" s="16" t="str">
        <f t="shared" si="204"/>
        <v>71</v>
      </c>
      <c r="K122" s="16" t="str">
        <f t="shared" si="205"/>
        <v>711</v>
      </c>
      <c r="M122" s="3">
        <f t="shared" si="265"/>
        <v>0</v>
      </c>
      <c r="N122" s="82">
        <v>1000</v>
      </c>
      <c r="O122" s="68">
        <f t="shared" si="239"/>
        <v>1000</v>
      </c>
      <c r="S122" s="6"/>
      <c r="T122" s="6"/>
      <c r="U122" s="6"/>
      <c r="V122" s="6"/>
      <c r="W122" s="6">
        <f t="shared" si="208"/>
        <v>0</v>
      </c>
      <c r="X122" s="6"/>
      <c r="Y122" s="6"/>
      <c r="Z122" s="6">
        <f>IF(OR($S122&lt;&gt;0,$I122="50112",$I122="50109"),0,VLOOKUP($K122,Scenarios!$A$17:$F$73,4,FALSE))</f>
        <v>0</v>
      </c>
      <c r="AA122" s="6">
        <f t="shared" si="209"/>
        <v>0</v>
      </c>
      <c r="AB122" s="6"/>
      <c r="AC122" s="6">
        <f t="shared" si="210"/>
        <v>0</v>
      </c>
      <c r="AD122" s="6">
        <f t="shared" si="292"/>
        <v>1000</v>
      </c>
      <c r="AE122" s="84">
        <f t="shared" si="264"/>
        <v>0</v>
      </c>
      <c r="AF122" s="6"/>
      <c r="AG122" s="6"/>
      <c r="AH122" s="6"/>
      <c r="AI122" s="6">
        <v>0</v>
      </c>
      <c r="AK122" s="6">
        <f t="shared" si="266"/>
        <v>0</v>
      </c>
      <c r="AL122" s="94"/>
      <c r="AM122" s="6"/>
      <c r="AN122" s="94"/>
      <c r="AO122" s="94">
        <f t="shared" si="267"/>
        <v>0</v>
      </c>
      <c r="AP122" s="94">
        <f t="shared" si="268"/>
        <v>1000</v>
      </c>
      <c r="AQ122" s="10">
        <f>IF(OR($I122="50101", $I122="50102", $I122="50109", $I122="50140"),AP122*Scenarios!$H$8,0)</f>
        <v>169.4</v>
      </c>
      <c r="AR122" s="9">
        <f>VLOOKUP($D122,WKCMP!$A$1:$C$15,3,FALSE)*AP122</f>
        <v>1.3776000000000004</v>
      </c>
      <c r="AS122" s="10">
        <f t="shared" si="269"/>
        <v>14.5</v>
      </c>
      <c r="AT122" s="11">
        <f t="shared" si="270"/>
        <v>62</v>
      </c>
      <c r="AU122" s="10">
        <f t="shared" si="271"/>
        <v>80</v>
      </c>
      <c r="AV122" s="6">
        <f t="shared" si="272"/>
        <v>1.8</v>
      </c>
      <c r="AW122" s="19">
        <f t="shared" si="273"/>
        <v>0</v>
      </c>
      <c r="AX122" s="19">
        <f>IF(AND($A122="v",$E122=1),AX$1,IF(OR($A122=0,$E122&lt;&gt;1),0,SUMIFS(#REF!,#REF!,'Prop Budget Calc'!AX$4,#REF!,'Prop Budget Calc'!#REF!)*(1+AX$2)*AX$3))</f>
        <v>0</v>
      </c>
      <c r="AY122" s="19">
        <f>IF(AND($A122="v",$E122=1),AY$1,IF(OR($A122=0,$E122&lt;&gt;1),0,SUMIFS(#REF!,#REF!,'Prop Budget Calc'!AY$4,#REF!,'Prop Budget Calc'!#REF!)*(1+AY$2)*AY$3))</f>
        <v>0</v>
      </c>
      <c r="AZ122" s="88">
        <f t="shared" si="274"/>
        <v>1.8</v>
      </c>
      <c r="BC122" s="56">
        <f t="shared" si="232"/>
        <v>0</v>
      </c>
      <c r="BE122" s="6">
        <f t="shared" si="275"/>
        <v>1.8</v>
      </c>
      <c r="BF122" s="6">
        <f t="shared" si="276"/>
        <v>252.57760000000002</v>
      </c>
      <c r="BG122" s="6">
        <f t="shared" si="277"/>
        <v>1252.5776000000001</v>
      </c>
      <c r="BH122" s="6"/>
    </row>
    <row r="123" spans="1:89" ht="12.75" customHeight="1">
      <c r="B123" s="18" t="s">
        <v>12</v>
      </c>
      <c r="C123" s="18" t="s">
        <v>12</v>
      </c>
      <c r="D123" s="463" t="s">
        <v>1290</v>
      </c>
      <c r="E123" s="4">
        <v>0</v>
      </c>
      <c r="F123" s="4" t="s">
        <v>949</v>
      </c>
      <c r="G123" s="3" t="str">
        <f t="shared" si="201"/>
        <v>200-71-712</v>
      </c>
      <c r="H123" s="65" t="str">
        <f t="shared" si="202"/>
        <v>200</v>
      </c>
      <c r="I123" s="66" t="str">
        <f t="shared" si="203"/>
        <v>50109</v>
      </c>
      <c r="J123" s="16" t="str">
        <f t="shared" si="204"/>
        <v>71</v>
      </c>
      <c r="K123" s="16" t="str">
        <f t="shared" si="205"/>
        <v>712</v>
      </c>
      <c r="M123" s="3">
        <f t="shared" si="265"/>
        <v>0</v>
      </c>
      <c r="N123" s="82">
        <v>2000</v>
      </c>
      <c r="O123" s="68">
        <f t="shared" si="239"/>
        <v>2000</v>
      </c>
      <c r="S123" s="6"/>
      <c r="T123" s="6"/>
      <c r="U123" s="6"/>
      <c r="V123" s="6"/>
      <c r="W123" s="6">
        <f t="shared" si="208"/>
        <v>0</v>
      </c>
      <c r="X123" s="6"/>
      <c r="Y123" s="6"/>
      <c r="Z123" s="6">
        <f>IF(OR($S123&lt;&gt;0,$I123="50112",$I123="50109"),0,VLOOKUP($K123,Scenarios!$A$17:$F$73,4,FALSE))</f>
        <v>0</v>
      </c>
      <c r="AA123" s="6">
        <f t="shared" si="209"/>
        <v>0</v>
      </c>
      <c r="AB123" s="6"/>
      <c r="AC123" s="6">
        <f t="shared" si="210"/>
        <v>0</v>
      </c>
      <c r="AD123" s="6">
        <f t="shared" si="292"/>
        <v>2000</v>
      </c>
      <c r="AE123" s="84">
        <f t="shared" si="264"/>
        <v>0</v>
      </c>
      <c r="AF123" s="6"/>
      <c r="AG123" s="6"/>
      <c r="AH123" s="6"/>
      <c r="AI123" s="6">
        <v>0</v>
      </c>
      <c r="AK123" s="6">
        <f t="shared" si="266"/>
        <v>0</v>
      </c>
      <c r="AL123" s="94"/>
      <c r="AM123" s="6"/>
      <c r="AN123" s="94"/>
      <c r="AO123" s="94">
        <f t="shared" si="267"/>
        <v>0</v>
      </c>
      <c r="AP123" s="94">
        <f t="shared" si="268"/>
        <v>2000</v>
      </c>
      <c r="AQ123" s="10">
        <f>IF(OR($I123="50101", $I123="50102", $I123="50109", $I123="50140"),AP123*Scenarios!$H$8,0)</f>
        <v>338.8</v>
      </c>
      <c r="AR123" s="9">
        <f>VLOOKUP($D123,WKCMP!$A$1:$C$15,3,FALSE)*AP123</f>
        <v>30.24</v>
      </c>
      <c r="AS123" s="10">
        <f t="shared" si="269"/>
        <v>29</v>
      </c>
      <c r="AT123" s="11">
        <f t="shared" si="270"/>
        <v>124</v>
      </c>
      <c r="AU123" s="10">
        <f t="shared" si="271"/>
        <v>160</v>
      </c>
      <c r="AV123" s="6">
        <f t="shared" si="272"/>
        <v>3.6</v>
      </c>
      <c r="AW123" s="19">
        <f t="shared" si="273"/>
        <v>0</v>
      </c>
      <c r="AX123" s="19">
        <f>IF(AND($A123="v",$E123=1),AX$1,IF(OR($A123=0,$E123&lt;&gt;1),0,SUMIFS(#REF!,#REF!,'Prop Budget Calc'!AX$4,#REF!,'Prop Budget Calc'!$A105)*(1+AX$2)*AX$3))</f>
        <v>0</v>
      </c>
      <c r="AY123" s="19">
        <f>IF(AND($A123="v",$E123=1),AY$1,IF(OR($A123=0,$E123&lt;&gt;1),0,SUMIFS(#REF!,#REF!,'Prop Budget Calc'!AY$4,#REF!,'Prop Budget Calc'!$A105)*(1+AY$2)*AY$3))</f>
        <v>0</v>
      </c>
      <c r="AZ123" s="88">
        <f t="shared" si="274"/>
        <v>3.6</v>
      </c>
      <c r="BC123" s="56">
        <f t="shared" si="232"/>
        <v>0</v>
      </c>
      <c r="BE123" s="6">
        <f t="shared" si="275"/>
        <v>3.6</v>
      </c>
      <c r="BF123" s="6">
        <f t="shared" si="276"/>
        <v>532.64</v>
      </c>
      <c r="BG123" s="6">
        <f t="shared" si="277"/>
        <v>2532.64</v>
      </c>
      <c r="BH123" s="6"/>
    </row>
    <row r="124" spans="1:89" ht="12.75" customHeight="1">
      <c r="B124" s="18" t="s">
        <v>12</v>
      </c>
      <c r="C124" s="18" t="s">
        <v>12</v>
      </c>
      <c r="D124" s="463" t="s">
        <v>1290</v>
      </c>
      <c r="E124" s="4">
        <v>0</v>
      </c>
      <c r="F124" s="4" t="s">
        <v>950</v>
      </c>
      <c r="G124" s="3" t="str">
        <f t="shared" si="201"/>
        <v>200-73-734</v>
      </c>
      <c r="H124" s="65" t="str">
        <f t="shared" si="202"/>
        <v>200</v>
      </c>
      <c r="I124" s="66" t="str">
        <f t="shared" si="203"/>
        <v>50109</v>
      </c>
      <c r="J124" s="16" t="str">
        <f t="shared" si="204"/>
        <v>73</v>
      </c>
      <c r="K124" s="16" t="str">
        <f t="shared" si="205"/>
        <v>734</v>
      </c>
      <c r="M124" s="3">
        <f t="shared" si="265"/>
        <v>0</v>
      </c>
      <c r="N124" s="82">
        <v>22000</v>
      </c>
      <c r="O124" s="68">
        <f t="shared" si="239"/>
        <v>22000</v>
      </c>
      <c r="S124" s="6"/>
      <c r="T124" s="6"/>
      <c r="U124" s="6">
        <f>O124*AVERAGEIF($G$4:$G$73,G124,$AE$4:$AE$73)</f>
        <v>888.30479668708188</v>
      </c>
      <c r="V124" s="6"/>
      <c r="W124" s="6">
        <f t="shared" si="208"/>
        <v>888.30479668708188</v>
      </c>
      <c r="X124" s="6"/>
      <c r="Y124" s="6"/>
      <c r="Z124" s="6">
        <f>IF(OR($S124&lt;&gt;0,$I124="50112",$I124="50109"),0,VLOOKUP($K124,Scenarios!$A$17:$F$73,4,FALSE))</f>
        <v>0</v>
      </c>
      <c r="AA124" s="6">
        <f t="shared" si="209"/>
        <v>0</v>
      </c>
      <c r="AB124" s="6"/>
      <c r="AC124" s="6">
        <f t="shared" si="210"/>
        <v>888.30479668708188</v>
      </c>
      <c r="AD124" s="6">
        <f t="shared" si="292"/>
        <v>22889</v>
      </c>
      <c r="AE124" s="84">
        <f t="shared" si="264"/>
        <v>4.0409090909090839E-2</v>
      </c>
      <c r="AF124" s="6"/>
      <c r="AG124" s="6"/>
      <c r="AH124" s="6"/>
      <c r="AI124" s="6">
        <v>0</v>
      </c>
      <c r="AK124" s="6">
        <f t="shared" si="266"/>
        <v>0</v>
      </c>
      <c r="AL124" s="94"/>
      <c r="AM124" s="6"/>
      <c r="AN124" s="94"/>
      <c r="AO124" s="94">
        <f t="shared" si="267"/>
        <v>0</v>
      </c>
      <c r="AP124" s="94">
        <f t="shared" si="268"/>
        <v>22889</v>
      </c>
      <c r="AQ124" s="10">
        <f>IF(OR($I124="50101", $I124="50102", $I124="50109", $I124="50140"),AP124*Scenarios!$H$8,0)</f>
        <v>3877.3966</v>
      </c>
      <c r="AR124" s="9">
        <f>VLOOKUP($D124,WKCMP!$A$1:$C$15,3,FALSE)*AP124</f>
        <v>346.08168000000001</v>
      </c>
      <c r="AS124" s="10">
        <f t="shared" si="269"/>
        <v>331.89050000000003</v>
      </c>
      <c r="AT124" s="11">
        <f t="shared" si="270"/>
        <v>1419.1179999999999</v>
      </c>
      <c r="AU124" s="10">
        <f t="shared" si="271"/>
        <v>1760</v>
      </c>
      <c r="AV124" s="6">
        <f t="shared" si="272"/>
        <v>41.200200000000002</v>
      </c>
      <c r="AW124" s="19">
        <f t="shared" si="273"/>
        <v>0</v>
      </c>
      <c r="AX124" s="19">
        <f>IF(AND($A124="v",$E124=1),AX$1,IF(OR($A124=0,$E124&lt;&gt;1),0,SUMIFS(#REF!,#REF!,'Prop Budget Calc'!AX$4,#REF!,'Prop Budget Calc'!$A121)*(1+AX$2)*AX$3))</f>
        <v>0</v>
      </c>
      <c r="AY124" s="19">
        <f>IF(AND($A124="v",$E124=1),AY$1,IF(OR($A124=0,$E124&lt;&gt;1),0,SUMIFS(#REF!,#REF!,'Prop Budget Calc'!AY$4,#REF!,'Prop Budget Calc'!$A121)*(1+AY$2)*AY$3))</f>
        <v>0</v>
      </c>
      <c r="AZ124" s="88">
        <f t="shared" si="274"/>
        <v>41.200200000000002</v>
      </c>
      <c r="BC124" s="56">
        <f t="shared" si="232"/>
        <v>0</v>
      </c>
      <c r="BE124" s="6">
        <f t="shared" si="275"/>
        <v>41.200200000000002</v>
      </c>
      <c r="BF124" s="6">
        <f t="shared" si="276"/>
        <v>6024.6784800000005</v>
      </c>
      <c r="BG124" s="6">
        <f t="shared" si="277"/>
        <v>28913.678480000002</v>
      </c>
      <c r="BH124" s="6"/>
    </row>
    <row r="125" spans="1:89" ht="12.75" customHeight="1">
      <c r="B125" s="18" t="s">
        <v>12</v>
      </c>
      <c r="C125" s="18" t="s">
        <v>12</v>
      </c>
      <c r="D125" s="463" t="s">
        <v>1290</v>
      </c>
      <c r="E125" s="4">
        <v>0</v>
      </c>
      <c r="F125" s="4" t="s">
        <v>951</v>
      </c>
      <c r="G125" s="3" t="str">
        <f t="shared" si="201"/>
        <v>200-73-735</v>
      </c>
      <c r="H125" s="65" t="str">
        <f t="shared" si="202"/>
        <v>200</v>
      </c>
      <c r="I125" s="66" t="str">
        <f t="shared" si="203"/>
        <v>50109</v>
      </c>
      <c r="J125" s="16" t="str">
        <f t="shared" si="204"/>
        <v>73</v>
      </c>
      <c r="K125" s="16" t="str">
        <f t="shared" si="205"/>
        <v>735</v>
      </c>
      <c r="M125" s="3">
        <f t="shared" si="265"/>
        <v>0</v>
      </c>
      <c r="N125" s="82">
        <v>33300</v>
      </c>
      <c r="O125" s="68">
        <f t="shared" si="239"/>
        <v>33300</v>
      </c>
      <c r="S125" s="6"/>
      <c r="T125" s="6"/>
      <c r="U125" s="6">
        <f>O125*AVERAGEIF($G$4:$G$73,G125,$AE$4:$AE$73)</f>
        <v>1544.4488761115097</v>
      </c>
      <c r="V125" s="6"/>
      <c r="W125" s="6">
        <f t="shared" ref="W125:W128" si="293">IF(U125&gt;V125,U125,V125)</f>
        <v>1544.4488761115097</v>
      </c>
      <c r="X125" s="6"/>
      <c r="Y125" s="6"/>
      <c r="Z125" s="6">
        <f>IF(OR($S125&lt;&gt;0,$I125="50112",$I125="50109"),0,VLOOKUP($K125,Scenarios!$A$17:$F$73,4,FALSE))</f>
        <v>0</v>
      </c>
      <c r="AA125" s="6">
        <f t="shared" ref="AA125:AA128" si="294">IF(X125&lt;Y125,Y125,IF(AND(X125&gt;Z125,Z125&gt;1),Z125,X125))</f>
        <v>0</v>
      </c>
      <c r="AB125" s="6"/>
      <c r="AC125" s="6">
        <f t="shared" ref="AC125:AC128" si="295">W125+AA125+AB125</f>
        <v>1544.4488761115097</v>
      </c>
      <c r="AD125" s="6">
        <f t="shared" si="292"/>
        <v>34845</v>
      </c>
      <c r="AE125" s="84">
        <f t="shared" si="264"/>
        <v>4.6396396396396478E-2</v>
      </c>
      <c r="AF125" s="6"/>
      <c r="AG125" s="6"/>
      <c r="AH125" s="6"/>
      <c r="AI125" s="6">
        <v>0</v>
      </c>
      <c r="AK125" s="6">
        <f t="shared" si="266"/>
        <v>0</v>
      </c>
      <c r="AL125" s="94"/>
      <c r="AM125" s="6"/>
      <c r="AN125" s="94"/>
      <c r="AO125" s="94">
        <f t="shared" si="267"/>
        <v>0</v>
      </c>
      <c r="AP125" s="94">
        <f t="shared" si="268"/>
        <v>34845</v>
      </c>
      <c r="AQ125" s="10">
        <f>IF(OR($I125="50101", $I125="50102", $I125="50109", $I125="50140"),AP125*Scenarios!$H$8,0)</f>
        <v>5902.7429999999995</v>
      </c>
      <c r="AR125" s="9">
        <f>VLOOKUP($D125,WKCMP!$A$1:$C$15,3,FALSE)*AP125</f>
        <v>526.85640000000001</v>
      </c>
      <c r="AS125" s="10">
        <f t="shared" si="269"/>
        <v>505.2525</v>
      </c>
      <c r="AT125" s="11">
        <f t="shared" si="270"/>
        <v>2160.39</v>
      </c>
      <c r="AU125" s="10">
        <f t="shared" si="271"/>
        <v>2670</v>
      </c>
      <c r="AV125" s="6">
        <f t="shared" si="272"/>
        <v>62.720999999999997</v>
      </c>
      <c r="AW125" s="19">
        <f t="shared" si="273"/>
        <v>0</v>
      </c>
      <c r="AX125" s="19">
        <f>IF(AND($A125="v",$E125=1),AX$1,IF(OR($A125=0,$E125&lt;&gt;1),0,SUMIFS(#REF!,#REF!,'Prop Budget Calc'!AX$4,#REF!,'Prop Budget Calc'!$A117)*(1+AX$2)*AX$3))</f>
        <v>0</v>
      </c>
      <c r="AY125" s="19">
        <f>IF(AND($A125="v",$E125=1),AY$1,IF(OR($A125=0,$E125&lt;&gt;1),0,SUMIFS(#REF!,#REF!,'Prop Budget Calc'!AY$4,#REF!,'Prop Budget Calc'!$A117)*(1+AY$2)*AY$3))</f>
        <v>0</v>
      </c>
      <c r="AZ125" s="88">
        <f t="shared" si="274"/>
        <v>62.720999999999997</v>
      </c>
      <c r="BC125" s="56">
        <f t="shared" ref="BC125:BC128" si="296">BA125+BB125</f>
        <v>0</v>
      </c>
      <c r="BE125" s="6">
        <f t="shared" ref="BE125:BE128" si="297">SUM(AZ125:BD125)</f>
        <v>62.720999999999997</v>
      </c>
      <c r="BF125" s="6">
        <f t="shared" ref="BF125:BF128" si="298">AU125+BE125+AR125+AQ125</f>
        <v>9162.3204000000005</v>
      </c>
      <c r="BG125" s="6">
        <f t="shared" ref="BG125:BG128" si="299">AP125+BF125</f>
        <v>44007.320399999997</v>
      </c>
      <c r="BH125" s="6"/>
    </row>
    <row r="126" spans="1:89" ht="12.75" customHeight="1">
      <c r="B126" s="18" t="s">
        <v>12</v>
      </c>
      <c r="C126" s="18" t="s">
        <v>12</v>
      </c>
      <c r="D126" s="463" t="s">
        <v>1290</v>
      </c>
      <c r="E126" s="4">
        <v>0</v>
      </c>
      <c r="F126" s="4" t="s">
        <v>978</v>
      </c>
      <c r="G126" s="3" t="str">
        <f t="shared" si="201"/>
        <v>200-75-752</v>
      </c>
      <c r="H126" s="65" t="str">
        <f t="shared" si="202"/>
        <v>200</v>
      </c>
      <c r="I126" s="66" t="str">
        <f t="shared" si="203"/>
        <v>50109</v>
      </c>
      <c r="J126" s="16" t="str">
        <f t="shared" si="204"/>
        <v>75</v>
      </c>
      <c r="K126" s="16" t="str">
        <f t="shared" si="205"/>
        <v>752</v>
      </c>
      <c r="M126" s="3">
        <f t="shared" si="265"/>
        <v>0</v>
      </c>
      <c r="N126" s="82">
        <v>25000</v>
      </c>
      <c r="O126" s="68">
        <f t="shared" si="239"/>
        <v>25000</v>
      </c>
      <c r="S126" s="6"/>
      <c r="T126" s="6"/>
      <c r="U126" s="6">
        <f>O126*AVERAGEIF($G$4:$G$73,G126,$AE$4:$AE$73)</f>
        <v>1157.3741205434251</v>
      </c>
      <c r="V126" s="6"/>
      <c r="W126" s="6">
        <f t="shared" si="293"/>
        <v>1157.3741205434251</v>
      </c>
      <c r="X126" s="6"/>
      <c r="Y126" s="6"/>
      <c r="Z126" s="6">
        <f>IF(OR($S126&lt;&gt;0,$I126="50112",$I126="50109"),0,VLOOKUP($K126,Scenarios!$A$17:$F$73,4,FALSE))</f>
        <v>0</v>
      </c>
      <c r="AA126" s="6">
        <f t="shared" si="294"/>
        <v>0</v>
      </c>
      <c r="AB126" s="6"/>
      <c r="AC126" s="6">
        <f t="shared" si="295"/>
        <v>1157.3741205434251</v>
      </c>
      <c r="AD126" s="6">
        <f t="shared" si="292"/>
        <v>26158</v>
      </c>
      <c r="AE126" s="84">
        <f t="shared" si="264"/>
        <v>4.6319999999999917E-2</v>
      </c>
      <c r="AF126" s="6"/>
      <c r="AG126" s="6"/>
      <c r="AH126" s="6"/>
      <c r="AI126" s="6">
        <v>0</v>
      </c>
      <c r="AK126" s="6">
        <f t="shared" si="266"/>
        <v>0</v>
      </c>
      <c r="AL126" s="94"/>
      <c r="AM126" s="6"/>
      <c r="AN126" s="94"/>
      <c r="AO126" s="94">
        <f t="shared" si="267"/>
        <v>0</v>
      </c>
      <c r="AP126" s="94">
        <f t="shared" si="268"/>
        <v>26158</v>
      </c>
      <c r="AQ126" s="10">
        <f>IF(OR($I126="50101", $I126="50102", $I126="50109", $I126="50140"),AP126*Scenarios!$H$8,0)</f>
        <v>4431.1651999999995</v>
      </c>
      <c r="AR126" s="9">
        <f>VLOOKUP($D126,WKCMP!$A$1:$C$15,3,FALSE)*AP126</f>
        <v>395.50896</v>
      </c>
      <c r="AS126" s="10">
        <f t="shared" si="269"/>
        <v>379.291</v>
      </c>
      <c r="AT126" s="11">
        <f t="shared" si="270"/>
        <v>1621.796</v>
      </c>
      <c r="AU126" s="10">
        <f t="shared" si="271"/>
        <v>2010</v>
      </c>
      <c r="AV126" s="6">
        <f t="shared" si="272"/>
        <v>47.084400000000002</v>
      </c>
      <c r="AW126" s="19">
        <f t="shared" si="273"/>
        <v>0</v>
      </c>
      <c r="AX126" s="19">
        <f>IF(AND($A126="v",$E126=1),AX$1,IF(OR($A126=0,$E126&lt;&gt;1),0,SUMIFS(#REF!,#REF!,'Prop Budget Calc'!AX$4,#REF!,'Prop Budget Calc'!#REF!)*(1+AX$2)*AX$3))</f>
        <v>0</v>
      </c>
      <c r="AY126" s="19">
        <f>IF(AND($A126="v",$E126=1),AY$1,IF(OR($A126=0,$E126&lt;&gt;1),0,SUMIFS(#REF!,#REF!,'Prop Budget Calc'!AY$4,#REF!,'Prop Budget Calc'!#REF!)*(1+AY$2)*AY$3))</f>
        <v>0</v>
      </c>
      <c r="AZ126" s="88">
        <f t="shared" si="274"/>
        <v>47.084400000000002</v>
      </c>
      <c r="BC126" s="56">
        <f t="shared" si="296"/>
        <v>0</v>
      </c>
      <c r="BE126" s="6">
        <f t="shared" si="297"/>
        <v>47.084400000000002</v>
      </c>
      <c r="BF126" s="6">
        <f t="shared" si="298"/>
        <v>6883.7585600000002</v>
      </c>
      <c r="BG126" s="6">
        <f t="shared" si="299"/>
        <v>33041.758560000002</v>
      </c>
      <c r="BH126" s="6"/>
    </row>
    <row r="127" spans="1:89" s="15" customFormat="1" ht="12.75" customHeight="1">
      <c r="A127" s="20"/>
      <c r="B127" s="18" t="s">
        <v>12</v>
      </c>
      <c r="C127" s="18" t="s">
        <v>12</v>
      </c>
      <c r="D127" s="463" t="s">
        <v>1338</v>
      </c>
      <c r="E127" s="4">
        <v>0</v>
      </c>
      <c r="F127" s="4" t="s">
        <v>952</v>
      </c>
      <c r="G127" s="3" t="str">
        <f t="shared" ref="G127:G128" si="300">LEFT(F127,10)</f>
        <v>200-77-772</v>
      </c>
      <c r="H127" s="65" t="str">
        <f t="shared" ref="H127:H128" si="301">LEFT(F127,3)</f>
        <v>200</v>
      </c>
      <c r="I127" s="66" t="str">
        <f t="shared" ref="I127:I128" si="302">MID(F127,12,5)</f>
        <v>50109</v>
      </c>
      <c r="J127" s="16" t="str">
        <f t="shared" ref="J127:J128" si="303">MID(F127,5,2)</f>
        <v>77</v>
      </c>
      <c r="K127" s="16" t="str">
        <f t="shared" ref="K127:K128" si="304">MID(F127,8,3)</f>
        <v>772</v>
      </c>
      <c r="L127" s="3"/>
      <c r="M127" s="3">
        <f t="shared" si="265"/>
        <v>0</v>
      </c>
      <c r="N127" s="82">
        <v>1000</v>
      </c>
      <c r="O127" s="68">
        <f t="shared" si="239"/>
        <v>1000</v>
      </c>
      <c r="P127" s="3"/>
      <c r="Q127" s="3"/>
      <c r="R127" s="3"/>
      <c r="S127" s="6"/>
      <c r="T127" s="6"/>
      <c r="U127" s="6"/>
      <c r="V127" s="6"/>
      <c r="W127" s="6">
        <f t="shared" si="293"/>
        <v>0</v>
      </c>
      <c r="X127" s="6"/>
      <c r="Y127" s="6"/>
      <c r="Z127" s="6">
        <f>IF(OR($S127&lt;&gt;0,$I127="50112",$I127="50109"),0,VLOOKUP($K127,Scenarios!$A$17:$F$73,4,FALSE))</f>
        <v>0</v>
      </c>
      <c r="AA127" s="6">
        <f t="shared" si="294"/>
        <v>0</v>
      </c>
      <c r="AB127" s="6"/>
      <c r="AC127" s="6">
        <f t="shared" si="295"/>
        <v>0</v>
      </c>
      <c r="AD127" s="6">
        <f t="shared" si="292"/>
        <v>1000</v>
      </c>
      <c r="AE127" s="84">
        <f t="shared" si="264"/>
        <v>0</v>
      </c>
      <c r="AF127" s="6"/>
      <c r="AG127" s="6"/>
      <c r="AH127" s="6"/>
      <c r="AI127" s="6">
        <v>0</v>
      </c>
      <c r="AJ127" s="59"/>
      <c r="AK127" s="6">
        <f t="shared" ref="AK127:AK128" si="305">AI127+AJ127</f>
        <v>0</v>
      </c>
      <c r="AL127" s="94"/>
      <c r="AM127" s="6"/>
      <c r="AN127" s="94"/>
      <c r="AO127" s="94">
        <f t="shared" si="267"/>
        <v>0</v>
      </c>
      <c r="AP127" s="94">
        <f t="shared" ref="AP127:AP128" si="306">AD127+AG127+AK127+AL127+AO127</f>
        <v>1000</v>
      </c>
      <c r="AQ127" s="10">
        <f>IF(OR($I127="50101", $I127="50102", $I127="50109", $I127="50140"),AP127*Scenarios!$H$8,0)</f>
        <v>169.4</v>
      </c>
      <c r="AR127" s="9">
        <f>VLOOKUP($D127,WKCMP!$A$1:$C$15,3,FALSE)*AP127</f>
        <v>24.326400000000007</v>
      </c>
      <c r="AS127" s="10">
        <f t="shared" si="269"/>
        <v>14.5</v>
      </c>
      <c r="AT127" s="11">
        <f t="shared" si="270"/>
        <v>62</v>
      </c>
      <c r="AU127" s="10">
        <f t="shared" si="271"/>
        <v>80</v>
      </c>
      <c r="AV127" s="6">
        <f t="shared" si="272"/>
        <v>1.8</v>
      </c>
      <c r="AW127" s="19">
        <f t="shared" si="273"/>
        <v>0</v>
      </c>
      <c r="AX127" s="19">
        <f>IF(AND($A127="v",$E127=1),AX$1,IF(OR($A127=0,$E127&lt;&gt;1),0,SUMIFS(#REF!,#REF!,'Prop Budget Calc'!AX$4,#REF!,'Prop Budget Calc'!$A112)*(1+AX$2)*AX$3))</f>
        <v>0</v>
      </c>
      <c r="AY127" s="19">
        <f>IF(AND($A127="v",$E127=1),AY$1,IF(OR($A127=0,$E127&lt;&gt;1),0,SUMIFS(#REF!,#REF!,'Prop Budget Calc'!AY$4,#REF!,'Prop Budget Calc'!$A112)*(1+AY$2)*AY$3))</f>
        <v>0</v>
      </c>
      <c r="AZ127" s="88">
        <f t="shared" ref="AZ127:AZ128" si="307">AV127+AW127+AX127+AY127</f>
        <v>1.8</v>
      </c>
      <c r="BA127" s="19"/>
      <c r="BB127" s="19"/>
      <c r="BC127" s="56">
        <f t="shared" si="296"/>
        <v>0</v>
      </c>
      <c r="BD127" s="19"/>
      <c r="BE127" s="6">
        <f t="shared" si="297"/>
        <v>1.8</v>
      </c>
      <c r="BF127" s="6">
        <f t="shared" si="298"/>
        <v>275.52640000000002</v>
      </c>
      <c r="BG127" s="6">
        <f t="shared" si="299"/>
        <v>1275.5264</v>
      </c>
      <c r="BH127" s="6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</row>
    <row r="128" spans="1:89" s="15" customFormat="1" ht="12.75" customHeight="1">
      <c r="A128" s="20"/>
      <c r="B128" s="18" t="s">
        <v>12</v>
      </c>
      <c r="C128" s="18" t="s">
        <v>12</v>
      </c>
      <c r="D128" s="463" t="s">
        <v>1338</v>
      </c>
      <c r="E128" s="4">
        <v>0</v>
      </c>
      <c r="F128" s="4" t="s">
        <v>953</v>
      </c>
      <c r="G128" s="3" t="str">
        <f t="shared" si="300"/>
        <v>400-81-815</v>
      </c>
      <c r="H128" s="65" t="str">
        <f t="shared" si="301"/>
        <v>400</v>
      </c>
      <c r="I128" s="66" t="str">
        <f t="shared" si="302"/>
        <v>50109</v>
      </c>
      <c r="J128" s="16" t="str">
        <f t="shared" si="303"/>
        <v>81</v>
      </c>
      <c r="K128" s="16" t="str">
        <f t="shared" si="304"/>
        <v>815</v>
      </c>
      <c r="L128" s="3"/>
      <c r="M128" s="3">
        <f t="shared" si="265"/>
        <v>0</v>
      </c>
      <c r="N128" s="82">
        <v>30000</v>
      </c>
      <c r="O128" s="68">
        <f t="shared" si="239"/>
        <v>30000</v>
      </c>
      <c r="P128" s="3"/>
      <c r="Q128" s="3"/>
      <c r="R128" s="3"/>
      <c r="S128" s="6"/>
      <c r="T128" s="6"/>
      <c r="U128" s="6">
        <f>O128*AVERAGEIF($G$4:$G$73,G128,$AE$4:$AE$73)</f>
        <v>1313.3055659458482</v>
      </c>
      <c r="V128" s="6"/>
      <c r="W128" s="6">
        <f t="shared" si="293"/>
        <v>1313.3055659458482</v>
      </c>
      <c r="X128" s="6"/>
      <c r="Y128" s="6"/>
      <c r="Z128" s="6">
        <f>IF(OR($S128&lt;&gt;0,$I128="50112",$I128="50109"),0,VLOOKUP($K128,Scenarios!$A$17:$F$73,4,FALSE))</f>
        <v>0</v>
      </c>
      <c r="AA128" s="6">
        <f t="shared" si="294"/>
        <v>0</v>
      </c>
      <c r="AB128" s="6"/>
      <c r="AC128" s="6">
        <f t="shared" si="295"/>
        <v>1313.3055659458482</v>
      </c>
      <c r="AD128" s="6">
        <f t="shared" si="292"/>
        <v>31314</v>
      </c>
      <c r="AE128" s="84">
        <f t="shared" si="264"/>
        <v>4.3800000000000061E-2</v>
      </c>
      <c r="AF128" s="6"/>
      <c r="AG128" s="6"/>
      <c r="AH128" s="6"/>
      <c r="AI128" s="6">
        <v>0</v>
      </c>
      <c r="AJ128" s="59"/>
      <c r="AK128" s="6">
        <f t="shared" si="305"/>
        <v>0</v>
      </c>
      <c r="AL128" s="94"/>
      <c r="AM128" s="6"/>
      <c r="AN128" s="94"/>
      <c r="AO128" s="94">
        <f t="shared" si="267"/>
        <v>0</v>
      </c>
      <c r="AP128" s="94">
        <f t="shared" si="306"/>
        <v>31314</v>
      </c>
      <c r="AQ128" s="10">
        <f>IF(OR($I128="50101", $I128="50102", $I128="50109", $I128="50140"),AP128*Scenarios!$H$8,0)</f>
        <v>5304.5915999999997</v>
      </c>
      <c r="AR128" s="9">
        <f>VLOOKUP($D128,WKCMP!$A$1:$C$15,3,FALSE)*AP128</f>
        <v>761.75688960000014</v>
      </c>
      <c r="AS128" s="10">
        <f t="shared" si="269"/>
        <v>454.053</v>
      </c>
      <c r="AT128" s="11">
        <f t="shared" si="270"/>
        <v>1941.4680000000001</v>
      </c>
      <c r="AU128" s="10">
        <f t="shared" si="271"/>
        <v>2400</v>
      </c>
      <c r="AV128" s="6">
        <f t="shared" si="272"/>
        <v>56.365200000000002</v>
      </c>
      <c r="AW128" s="19">
        <f t="shared" si="273"/>
        <v>0</v>
      </c>
      <c r="AX128" s="19">
        <f>IF(AND($A128="v",$E128=1),AX$1,IF(OR($A128=0,$E128&lt;&gt;1),0,SUMIFS(#REF!,#REF!,'Prop Budget Calc'!AX$4,#REF!,'Prop Budget Calc'!#REF!)*(1+AX$2)*AX$3))</f>
        <v>0</v>
      </c>
      <c r="AY128" s="19">
        <f>IF(AND($A128="v",$E128=1),AY$1,IF(OR($A128=0,$E128&lt;&gt;1),0,SUMIFS(#REF!,#REF!,'Prop Budget Calc'!AY$4,#REF!,'Prop Budget Calc'!#REF!)*(1+AY$2)*AY$3))</f>
        <v>0</v>
      </c>
      <c r="AZ128" s="88">
        <f t="shared" si="307"/>
        <v>56.365200000000002</v>
      </c>
      <c r="BA128" s="19"/>
      <c r="BB128" s="19"/>
      <c r="BC128" s="56">
        <f t="shared" si="296"/>
        <v>0</v>
      </c>
      <c r="BD128" s="19"/>
      <c r="BE128" s="6">
        <f t="shared" si="297"/>
        <v>56.365200000000002</v>
      </c>
      <c r="BF128" s="6">
        <f t="shared" si="298"/>
        <v>8522.7136896000011</v>
      </c>
      <c r="BG128" s="6">
        <f t="shared" si="299"/>
        <v>39836.713689600001</v>
      </c>
      <c r="BH128" s="6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</row>
    <row r="129" spans="1:89" s="13" customFormat="1" ht="12.75" customHeight="1">
      <c r="A129" s="469"/>
      <c r="C129" s="3"/>
      <c r="E129" s="72">
        <f>SUM(E6:E128)</f>
        <v>130.79999999999998</v>
      </c>
      <c r="F129" s="72"/>
      <c r="G129" s="72"/>
      <c r="I129" s="73"/>
      <c r="M129" s="74">
        <f>SUM(M6:M128)</f>
        <v>136656</v>
      </c>
      <c r="N129" s="75">
        <f>SUM(N6:N128)</f>
        <v>1267862</v>
      </c>
      <c r="O129" s="75">
        <f>SUM(O6:O128)</f>
        <v>5546302</v>
      </c>
      <c r="S129" s="74">
        <f>SUM(S6:S128)</f>
        <v>99714</v>
      </c>
      <c r="T129" s="6">
        <f>IF(IFERROR(VLOOKUP(#REF!,#REF!,2,FALSE),"no")="no",0,$N129*Scenarios!$B$8)</f>
        <v>0</v>
      </c>
      <c r="U129" s="6"/>
      <c r="V129" s="74">
        <f>SUM(V6:V128)</f>
        <v>126312.00000000004</v>
      </c>
      <c r="W129" s="74"/>
      <c r="X129" s="74">
        <f>SUM(X6:X128)</f>
        <v>126312.00000000004</v>
      </c>
      <c r="Y129" s="10">
        <f>SUM(Y6:Y128)</f>
        <v>115150</v>
      </c>
      <c r="Z129" s="10">
        <f>SUM(Z6:Z128)</f>
        <v>0</v>
      </c>
      <c r="AA129" s="10"/>
      <c r="AB129" s="10">
        <f>SUM(AB6:AB128)</f>
        <v>0</v>
      </c>
      <c r="AC129" s="10"/>
      <c r="AD129" s="74">
        <f>SUM(AD6:AD128)</f>
        <v>10301675</v>
      </c>
      <c r="AE129" s="74"/>
      <c r="AF129" s="74">
        <f>SUM(AF6:AF128)</f>
        <v>14554.400000000001</v>
      </c>
      <c r="AG129" s="74">
        <f>SUM(AG6:AG128)</f>
        <v>69359.333333333314</v>
      </c>
      <c r="AH129" s="74"/>
      <c r="AI129" s="74">
        <f t="shared" ref="AI129:BF129" si="308">SUM(AI6:AI128)</f>
        <v>52700</v>
      </c>
      <c r="AJ129" s="74">
        <f t="shared" si="308"/>
        <v>33000.479999999996</v>
      </c>
      <c r="AK129" s="74">
        <f t="shared" si="308"/>
        <v>85700.479999999996</v>
      </c>
      <c r="AL129" s="74">
        <f t="shared" si="308"/>
        <v>0</v>
      </c>
      <c r="AM129" s="74">
        <f t="shared" si="308"/>
        <v>34080</v>
      </c>
      <c r="AN129" s="74">
        <f t="shared" si="308"/>
        <v>3150</v>
      </c>
      <c r="AO129" s="74">
        <f t="shared" si="308"/>
        <v>37230</v>
      </c>
      <c r="AP129" s="74">
        <f t="shared" si="308"/>
        <v>10493964.813333334</v>
      </c>
      <c r="AQ129" s="74">
        <f t="shared" si="308"/>
        <v>1650284.0961786662</v>
      </c>
      <c r="AR129" s="74">
        <f t="shared" si="308"/>
        <v>111440.85537737604</v>
      </c>
      <c r="AS129" s="74">
        <f t="shared" si="308"/>
        <v>152162.48979333337</v>
      </c>
      <c r="AT129" s="74">
        <f t="shared" si="308"/>
        <v>588743.02818666655</v>
      </c>
      <c r="AU129" s="74">
        <f t="shared" si="308"/>
        <v>741790</v>
      </c>
      <c r="AV129" s="74">
        <f t="shared" si="308"/>
        <v>18887.336664000009</v>
      </c>
      <c r="AW129" s="76">
        <f t="shared" si="308"/>
        <v>12513.599999999988</v>
      </c>
      <c r="AX129" s="74">
        <f t="shared" si="308"/>
        <v>1965.600000000002</v>
      </c>
      <c r="AY129" s="74">
        <f t="shared" si="308"/>
        <v>1421.2799999999979</v>
      </c>
      <c r="AZ129" s="74">
        <f t="shared" si="308"/>
        <v>34787.816663999998</v>
      </c>
      <c r="BA129" s="74">
        <f t="shared" si="308"/>
        <v>1824846.7079531031</v>
      </c>
      <c r="BB129" s="74">
        <f t="shared" si="308"/>
        <v>96002.300000000017</v>
      </c>
      <c r="BC129" s="74">
        <f t="shared" si="308"/>
        <v>1920849.0079531036</v>
      </c>
      <c r="BD129" s="74">
        <f t="shared" si="308"/>
        <v>82877.022481751832</v>
      </c>
      <c r="BE129" s="75">
        <f t="shared" si="308"/>
        <v>2038513.8470988553</v>
      </c>
      <c r="BF129" s="75">
        <f t="shared" si="308"/>
        <v>4542028.7986548962</v>
      </c>
      <c r="BG129" s="75">
        <f>SUM(BG74:BG128)</f>
        <v>8351764.9151365161</v>
      </c>
      <c r="BH129" s="75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</row>
    <row r="130" spans="1:89" s="48" customFormat="1" ht="12.75" customHeight="1">
      <c r="A130" s="470"/>
      <c r="B130" s="2"/>
      <c r="C130" s="2"/>
      <c r="D130" s="2"/>
      <c r="E130" s="51"/>
      <c r="F130" s="51"/>
      <c r="G130" s="51"/>
      <c r="H130" s="2"/>
      <c r="I130" s="64"/>
      <c r="J130" s="2"/>
      <c r="K130" s="2"/>
      <c r="L130" s="2"/>
      <c r="M130" s="2"/>
      <c r="N130" s="52"/>
      <c r="O130" s="58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53"/>
      <c r="AN130" s="53"/>
      <c r="AO130" s="53"/>
      <c r="AP130" s="53"/>
      <c r="AQ130" s="10"/>
      <c r="AR130" s="52"/>
      <c r="AS130" s="2"/>
      <c r="AT130" s="2"/>
      <c r="AU130" s="2"/>
      <c r="AV130" s="2"/>
      <c r="AW130" s="54"/>
      <c r="AX130" s="54"/>
      <c r="AY130" s="54"/>
      <c r="AZ130" s="54"/>
      <c r="BA130" s="54"/>
      <c r="BB130" s="54"/>
      <c r="BC130" s="54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</row>
    <row r="131" spans="1:89" ht="12.75" customHeight="1">
      <c r="G131" s="3"/>
      <c r="H131" s="49"/>
      <c r="N131" s="3"/>
      <c r="P131" s="5"/>
      <c r="Q131" s="5"/>
      <c r="R131" s="9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K131" s="6"/>
      <c r="AL131" s="6"/>
      <c r="AM131" s="21"/>
      <c r="AN131" s="21"/>
      <c r="AO131" s="21"/>
      <c r="AP131" s="21"/>
      <c r="AQ131" s="10"/>
      <c r="AR131" s="9"/>
      <c r="AS131" s="10"/>
      <c r="AT131" s="10"/>
      <c r="AU131" s="10"/>
      <c r="AV131" s="6"/>
      <c r="BE131" s="6"/>
      <c r="BF131" s="6"/>
      <c r="BG131" s="6"/>
    </row>
    <row r="132" spans="1:89" s="48" customFormat="1" ht="12.75" customHeight="1">
      <c r="A132" s="609"/>
      <c r="B132" s="609"/>
      <c r="C132" s="609"/>
      <c r="D132" s="609"/>
      <c r="E132" s="609"/>
      <c r="F132" s="609"/>
      <c r="G132" s="609"/>
      <c r="H132" s="609"/>
      <c r="I132" s="609"/>
      <c r="J132" s="609"/>
      <c r="K132" s="609"/>
      <c r="L132" s="609"/>
      <c r="M132" s="609"/>
      <c r="N132" s="113">
        <f>SUBTOTAL(9,N6:N129)</f>
        <v>2535724</v>
      </c>
      <c r="O132" s="113">
        <f>SUBTOTAL(9,O6:O129)</f>
        <v>11092604</v>
      </c>
      <c r="P132" s="113">
        <f>SUBTOTAL(9,P6:P129)</f>
        <v>2886360</v>
      </c>
      <c r="Q132" s="113"/>
      <c r="R132" s="113">
        <f>SUBTOTAL(9,R6:R129)</f>
        <v>0</v>
      </c>
      <c r="S132" s="113">
        <f>SUBTOTAL(9,S6:S129)</f>
        <v>199428</v>
      </c>
      <c r="T132" s="113">
        <f>SUBTOTAL(9,T6:T129)</f>
        <v>27806</v>
      </c>
      <c r="U132" s="113"/>
      <c r="V132" s="113">
        <f>SUBTOTAL(9,V6:V129)</f>
        <v>252624.00000000009</v>
      </c>
      <c r="W132" s="113"/>
      <c r="X132" s="113">
        <f>SUBTOTAL(9,X6:X129)</f>
        <v>252624.00000000009</v>
      </c>
      <c r="Y132" s="113">
        <f>SUBTOTAL(9,Y6:Y129)</f>
        <v>230300</v>
      </c>
      <c r="Z132" s="113">
        <f>SUBTOTAL(9,Z6:Z129)</f>
        <v>0</v>
      </c>
      <c r="AA132" s="113"/>
      <c r="AB132" s="113">
        <f>SUBTOTAL(9,AB6:AB129)</f>
        <v>0</v>
      </c>
      <c r="AC132" s="113"/>
      <c r="AD132" s="113">
        <f>SUBTOTAL(9,AD6:AD129)</f>
        <v>20603350</v>
      </c>
      <c r="AE132" s="113" t="e">
        <f>SUBTOTAL(9,AE6:AE129)</f>
        <v>#DIV/0!</v>
      </c>
      <c r="AF132" s="113">
        <f>SUBTOTAL(9,AF6:AF129)</f>
        <v>29108.800000000003</v>
      </c>
      <c r="AG132" s="113">
        <f>SUBTOTAL(9,AG6:AG129)</f>
        <v>138718.66666666663</v>
      </c>
      <c r="AH132" s="113"/>
      <c r="AI132" s="113">
        <f t="shared" ref="AI132:BG132" si="309">SUBTOTAL(9,AI6:AI129)</f>
        <v>105400</v>
      </c>
      <c r="AJ132" s="113">
        <f t="shared" si="309"/>
        <v>66000.959999999992</v>
      </c>
      <c r="AK132" s="113">
        <f t="shared" si="309"/>
        <v>171400.95999999999</v>
      </c>
      <c r="AL132" s="113">
        <f t="shared" si="309"/>
        <v>0</v>
      </c>
      <c r="AM132" s="113">
        <f t="shared" si="309"/>
        <v>68160</v>
      </c>
      <c r="AN132" s="113">
        <f t="shared" si="309"/>
        <v>6300</v>
      </c>
      <c r="AO132" s="113">
        <f t="shared" si="309"/>
        <v>74460</v>
      </c>
      <c r="AP132" s="113">
        <f t="shared" si="309"/>
        <v>20987929.626666669</v>
      </c>
      <c r="AQ132" s="113">
        <f t="shared" si="309"/>
        <v>3300568.1923573324</v>
      </c>
      <c r="AR132" s="113">
        <f t="shared" si="309"/>
        <v>222881.71075475207</v>
      </c>
      <c r="AS132" s="113">
        <f t="shared" si="309"/>
        <v>304324.97958666674</v>
      </c>
      <c r="AT132" s="113">
        <f t="shared" si="309"/>
        <v>1177486.0563733331</v>
      </c>
      <c r="AU132" s="113">
        <f t="shared" si="309"/>
        <v>1483580</v>
      </c>
      <c r="AV132" s="113">
        <f t="shared" si="309"/>
        <v>37774.673328000019</v>
      </c>
      <c r="AW132" s="113">
        <f t="shared" si="309"/>
        <v>25027.199999999975</v>
      </c>
      <c r="AX132" s="113">
        <f t="shared" si="309"/>
        <v>3931.2000000000039</v>
      </c>
      <c r="AY132" s="113">
        <f t="shared" si="309"/>
        <v>2842.5599999999959</v>
      </c>
      <c r="AZ132" s="113">
        <f t="shared" si="309"/>
        <v>69575.633327999996</v>
      </c>
      <c r="BA132" s="113">
        <f t="shared" si="309"/>
        <v>3649693.4159062062</v>
      </c>
      <c r="BB132" s="113">
        <f t="shared" si="309"/>
        <v>192004.60000000003</v>
      </c>
      <c r="BC132" s="113">
        <f t="shared" si="309"/>
        <v>3841698.0159062073</v>
      </c>
      <c r="BD132" s="113">
        <f t="shared" si="309"/>
        <v>165754.04496350366</v>
      </c>
      <c r="BE132" s="113">
        <f t="shared" si="309"/>
        <v>4077027.6941977106</v>
      </c>
      <c r="BF132" s="113">
        <f t="shared" si="309"/>
        <v>9084057.5973097924</v>
      </c>
      <c r="BG132" s="113">
        <f t="shared" si="309"/>
        <v>23387758.527124751</v>
      </c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</row>
    <row r="133" spans="1:89" s="2" customFormat="1">
      <c r="A133" s="470"/>
      <c r="E133" s="51"/>
      <c r="F133" s="51"/>
      <c r="G133" s="51"/>
      <c r="I133" s="61"/>
      <c r="N133" s="52"/>
      <c r="O133" s="58"/>
      <c r="Y133" s="2">
        <f>Y132/1.5*4</f>
        <v>614133.33333333337</v>
      </c>
      <c r="Z133" s="2">
        <f>Z132/1.5*4</f>
        <v>0</v>
      </c>
      <c r="AB133" s="2">
        <f>AB132/1.5*4</f>
        <v>0</v>
      </c>
      <c r="BC133" s="54"/>
      <c r="BD133" s="54"/>
    </row>
    <row r="134" spans="1:89" s="2" customFormat="1">
      <c r="A134" s="470"/>
      <c r="E134" s="51"/>
      <c r="F134" s="51"/>
      <c r="G134" s="51"/>
      <c r="I134" s="61"/>
      <c r="N134" s="52"/>
      <c r="O134" s="58"/>
      <c r="BC134" s="54"/>
      <c r="BD134" s="54"/>
    </row>
    <row r="135" spans="1:89" s="2" customFormat="1">
      <c r="A135" s="470"/>
      <c r="E135" s="51"/>
      <c r="F135" s="51"/>
      <c r="G135" s="51"/>
      <c r="I135" s="61"/>
      <c r="N135" s="52"/>
      <c r="O135" s="58"/>
      <c r="AE135" s="48"/>
      <c r="AF135" s="48"/>
      <c r="AI135" s="48"/>
      <c r="AJ135" s="48"/>
      <c r="AM135" s="48"/>
      <c r="AN135" s="48"/>
      <c r="AO135" s="48"/>
      <c r="AP135" s="48"/>
      <c r="AS135" s="48"/>
      <c r="AT135" s="48"/>
      <c r="AV135" s="48"/>
      <c r="AW135" s="48"/>
      <c r="AX135" s="48"/>
      <c r="AY135" s="48"/>
      <c r="AZ135" s="48"/>
      <c r="BA135" s="48"/>
      <c r="BB135" s="48"/>
      <c r="BC135" s="54"/>
      <c r="BD135" s="54"/>
    </row>
    <row r="140" spans="1:89">
      <c r="L140" s="5"/>
      <c r="AO140" s="242" t="e">
        <f>#REF!/#REF!</f>
        <v>#REF!</v>
      </c>
      <c r="BK140" s="77"/>
      <c r="BL140" s="78"/>
    </row>
    <row r="141" spans="1:89">
      <c r="L141" s="5"/>
      <c r="BK141" s="77"/>
      <c r="BL141" s="78"/>
    </row>
    <row r="142" spans="1:89">
      <c r="BK142" s="77"/>
      <c r="BL142" s="78"/>
    </row>
    <row r="143" spans="1:89">
      <c r="BK143" s="77"/>
      <c r="BL143" s="79"/>
    </row>
    <row r="144" spans="1:89">
      <c r="BI144" s="6"/>
      <c r="BK144" s="77"/>
      <c r="BL144" s="78"/>
    </row>
    <row r="145" spans="63:64" ht="14.4" thickBot="1">
      <c r="BK145" s="80"/>
      <c r="BL145" s="81"/>
    </row>
  </sheetData>
  <autoFilter ref="A5:BG130" xr:uid="{00000000-0009-0000-0000-000003000000}"/>
  <sortState xmlns:xlrd2="http://schemas.microsoft.com/office/spreadsheetml/2017/richdata2" ref="A102:CM133">
    <sortCondition ref="H102:H133"/>
    <sortCondition ref="J102:J133"/>
    <sortCondition ref="K102:K133"/>
  </sortState>
  <mergeCells count="2">
    <mergeCell ref="S1:T1"/>
    <mergeCell ref="A132:M132"/>
  </mergeCells>
  <phoneticPr fontId="0" type="noConversion"/>
  <conditionalFormatting sqref="A75:A76 P75:P76 P78:P80 A78:A80 P82:P85 A82:A85 A87 P87 P89:P90 A89:A99 A23:F23 A67:E67 A63:E63 A6:F7 A69:E69 A16:F16 A33:E33 A20:F20 A10:F13 A18:F18 B6:F23 P6:P23 L5:L23 B25:F25 A29:E31 A39:E40 F29:F40 B25:E40 A42:E47 A52:E52 A54:E60 A71:E72 P25:P73 B41:F73 L25:L73 A102:A106 L100:L114 L116:L129 A116:A128">
    <cfRule type="cellIs" dxfId="25" priority="920" operator="equal">
      <formula>0</formula>
    </cfRule>
  </conditionalFormatting>
  <conditionalFormatting sqref="A100:A101 A110:A114 L75:L76 L78:L80 L82:L85 L87 L89:L99">
    <cfRule type="cellIs" dxfId="24" priority="244" operator="equal">
      <formula>0</formula>
    </cfRule>
  </conditionalFormatting>
  <conditionalFormatting sqref="A108">
    <cfRule type="cellIs" dxfId="23" priority="199" operator="equal">
      <formula>0</formula>
    </cfRule>
  </conditionalFormatting>
  <conditionalFormatting sqref="A109">
    <cfRule type="cellIs" dxfId="22" priority="196" operator="equal">
      <formula>0</formula>
    </cfRule>
  </conditionalFormatting>
  <conditionalFormatting sqref="A107">
    <cfRule type="cellIs" dxfId="21" priority="193" operator="equal">
      <formula>0</formula>
    </cfRule>
  </conditionalFormatting>
  <conditionalFormatting sqref="A77 P77">
    <cfRule type="cellIs" dxfId="20" priority="152" operator="equal">
      <formula>0</formula>
    </cfRule>
  </conditionalFormatting>
  <conditionalFormatting sqref="L77">
    <cfRule type="cellIs" dxfId="19" priority="151" operator="equal">
      <formula>0</formula>
    </cfRule>
  </conditionalFormatting>
  <conditionalFormatting sqref="A81 P81">
    <cfRule type="cellIs" dxfId="18" priority="129" operator="equal">
      <formula>0</formula>
    </cfRule>
  </conditionalFormatting>
  <conditionalFormatting sqref="L81">
    <cfRule type="cellIs" dxfId="17" priority="128" operator="equal">
      <formula>0</formula>
    </cfRule>
  </conditionalFormatting>
  <conditionalFormatting sqref="A86 P86">
    <cfRule type="cellIs" dxfId="16" priority="121" operator="equal">
      <formula>0</formula>
    </cfRule>
  </conditionalFormatting>
  <conditionalFormatting sqref="L86">
    <cfRule type="cellIs" dxfId="15" priority="120" operator="equal">
      <formula>0</formula>
    </cfRule>
  </conditionalFormatting>
  <conditionalFormatting sqref="A88 P88">
    <cfRule type="cellIs" dxfId="14" priority="117" operator="equal">
      <formula>0</formula>
    </cfRule>
  </conditionalFormatting>
  <conditionalFormatting sqref="L88">
    <cfRule type="cellIs" dxfId="13" priority="116" operator="equal">
      <formula>0</formula>
    </cfRule>
  </conditionalFormatting>
  <conditionalFormatting sqref="P22">
    <cfRule type="cellIs" dxfId="12" priority="110" operator="equal">
      <formula>0</formula>
    </cfRule>
  </conditionalFormatting>
  <conditionalFormatting sqref="B26:C28">
    <cfRule type="cellIs" dxfId="11" priority="65" operator="equal">
      <formula>0</formula>
    </cfRule>
  </conditionalFormatting>
  <conditionalFormatting sqref="P26:P28 F26:F28">
    <cfRule type="cellIs" dxfId="10" priority="64" operator="equal">
      <formula>0</formula>
    </cfRule>
  </conditionalFormatting>
  <conditionalFormatting sqref="L115 A115">
    <cfRule type="cellIs" dxfId="9" priority="45" operator="equal">
      <formula>0</formula>
    </cfRule>
  </conditionalFormatting>
  <conditionalFormatting sqref="B24:F24 P24">
    <cfRule type="cellIs" dxfId="8" priority="26" operator="equal">
      <formula>0</formula>
    </cfRule>
  </conditionalFormatting>
  <conditionalFormatting sqref="L24">
    <cfRule type="cellIs" dxfId="7" priority="25" operator="equal">
      <formula>0</formula>
    </cfRule>
  </conditionalFormatting>
  <conditionalFormatting sqref="A2">
    <cfRule type="cellIs" dxfId="6" priority="6" operator="equal">
      <formula>0</formula>
    </cfRule>
  </conditionalFormatting>
  <conditionalFormatting sqref="A19">
    <cfRule type="cellIs" dxfId="5" priority="3" operator="equal">
      <formula>0</formula>
    </cfRule>
  </conditionalFormatting>
  <conditionalFormatting sqref="A66">
    <cfRule type="cellIs" dxfId="4" priority="1" operator="equal">
      <formula>0</formula>
    </cfRule>
  </conditionalFormatting>
  <printOptions horizontalCentered="1" gridLines="1"/>
  <pageMargins left="0.25" right="0.25" top="0.72" bottom="0.21" header="0.5" footer="0.5"/>
  <pageSetup paperSize="5" orientation="landscape" r:id="rId1"/>
  <headerFooter alignWithMargins="0">
    <oddHeader>&amp;C&amp;"Helv,Bold"Payroll Budget Scenarios 2010-2011&amp;R.</oddHeader>
    <oddFooter>&amp;R&amp;10Revised 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7:T79"/>
  <sheetViews>
    <sheetView tabSelected="1" topLeftCell="B23" workbookViewId="0">
      <selection activeCell="C36" sqref="C36"/>
    </sheetView>
  </sheetViews>
  <sheetFormatPr defaultColWidth="8.90625" defaultRowHeight="15.6"/>
  <cols>
    <col min="2" max="2" width="38.54296875" customWidth="1"/>
    <col min="3" max="3" width="15.453125" customWidth="1"/>
    <col min="16" max="16" width="10.36328125" customWidth="1"/>
  </cols>
  <sheetData>
    <row r="7" spans="3:7">
      <c r="C7" s="86"/>
      <c r="G7" s="382"/>
    </row>
    <row r="8" spans="3:7">
      <c r="C8" s="86"/>
      <c r="G8" s="382"/>
    </row>
    <row r="9" spans="3:7">
      <c r="C9" s="86"/>
      <c r="G9" s="382"/>
    </row>
    <row r="10" spans="3:7">
      <c r="C10" s="86"/>
      <c r="G10" s="382"/>
    </row>
    <row r="11" spans="3:7">
      <c r="C11" s="86"/>
      <c r="G11" s="382"/>
    </row>
    <row r="12" spans="3:7">
      <c r="C12" s="86"/>
      <c r="G12" s="382"/>
    </row>
    <row r="13" spans="3:7">
      <c r="C13" s="86"/>
      <c r="G13" s="382"/>
    </row>
    <row r="14" spans="3:7">
      <c r="C14" s="86"/>
      <c r="G14" s="382"/>
    </row>
    <row r="15" spans="3:7">
      <c r="C15" s="86"/>
      <c r="G15" s="382"/>
    </row>
    <row r="16" spans="3:7">
      <c r="C16" s="86"/>
      <c r="G16" s="382"/>
    </row>
    <row r="17" spans="2:19">
      <c r="C17" s="86"/>
      <c r="G17" s="382"/>
    </row>
    <row r="18" spans="2:19">
      <c r="C18" s="86"/>
      <c r="G18" s="382"/>
    </row>
    <row r="19" spans="2:19">
      <c r="C19" s="86"/>
      <c r="G19" s="382"/>
    </row>
    <row r="20" spans="2:19">
      <c r="C20" s="86"/>
      <c r="G20" s="382"/>
      <c r="K20">
        <v>15.61</v>
      </c>
    </row>
    <row r="21" spans="2:19">
      <c r="C21" s="86"/>
      <c r="G21" s="382"/>
      <c r="K21">
        <f>K20*1.025</f>
        <v>16.000249999999998</v>
      </c>
    </row>
    <row r="22" spans="2:19">
      <c r="C22" s="86"/>
      <c r="G22" s="382"/>
      <c r="K22">
        <f>K20-K21</f>
        <v>-0.39024999999999821</v>
      </c>
    </row>
    <row r="23" spans="2:19">
      <c r="C23" s="86"/>
      <c r="G23" s="382"/>
      <c r="K23">
        <f>K22*2080</f>
        <v>-811.71999999999628</v>
      </c>
    </row>
    <row r="27" spans="2:19">
      <c r="F27">
        <v>32884.800000000003</v>
      </c>
      <c r="G27">
        <f>F27*1.0375</f>
        <v>34117.980000000003</v>
      </c>
    </row>
    <row r="28" spans="2:19">
      <c r="F28">
        <f>F27/2080</f>
        <v>15.810000000000002</v>
      </c>
    </row>
    <row r="29" spans="2:19">
      <c r="O29">
        <f>O36*2080</f>
        <v>90544.48</v>
      </c>
      <c r="P29">
        <f>P36*2080</f>
        <v>90544.48</v>
      </c>
      <c r="Q29">
        <f>Q36*2080</f>
        <v>90544.48</v>
      </c>
    </row>
    <row r="30" spans="2:19">
      <c r="D30">
        <f>16.44*2080</f>
        <v>34195.200000000004</v>
      </c>
      <c r="Q30" s="616" t="s">
        <v>1961</v>
      </c>
      <c r="R30" s="616"/>
      <c r="S30" s="616"/>
    </row>
    <row r="31" spans="2:19" ht="16.2" thickBot="1"/>
    <row r="32" spans="2:19">
      <c r="B32" s="610" t="s">
        <v>1919</v>
      </c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</row>
    <row r="33" spans="1:19" ht="16.2" thickBot="1">
      <c r="B33" s="613"/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  <c r="N33" s="614"/>
      <c r="O33" s="614"/>
      <c r="P33" s="614"/>
      <c r="Q33" s="615"/>
    </row>
    <row r="35" spans="1:19">
      <c r="C35">
        <v>1</v>
      </c>
      <c r="D35">
        <v>2</v>
      </c>
      <c r="E35">
        <v>3</v>
      </c>
      <c r="F35">
        <v>4</v>
      </c>
      <c r="G35">
        <v>5</v>
      </c>
      <c r="H35">
        <v>6</v>
      </c>
      <c r="I35">
        <v>7</v>
      </c>
      <c r="J35">
        <v>8</v>
      </c>
      <c r="K35">
        <v>9</v>
      </c>
      <c r="L35">
        <v>10</v>
      </c>
      <c r="M35">
        <v>11</v>
      </c>
      <c r="N35">
        <v>12</v>
      </c>
      <c r="O35">
        <v>13</v>
      </c>
      <c r="P35">
        <v>14</v>
      </c>
      <c r="Q35">
        <v>15</v>
      </c>
    </row>
    <row r="36" spans="1:19">
      <c r="A36" s="502">
        <v>0.03</v>
      </c>
      <c r="B36" t="s">
        <v>116</v>
      </c>
      <c r="C36" s="482">
        <f>'Current Step Plans'!D36*(1+A36)</f>
        <v>34.638900000000007</v>
      </c>
      <c r="D36" s="482">
        <f>ROUND(C36*1.02,2)</f>
        <v>35.33</v>
      </c>
      <c r="E36" s="482">
        <f t="shared" ref="E36:M36" si="0">ROUND(D36*1.02,2)</f>
        <v>36.04</v>
      </c>
      <c r="F36" s="482">
        <f t="shared" si="0"/>
        <v>36.76</v>
      </c>
      <c r="G36" s="482">
        <f t="shared" si="0"/>
        <v>37.5</v>
      </c>
      <c r="H36" s="482">
        <f t="shared" si="0"/>
        <v>38.25</v>
      </c>
      <c r="I36" s="482">
        <f t="shared" si="0"/>
        <v>39.020000000000003</v>
      </c>
      <c r="J36" s="482">
        <f t="shared" si="0"/>
        <v>39.799999999999997</v>
      </c>
      <c r="K36" s="482">
        <f t="shared" si="0"/>
        <v>40.6</v>
      </c>
      <c r="L36" s="482">
        <f t="shared" si="0"/>
        <v>41.41</v>
      </c>
      <c r="M36" s="482">
        <f t="shared" si="0"/>
        <v>42.24</v>
      </c>
      <c r="N36" s="482">
        <f>ROUND(M36*1.02,2)+0.02</f>
        <v>43.1</v>
      </c>
      <c r="O36" s="490">
        <f>N36*(1+R36)</f>
        <v>43.530999999999999</v>
      </c>
      <c r="P36" s="490">
        <f>O36</f>
        <v>43.530999999999999</v>
      </c>
      <c r="Q36" s="490">
        <f>P36</f>
        <v>43.530999999999999</v>
      </c>
      <c r="R36" s="382">
        <v>0.01</v>
      </c>
      <c r="S36">
        <f>O36*2080</f>
        <v>90544.48</v>
      </c>
    </row>
    <row r="37" spans="1:19">
      <c r="B37" t="s">
        <v>119</v>
      </c>
      <c r="C37" s="482">
        <f>C36</f>
        <v>34.638900000000007</v>
      </c>
      <c r="D37" s="482">
        <f t="shared" ref="D37:P37" si="1">D36</f>
        <v>35.33</v>
      </c>
      <c r="E37" s="482">
        <f t="shared" si="1"/>
        <v>36.04</v>
      </c>
      <c r="F37" s="482">
        <f t="shared" si="1"/>
        <v>36.76</v>
      </c>
      <c r="G37" s="482">
        <f t="shared" si="1"/>
        <v>37.5</v>
      </c>
      <c r="H37" s="482">
        <f t="shared" si="1"/>
        <v>38.25</v>
      </c>
      <c r="I37" s="482">
        <f t="shared" si="1"/>
        <v>39.020000000000003</v>
      </c>
      <c r="J37" s="482">
        <f t="shared" si="1"/>
        <v>39.799999999999997</v>
      </c>
      <c r="K37" s="482">
        <f t="shared" si="1"/>
        <v>40.6</v>
      </c>
      <c r="L37" s="482">
        <f t="shared" si="1"/>
        <v>41.41</v>
      </c>
      <c r="M37" s="482">
        <f t="shared" si="1"/>
        <v>42.24</v>
      </c>
      <c r="N37" s="482">
        <f t="shared" si="1"/>
        <v>43.1</v>
      </c>
      <c r="O37" s="490">
        <f t="shared" si="1"/>
        <v>43.530999999999999</v>
      </c>
      <c r="P37" s="490">
        <f t="shared" si="1"/>
        <v>43.530999999999999</v>
      </c>
      <c r="Q37" s="490">
        <f>P37</f>
        <v>43.530999999999999</v>
      </c>
      <c r="R37" s="382">
        <f>R36</f>
        <v>0.01</v>
      </c>
    </row>
    <row r="38" spans="1:19">
      <c r="B38" t="s">
        <v>118</v>
      </c>
      <c r="C38" s="482">
        <f>ROUND(N36*1.02,2)</f>
        <v>43.96</v>
      </c>
      <c r="D38" s="482">
        <f t="shared" ref="D38:H40" si="2">ROUND(C38*1.02,2)</f>
        <v>44.84</v>
      </c>
      <c r="E38" s="482">
        <f t="shared" si="2"/>
        <v>45.74</v>
      </c>
      <c r="F38" s="482">
        <f t="shared" si="2"/>
        <v>46.65</v>
      </c>
      <c r="G38" s="482">
        <f t="shared" si="2"/>
        <v>47.58</v>
      </c>
      <c r="H38" s="482">
        <f t="shared" si="2"/>
        <v>48.53</v>
      </c>
      <c r="I38" s="490">
        <f>H38*(1+R38)</f>
        <v>49.015300000000003</v>
      </c>
      <c r="J38" s="490">
        <f t="shared" ref="J38:P38" si="3">I38</f>
        <v>49.015300000000003</v>
      </c>
      <c r="K38" s="490">
        <f t="shared" si="3"/>
        <v>49.015300000000003</v>
      </c>
      <c r="L38" s="490">
        <f t="shared" si="3"/>
        <v>49.015300000000003</v>
      </c>
      <c r="M38" s="490">
        <f t="shared" si="3"/>
        <v>49.015300000000003</v>
      </c>
      <c r="N38" s="490">
        <f t="shared" si="3"/>
        <v>49.015300000000003</v>
      </c>
      <c r="O38" s="490">
        <f t="shared" si="3"/>
        <v>49.015300000000003</v>
      </c>
      <c r="P38" s="490">
        <f t="shared" si="3"/>
        <v>49.015300000000003</v>
      </c>
      <c r="Q38" s="490">
        <f>P38</f>
        <v>49.015300000000003</v>
      </c>
      <c r="R38" s="382">
        <f>R37</f>
        <v>0.01</v>
      </c>
    </row>
    <row r="39" spans="1:19">
      <c r="B39" t="s">
        <v>117</v>
      </c>
      <c r="C39" s="482">
        <f>ROUND(H38*1.02,2)</f>
        <v>49.5</v>
      </c>
      <c r="D39" s="482">
        <f>ROUND(C39*1.02,2)+0.01</f>
        <v>50.5</v>
      </c>
      <c r="E39" s="482">
        <f t="shared" si="2"/>
        <v>51.51</v>
      </c>
      <c r="F39" s="482">
        <f>ROUND(E39*1.02,2)-0.01</f>
        <v>52.53</v>
      </c>
      <c r="G39" s="482">
        <f>ROUND(F39*1.02,2)+0.01</f>
        <v>53.589999999999996</v>
      </c>
      <c r="H39" s="482">
        <f>ROUND(G39*1.02,2)</f>
        <v>54.66</v>
      </c>
      <c r="I39" s="490">
        <f>H39*(1+R39)</f>
        <v>55.206599999999995</v>
      </c>
      <c r="J39" s="490">
        <f t="shared" ref="J39:P39" si="4">I39</f>
        <v>55.206599999999995</v>
      </c>
      <c r="K39" s="490">
        <f t="shared" si="4"/>
        <v>55.206599999999995</v>
      </c>
      <c r="L39" s="490">
        <f t="shared" si="4"/>
        <v>55.206599999999995</v>
      </c>
      <c r="M39" s="490">
        <f t="shared" si="4"/>
        <v>55.206599999999995</v>
      </c>
      <c r="N39" s="490">
        <f t="shared" si="4"/>
        <v>55.206599999999995</v>
      </c>
      <c r="O39" s="490">
        <f t="shared" si="4"/>
        <v>55.206599999999995</v>
      </c>
      <c r="P39" s="490">
        <f t="shared" si="4"/>
        <v>55.206599999999995</v>
      </c>
      <c r="Q39" s="490">
        <f>P39</f>
        <v>55.206599999999995</v>
      </c>
      <c r="R39" s="382">
        <f>R38</f>
        <v>0.01</v>
      </c>
    </row>
    <row r="40" spans="1:19">
      <c r="B40" t="s">
        <v>304</v>
      </c>
      <c r="C40" s="482">
        <f>ROUND(H39*1.02,2)+0.03</f>
        <v>55.78</v>
      </c>
      <c r="D40" s="482">
        <f t="shared" si="2"/>
        <v>56.9</v>
      </c>
      <c r="E40" s="482">
        <f t="shared" si="2"/>
        <v>58.04</v>
      </c>
      <c r="F40" s="482">
        <f t="shared" si="2"/>
        <v>59.2</v>
      </c>
      <c r="G40" s="482">
        <f t="shared" si="2"/>
        <v>60.38</v>
      </c>
      <c r="H40" s="482">
        <f t="shared" si="2"/>
        <v>61.59</v>
      </c>
      <c r="I40" s="490">
        <f>H40*(1+R40)</f>
        <v>62.205900000000007</v>
      </c>
      <c r="J40" s="490">
        <f t="shared" ref="J40" si="5">I40</f>
        <v>62.205900000000007</v>
      </c>
      <c r="K40" s="490">
        <f t="shared" ref="K40" si="6">J40</f>
        <v>62.205900000000007</v>
      </c>
      <c r="L40" s="490">
        <f t="shared" ref="L40" si="7">K40</f>
        <v>62.205900000000007</v>
      </c>
      <c r="M40" s="490">
        <f t="shared" ref="M40" si="8">L40</f>
        <v>62.205900000000007</v>
      </c>
      <c r="N40" s="490">
        <f t="shared" ref="N40" si="9">M40</f>
        <v>62.205900000000007</v>
      </c>
      <c r="O40" s="490">
        <f t="shared" ref="O40" si="10">N40</f>
        <v>62.205900000000007</v>
      </c>
      <c r="P40" s="490">
        <f t="shared" ref="P40" si="11">O40</f>
        <v>62.205900000000007</v>
      </c>
      <c r="Q40" s="490">
        <f>P40</f>
        <v>62.205900000000007</v>
      </c>
      <c r="R40" s="382">
        <f>R39</f>
        <v>0.01</v>
      </c>
    </row>
    <row r="41" spans="1:19">
      <c r="B41" t="s">
        <v>982</v>
      </c>
      <c r="C41" s="482">
        <f>C40</f>
        <v>55.78</v>
      </c>
      <c r="D41" s="482">
        <f t="shared" ref="D41:P41" si="12">D40</f>
        <v>56.9</v>
      </c>
      <c r="E41" s="482">
        <f t="shared" si="12"/>
        <v>58.04</v>
      </c>
      <c r="F41" s="482">
        <f t="shared" si="12"/>
        <v>59.2</v>
      </c>
      <c r="G41" s="482">
        <f t="shared" si="12"/>
        <v>60.38</v>
      </c>
      <c r="H41" s="482">
        <f t="shared" si="12"/>
        <v>61.59</v>
      </c>
      <c r="I41" s="490">
        <f t="shared" si="12"/>
        <v>62.205900000000007</v>
      </c>
      <c r="J41" s="490">
        <f t="shared" si="12"/>
        <v>62.205900000000007</v>
      </c>
      <c r="K41" s="490">
        <f t="shared" si="12"/>
        <v>62.205900000000007</v>
      </c>
      <c r="L41" s="490">
        <f t="shared" si="12"/>
        <v>62.205900000000007</v>
      </c>
      <c r="M41" s="490">
        <f t="shared" si="12"/>
        <v>62.205900000000007</v>
      </c>
      <c r="N41" s="490">
        <f t="shared" si="12"/>
        <v>62.205900000000007</v>
      </c>
      <c r="O41" s="490">
        <f t="shared" si="12"/>
        <v>62.205900000000007</v>
      </c>
      <c r="P41" s="490">
        <f t="shared" si="12"/>
        <v>62.205900000000007</v>
      </c>
      <c r="Q41" s="490">
        <f>P41</f>
        <v>62.205900000000007</v>
      </c>
    </row>
    <row r="42" spans="1:19">
      <c r="C42">
        <v>1</v>
      </c>
      <c r="D42">
        <v>2</v>
      </c>
      <c r="E42">
        <v>3</v>
      </c>
      <c r="F42">
        <v>4</v>
      </c>
      <c r="G42">
        <v>5</v>
      </c>
      <c r="H42">
        <v>6</v>
      </c>
      <c r="I42">
        <v>7</v>
      </c>
      <c r="J42">
        <v>8</v>
      </c>
      <c r="K42">
        <v>9</v>
      </c>
      <c r="L42">
        <v>10</v>
      </c>
      <c r="M42">
        <v>11</v>
      </c>
      <c r="N42">
        <v>12</v>
      </c>
      <c r="O42">
        <v>13</v>
      </c>
      <c r="P42">
        <v>14</v>
      </c>
      <c r="Q42">
        <v>15</v>
      </c>
    </row>
    <row r="43" spans="1:19"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</row>
    <row r="44" spans="1:19">
      <c r="C44" s="481">
        <v>46.43</v>
      </c>
      <c r="D44" s="481">
        <f>C39/C44</f>
        <v>1.0661210424294638</v>
      </c>
      <c r="E44" s="481"/>
      <c r="F44" s="481"/>
      <c r="G44" s="481"/>
      <c r="H44" s="481"/>
      <c r="I44" s="481"/>
      <c r="J44" s="481"/>
      <c r="K44" s="481"/>
      <c r="L44" s="481"/>
      <c r="M44" s="481"/>
      <c r="N44" s="481"/>
      <c r="O44" s="481"/>
      <c r="P44" s="481"/>
    </row>
    <row r="45" spans="1:19" ht="16.2" thickBot="1"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</row>
    <row r="46" spans="1:19">
      <c r="B46" s="610" t="s">
        <v>1920</v>
      </c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2"/>
    </row>
    <row r="47" spans="1:19" ht="16.2" thickBot="1">
      <c r="B47" s="613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14"/>
      <c r="Q47" s="615"/>
    </row>
    <row r="48" spans="1:19">
      <c r="A48" s="503"/>
    </row>
    <row r="49" spans="1:20">
      <c r="A49" s="503"/>
      <c r="C49">
        <v>1</v>
      </c>
      <c r="D49">
        <v>2</v>
      </c>
      <c r="E49">
        <v>3</v>
      </c>
      <c r="F49">
        <v>4</v>
      </c>
      <c r="G49">
        <v>5</v>
      </c>
      <c r="H49">
        <v>6</v>
      </c>
      <c r="I49">
        <v>7</v>
      </c>
      <c r="J49">
        <v>8</v>
      </c>
      <c r="K49">
        <v>9</v>
      </c>
      <c r="L49">
        <v>10</v>
      </c>
      <c r="M49">
        <v>11</v>
      </c>
      <c r="N49">
        <v>12</v>
      </c>
      <c r="O49">
        <v>13</v>
      </c>
      <c r="P49">
        <v>14</v>
      </c>
      <c r="Q49">
        <v>15</v>
      </c>
      <c r="R49">
        <v>16</v>
      </c>
      <c r="S49">
        <v>17</v>
      </c>
    </row>
    <row r="50" spans="1:20">
      <c r="A50" s="502">
        <v>0.03</v>
      </c>
      <c r="B50" s="535" t="s">
        <v>2599</v>
      </c>
      <c r="C50" s="482">
        <f>'Current Step Plans'!D50*(1+A50)</f>
        <v>26.234099999999998</v>
      </c>
      <c r="D50" s="482">
        <f>ROUND(C50*1.02,2)</f>
        <v>26.76</v>
      </c>
      <c r="E50" s="482">
        <f t="shared" ref="E50:Q51" si="13">ROUND(D50*1.02,2)</f>
        <v>27.3</v>
      </c>
      <c r="F50" s="482">
        <f t="shared" si="13"/>
        <v>27.85</v>
      </c>
      <c r="G50" s="482">
        <f t="shared" si="13"/>
        <v>28.41</v>
      </c>
      <c r="H50" s="482">
        <f t="shared" si="13"/>
        <v>28.98</v>
      </c>
      <c r="I50" s="482">
        <f t="shared" si="13"/>
        <v>29.56</v>
      </c>
      <c r="J50" s="482">
        <f t="shared" si="13"/>
        <v>30.15</v>
      </c>
      <c r="K50" s="482">
        <f t="shared" si="13"/>
        <v>30.75</v>
      </c>
      <c r="L50" s="482">
        <f t="shared" si="13"/>
        <v>31.37</v>
      </c>
      <c r="M50" s="482">
        <f t="shared" si="13"/>
        <v>32</v>
      </c>
      <c r="N50" s="482">
        <f t="shared" si="13"/>
        <v>32.64</v>
      </c>
      <c r="O50" s="482">
        <f>ROUND(N50*1.02,2)+0.01</f>
        <v>33.299999999999997</v>
      </c>
      <c r="P50" s="482">
        <f>ROUND(O50*1.02,2)+0.01</f>
        <v>33.979999999999997</v>
      </c>
      <c r="Q50" s="490">
        <f>ROUND(P50*1.02,2)+0.01</f>
        <v>34.669999999999995</v>
      </c>
      <c r="R50" s="490">
        <f>Q50*(1+T50)</f>
        <v>35.016699999999993</v>
      </c>
      <c r="S50" s="490">
        <f t="shared" ref="S50:S55" si="14">R50</f>
        <v>35.016699999999993</v>
      </c>
      <c r="T50" s="382">
        <v>0.01</v>
      </c>
    </row>
    <row r="51" spans="1:20">
      <c r="A51" s="502">
        <v>0.03</v>
      </c>
      <c r="B51" s="535" t="s">
        <v>2600</v>
      </c>
      <c r="C51" s="482">
        <f>'Current Step Plans'!D51*(1+A51)</f>
        <v>35.627700000000004</v>
      </c>
      <c r="D51" s="482">
        <f>ROUND(C51*1.02,2)</f>
        <v>36.340000000000003</v>
      </c>
      <c r="E51" s="482">
        <f t="shared" si="13"/>
        <v>37.07</v>
      </c>
      <c r="F51" s="482">
        <f t="shared" si="13"/>
        <v>37.81</v>
      </c>
      <c r="G51" s="482">
        <f t="shared" si="13"/>
        <v>38.57</v>
      </c>
      <c r="H51" s="482">
        <f t="shared" si="13"/>
        <v>39.340000000000003</v>
      </c>
      <c r="I51" s="482">
        <f t="shared" si="13"/>
        <v>40.130000000000003</v>
      </c>
      <c r="J51" s="482">
        <f t="shared" si="13"/>
        <v>40.93</v>
      </c>
      <c r="K51" s="482">
        <f t="shared" si="13"/>
        <v>41.75</v>
      </c>
      <c r="L51" s="482">
        <f t="shared" si="13"/>
        <v>42.59</v>
      </c>
      <c r="M51" s="482">
        <f t="shared" si="13"/>
        <v>43.44</v>
      </c>
      <c r="N51" s="482">
        <f t="shared" si="13"/>
        <v>44.31</v>
      </c>
      <c r="O51" s="482">
        <f t="shared" si="13"/>
        <v>45.2</v>
      </c>
      <c r="P51" s="482">
        <f t="shared" si="13"/>
        <v>46.1</v>
      </c>
      <c r="Q51" s="482">
        <f t="shared" si="13"/>
        <v>47.02</v>
      </c>
      <c r="R51" s="490">
        <f t="shared" ref="R51:R53" si="15">Q51*(1+T51)</f>
        <v>47.490200000000002</v>
      </c>
      <c r="S51" s="490">
        <f t="shared" si="14"/>
        <v>47.490200000000002</v>
      </c>
      <c r="T51" s="382">
        <f>T50</f>
        <v>0.01</v>
      </c>
    </row>
    <row r="52" spans="1:20">
      <c r="A52" s="504"/>
      <c r="B52" t="s">
        <v>620</v>
      </c>
      <c r="C52" s="482">
        <f>C51</f>
        <v>35.627700000000004</v>
      </c>
      <c r="D52" s="482">
        <f t="shared" ref="D52:Q53" si="16">D51</f>
        <v>36.340000000000003</v>
      </c>
      <c r="E52" s="482">
        <f t="shared" si="16"/>
        <v>37.07</v>
      </c>
      <c r="F52" s="482">
        <f t="shared" si="16"/>
        <v>37.81</v>
      </c>
      <c r="G52" s="482">
        <f t="shared" si="16"/>
        <v>38.57</v>
      </c>
      <c r="H52" s="482">
        <f t="shared" si="16"/>
        <v>39.340000000000003</v>
      </c>
      <c r="I52" s="482">
        <f t="shared" si="16"/>
        <v>40.130000000000003</v>
      </c>
      <c r="J52" s="482">
        <f t="shared" si="16"/>
        <v>40.93</v>
      </c>
      <c r="K52" s="482">
        <f t="shared" si="16"/>
        <v>41.75</v>
      </c>
      <c r="L52" s="482">
        <f t="shared" si="16"/>
        <v>42.59</v>
      </c>
      <c r="M52" s="482">
        <f t="shared" si="16"/>
        <v>43.44</v>
      </c>
      <c r="N52" s="482">
        <f t="shared" si="16"/>
        <v>44.31</v>
      </c>
      <c r="O52" s="482">
        <f t="shared" si="16"/>
        <v>45.2</v>
      </c>
      <c r="P52" s="482">
        <f t="shared" si="16"/>
        <v>46.1</v>
      </c>
      <c r="Q52" s="482">
        <f t="shared" si="16"/>
        <v>47.02</v>
      </c>
      <c r="R52" s="490">
        <f t="shared" si="15"/>
        <v>47.490200000000002</v>
      </c>
      <c r="S52" s="490">
        <f t="shared" si="14"/>
        <v>47.490200000000002</v>
      </c>
      <c r="T52" s="382">
        <f t="shared" ref="T52:T55" si="17">T51</f>
        <v>0.01</v>
      </c>
    </row>
    <row r="53" spans="1:20">
      <c r="A53" s="504"/>
      <c r="B53" t="s">
        <v>1592</v>
      </c>
      <c r="C53" s="482">
        <f>C52</f>
        <v>35.627700000000004</v>
      </c>
      <c r="D53" s="482">
        <f t="shared" si="16"/>
        <v>36.340000000000003</v>
      </c>
      <c r="E53" s="482">
        <f t="shared" si="16"/>
        <v>37.07</v>
      </c>
      <c r="F53" s="482">
        <f t="shared" si="16"/>
        <v>37.81</v>
      </c>
      <c r="G53" s="482">
        <f t="shared" si="16"/>
        <v>38.57</v>
      </c>
      <c r="H53" s="482">
        <f t="shared" si="16"/>
        <v>39.340000000000003</v>
      </c>
      <c r="I53" s="482">
        <f t="shared" si="16"/>
        <v>40.130000000000003</v>
      </c>
      <c r="J53" s="482">
        <f t="shared" si="16"/>
        <v>40.93</v>
      </c>
      <c r="K53" s="482">
        <f t="shared" si="16"/>
        <v>41.75</v>
      </c>
      <c r="L53" s="482">
        <f t="shared" si="16"/>
        <v>42.59</v>
      </c>
      <c r="M53" s="482">
        <f t="shared" si="16"/>
        <v>43.44</v>
      </c>
      <c r="N53" s="482">
        <f t="shared" si="16"/>
        <v>44.31</v>
      </c>
      <c r="O53" s="482">
        <f t="shared" si="16"/>
        <v>45.2</v>
      </c>
      <c r="P53" s="482">
        <f t="shared" si="16"/>
        <v>46.1</v>
      </c>
      <c r="Q53" s="482">
        <f t="shared" si="16"/>
        <v>47.02</v>
      </c>
      <c r="R53" s="490">
        <f t="shared" si="15"/>
        <v>47.490200000000002</v>
      </c>
      <c r="S53" s="490">
        <f t="shared" si="14"/>
        <v>47.490200000000002</v>
      </c>
      <c r="T53" s="382">
        <f t="shared" si="17"/>
        <v>0.01</v>
      </c>
    </row>
    <row r="54" spans="1:20">
      <c r="A54" s="502">
        <v>0.04</v>
      </c>
      <c r="B54" t="s">
        <v>126</v>
      </c>
      <c r="C54" s="482">
        <f>'Current Step Plans'!D54*(1+A54)</f>
        <v>21.517600000000002</v>
      </c>
      <c r="D54" s="482">
        <f>ROUND(C54*1.02,2)</f>
        <v>21.95</v>
      </c>
      <c r="E54" s="482">
        <f t="shared" ref="E54:P55" si="18">ROUND(D54*1.02,2)</f>
        <v>22.39</v>
      </c>
      <c r="F54" s="482">
        <f t="shared" si="18"/>
        <v>22.84</v>
      </c>
      <c r="G54" s="482">
        <f t="shared" si="18"/>
        <v>23.3</v>
      </c>
      <c r="H54" s="482">
        <f t="shared" si="18"/>
        <v>23.77</v>
      </c>
      <c r="I54" s="482">
        <f t="shared" si="18"/>
        <v>24.25</v>
      </c>
      <c r="J54" s="482">
        <f t="shared" si="18"/>
        <v>24.74</v>
      </c>
      <c r="K54" s="482">
        <f t="shared" si="18"/>
        <v>25.23</v>
      </c>
      <c r="L54" s="482">
        <f t="shared" si="18"/>
        <v>25.73</v>
      </c>
      <c r="M54" s="482">
        <f t="shared" si="18"/>
        <v>26.24</v>
      </c>
      <c r="N54" s="482">
        <f t="shared" si="18"/>
        <v>26.76</v>
      </c>
      <c r="O54" s="482">
        <f t="shared" si="18"/>
        <v>27.3</v>
      </c>
      <c r="P54" s="482">
        <f t="shared" si="18"/>
        <v>27.85</v>
      </c>
      <c r="Q54" s="490">
        <f>P54*(1+T54)</f>
        <v>28.128500000000003</v>
      </c>
      <c r="R54" s="490">
        <f>Q54</f>
        <v>28.128500000000003</v>
      </c>
      <c r="S54" s="490">
        <f t="shared" si="14"/>
        <v>28.128500000000003</v>
      </c>
      <c r="T54" s="382">
        <f t="shared" si="17"/>
        <v>0.01</v>
      </c>
    </row>
    <row r="55" spans="1:20">
      <c r="A55" s="502">
        <v>0.04</v>
      </c>
      <c r="B55" t="s">
        <v>1556</v>
      </c>
      <c r="C55" s="482">
        <f>'Current Step Plans'!D55*(1+A55)</f>
        <v>27.975999999999999</v>
      </c>
      <c r="D55" s="482">
        <f>ROUND(C55*1.02,2)</f>
        <v>28.54</v>
      </c>
      <c r="E55" s="482">
        <f t="shared" si="18"/>
        <v>29.11</v>
      </c>
      <c r="F55" s="482">
        <f t="shared" si="18"/>
        <v>29.69</v>
      </c>
      <c r="G55" s="482">
        <f t="shared" si="18"/>
        <v>30.28</v>
      </c>
      <c r="H55" s="482">
        <f t="shared" si="18"/>
        <v>30.89</v>
      </c>
      <c r="I55" s="482">
        <f t="shared" si="18"/>
        <v>31.51</v>
      </c>
      <c r="J55" s="482">
        <f t="shared" si="18"/>
        <v>32.14</v>
      </c>
      <c r="K55" s="482">
        <f t="shared" si="18"/>
        <v>32.78</v>
      </c>
      <c r="L55" s="482">
        <f t="shared" si="18"/>
        <v>33.44</v>
      </c>
      <c r="M55" s="482">
        <f t="shared" si="18"/>
        <v>34.11</v>
      </c>
      <c r="N55" s="482">
        <f t="shared" si="18"/>
        <v>34.79</v>
      </c>
      <c r="O55" s="482">
        <f t="shared" si="18"/>
        <v>35.49</v>
      </c>
      <c r="P55" s="482">
        <f t="shared" si="18"/>
        <v>36.200000000000003</v>
      </c>
      <c r="Q55" s="490">
        <f>P55*(1+T55)</f>
        <v>36.562000000000005</v>
      </c>
      <c r="R55" s="490">
        <f>Q55</f>
        <v>36.562000000000005</v>
      </c>
      <c r="S55" s="490">
        <f t="shared" si="14"/>
        <v>36.562000000000005</v>
      </c>
      <c r="T55" s="382">
        <f t="shared" si="17"/>
        <v>0.01</v>
      </c>
    </row>
    <row r="56" spans="1:20">
      <c r="A56" s="503"/>
      <c r="C56">
        <v>1</v>
      </c>
      <c r="D56">
        <v>2</v>
      </c>
      <c r="E56">
        <v>3</v>
      </c>
      <c r="F56">
        <v>4</v>
      </c>
      <c r="G56">
        <v>5</v>
      </c>
      <c r="H56">
        <v>6</v>
      </c>
      <c r="I56">
        <v>7</v>
      </c>
      <c r="J56">
        <v>8</v>
      </c>
      <c r="K56">
        <v>9</v>
      </c>
      <c r="L56">
        <v>10</v>
      </c>
      <c r="M56">
        <v>11</v>
      </c>
      <c r="N56">
        <v>12</v>
      </c>
      <c r="O56">
        <v>13</v>
      </c>
      <c r="P56">
        <v>14</v>
      </c>
      <c r="Q56">
        <v>15</v>
      </c>
      <c r="R56">
        <v>16</v>
      </c>
      <c r="S56">
        <v>15</v>
      </c>
    </row>
    <row r="57" spans="1:20">
      <c r="A57" s="503"/>
      <c r="C57" s="482"/>
      <c r="D57" s="482"/>
      <c r="E57" s="482"/>
      <c r="F57" s="482"/>
      <c r="G57" s="482"/>
      <c r="H57" s="482"/>
      <c r="I57" s="482"/>
      <c r="J57" s="482"/>
      <c r="K57" s="482"/>
      <c r="L57" s="482"/>
      <c r="M57" s="482"/>
      <c r="N57" s="482"/>
      <c r="O57" s="482"/>
      <c r="P57" s="482"/>
    </row>
    <row r="58" spans="1:20">
      <c r="A58" s="503"/>
      <c r="C58" s="482">
        <f>C50*2080</f>
        <v>54566.927999999993</v>
      </c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/>
    </row>
    <row r="60" spans="1:20" ht="16.2" thickBot="1"/>
    <row r="61" spans="1:20">
      <c r="B61" s="610" t="s">
        <v>1921</v>
      </c>
      <c r="C61" s="611"/>
      <c r="D61" s="611"/>
      <c r="E61" s="611"/>
      <c r="F61" s="611"/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2"/>
    </row>
    <row r="62" spans="1:20" ht="16.2" thickBot="1">
      <c r="B62" s="613"/>
      <c r="C62" s="614"/>
      <c r="D62" s="614"/>
      <c r="E62" s="614"/>
      <c r="F62" s="614"/>
      <c r="G62" s="614"/>
      <c r="H62" s="614"/>
      <c r="I62" s="614"/>
      <c r="J62" s="614"/>
      <c r="K62" s="614"/>
      <c r="L62" s="614"/>
      <c r="M62" s="614"/>
      <c r="N62" s="614"/>
      <c r="O62" s="614"/>
      <c r="P62" s="614"/>
      <c r="Q62" s="615"/>
    </row>
    <row r="63" spans="1:20">
      <c r="A63" s="86"/>
    </row>
    <row r="64" spans="1:20">
      <c r="A64" s="86"/>
      <c r="C64">
        <v>1</v>
      </c>
      <c r="D64">
        <v>2</v>
      </c>
      <c r="E64">
        <v>3</v>
      </c>
      <c r="F64">
        <v>4</v>
      </c>
      <c r="G64">
        <v>5</v>
      </c>
      <c r="H64">
        <v>6</v>
      </c>
      <c r="I64">
        <v>7</v>
      </c>
      <c r="J64">
        <v>8</v>
      </c>
      <c r="K64">
        <v>9</v>
      </c>
      <c r="L64">
        <v>10</v>
      </c>
      <c r="M64">
        <v>11</v>
      </c>
      <c r="N64">
        <v>12</v>
      </c>
      <c r="O64">
        <v>13</v>
      </c>
      <c r="P64">
        <v>14</v>
      </c>
      <c r="Q64">
        <v>15</v>
      </c>
    </row>
    <row r="65" spans="1:18">
      <c r="A65" s="502">
        <v>0.03</v>
      </c>
      <c r="B65" t="s">
        <v>1095</v>
      </c>
      <c r="C65" s="482">
        <f>'Current Step Plans'!D65*(1+A65)</f>
        <v>22.989599999999999</v>
      </c>
      <c r="D65" s="482">
        <f>ROUND(C65*1.02,2)</f>
        <v>23.45</v>
      </c>
      <c r="E65" s="482">
        <f t="shared" ref="E65:G66" si="19">ROUND(D65*1.02,2)</f>
        <v>23.92</v>
      </c>
      <c r="F65" s="482">
        <f t="shared" si="19"/>
        <v>24.4</v>
      </c>
      <c r="G65" s="482">
        <f t="shared" si="19"/>
        <v>24.89</v>
      </c>
      <c r="H65" s="490">
        <f>G65*(1+R65)</f>
        <v>25.1389</v>
      </c>
      <c r="I65" s="490">
        <f>H65</f>
        <v>25.1389</v>
      </c>
      <c r="J65" s="490">
        <f t="shared" ref="J65:P65" si="20">I65</f>
        <v>25.1389</v>
      </c>
      <c r="K65" s="490">
        <f t="shared" si="20"/>
        <v>25.1389</v>
      </c>
      <c r="L65" s="490">
        <f t="shared" si="20"/>
        <v>25.1389</v>
      </c>
      <c r="M65" s="490">
        <f t="shared" si="20"/>
        <v>25.1389</v>
      </c>
      <c r="N65" s="490">
        <f t="shared" si="20"/>
        <v>25.1389</v>
      </c>
      <c r="O65" s="490">
        <f t="shared" si="20"/>
        <v>25.1389</v>
      </c>
      <c r="P65" s="490">
        <f t="shared" si="20"/>
        <v>25.1389</v>
      </c>
      <c r="Q65" s="490">
        <f>P65</f>
        <v>25.1389</v>
      </c>
      <c r="R65" s="273">
        <f>R40</f>
        <v>0.01</v>
      </c>
    </row>
    <row r="66" spans="1:18">
      <c r="A66" s="502">
        <f>A65</f>
        <v>0.03</v>
      </c>
      <c r="B66" t="s">
        <v>132</v>
      </c>
      <c r="C66" s="482">
        <f>'Current Step Plans'!D66*(1+A66)</f>
        <v>24.678800000000003</v>
      </c>
      <c r="D66" s="482">
        <f>ROUND(C66*1.02,2)</f>
        <v>25.17</v>
      </c>
      <c r="E66" s="482">
        <f t="shared" si="19"/>
        <v>25.67</v>
      </c>
      <c r="F66" s="482">
        <f t="shared" si="19"/>
        <v>26.18</v>
      </c>
      <c r="G66" s="482">
        <f t="shared" si="19"/>
        <v>26.7</v>
      </c>
      <c r="H66" s="482">
        <f t="shared" ref="H66:N66" si="21">ROUND(G66*1.02,2)</f>
        <v>27.23</v>
      </c>
      <c r="I66" s="482">
        <f t="shared" si="21"/>
        <v>27.77</v>
      </c>
      <c r="J66" s="482">
        <f t="shared" si="21"/>
        <v>28.33</v>
      </c>
      <c r="K66" s="482">
        <f t="shared" si="21"/>
        <v>28.9</v>
      </c>
      <c r="L66" s="482">
        <f t="shared" si="21"/>
        <v>29.48</v>
      </c>
      <c r="M66" s="482">
        <f t="shared" si="21"/>
        <v>30.07</v>
      </c>
      <c r="N66" s="482">
        <f t="shared" si="21"/>
        <v>30.67</v>
      </c>
      <c r="O66" s="490">
        <f>N66*(1+R66)</f>
        <v>30.976700000000001</v>
      </c>
      <c r="P66" s="490">
        <f>O66</f>
        <v>30.976700000000001</v>
      </c>
      <c r="Q66" s="490">
        <f>P66</f>
        <v>30.976700000000001</v>
      </c>
      <c r="R66" s="273">
        <f>R65</f>
        <v>0.01</v>
      </c>
    </row>
    <row r="67" spans="1:18">
      <c r="A67" s="86"/>
      <c r="B67" t="s">
        <v>1918</v>
      </c>
      <c r="C67" s="482">
        <f>C66</f>
        <v>24.678800000000003</v>
      </c>
      <c r="D67" s="482">
        <f t="shared" ref="D67:P67" si="22">D66</f>
        <v>25.17</v>
      </c>
      <c r="E67" s="482">
        <f t="shared" si="22"/>
        <v>25.67</v>
      </c>
      <c r="F67" s="482">
        <f t="shared" si="22"/>
        <v>26.18</v>
      </c>
      <c r="G67" s="482">
        <f t="shared" si="22"/>
        <v>26.7</v>
      </c>
      <c r="H67" s="482">
        <f t="shared" si="22"/>
        <v>27.23</v>
      </c>
      <c r="I67" s="482">
        <f t="shared" si="22"/>
        <v>27.77</v>
      </c>
      <c r="J67" s="482">
        <f t="shared" si="22"/>
        <v>28.33</v>
      </c>
      <c r="K67" s="482">
        <f t="shared" si="22"/>
        <v>28.9</v>
      </c>
      <c r="L67" s="482">
        <f t="shared" si="22"/>
        <v>29.48</v>
      </c>
      <c r="M67" s="482">
        <f t="shared" si="22"/>
        <v>30.07</v>
      </c>
      <c r="N67" s="482">
        <f t="shared" si="22"/>
        <v>30.67</v>
      </c>
      <c r="O67" s="490">
        <f t="shared" si="22"/>
        <v>30.976700000000001</v>
      </c>
      <c r="P67" s="490">
        <f t="shared" si="22"/>
        <v>30.976700000000001</v>
      </c>
      <c r="Q67" s="490">
        <f>P67</f>
        <v>30.976700000000001</v>
      </c>
      <c r="R67" s="273">
        <f>R66</f>
        <v>0.01</v>
      </c>
    </row>
    <row r="68" spans="1:18">
      <c r="A68" s="86"/>
      <c r="B68" t="s">
        <v>133</v>
      </c>
      <c r="C68" s="482">
        <f>ROUND(L66,2)</f>
        <v>29.48</v>
      </c>
      <c r="D68" s="482">
        <f t="shared" ref="D68:K68" si="23">ROUND(C68*1.02,2)</f>
        <v>30.07</v>
      </c>
      <c r="E68" s="482">
        <f t="shared" si="23"/>
        <v>30.67</v>
      </c>
      <c r="F68" s="482">
        <f t="shared" si="23"/>
        <v>31.28</v>
      </c>
      <c r="G68" s="482">
        <f t="shared" si="23"/>
        <v>31.91</v>
      </c>
      <c r="H68" s="482">
        <f t="shared" si="23"/>
        <v>32.549999999999997</v>
      </c>
      <c r="I68" s="482">
        <f t="shared" si="23"/>
        <v>33.200000000000003</v>
      </c>
      <c r="J68" s="482">
        <f t="shared" si="23"/>
        <v>33.86</v>
      </c>
      <c r="K68" s="482">
        <f t="shared" si="23"/>
        <v>34.54</v>
      </c>
      <c r="L68" s="490">
        <f>K68*(1+R68)</f>
        <v>34.885399999999997</v>
      </c>
      <c r="M68" s="490">
        <f>L68</f>
        <v>34.885399999999997</v>
      </c>
      <c r="N68" s="490">
        <f>M68</f>
        <v>34.885399999999997</v>
      </c>
      <c r="O68" s="490">
        <f>N68</f>
        <v>34.885399999999997</v>
      </c>
      <c r="P68" s="490">
        <f>O68</f>
        <v>34.885399999999997</v>
      </c>
      <c r="Q68" s="490">
        <f>P68</f>
        <v>34.885399999999997</v>
      </c>
      <c r="R68" s="273">
        <f t="shared" ref="R68:R74" si="24">R67</f>
        <v>0.01</v>
      </c>
    </row>
    <row r="69" spans="1:18">
      <c r="A69" s="86"/>
      <c r="B69" t="s">
        <v>134</v>
      </c>
      <c r="C69" s="482">
        <f>C68</f>
        <v>29.48</v>
      </c>
      <c r="D69" s="482">
        <f t="shared" ref="D69:K69" si="25">D68</f>
        <v>30.07</v>
      </c>
      <c r="E69" s="482">
        <f t="shared" si="25"/>
        <v>30.67</v>
      </c>
      <c r="F69" s="482">
        <f t="shared" si="25"/>
        <v>31.28</v>
      </c>
      <c r="G69" s="482">
        <f t="shared" si="25"/>
        <v>31.91</v>
      </c>
      <c r="H69" s="482">
        <f t="shared" si="25"/>
        <v>32.549999999999997</v>
      </c>
      <c r="I69" s="482">
        <f t="shared" si="25"/>
        <v>33.200000000000003</v>
      </c>
      <c r="J69" s="482">
        <f t="shared" si="25"/>
        <v>33.86</v>
      </c>
      <c r="K69" s="482">
        <f t="shared" si="25"/>
        <v>34.54</v>
      </c>
      <c r="L69" s="490">
        <f>L68</f>
        <v>34.885399999999997</v>
      </c>
      <c r="M69" s="490">
        <f>M68</f>
        <v>34.885399999999997</v>
      </c>
      <c r="N69" s="490">
        <f>M69</f>
        <v>34.885399999999997</v>
      </c>
      <c r="O69" s="490">
        <f t="shared" ref="O69:Q69" si="26">N69</f>
        <v>34.885399999999997</v>
      </c>
      <c r="P69" s="490">
        <f t="shared" si="26"/>
        <v>34.885399999999997</v>
      </c>
      <c r="Q69" s="490">
        <f t="shared" si="26"/>
        <v>34.885399999999997</v>
      </c>
      <c r="R69" s="273">
        <f t="shared" si="24"/>
        <v>0.01</v>
      </c>
    </row>
    <row r="70" spans="1:18">
      <c r="A70" s="86"/>
      <c r="B70" t="s">
        <v>131</v>
      </c>
      <c r="C70" s="482">
        <f>ROUND(K68*1.01425,2)-0.03</f>
        <v>35</v>
      </c>
      <c r="D70" s="482">
        <f t="shared" ref="D70:K73" si="27">ROUND(C70*1.02,2)</f>
        <v>35.700000000000003</v>
      </c>
      <c r="E70" s="482">
        <f t="shared" si="27"/>
        <v>36.409999999999997</v>
      </c>
      <c r="F70" s="482">
        <f t="shared" si="27"/>
        <v>37.14</v>
      </c>
      <c r="G70" s="482">
        <f t="shared" si="27"/>
        <v>37.880000000000003</v>
      </c>
      <c r="H70" s="482">
        <f t="shared" si="27"/>
        <v>38.64</v>
      </c>
      <c r="I70" s="482">
        <f t="shared" si="27"/>
        <v>39.409999999999997</v>
      </c>
      <c r="J70" s="482">
        <f t="shared" si="27"/>
        <v>40.200000000000003</v>
      </c>
      <c r="K70" s="482">
        <f t="shared" si="27"/>
        <v>41</v>
      </c>
      <c r="L70" s="490">
        <f>K70*(1+R70)</f>
        <v>41.410000000000004</v>
      </c>
      <c r="M70" s="490">
        <f>L70</f>
        <v>41.410000000000004</v>
      </c>
      <c r="N70" s="490">
        <f>M70</f>
        <v>41.410000000000004</v>
      </c>
      <c r="O70" s="490">
        <f t="shared" ref="O70:Q70" si="28">N70</f>
        <v>41.410000000000004</v>
      </c>
      <c r="P70" s="490">
        <f t="shared" si="28"/>
        <v>41.410000000000004</v>
      </c>
      <c r="Q70" s="490">
        <f t="shared" si="28"/>
        <v>41.410000000000004</v>
      </c>
      <c r="R70" s="273">
        <f t="shared" si="24"/>
        <v>0.01</v>
      </c>
    </row>
    <row r="71" spans="1:18">
      <c r="A71" s="504"/>
      <c r="B71" t="s">
        <v>135</v>
      </c>
      <c r="C71" s="482">
        <f>ROUND(I70*1.01425,2)</f>
        <v>39.97</v>
      </c>
      <c r="D71" s="482">
        <f t="shared" si="27"/>
        <v>40.770000000000003</v>
      </c>
      <c r="E71" s="482">
        <f t="shared" si="27"/>
        <v>41.59</v>
      </c>
      <c r="F71" s="482">
        <f t="shared" si="27"/>
        <v>42.42</v>
      </c>
      <c r="G71" s="482">
        <f>ROUND(F71*1.02,2)-0.01</f>
        <v>43.260000000000005</v>
      </c>
      <c r="H71" s="482">
        <f t="shared" si="27"/>
        <v>44.13</v>
      </c>
      <c r="I71" s="482">
        <f t="shared" si="27"/>
        <v>45.01</v>
      </c>
      <c r="J71" s="490">
        <f>I71*(1+R71)</f>
        <v>45.460099999999997</v>
      </c>
      <c r="K71" s="490">
        <f>J71</f>
        <v>45.460099999999997</v>
      </c>
      <c r="L71" s="490">
        <f>K71</f>
        <v>45.460099999999997</v>
      </c>
      <c r="M71" s="490">
        <f t="shared" ref="M71:O72" si="29">L71</f>
        <v>45.460099999999997</v>
      </c>
      <c r="N71" s="490">
        <f t="shared" si="29"/>
        <v>45.460099999999997</v>
      </c>
      <c r="O71" s="490">
        <f t="shared" si="29"/>
        <v>45.460099999999997</v>
      </c>
      <c r="P71" s="490">
        <f>O71</f>
        <v>45.460099999999997</v>
      </c>
      <c r="Q71" s="490">
        <f t="shared" ref="L71:Q74" si="30">P71</f>
        <v>45.460099999999997</v>
      </c>
      <c r="R71" s="273">
        <f t="shared" si="24"/>
        <v>0.01</v>
      </c>
    </row>
    <row r="72" spans="1:18">
      <c r="A72" s="504"/>
      <c r="B72" t="s">
        <v>130</v>
      </c>
      <c r="C72" s="482">
        <f>C68*2912/2080</f>
        <v>41.271999999999998</v>
      </c>
      <c r="D72" s="482">
        <f t="shared" si="27"/>
        <v>42.1</v>
      </c>
      <c r="E72" s="482">
        <f t="shared" si="27"/>
        <v>42.94</v>
      </c>
      <c r="F72" s="482">
        <f t="shared" si="27"/>
        <v>43.8</v>
      </c>
      <c r="G72" s="482">
        <f t="shared" si="27"/>
        <v>44.68</v>
      </c>
      <c r="H72" s="482">
        <f t="shared" si="27"/>
        <v>45.57</v>
      </c>
      <c r="I72" s="482">
        <f t="shared" si="27"/>
        <v>46.48</v>
      </c>
      <c r="J72" s="490">
        <f t="shared" si="27"/>
        <v>47.41</v>
      </c>
      <c r="K72" s="490">
        <f>J72</f>
        <v>47.41</v>
      </c>
      <c r="L72" s="490">
        <f t="shared" ref="L72" si="31">K72</f>
        <v>47.41</v>
      </c>
      <c r="M72" s="490">
        <f t="shared" si="29"/>
        <v>47.41</v>
      </c>
      <c r="N72" s="490">
        <f t="shared" si="29"/>
        <v>47.41</v>
      </c>
      <c r="O72" s="490">
        <f t="shared" si="29"/>
        <v>47.41</v>
      </c>
      <c r="P72" s="490">
        <f t="shared" ref="P72" si="32">O72</f>
        <v>47.41</v>
      </c>
      <c r="Q72" s="490">
        <f t="shared" si="30"/>
        <v>47.41</v>
      </c>
      <c r="R72" s="273">
        <f t="shared" si="24"/>
        <v>0.01</v>
      </c>
    </row>
    <row r="73" spans="1:18">
      <c r="A73" s="504"/>
      <c r="B73" t="s">
        <v>592</v>
      </c>
      <c r="C73" s="482">
        <f>C71*2912/2080</f>
        <v>55.957999999999998</v>
      </c>
      <c r="D73" s="482">
        <f t="shared" si="27"/>
        <v>57.08</v>
      </c>
      <c r="E73" s="482">
        <f t="shared" si="27"/>
        <v>58.22</v>
      </c>
      <c r="F73" s="482">
        <f t="shared" si="27"/>
        <v>59.38</v>
      </c>
      <c r="G73" s="482">
        <f t="shared" si="27"/>
        <v>60.57</v>
      </c>
      <c r="H73" s="482">
        <f t="shared" si="27"/>
        <v>61.78</v>
      </c>
      <c r="I73" s="482">
        <f t="shared" si="27"/>
        <v>63.02</v>
      </c>
      <c r="J73" s="490">
        <f t="shared" si="27"/>
        <v>64.28</v>
      </c>
      <c r="K73" s="490">
        <f>J73</f>
        <v>64.28</v>
      </c>
      <c r="L73" s="490">
        <f t="shared" si="30"/>
        <v>64.28</v>
      </c>
      <c r="M73" s="490">
        <f t="shared" si="30"/>
        <v>64.28</v>
      </c>
      <c r="N73" s="490">
        <f t="shared" si="30"/>
        <v>64.28</v>
      </c>
      <c r="O73" s="490">
        <f t="shared" si="30"/>
        <v>64.28</v>
      </c>
      <c r="P73" s="490">
        <f t="shared" si="30"/>
        <v>64.28</v>
      </c>
      <c r="Q73" s="490">
        <f t="shared" si="30"/>
        <v>64.28</v>
      </c>
      <c r="R73" s="273">
        <f t="shared" si="24"/>
        <v>0.01</v>
      </c>
    </row>
    <row r="74" spans="1:18">
      <c r="A74" s="504"/>
      <c r="B74" t="s">
        <v>128</v>
      </c>
      <c r="C74" s="482">
        <f>C73</f>
        <v>55.957999999999998</v>
      </c>
      <c r="D74" s="482">
        <f t="shared" ref="D74:K74" si="33">D73</f>
        <v>57.08</v>
      </c>
      <c r="E74" s="482">
        <f t="shared" si="33"/>
        <v>58.22</v>
      </c>
      <c r="F74" s="482">
        <f t="shared" si="33"/>
        <v>59.38</v>
      </c>
      <c r="G74" s="482">
        <f t="shared" si="33"/>
        <v>60.57</v>
      </c>
      <c r="H74" s="482">
        <f t="shared" si="33"/>
        <v>61.78</v>
      </c>
      <c r="I74" s="482">
        <f t="shared" si="33"/>
        <v>63.02</v>
      </c>
      <c r="J74" s="482">
        <f t="shared" si="33"/>
        <v>64.28</v>
      </c>
      <c r="K74" s="490">
        <f t="shared" si="33"/>
        <v>64.28</v>
      </c>
      <c r="L74" s="490">
        <f t="shared" si="30"/>
        <v>64.28</v>
      </c>
      <c r="M74" s="490">
        <f t="shared" si="30"/>
        <v>64.28</v>
      </c>
      <c r="N74" s="490">
        <f t="shared" si="30"/>
        <v>64.28</v>
      </c>
      <c r="O74" s="490">
        <f t="shared" si="30"/>
        <v>64.28</v>
      </c>
      <c r="P74" s="490">
        <f t="shared" si="30"/>
        <v>64.28</v>
      </c>
      <c r="Q74" s="490">
        <f t="shared" si="30"/>
        <v>64.28</v>
      </c>
      <c r="R74" s="273">
        <f t="shared" si="24"/>
        <v>0.01</v>
      </c>
    </row>
    <row r="75" spans="1:18">
      <c r="A75" s="86"/>
      <c r="C75">
        <v>1</v>
      </c>
      <c r="D75">
        <v>2</v>
      </c>
      <c r="E75">
        <v>3</v>
      </c>
      <c r="F75">
        <v>4</v>
      </c>
      <c r="G75">
        <v>5</v>
      </c>
      <c r="H75">
        <v>6</v>
      </c>
      <c r="I75">
        <v>7</v>
      </c>
      <c r="J75">
        <v>8</v>
      </c>
      <c r="K75">
        <v>9</v>
      </c>
      <c r="L75">
        <v>10</v>
      </c>
      <c r="M75">
        <v>11</v>
      </c>
      <c r="N75">
        <v>12</v>
      </c>
      <c r="O75">
        <v>13</v>
      </c>
      <c r="P75">
        <v>14</v>
      </c>
      <c r="Q75">
        <v>15</v>
      </c>
    </row>
    <row r="76" spans="1:18">
      <c r="J76">
        <f>J71*2912</f>
        <v>132379.8112</v>
      </c>
    </row>
    <row r="77" spans="1:18">
      <c r="J77">
        <f>J73*2080</f>
        <v>133702.39999999999</v>
      </c>
    </row>
    <row r="78" spans="1:18">
      <c r="C78">
        <v>27.65</v>
      </c>
    </row>
    <row r="79" spans="1:18">
      <c r="C79">
        <f>C68/C78</f>
        <v>1.0661844484629295</v>
      </c>
      <c r="I79">
        <f>123090*1.035</f>
        <v>127398.15</v>
      </c>
    </row>
  </sheetData>
  <mergeCells count="4">
    <mergeCell ref="B32:Q33"/>
    <mergeCell ref="B46:Q47"/>
    <mergeCell ref="B61:Q62"/>
    <mergeCell ref="Q30:S3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7:R75"/>
  <sheetViews>
    <sheetView topLeftCell="A29" workbookViewId="0">
      <selection activeCell="O36" sqref="O36"/>
    </sheetView>
  </sheetViews>
  <sheetFormatPr defaultRowHeight="15.6"/>
  <cols>
    <col min="1" max="1" width="16.1796875" customWidth="1"/>
    <col min="2" max="2" width="27.54296875" customWidth="1"/>
    <col min="3" max="3" width="15.453125" customWidth="1"/>
    <col min="15" max="15" width="19.6328125" customWidth="1"/>
    <col min="16" max="16" width="10.453125" bestFit="1" customWidth="1"/>
  </cols>
  <sheetData>
    <row r="7" spans="3:7">
      <c r="C7" s="86"/>
      <c r="G7" s="382"/>
    </row>
    <row r="8" spans="3:7">
      <c r="C8" s="86"/>
      <c r="G8" s="382"/>
    </row>
    <row r="9" spans="3:7">
      <c r="C9" s="86"/>
      <c r="G9" s="382"/>
    </row>
    <row r="10" spans="3:7">
      <c r="C10" s="86"/>
      <c r="G10" s="382"/>
    </row>
    <row r="11" spans="3:7">
      <c r="C11" s="86"/>
      <c r="G11" s="382"/>
    </row>
    <row r="12" spans="3:7">
      <c r="C12" s="86"/>
      <c r="G12" s="382"/>
    </row>
    <row r="13" spans="3:7">
      <c r="C13" s="86"/>
      <c r="G13" s="382"/>
    </row>
    <row r="14" spans="3:7">
      <c r="C14" s="86"/>
      <c r="G14" s="382"/>
    </row>
    <row r="15" spans="3:7">
      <c r="C15" s="86"/>
      <c r="G15" s="382"/>
    </row>
    <row r="16" spans="3:7">
      <c r="C16" s="86"/>
      <c r="G16" s="382"/>
    </row>
    <row r="17" spans="2:17">
      <c r="C17" s="86"/>
      <c r="G17" s="382"/>
    </row>
    <row r="18" spans="2:17">
      <c r="C18" s="86"/>
      <c r="G18" s="382"/>
    </row>
    <row r="19" spans="2:17">
      <c r="C19" s="86"/>
      <c r="G19" s="382"/>
    </row>
    <row r="20" spans="2:17">
      <c r="C20" s="86"/>
      <c r="G20" s="382"/>
      <c r="K20">
        <v>15.61</v>
      </c>
    </row>
    <row r="21" spans="2:17">
      <c r="C21" s="86"/>
      <c r="G21" s="382"/>
      <c r="K21">
        <f>K20*1.025</f>
        <v>16.000249999999998</v>
      </c>
    </row>
    <row r="22" spans="2:17">
      <c r="C22" s="86"/>
      <c r="G22" s="382"/>
      <c r="K22">
        <f>K20-K21</f>
        <v>-0.39024999999999821</v>
      </c>
    </row>
    <row r="23" spans="2:17">
      <c r="C23" s="86"/>
      <c r="G23" s="382"/>
      <c r="K23">
        <f>K22*2080</f>
        <v>-811.71999999999628</v>
      </c>
    </row>
    <row r="27" spans="2:17">
      <c r="F27">
        <v>32884.800000000003</v>
      </c>
      <c r="G27">
        <f>F27*1.0375</f>
        <v>34117.980000000003</v>
      </c>
    </row>
    <row r="28" spans="2:17">
      <c r="C28">
        <f>C36*2080</f>
        <v>68577.599999999991</v>
      </c>
      <c r="F28">
        <f>F27/2080</f>
        <v>15.810000000000002</v>
      </c>
    </row>
    <row r="30" spans="2:17">
      <c r="D30">
        <f>16.44*2080</f>
        <v>34195.200000000004</v>
      </c>
    </row>
    <row r="31" spans="2:17" ht="16.2" thickBot="1"/>
    <row r="32" spans="2:17">
      <c r="B32" s="610" t="s">
        <v>1919</v>
      </c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2"/>
    </row>
    <row r="33" spans="1:18" ht="16.2" thickBot="1">
      <c r="B33" s="613"/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  <c r="N33" s="614"/>
      <c r="O33" s="614"/>
      <c r="P33" s="614"/>
      <c r="Q33" s="615"/>
    </row>
    <row r="35" spans="1:18">
      <c r="C35">
        <v>1</v>
      </c>
      <c r="D35">
        <v>2</v>
      </c>
      <c r="E35">
        <v>3</v>
      </c>
      <c r="F35">
        <v>4</v>
      </c>
      <c r="G35">
        <v>5</v>
      </c>
      <c r="H35">
        <v>6</v>
      </c>
      <c r="I35">
        <v>7</v>
      </c>
      <c r="J35">
        <v>8</v>
      </c>
      <c r="K35">
        <v>9</v>
      </c>
      <c r="L35">
        <v>10</v>
      </c>
      <c r="M35">
        <v>11</v>
      </c>
      <c r="N35">
        <v>12</v>
      </c>
      <c r="O35">
        <v>13</v>
      </c>
      <c r="P35">
        <v>14</v>
      </c>
      <c r="Q35">
        <v>15</v>
      </c>
    </row>
    <row r="36" spans="1:18">
      <c r="B36" t="s">
        <v>116</v>
      </c>
      <c r="C36" s="482">
        <v>32.97</v>
      </c>
      <c r="D36" s="482">
        <f>ROUND(C36*1.02,2)</f>
        <v>33.630000000000003</v>
      </c>
      <c r="E36" s="482">
        <f t="shared" ref="E36:M36" si="0">ROUND(D36*1.02,2)</f>
        <v>34.299999999999997</v>
      </c>
      <c r="F36" s="482">
        <f t="shared" si="0"/>
        <v>34.99</v>
      </c>
      <c r="G36" s="482">
        <f t="shared" si="0"/>
        <v>35.69</v>
      </c>
      <c r="H36" s="482">
        <f t="shared" si="0"/>
        <v>36.4</v>
      </c>
      <c r="I36" s="482">
        <f t="shared" si="0"/>
        <v>37.130000000000003</v>
      </c>
      <c r="J36" s="482">
        <f t="shared" si="0"/>
        <v>37.869999999999997</v>
      </c>
      <c r="K36" s="482">
        <f t="shared" si="0"/>
        <v>38.630000000000003</v>
      </c>
      <c r="L36" s="482">
        <f t="shared" si="0"/>
        <v>39.4</v>
      </c>
      <c r="M36" s="482">
        <f t="shared" si="0"/>
        <v>40.19</v>
      </c>
      <c r="N36" s="482">
        <f>ROUNDUP(M36*1.02,2)</f>
        <v>41</v>
      </c>
      <c r="O36" s="482">
        <f>ROUNDUP(N36*1.0201,2)</f>
        <v>41.83</v>
      </c>
      <c r="P36" s="481">
        <f>O36</f>
        <v>41.83</v>
      </c>
      <c r="Q36" s="482">
        <f t="shared" ref="Q36:Q41" si="1">P36</f>
        <v>41.83</v>
      </c>
    </row>
    <row r="37" spans="1:18">
      <c r="B37" t="s">
        <v>119</v>
      </c>
      <c r="C37" s="482">
        <f>C36</f>
        <v>32.97</v>
      </c>
      <c r="D37" s="482">
        <f t="shared" ref="D37:P37" si="2">D36</f>
        <v>33.630000000000003</v>
      </c>
      <c r="E37" s="482">
        <f t="shared" si="2"/>
        <v>34.299999999999997</v>
      </c>
      <c r="F37" s="482">
        <f t="shared" si="2"/>
        <v>34.99</v>
      </c>
      <c r="G37" s="482">
        <f t="shared" si="2"/>
        <v>35.69</v>
      </c>
      <c r="H37" s="482">
        <f t="shared" si="2"/>
        <v>36.4</v>
      </c>
      <c r="I37" s="482">
        <f t="shared" si="2"/>
        <v>37.130000000000003</v>
      </c>
      <c r="J37" s="482">
        <f t="shared" si="2"/>
        <v>37.869999999999997</v>
      </c>
      <c r="K37" s="482">
        <f t="shared" si="2"/>
        <v>38.630000000000003</v>
      </c>
      <c r="L37" s="482">
        <f t="shared" si="2"/>
        <v>39.4</v>
      </c>
      <c r="M37" s="482">
        <f t="shared" si="2"/>
        <v>40.19</v>
      </c>
      <c r="N37" s="482">
        <f t="shared" si="2"/>
        <v>41</v>
      </c>
      <c r="O37" s="482">
        <f t="shared" si="2"/>
        <v>41.83</v>
      </c>
      <c r="P37" s="482">
        <f t="shared" si="2"/>
        <v>41.83</v>
      </c>
      <c r="Q37" s="482">
        <f t="shared" si="1"/>
        <v>41.83</v>
      </c>
    </row>
    <row r="38" spans="1:18">
      <c r="B38" t="s">
        <v>118</v>
      </c>
      <c r="C38" s="482">
        <f>ROUND(P36*1.02,2)</f>
        <v>42.67</v>
      </c>
      <c r="D38" s="482">
        <f t="shared" ref="D38:H40" si="3">ROUND(C38*1.02,2)</f>
        <v>43.52</v>
      </c>
      <c r="E38" s="482">
        <f t="shared" si="3"/>
        <v>44.39</v>
      </c>
      <c r="F38" s="482">
        <f t="shared" si="3"/>
        <v>45.28</v>
      </c>
      <c r="G38" s="482">
        <f t="shared" si="3"/>
        <v>46.19</v>
      </c>
      <c r="H38" s="482">
        <f t="shared" si="3"/>
        <v>47.11</v>
      </c>
      <c r="I38" s="482">
        <f>H38</f>
        <v>47.11</v>
      </c>
      <c r="J38" s="482">
        <f t="shared" ref="J38:P38" si="4">I38</f>
        <v>47.11</v>
      </c>
      <c r="K38" s="482">
        <f t="shared" si="4"/>
        <v>47.11</v>
      </c>
      <c r="L38" s="482">
        <f t="shared" si="4"/>
        <v>47.11</v>
      </c>
      <c r="M38" s="482">
        <f t="shared" si="4"/>
        <v>47.11</v>
      </c>
      <c r="N38" s="482">
        <f t="shared" si="4"/>
        <v>47.11</v>
      </c>
      <c r="O38" s="482">
        <f t="shared" si="4"/>
        <v>47.11</v>
      </c>
      <c r="P38" s="482">
        <f t="shared" si="4"/>
        <v>47.11</v>
      </c>
      <c r="Q38" s="482">
        <f t="shared" si="1"/>
        <v>47.11</v>
      </c>
      <c r="R38" s="482"/>
    </row>
    <row r="39" spans="1:18">
      <c r="B39" t="s">
        <v>117</v>
      </c>
      <c r="C39" s="482">
        <f>ROUND(H38*1.02,2)</f>
        <v>48.05</v>
      </c>
      <c r="D39" s="482">
        <f>ROUND(C39*1.0201,2)</f>
        <v>49.02</v>
      </c>
      <c r="E39" s="482">
        <f t="shared" si="3"/>
        <v>50</v>
      </c>
      <c r="F39" s="482">
        <f>ROUND(E39*1.02,2)-0.01</f>
        <v>50.99</v>
      </c>
      <c r="G39" s="539">
        <f>ROUND(F39*1.02025,2)</f>
        <v>52.02</v>
      </c>
      <c r="H39" s="482">
        <f>ROUND(G39*1.02,2)</f>
        <v>53.06</v>
      </c>
      <c r="I39" s="482">
        <f t="shared" ref="I39:P39" si="5">H39</f>
        <v>53.06</v>
      </c>
      <c r="J39" s="482">
        <f t="shared" si="5"/>
        <v>53.06</v>
      </c>
      <c r="K39" s="482">
        <f t="shared" si="5"/>
        <v>53.06</v>
      </c>
      <c r="L39" s="482">
        <f t="shared" si="5"/>
        <v>53.06</v>
      </c>
      <c r="M39" s="482">
        <f t="shared" si="5"/>
        <v>53.06</v>
      </c>
      <c r="N39" s="482">
        <f t="shared" si="5"/>
        <v>53.06</v>
      </c>
      <c r="O39" s="482">
        <f t="shared" si="5"/>
        <v>53.06</v>
      </c>
      <c r="P39" s="482">
        <f t="shared" si="5"/>
        <v>53.06</v>
      </c>
      <c r="Q39" s="482">
        <f t="shared" si="1"/>
        <v>53.06</v>
      </c>
    </row>
    <row r="40" spans="1:18">
      <c r="B40" t="s">
        <v>304</v>
      </c>
      <c r="C40" s="482">
        <f>ROUND(H39*1.0205,2)</f>
        <v>54.15</v>
      </c>
      <c r="D40" s="482">
        <f t="shared" si="3"/>
        <v>55.23</v>
      </c>
      <c r="E40" s="482">
        <f t="shared" si="3"/>
        <v>56.33</v>
      </c>
      <c r="F40" s="482">
        <f>ROUNDUP(E40*1.0201,2)</f>
        <v>57.47</v>
      </c>
      <c r="G40" s="482">
        <f t="shared" si="3"/>
        <v>58.62</v>
      </c>
      <c r="H40" s="482">
        <f t="shared" si="3"/>
        <v>59.79</v>
      </c>
      <c r="I40" s="482">
        <f t="shared" ref="I40:P40" si="6">H40</f>
        <v>59.79</v>
      </c>
      <c r="J40" s="482">
        <f t="shared" si="6"/>
        <v>59.79</v>
      </c>
      <c r="K40" s="482">
        <f t="shared" si="6"/>
        <v>59.79</v>
      </c>
      <c r="L40" s="482">
        <f t="shared" si="6"/>
        <v>59.79</v>
      </c>
      <c r="M40" s="482">
        <f t="shared" si="6"/>
        <v>59.79</v>
      </c>
      <c r="N40" s="482">
        <f t="shared" si="6"/>
        <v>59.79</v>
      </c>
      <c r="O40" s="482">
        <f t="shared" si="6"/>
        <v>59.79</v>
      </c>
      <c r="P40" s="482">
        <f t="shared" si="6"/>
        <v>59.79</v>
      </c>
      <c r="Q40" s="482">
        <f t="shared" si="1"/>
        <v>59.79</v>
      </c>
    </row>
    <row r="41" spans="1:18">
      <c r="B41" t="s">
        <v>982</v>
      </c>
      <c r="C41" s="482">
        <f>C40</f>
        <v>54.15</v>
      </c>
      <c r="D41" s="482">
        <f t="shared" ref="D41" si="7">D40</f>
        <v>55.23</v>
      </c>
      <c r="E41" s="482">
        <f t="shared" ref="E41" si="8">E40</f>
        <v>56.33</v>
      </c>
      <c r="F41" s="482">
        <f t="shared" ref="F41" si="9">F40</f>
        <v>57.47</v>
      </c>
      <c r="G41" s="482">
        <f t="shared" ref="G41" si="10">G40</f>
        <v>58.62</v>
      </c>
      <c r="H41" s="482">
        <f t="shared" ref="H41" si="11">H40</f>
        <v>59.79</v>
      </c>
      <c r="I41" s="482">
        <f t="shared" ref="I41" si="12">I40</f>
        <v>59.79</v>
      </c>
      <c r="J41" s="482">
        <f t="shared" ref="J41" si="13">J40</f>
        <v>59.79</v>
      </c>
      <c r="K41" s="482">
        <f t="shared" ref="K41" si="14">K40</f>
        <v>59.79</v>
      </c>
      <c r="L41" s="482">
        <f t="shared" ref="L41" si="15">L40</f>
        <v>59.79</v>
      </c>
      <c r="M41" s="482">
        <f t="shared" ref="M41" si="16">M40</f>
        <v>59.79</v>
      </c>
      <c r="N41" s="482">
        <f t="shared" ref="N41" si="17">N40</f>
        <v>59.79</v>
      </c>
      <c r="O41" s="482">
        <f t="shared" ref="O41" si="18">O40</f>
        <v>59.79</v>
      </c>
      <c r="P41" s="482">
        <f t="shared" ref="P41" si="19">P40</f>
        <v>59.79</v>
      </c>
      <c r="Q41" s="482">
        <f t="shared" si="1"/>
        <v>59.79</v>
      </c>
    </row>
    <row r="42" spans="1:18">
      <c r="A42">
        <v>50.28</v>
      </c>
      <c r="B42">
        <v>50.28</v>
      </c>
      <c r="C42">
        <v>1</v>
      </c>
      <c r="D42">
        <v>2</v>
      </c>
      <c r="E42">
        <v>3</v>
      </c>
      <c r="F42">
        <v>4</v>
      </c>
      <c r="G42">
        <v>5</v>
      </c>
      <c r="H42">
        <v>6</v>
      </c>
      <c r="I42">
        <v>7</v>
      </c>
      <c r="J42">
        <v>8</v>
      </c>
      <c r="K42">
        <v>9</v>
      </c>
      <c r="L42">
        <v>10</v>
      </c>
      <c r="M42">
        <v>11</v>
      </c>
      <c r="N42">
        <v>12</v>
      </c>
      <c r="O42">
        <v>13</v>
      </c>
      <c r="P42">
        <v>14</v>
      </c>
      <c r="Q42">
        <v>15</v>
      </c>
    </row>
    <row r="43" spans="1:18">
      <c r="B43">
        <f>LOOKUP(B42,C36:Q42)</f>
        <v>15</v>
      </c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</row>
    <row r="44" spans="1:18">
      <c r="A44" t="e">
        <f>SUMIFS(C35:Q35,B36:B100,A45,C36:P100,A42)</f>
        <v>#VALUE!</v>
      </c>
      <c r="C44" s="481"/>
      <c r="D44" s="481"/>
      <c r="E44" s="481"/>
      <c r="F44" s="481"/>
      <c r="G44" s="481"/>
      <c r="H44" s="481"/>
      <c r="I44" s="481"/>
      <c r="J44" s="481"/>
      <c r="K44" s="481"/>
      <c r="L44" s="481"/>
      <c r="M44" s="481"/>
      <c r="N44" s="481"/>
      <c r="O44" s="481"/>
      <c r="P44" s="481"/>
    </row>
    <row r="45" spans="1:18" ht="16.2" thickBot="1">
      <c r="A45" t="s">
        <v>116</v>
      </c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</row>
    <row r="46" spans="1:18">
      <c r="B46" s="610" t="s">
        <v>1920</v>
      </c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2"/>
    </row>
    <row r="47" spans="1:18" ht="16.2" thickBot="1">
      <c r="B47" s="613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14"/>
      <c r="Q47" s="615"/>
    </row>
    <row r="49" spans="2:18">
      <c r="C49">
        <v>1</v>
      </c>
      <c r="D49">
        <v>2</v>
      </c>
      <c r="E49">
        <v>3</v>
      </c>
      <c r="F49">
        <v>4</v>
      </c>
      <c r="G49">
        <v>5</v>
      </c>
      <c r="H49">
        <v>6</v>
      </c>
      <c r="I49">
        <v>7</v>
      </c>
      <c r="J49">
        <v>8</v>
      </c>
      <c r="K49">
        <v>9</v>
      </c>
      <c r="L49">
        <v>10</v>
      </c>
      <c r="M49">
        <v>11</v>
      </c>
      <c r="N49">
        <v>12</v>
      </c>
      <c r="O49">
        <v>13</v>
      </c>
      <c r="P49">
        <v>14</v>
      </c>
      <c r="Q49">
        <v>15</v>
      </c>
      <c r="R49">
        <v>16</v>
      </c>
    </row>
    <row r="50" spans="2:18">
      <c r="B50" t="s">
        <v>2599</v>
      </c>
      <c r="C50" s="482">
        <v>24.97</v>
      </c>
      <c r="D50" s="482">
        <f>ROUND(C50*1.02,2)</f>
        <v>25.47</v>
      </c>
      <c r="E50" s="482">
        <f>ROUNDUP(D50*1.02,2)</f>
        <v>25.98</v>
      </c>
      <c r="F50" s="482">
        <f>ROUNDUP(E50*1.02,2)</f>
        <v>26.5</v>
      </c>
      <c r="G50" s="482">
        <f t="shared" ref="G50:P51" si="20">ROUND(F50*1.02,2)</f>
        <v>27.03</v>
      </c>
      <c r="H50" s="482">
        <f t="shared" si="20"/>
        <v>27.57</v>
      </c>
      <c r="I50" s="482">
        <f>ROUNDUP(H50*1.0195,2)+0.01</f>
        <v>28.120000000000005</v>
      </c>
      <c r="J50" s="482">
        <f>ROUNDUP(I50*1.0195,2)+0.01</f>
        <v>28.680000000000003</v>
      </c>
      <c r="K50" s="482">
        <f>ROUND(J50*1.02,2)+0.01</f>
        <v>29.26</v>
      </c>
      <c r="L50" s="482">
        <f>ROUND(K50*1.02,2)-0.01</f>
        <v>29.84</v>
      </c>
      <c r="M50" s="482">
        <f>ROUNDUP(L50*1.0201,2)</f>
        <v>30.44</v>
      </c>
      <c r="N50" s="482">
        <f t="shared" si="20"/>
        <v>31.05</v>
      </c>
      <c r="O50" s="482">
        <f>ROUNDUP(N50*1.02,2)-0.01</f>
        <v>31.67</v>
      </c>
      <c r="P50" s="482">
        <f>ROUND(O50*1.0204,2)-0.02</f>
        <v>32.299999999999997</v>
      </c>
      <c r="Q50" s="482">
        <v>34</v>
      </c>
      <c r="R50" s="482">
        <v>34</v>
      </c>
    </row>
    <row r="51" spans="2:18">
      <c r="B51" s="535" t="s">
        <v>2600</v>
      </c>
      <c r="C51" s="542">
        <f>P50*1.05</f>
        <v>33.914999999999999</v>
      </c>
      <c r="D51" s="482">
        <f>ROUND(C51*1.02,2)</f>
        <v>34.590000000000003</v>
      </c>
      <c r="E51" s="482">
        <f>ROUNDUP(D51*1.02,2)-0.01</f>
        <v>35.28</v>
      </c>
      <c r="F51" s="482">
        <f>ROUND(E51*1.0199,2)+0.01</f>
        <v>35.989999999999995</v>
      </c>
      <c r="G51" s="482">
        <f>ROUND(F51*1.0199,2)</f>
        <v>36.71</v>
      </c>
      <c r="H51" s="482">
        <f>ROUND(G51*1.02025,2)</f>
        <v>37.450000000000003</v>
      </c>
      <c r="I51" s="482">
        <f t="shared" si="20"/>
        <v>38.200000000000003</v>
      </c>
      <c r="J51" s="482">
        <f t="shared" si="20"/>
        <v>38.96</v>
      </c>
      <c r="K51" s="482">
        <f>ROUND(J51*1.01975,2)+0.01</f>
        <v>39.739999999999995</v>
      </c>
      <c r="L51" s="482">
        <f>ROUND(K51*1.0201,2)-0.01</f>
        <v>40.53</v>
      </c>
      <c r="M51" s="482">
        <f t="shared" si="20"/>
        <v>41.34</v>
      </c>
      <c r="N51" s="482">
        <f>ROUND(M51*1.01975,2)+0.01</f>
        <v>42.169999999999995</v>
      </c>
      <c r="O51" s="482">
        <f>ROUND(N51*1.0201,2)-0.01</f>
        <v>43.010000000000005</v>
      </c>
      <c r="P51" s="482">
        <f t="shared" si="20"/>
        <v>43.87</v>
      </c>
      <c r="Q51" s="482">
        <f t="shared" ref="Q51:R55" si="21">ROUND(P51*1.02,2)</f>
        <v>44.75</v>
      </c>
      <c r="R51" s="482">
        <f t="shared" si="21"/>
        <v>45.65</v>
      </c>
    </row>
    <row r="52" spans="2:18">
      <c r="B52" t="s">
        <v>620</v>
      </c>
      <c r="C52" s="482">
        <f>C51</f>
        <v>33.914999999999999</v>
      </c>
      <c r="D52" s="482">
        <f t="shared" ref="D52" si="22">D51</f>
        <v>34.590000000000003</v>
      </c>
      <c r="E52" s="482">
        <f t="shared" ref="E52" si="23">E51</f>
        <v>35.28</v>
      </c>
      <c r="F52" s="482">
        <f t="shared" ref="F52" si="24">F51</f>
        <v>35.989999999999995</v>
      </c>
      <c r="G52" s="482">
        <f t="shared" ref="G52" si="25">G51</f>
        <v>36.71</v>
      </c>
      <c r="H52" s="482">
        <f t="shared" ref="H52" si="26">H51</f>
        <v>37.450000000000003</v>
      </c>
      <c r="I52" s="482">
        <f t="shared" ref="I52" si="27">I51</f>
        <v>38.200000000000003</v>
      </c>
      <c r="J52" s="482">
        <f t="shared" ref="J52" si="28">J51</f>
        <v>38.96</v>
      </c>
      <c r="K52" s="482">
        <f t="shared" ref="K52" si="29">K51</f>
        <v>39.739999999999995</v>
      </c>
      <c r="L52" s="482">
        <f t="shared" ref="L52" si="30">L51</f>
        <v>40.53</v>
      </c>
      <c r="M52" s="482">
        <f t="shared" ref="M52" si="31">M51</f>
        <v>41.34</v>
      </c>
      <c r="N52" s="482">
        <f t="shared" ref="N52" si="32">N51</f>
        <v>42.169999999999995</v>
      </c>
      <c r="O52" s="482">
        <f t="shared" ref="O52" si="33">O51</f>
        <v>43.010000000000005</v>
      </c>
      <c r="P52" s="482">
        <f t="shared" ref="P52:R53" si="34">P51</f>
        <v>43.87</v>
      </c>
      <c r="Q52" s="482">
        <f t="shared" si="34"/>
        <v>44.75</v>
      </c>
      <c r="R52" s="482">
        <f t="shared" si="34"/>
        <v>45.65</v>
      </c>
    </row>
    <row r="53" spans="2:18">
      <c r="B53" t="s">
        <v>1592</v>
      </c>
      <c r="C53" s="482">
        <f>C52</f>
        <v>33.914999999999999</v>
      </c>
      <c r="D53" s="482">
        <f t="shared" ref="D53" si="35">D52</f>
        <v>34.590000000000003</v>
      </c>
      <c r="E53" s="482">
        <f t="shared" ref="E53" si="36">E52</f>
        <v>35.28</v>
      </c>
      <c r="F53" s="482">
        <f t="shared" ref="F53" si="37">F52</f>
        <v>35.989999999999995</v>
      </c>
      <c r="G53" s="482">
        <f t="shared" ref="G53" si="38">G52</f>
        <v>36.71</v>
      </c>
      <c r="H53" s="482">
        <f t="shared" ref="H53" si="39">H52</f>
        <v>37.450000000000003</v>
      </c>
      <c r="I53" s="482">
        <f t="shared" ref="I53" si="40">I52</f>
        <v>38.200000000000003</v>
      </c>
      <c r="J53" s="482">
        <f t="shared" ref="J53" si="41">J52</f>
        <v>38.96</v>
      </c>
      <c r="K53" s="482">
        <f t="shared" ref="K53" si="42">K52</f>
        <v>39.739999999999995</v>
      </c>
      <c r="L53" s="482">
        <f t="shared" ref="L53" si="43">L52</f>
        <v>40.53</v>
      </c>
      <c r="M53" s="482">
        <f t="shared" ref="M53" si="44">M52</f>
        <v>41.34</v>
      </c>
      <c r="N53" s="482">
        <f t="shared" ref="N53" si="45">N52</f>
        <v>42.169999999999995</v>
      </c>
      <c r="O53" s="482">
        <f t="shared" ref="O53" si="46">O52</f>
        <v>43.010000000000005</v>
      </c>
      <c r="P53" s="482">
        <f t="shared" ref="P53:Q53" si="47">P52</f>
        <v>43.87</v>
      </c>
      <c r="Q53" s="482">
        <f t="shared" si="47"/>
        <v>44.75</v>
      </c>
      <c r="R53" s="482">
        <f t="shared" si="34"/>
        <v>45.65</v>
      </c>
    </row>
    <row r="54" spans="2:18">
      <c r="B54" t="s">
        <v>126</v>
      </c>
      <c r="C54" s="482">
        <v>20.28</v>
      </c>
      <c r="D54" s="482">
        <f>ROUND(C54*1.02,2)</f>
        <v>20.69</v>
      </c>
      <c r="E54" s="482">
        <f t="shared" ref="E54:P54" si="48">ROUND(D54*1.02,2)</f>
        <v>21.1</v>
      </c>
      <c r="F54" s="482">
        <f>ROUNDUP(E54*1.02,2)</f>
        <v>21.53</v>
      </c>
      <c r="G54" s="482">
        <f t="shared" si="48"/>
        <v>21.96</v>
      </c>
      <c r="H54" s="482">
        <f t="shared" si="48"/>
        <v>22.4</v>
      </c>
      <c r="I54" s="482">
        <f t="shared" si="48"/>
        <v>22.85</v>
      </c>
      <c r="J54" s="482">
        <f t="shared" si="48"/>
        <v>23.31</v>
      </c>
      <c r="K54" s="482">
        <f t="shared" si="48"/>
        <v>23.78</v>
      </c>
      <c r="L54" s="482">
        <f t="shared" si="48"/>
        <v>24.26</v>
      </c>
      <c r="M54" s="482">
        <f t="shared" si="48"/>
        <v>24.75</v>
      </c>
      <c r="N54" s="482">
        <f t="shared" si="48"/>
        <v>25.25</v>
      </c>
      <c r="O54" s="482">
        <f t="shared" si="48"/>
        <v>25.76</v>
      </c>
      <c r="P54" s="482">
        <f t="shared" si="48"/>
        <v>26.28</v>
      </c>
      <c r="Q54" s="482">
        <f t="shared" si="21"/>
        <v>26.81</v>
      </c>
      <c r="R54" s="482">
        <f t="shared" si="21"/>
        <v>27.35</v>
      </c>
    </row>
    <row r="55" spans="2:18">
      <c r="B55" t="s">
        <v>1556</v>
      </c>
      <c r="C55" s="482">
        <v>26.37</v>
      </c>
      <c r="D55" s="482">
        <f>ROUND(C55*1.02,2)</f>
        <v>26.9</v>
      </c>
      <c r="E55" s="482">
        <f>ROUND(D55*1.0205,2)</f>
        <v>27.45</v>
      </c>
      <c r="F55" s="482">
        <f t="shared" ref="F55:O55" si="49">ROUND(E55*1.02,2)</f>
        <v>28</v>
      </c>
      <c r="G55" s="482">
        <f t="shared" si="49"/>
        <v>28.56</v>
      </c>
      <c r="H55" s="482">
        <f t="shared" si="49"/>
        <v>29.13</v>
      </c>
      <c r="I55" s="482">
        <f t="shared" si="49"/>
        <v>29.71</v>
      </c>
      <c r="J55" s="482">
        <f>ROUND(I55*1.02025,2)</f>
        <v>30.31</v>
      </c>
      <c r="K55" s="482">
        <f>ROUND(J55*1.0199,2)</f>
        <v>30.91</v>
      </c>
      <c r="L55" s="482">
        <f>ROUND(K55*1.01975,2)</f>
        <v>31.52</v>
      </c>
      <c r="M55" s="482">
        <f>ROUND(L55*1.02025,2)</f>
        <v>32.159999999999997</v>
      </c>
      <c r="N55" s="482">
        <f t="shared" si="49"/>
        <v>32.799999999999997</v>
      </c>
      <c r="O55" s="482">
        <f t="shared" si="49"/>
        <v>33.46</v>
      </c>
      <c r="P55" s="482">
        <f>ROUND(O55*1.01975,2)</f>
        <v>34.119999999999997</v>
      </c>
      <c r="Q55" s="482">
        <f>ROUND(P55*1.02025,2)</f>
        <v>34.81</v>
      </c>
      <c r="R55" s="482">
        <f t="shared" si="21"/>
        <v>35.51</v>
      </c>
    </row>
    <row r="56" spans="2:18">
      <c r="C56">
        <v>1</v>
      </c>
      <c r="D56">
        <v>2</v>
      </c>
      <c r="E56">
        <v>3</v>
      </c>
      <c r="F56">
        <v>4</v>
      </c>
      <c r="G56">
        <v>5</v>
      </c>
      <c r="H56">
        <v>6</v>
      </c>
      <c r="I56">
        <v>7</v>
      </c>
      <c r="J56">
        <v>8</v>
      </c>
      <c r="K56">
        <v>9</v>
      </c>
      <c r="L56">
        <v>10</v>
      </c>
      <c r="M56">
        <v>11</v>
      </c>
      <c r="N56">
        <v>12</v>
      </c>
      <c r="O56">
        <v>13</v>
      </c>
      <c r="P56">
        <v>14</v>
      </c>
      <c r="Q56">
        <v>15</v>
      </c>
      <c r="R56">
        <v>16</v>
      </c>
    </row>
    <row r="57" spans="2:18">
      <c r="C57" s="482"/>
      <c r="D57" s="482"/>
      <c r="E57" s="482"/>
      <c r="F57" s="482"/>
      <c r="G57" s="482"/>
      <c r="H57" s="482"/>
      <c r="I57" s="482"/>
      <c r="J57" s="482"/>
      <c r="K57" s="482"/>
      <c r="L57" s="482"/>
      <c r="M57" s="482"/>
      <c r="N57" s="482"/>
      <c r="O57" s="482"/>
      <c r="P57" s="482"/>
    </row>
    <row r="58" spans="2:18">
      <c r="C58" s="482"/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/>
    </row>
    <row r="60" spans="2:18" ht="16.2" thickBot="1"/>
    <row r="61" spans="2:18">
      <c r="B61" s="610" t="s">
        <v>1921</v>
      </c>
      <c r="C61" s="611"/>
      <c r="D61" s="611"/>
      <c r="E61" s="611"/>
      <c r="F61" s="611"/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2"/>
    </row>
    <row r="62" spans="2:18" ht="16.2" thickBot="1">
      <c r="B62" s="613"/>
      <c r="C62" s="614"/>
      <c r="D62" s="614"/>
      <c r="E62" s="614"/>
      <c r="F62" s="614"/>
      <c r="G62" s="614"/>
      <c r="H62" s="614"/>
      <c r="I62" s="614"/>
      <c r="J62" s="614"/>
      <c r="K62" s="614"/>
      <c r="L62" s="614"/>
      <c r="M62" s="614"/>
      <c r="N62" s="614"/>
      <c r="O62" s="614"/>
      <c r="P62" s="614"/>
      <c r="Q62" s="615"/>
    </row>
    <row r="64" spans="2:18">
      <c r="C64">
        <v>1</v>
      </c>
      <c r="D64">
        <v>2</v>
      </c>
      <c r="E64">
        <v>3</v>
      </c>
      <c r="F64">
        <v>4</v>
      </c>
      <c r="G64">
        <v>5</v>
      </c>
      <c r="H64">
        <v>6</v>
      </c>
      <c r="I64">
        <v>7</v>
      </c>
      <c r="J64">
        <v>8</v>
      </c>
      <c r="K64">
        <v>9</v>
      </c>
      <c r="L64">
        <v>10</v>
      </c>
      <c r="M64">
        <v>11</v>
      </c>
      <c r="N64">
        <v>12</v>
      </c>
      <c r="O64">
        <v>13</v>
      </c>
      <c r="P64">
        <v>14</v>
      </c>
      <c r="Q64">
        <v>15</v>
      </c>
    </row>
    <row r="65" spans="2:17">
      <c r="B65" t="s">
        <v>1095</v>
      </c>
      <c r="C65" s="482">
        <v>21.88</v>
      </c>
      <c r="D65" s="482">
        <f>ROUND(C65*1.02,2)</f>
        <v>22.32</v>
      </c>
      <c r="E65" s="482">
        <f t="shared" ref="E65:G65" si="50">ROUND(D65*1.02,2)</f>
        <v>22.77</v>
      </c>
      <c r="F65" s="482">
        <f t="shared" si="50"/>
        <v>23.23</v>
      </c>
      <c r="G65" s="482">
        <f t="shared" si="50"/>
        <v>23.69</v>
      </c>
      <c r="H65" s="482">
        <f>G65</f>
        <v>23.69</v>
      </c>
      <c r="I65" s="482">
        <f t="shared" ref="I65:Q66" si="51">H65</f>
        <v>23.69</v>
      </c>
      <c r="J65" s="482">
        <f t="shared" si="51"/>
        <v>23.69</v>
      </c>
      <c r="K65" s="482">
        <f t="shared" si="51"/>
        <v>23.69</v>
      </c>
      <c r="L65" s="482">
        <f t="shared" si="51"/>
        <v>23.69</v>
      </c>
      <c r="M65" s="482">
        <f t="shared" si="51"/>
        <v>23.69</v>
      </c>
      <c r="N65" s="482">
        <f t="shared" si="51"/>
        <v>23.69</v>
      </c>
      <c r="O65" s="482">
        <f t="shared" si="51"/>
        <v>23.69</v>
      </c>
      <c r="P65" s="482">
        <f t="shared" si="51"/>
        <v>23.69</v>
      </c>
      <c r="Q65" s="482">
        <f t="shared" si="51"/>
        <v>23.69</v>
      </c>
    </row>
    <row r="66" spans="2:17">
      <c r="B66" t="s">
        <v>132</v>
      </c>
      <c r="C66" s="482">
        <v>23.49</v>
      </c>
      <c r="D66" s="482">
        <f t="shared" ref="D66:O66" si="52">ROUND(C66*1.02,2)</f>
        <v>23.96</v>
      </c>
      <c r="E66" s="482">
        <f t="shared" si="52"/>
        <v>24.44</v>
      </c>
      <c r="F66" s="482">
        <f t="shared" si="52"/>
        <v>24.93</v>
      </c>
      <c r="G66" s="482">
        <f t="shared" si="52"/>
        <v>25.43</v>
      </c>
      <c r="H66" s="482">
        <f t="shared" si="52"/>
        <v>25.94</v>
      </c>
      <c r="I66" s="482">
        <f t="shared" si="52"/>
        <v>26.46</v>
      </c>
      <c r="J66" s="482">
        <f t="shared" si="52"/>
        <v>26.99</v>
      </c>
      <c r="K66" s="482">
        <f t="shared" si="52"/>
        <v>27.53</v>
      </c>
      <c r="L66" s="482">
        <f t="shared" si="52"/>
        <v>28.08</v>
      </c>
      <c r="M66" s="482">
        <f t="shared" si="52"/>
        <v>28.64</v>
      </c>
      <c r="N66" s="482">
        <f t="shared" si="52"/>
        <v>29.21</v>
      </c>
      <c r="O66" s="482">
        <f t="shared" si="52"/>
        <v>29.79</v>
      </c>
      <c r="P66" s="482">
        <f t="shared" si="51"/>
        <v>29.79</v>
      </c>
      <c r="Q66" s="482">
        <f t="shared" ref="Q66" si="53">P66</f>
        <v>29.79</v>
      </c>
    </row>
    <row r="67" spans="2:17">
      <c r="B67" t="s">
        <v>1918</v>
      </c>
      <c r="C67" s="482">
        <f>C66</f>
        <v>23.49</v>
      </c>
      <c r="D67" s="482">
        <f t="shared" ref="D67" si="54">D66</f>
        <v>23.96</v>
      </c>
      <c r="E67" s="482">
        <f t="shared" ref="E67" si="55">E66</f>
        <v>24.44</v>
      </c>
      <c r="F67" s="482">
        <f t="shared" ref="F67" si="56">F66</f>
        <v>24.93</v>
      </c>
      <c r="G67" s="482">
        <f t="shared" ref="G67" si="57">G66</f>
        <v>25.43</v>
      </c>
      <c r="H67" s="482">
        <f t="shared" ref="H67" si="58">H66</f>
        <v>25.94</v>
      </c>
      <c r="I67" s="482">
        <f t="shared" ref="I67" si="59">I66</f>
        <v>26.46</v>
      </c>
      <c r="J67" s="482">
        <f t="shared" ref="J67" si="60">J66</f>
        <v>26.99</v>
      </c>
      <c r="K67" s="482">
        <f t="shared" ref="K67" si="61">K66</f>
        <v>27.53</v>
      </c>
      <c r="L67" s="482">
        <f t="shared" ref="L67" si="62">L66</f>
        <v>28.08</v>
      </c>
      <c r="M67" s="482">
        <f t="shared" ref="M67" si="63">M66</f>
        <v>28.64</v>
      </c>
      <c r="N67" s="482">
        <f t="shared" ref="N67" si="64">N66</f>
        <v>29.21</v>
      </c>
      <c r="O67" s="482">
        <f t="shared" ref="O67" si="65">O66</f>
        <v>29.79</v>
      </c>
      <c r="P67" s="482">
        <f t="shared" ref="P67" si="66">P66</f>
        <v>29.79</v>
      </c>
      <c r="Q67" s="482">
        <f t="shared" ref="Q67" si="67">P67</f>
        <v>29.79</v>
      </c>
    </row>
    <row r="68" spans="2:17">
      <c r="B68" t="s">
        <v>133</v>
      </c>
      <c r="C68" s="482">
        <f>ROUNDUP(L66*1.019,2)</f>
        <v>28.62</v>
      </c>
      <c r="D68" s="482">
        <f t="shared" ref="D68:K68" si="68">ROUND(C68*1.02,2)</f>
        <v>29.19</v>
      </c>
      <c r="E68" s="482">
        <f t="shared" si="68"/>
        <v>29.77</v>
      </c>
      <c r="F68" s="482">
        <f t="shared" si="68"/>
        <v>30.37</v>
      </c>
      <c r="G68" s="482">
        <f t="shared" si="68"/>
        <v>30.98</v>
      </c>
      <c r="H68" s="482">
        <f t="shared" si="68"/>
        <v>31.6</v>
      </c>
      <c r="I68" s="482">
        <f t="shared" si="68"/>
        <v>32.229999999999997</v>
      </c>
      <c r="J68" s="482">
        <f t="shared" si="68"/>
        <v>32.869999999999997</v>
      </c>
      <c r="K68" s="482">
        <f t="shared" si="68"/>
        <v>33.53</v>
      </c>
      <c r="L68" s="482">
        <f t="shared" ref="L68:Q68" si="69">K68</f>
        <v>33.53</v>
      </c>
      <c r="M68" s="482">
        <f t="shared" si="69"/>
        <v>33.53</v>
      </c>
      <c r="N68" s="482">
        <f t="shared" si="69"/>
        <v>33.53</v>
      </c>
      <c r="O68" s="482">
        <f t="shared" si="69"/>
        <v>33.53</v>
      </c>
      <c r="P68" s="482">
        <f t="shared" si="69"/>
        <v>33.53</v>
      </c>
      <c r="Q68" s="482">
        <f t="shared" si="69"/>
        <v>33.53</v>
      </c>
    </row>
    <row r="69" spans="2:17">
      <c r="B69" t="s">
        <v>134</v>
      </c>
      <c r="C69" s="482">
        <f>C68</f>
        <v>28.62</v>
      </c>
      <c r="D69" s="482">
        <f t="shared" ref="D69" si="70">D68</f>
        <v>29.19</v>
      </c>
      <c r="E69" s="482">
        <f t="shared" ref="E69" si="71">E68</f>
        <v>29.77</v>
      </c>
      <c r="F69" s="482">
        <f t="shared" ref="F69" si="72">F68</f>
        <v>30.37</v>
      </c>
      <c r="G69" s="482">
        <f t="shared" ref="G69" si="73">G68</f>
        <v>30.98</v>
      </c>
      <c r="H69" s="482">
        <f t="shared" ref="H69" si="74">H68</f>
        <v>31.6</v>
      </c>
      <c r="I69" s="482">
        <f t="shared" ref="I69" si="75">I68</f>
        <v>32.229999999999997</v>
      </c>
      <c r="J69" s="482">
        <f t="shared" ref="J69" si="76">J68</f>
        <v>32.869999999999997</v>
      </c>
      <c r="K69" s="482">
        <f t="shared" ref="K69" si="77">K68</f>
        <v>33.53</v>
      </c>
      <c r="L69" s="482">
        <f t="shared" ref="L69:Q69" si="78">K69</f>
        <v>33.53</v>
      </c>
      <c r="M69" s="482">
        <f t="shared" si="78"/>
        <v>33.53</v>
      </c>
      <c r="N69" s="482">
        <f t="shared" si="78"/>
        <v>33.53</v>
      </c>
      <c r="O69" s="482">
        <f t="shared" si="78"/>
        <v>33.53</v>
      </c>
      <c r="P69" s="482">
        <f t="shared" si="78"/>
        <v>33.53</v>
      </c>
      <c r="Q69" s="482">
        <f t="shared" si="78"/>
        <v>33.53</v>
      </c>
    </row>
    <row r="70" spans="2:17">
      <c r="B70" t="s">
        <v>131</v>
      </c>
      <c r="C70" s="482">
        <f>ROUND(K68*1.01425,2)</f>
        <v>34.01</v>
      </c>
      <c r="D70" s="482">
        <f t="shared" ref="D70:K72" si="79">ROUND(C70*1.02,2)</f>
        <v>34.69</v>
      </c>
      <c r="E70" s="482">
        <f t="shared" si="79"/>
        <v>35.380000000000003</v>
      </c>
      <c r="F70" s="482">
        <f t="shared" si="79"/>
        <v>36.090000000000003</v>
      </c>
      <c r="G70" s="482">
        <f t="shared" si="79"/>
        <v>36.81</v>
      </c>
      <c r="H70" s="482">
        <f t="shared" si="79"/>
        <v>37.549999999999997</v>
      </c>
      <c r="I70" s="482">
        <f t="shared" si="79"/>
        <v>38.299999999999997</v>
      </c>
      <c r="J70" s="482">
        <f t="shared" si="79"/>
        <v>39.07</v>
      </c>
      <c r="K70" s="482">
        <f t="shared" si="79"/>
        <v>39.85</v>
      </c>
      <c r="L70" s="482">
        <f t="shared" ref="L70:Q70" si="80">K70</f>
        <v>39.85</v>
      </c>
      <c r="M70" s="482">
        <f t="shared" si="80"/>
        <v>39.85</v>
      </c>
      <c r="N70" s="482">
        <f t="shared" si="80"/>
        <v>39.85</v>
      </c>
      <c r="O70" s="482">
        <f t="shared" si="80"/>
        <v>39.85</v>
      </c>
      <c r="P70" s="482">
        <f t="shared" si="80"/>
        <v>39.85</v>
      </c>
      <c r="Q70" s="482">
        <f t="shared" si="80"/>
        <v>39.85</v>
      </c>
    </row>
    <row r="71" spans="2:17">
      <c r="B71" t="s">
        <v>135</v>
      </c>
      <c r="C71" s="482">
        <f>ROUND(I70*1.0142,2)</f>
        <v>38.840000000000003</v>
      </c>
      <c r="D71" s="482">
        <f t="shared" ref="D71:I71" si="81">ROUND(C71*1.02,2)</f>
        <v>39.619999999999997</v>
      </c>
      <c r="E71" s="482">
        <f t="shared" si="81"/>
        <v>40.409999999999997</v>
      </c>
      <c r="F71" s="482">
        <f t="shared" si="81"/>
        <v>41.22</v>
      </c>
      <c r="G71" s="482">
        <f>ROUND(F71*1.02,2)</f>
        <v>42.04</v>
      </c>
      <c r="H71" s="482">
        <f t="shared" si="81"/>
        <v>42.88</v>
      </c>
      <c r="I71" s="482">
        <f t="shared" si="81"/>
        <v>43.74</v>
      </c>
      <c r="J71" s="482">
        <f t="shared" ref="J71:K71" si="82">I71</f>
        <v>43.74</v>
      </c>
      <c r="K71" s="482">
        <f t="shared" si="82"/>
        <v>43.74</v>
      </c>
      <c r="L71" s="482">
        <f t="shared" ref="L71:Q71" si="83">K71</f>
        <v>43.74</v>
      </c>
      <c r="M71" s="482">
        <f t="shared" si="83"/>
        <v>43.74</v>
      </c>
      <c r="N71" s="482">
        <f t="shared" si="83"/>
        <v>43.74</v>
      </c>
      <c r="O71" s="482">
        <f t="shared" si="83"/>
        <v>43.74</v>
      </c>
      <c r="P71" s="482">
        <f t="shared" si="83"/>
        <v>43.74</v>
      </c>
      <c r="Q71" s="482">
        <f t="shared" si="83"/>
        <v>43.74</v>
      </c>
    </row>
    <row r="72" spans="2:17">
      <c r="B72" t="s">
        <v>130</v>
      </c>
      <c r="C72" s="482">
        <v>40.07</v>
      </c>
      <c r="D72" s="482">
        <f t="shared" si="79"/>
        <v>40.869999999999997</v>
      </c>
      <c r="E72" s="482">
        <f>ROUND(D72*1.01975,2)</f>
        <v>41.68</v>
      </c>
      <c r="F72" s="482">
        <f>ROUND(E72*1.0201,2)</f>
        <v>42.52</v>
      </c>
      <c r="G72" s="482">
        <f t="shared" si="79"/>
        <v>43.37</v>
      </c>
      <c r="H72" s="482">
        <f t="shared" si="79"/>
        <v>44.24</v>
      </c>
      <c r="I72" s="482">
        <f t="shared" si="79"/>
        <v>45.12</v>
      </c>
      <c r="J72" s="482">
        <f t="shared" si="79"/>
        <v>46.02</v>
      </c>
      <c r="K72" s="482">
        <f t="shared" si="79"/>
        <v>46.94</v>
      </c>
      <c r="L72" s="482">
        <f t="shared" ref="L72:Q72" si="84">K72</f>
        <v>46.94</v>
      </c>
      <c r="M72" s="482">
        <f t="shared" si="84"/>
        <v>46.94</v>
      </c>
      <c r="N72" s="482">
        <f t="shared" si="84"/>
        <v>46.94</v>
      </c>
      <c r="O72" s="482">
        <f t="shared" si="84"/>
        <v>46.94</v>
      </c>
      <c r="P72" s="482">
        <f t="shared" si="84"/>
        <v>46.94</v>
      </c>
      <c r="Q72" s="482">
        <f t="shared" si="84"/>
        <v>46.94</v>
      </c>
    </row>
    <row r="73" spans="2:17">
      <c r="B73" t="s">
        <v>592</v>
      </c>
      <c r="C73" s="482">
        <v>54.38</v>
      </c>
      <c r="D73" s="482">
        <f t="shared" ref="D73:K73" si="85">ROUND(C73*1.02,2)</f>
        <v>55.47</v>
      </c>
      <c r="E73" s="482">
        <f>ROUND(D73*1.01975,2)</f>
        <v>56.57</v>
      </c>
      <c r="F73" s="482">
        <f>ROUND(E73*1.0201,2)</f>
        <v>57.71</v>
      </c>
      <c r="G73" s="482">
        <f t="shared" si="85"/>
        <v>58.86</v>
      </c>
      <c r="H73" s="482">
        <f>ROUND(G73*1.01985,2)</f>
        <v>60.03</v>
      </c>
      <c r="I73" s="482">
        <f>ROUND(H73*1.0201,2)</f>
        <v>61.24</v>
      </c>
      <c r="J73" s="482">
        <f>I73</f>
        <v>61.24</v>
      </c>
      <c r="K73" s="482">
        <f t="shared" si="85"/>
        <v>62.46</v>
      </c>
      <c r="L73" s="482">
        <f t="shared" ref="L73:Q73" si="86">K73</f>
        <v>62.46</v>
      </c>
      <c r="M73" s="482">
        <f t="shared" si="86"/>
        <v>62.46</v>
      </c>
      <c r="N73" s="482">
        <f t="shared" si="86"/>
        <v>62.46</v>
      </c>
      <c r="O73" s="482">
        <f t="shared" si="86"/>
        <v>62.46</v>
      </c>
      <c r="P73" s="482">
        <f t="shared" si="86"/>
        <v>62.46</v>
      </c>
      <c r="Q73" s="482">
        <f t="shared" si="86"/>
        <v>62.46</v>
      </c>
    </row>
    <row r="74" spans="2:17">
      <c r="B74" t="s">
        <v>128</v>
      </c>
      <c r="C74" s="482">
        <f>C73</f>
        <v>54.38</v>
      </c>
      <c r="D74" s="482">
        <f t="shared" ref="D74" si="87">D73</f>
        <v>55.47</v>
      </c>
      <c r="E74" s="482">
        <f t="shared" ref="E74" si="88">E73</f>
        <v>56.57</v>
      </c>
      <c r="F74" s="482">
        <f t="shared" ref="F74" si="89">F73</f>
        <v>57.71</v>
      </c>
      <c r="G74" s="482">
        <f t="shared" ref="G74" si="90">G73</f>
        <v>58.86</v>
      </c>
      <c r="H74" s="482">
        <f t="shared" ref="H74" si="91">H73</f>
        <v>60.03</v>
      </c>
      <c r="I74" s="482">
        <f t="shared" ref="I74" si="92">I73</f>
        <v>61.24</v>
      </c>
      <c r="J74" s="482">
        <f t="shared" ref="J74" si="93">J73</f>
        <v>61.24</v>
      </c>
      <c r="K74" s="482">
        <f t="shared" ref="K74" si="94">K73</f>
        <v>62.46</v>
      </c>
      <c r="L74" s="482">
        <f t="shared" ref="L74:P74" si="95">K74</f>
        <v>62.46</v>
      </c>
      <c r="M74" s="482">
        <f t="shared" si="95"/>
        <v>62.46</v>
      </c>
      <c r="N74" s="482">
        <f t="shared" si="95"/>
        <v>62.46</v>
      </c>
      <c r="O74" s="482">
        <f t="shared" si="95"/>
        <v>62.46</v>
      </c>
      <c r="P74" s="482">
        <f t="shared" si="95"/>
        <v>62.46</v>
      </c>
      <c r="Q74" s="482">
        <f t="shared" ref="Q74" si="96">P74</f>
        <v>62.46</v>
      </c>
    </row>
    <row r="75" spans="2:17">
      <c r="C75">
        <v>1</v>
      </c>
      <c r="D75">
        <v>2</v>
      </c>
      <c r="E75">
        <v>3</v>
      </c>
      <c r="F75">
        <v>4</v>
      </c>
      <c r="G75">
        <v>5</v>
      </c>
      <c r="H75">
        <v>6</v>
      </c>
      <c r="I75">
        <v>7</v>
      </c>
      <c r="J75">
        <v>8</v>
      </c>
      <c r="K75">
        <v>9</v>
      </c>
      <c r="L75">
        <v>10</v>
      </c>
      <c r="M75">
        <v>11</v>
      </c>
      <c r="N75">
        <v>12</v>
      </c>
      <c r="O75">
        <v>13</v>
      </c>
      <c r="P75">
        <v>14</v>
      </c>
      <c r="Q75">
        <v>15</v>
      </c>
    </row>
  </sheetData>
  <mergeCells count="3">
    <mergeCell ref="B46:Q47"/>
    <mergeCell ref="B32:Q33"/>
    <mergeCell ref="B61:Q6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X561"/>
  <sheetViews>
    <sheetView zoomScale="80" zoomScaleNormal="80" workbookViewId="0">
      <pane xSplit="2" ySplit="2" topLeftCell="O433" activePane="bottomRight" state="frozen"/>
      <selection pane="topRight" activeCell="C1" sqref="C1"/>
      <selection pane="bottomLeft" activeCell="A3" sqref="A3"/>
      <selection pane="bottomRight" activeCell="T437" sqref="T437"/>
    </sheetView>
  </sheetViews>
  <sheetFormatPr defaultColWidth="7.08984375" defaultRowHeight="14.4"/>
  <cols>
    <col min="1" max="1" width="13.36328125" style="369" customWidth="1"/>
    <col min="2" max="2" width="19.453125" style="369" customWidth="1"/>
    <col min="3" max="3" width="25.90625" style="369" customWidth="1"/>
    <col min="4" max="4" width="22.08984375" style="369" customWidth="1"/>
    <col min="5" max="5" width="22.6328125" style="369" customWidth="1"/>
    <col min="6" max="6" width="8.54296875" style="369" customWidth="1"/>
    <col min="7" max="7" width="15.90625" style="369" customWidth="1"/>
    <col min="8" max="8" width="13.54296875" style="369" customWidth="1"/>
    <col min="9" max="9" width="20.81640625" style="369" customWidth="1"/>
    <col min="10" max="10" width="18.1796875" style="369" customWidth="1"/>
    <col min="11" max="11" width="11.6328125" style="369" customWidth="1"/>
    <col min="12" max="12" width="10.36328125" style="369" customWidth="1"/>
    <col min="13" max="13" width="9.81640625" style="369" customWidth="1"/>
    <col min="14" max="14" width="35.453125" style="369" customWidth="1"/>
    <col min="15" max="15" width="12.6328125" style="369" customWidth="1"/>
    <col min="16" max="16" width="8.90625" style="369" customWidth="1"/>
    <col min="17" max="17" width="7" style="369" customWidth="1"/>
    <col min="18" max="18" width="10.08984375" style="369" customWidth="1"/>
    <col min="19" max="19" width="33.1796875" style="369" customWidth="1"/>
    <col min="20" max="20" width="16.1796875" style="369" customWidth="1"/>
    <col min="21" max="21" width="12.1796875" style="369" customWidth="1"/>
    <col min="22" max="22" width="10.1796875" style="369" customWidth="1"/>
    <col min="23" max="16384" width="7.08984375" style="369"/>
  </cols>
  <sheetData>
    <row r="1" spans="1:24">
      <c r="A1" s="369">
        <v>1</v>
      </c>
      <c r="B1" s="369">
        <v>2</v>
      </c>
      <c r="C1" s="369">
        <v>3</v>
      </c>
      <c r="D1" s="369">
        <v>4</v>
      </c>
      <c r="E1" s="369">
        <v>5</v>
      </c>
      <c r="F1" s="369">
        <v>6</v>
      </c>
      <c r="G1" s="369">
        <v>7</v>
      </c>
      <c r="H1" s="369">
        <v>8</v>
      </c>
      <c r="I1" s="369">
        <v>9</v>
      </c>
      <c r="J1" s="369">
        <v>10</v>
      </c>
      <c r="K1" s="369">
        <v>11</v>
      </c>
      <c r="L1" s="369">
        <v>12</v>
      </c>
      <c r="M1" s="369">
        <v>13</v>
      </c>
      <c r="N1" s="369">
        <v>14</v>
      </c>
      <c r="O1" s="369">
        <v>15</v>
      </c>
      <c r="P1" s="369">
        <v>16</v>
      </c>
      <c r="Q1" s="369">
        <v>17</v>
      </c>
      <c r="R1" s="369">
        <v>18</v>
      </c>
      <c r="S1" s="369">
        <v>19</v>
      </c>
      <c r="T1" s="369">
        <v>20</v>
      </c>
      <c r="U1" s="369">
        <v>21</v>
      </c>
      <c r="V1" s="369">
        <v>22</v>
      </c>
    </row>
    <row r="2" spans="1:24" ht="15" customHeight="1">
      <c r="A2" s="541" t="s">
        <v>1194</v>
      </c>
      <c r="B2" s="541" t="s">
        <v>1195</v>
      </c>
      <c r="C2" s="541" t="s">
        <v>1196</v>
      </c>
      <c r="D2" s="541" t="s">
        <v>1197</v>
      </c>
      <c r="E2" s="464" t="s">
        <v>1799</v>
      </c>
      <c r="F2" s="541" t="s">
        <v>1198</v>
      </c>
      <c r="G2" s="541" t="s">
        <v>1199</v>
      </c>
      <c r="H2" s="541" t="s">
        <v>1200</v>
      </c>
      <c r="I2" s="541" t="s">
        <v>1201</v>
      </c>
      <c r="J2" s="541" t="s">
        <v>108</v>
      </c>
      <c r="K2" s="541" t="s">
        <v>1115</v>
      </c>
      <c r="L2" s="541" t="s">
        <v>1202</v>
      </c>
      <c r="M2" s="541" t="s">
        <v>1203</v>
      </c>
      <c r="N2" s="541" t="s">
        <v>1204</v>
      </c>
      <c r="O2" s="541" t="s">
        <v>1205</v>
      </c>
      <c r="P2" s="541" t="s">
        <v>1206</v>
      </c>
      <c r="Q2" s="541" t="s">
        <v>1207</v>
      </c>
      <c r="R2" s="541" t="s">
        <v>1208</v>
      </c>
      <c r="S2" s="541" t="s">
        <v>1209</v>
      </c>
      <c r="T2" s="541" t="s">
        <v>1210</v>
      </c>
      <c r="U2" s="541" t="s">
        <v>1211</v>
      </c>
      <c r="V2" s="541" t="s">
        <v>1212</v>
      </c>
      <c r="W2" s="471" t="s">
        <v>1870</v>
      </c>
      <c r="X2" s="471" t="s">
        <v>1869</v>
      </c>
    </row>
    <row r="3" spans="1:24">
      <c r="A3" s="535" t="s">
        <v>1213</v>
      </c>
      <c r="B3" s="456" t="s">
        <v>2992</v>
      </c>
      <c r="C3" s="456" t="s">
        <v>2993</v>
      </c>
      <c r="D3" s="456" t="s">
        <v>2994</v>
      </c>
      <c r="E3" s="456" t="str">
        <f>B3&amp;" "&amp;D3</f>
        <v>First Name Last Name</v>
      </c>
      <c r="F3" s="535" t="s">
        <v>1214</v>
      </c>
      <c r="G3" s="535" t="s">
        <v>1215</v>
      </c>
      <c r="H3" s="536">
        <v>39.85</v>
      </c>
      <c r="I3" s="537" t="s">
        <v>170</v>
      </c>
      <c r="J3" s="538">
        <v>36276</v>
      </c>
      <c r="K3" s="535" t="s">
        <v>170</v>
      </c>
      <c r="L3" s="535" t="s">
        <v>170</v>
      </c>
      <c r="M3" s="535" t="s">
        <v>1216</v>
      </c>
      <c r="N3" s="535" t="s">
        <v>131</v>
      </c>
      <c r="O3" s="535" t="s">
        <v>1217</v>
      </c>
      <c r="P3" s="535" t="s">
        <v>1218</v>
      </c>
      <c r="Q3" s="535" t="s">
        <v>492</v>
      </c>
      <c r="R3" s="538" t="s">
        <v>170</v>
      </c>
      <c r="S3" s="535" t="s">
        <v>1219</v>
      </c>
      <c r="T3" s="535" t="s">
        <v>959</v>
      </c>
      <c r="U3" s="536">
        <v>82888</v>
      </c>
      <c r="V3" s="535" t="s">
        <v>1220</v>
      </c>
      <c r="X3" s="369">
        <f>IF(OR(T3="125-65-654-50110",T3="125-65-652-50110",T3="125-65-656-50110"),"N/A",COUNTIF('Prop Budget Calc'!A:A,'Base Pay Report'!A3))</f>
        <v>0</v>
      </c>
    </row>
    <row r="4" spans="1:24">
      <c r="A4" s="535" t="s">
        <v>1221</v>
      </c>
      <c r="B4" s="456" t="s">
        <v>2992</v>
      </c>
      <c r="C4" s="456" t="s">
        <v>2993</v>
      </c>
      <c r="D4" s="456" t="s">
        <v>2994</v>
      </c>
      <c r="E4" s="456" t="str">
        <f t="shared" ref="E4:E67" si="0">B4&amp;" "&amp;D4</f>
        <v>First Name Last Name</v>
      </c>
      <c r="F4" s="535" t="s">
        <v>1214</v>
      </c>
      <c r="G4" s="535" t="s">
        <v>1222</v>
      </c>
      <c r="H4" s="536">
        <v>59.79</v>
      </c>
      <c r="I4" s="537" t="s">
        <v>170</v>
      </c>
      <c r="J4" s="538">
        <v>36066</v>
      </c>
      <c r="K4" s="535" t="s">
        <v>170</v>
      </c>
      <c r="L4" s="535" t="s">
        <v>170</v>
      </c>
      <c r="M4" s="535" t="s">
        <v>1223</v>
      </c>
      <c r="N4" s="535" t="s">
        <v>304</v>
      </c>
      <c r="O4" s="535" t="s">
        <v>1224</v>
      </c>
      <c r="P4" s="535" t="s">
        <v>1218</v>
      </c>
      <c r="Q4" s="535" t="s">
        <v>492</v>
      </c>
      <c r="R4" s="538" t="s">
        <v>170</v>
      </c>
      <c r="S4" s="535" t="s">
        <v>1225</v>
      </c>
      <c r="T4" s="535" t="s">
        <v>955</v>
      </c>
      <c r="U4" s="536">
        <v>124363.2</v>
      </c>
      <c r="V4" s="535" t="s">
        <v>1220</v>
      </c>
      <c r="X4" s="369">
        <f>IF(OR(T4="125-65-654-50110",T4="125-65-652-50110",T4="125-65-656-50110"),"N/A",COUNTIF('Prop Budget Calc'!A:A,'Base Pay Report'!A4))</f>
        <v>0</v>
      </c>
    </row>
    <row r="5" spans="1:24">
      <c r="A5" s="535" t="s">
        <v>1226</v>
      </c>
      <c r="B5" s="456" t="s">
        <v>2992</v>
      </c>
      <c r="C5" s="456" t="s">
        <v>2993</v>
      </c>
      <c r="D5" s="456" t="s">
        <v>2994</v>
      </c>
      <c r="E5" s="456" t="str">
        <f t="shared" si="0"/>
        <v>First Name Last Name</v>
      </c>
      <c r="F5" s="535" t="s">
        <v>1214</v>
      </c>
      <c r="G5" s="535" t="s">
        <v>1227</v>
      </c>
      <c r="H5" s="536">
        <v>3263.55</v>
      </c>
      <c r="I5" s="537">
        <v>80</v>
      </c>
      <c r="J5" s="538">
        <v>39314</v>
      </c>
      <c r="K5" s="535" t="s">
        <v>170</v>
      </c>
      <c r="L5" s="535" t="s">
        <v>170</v>
      </c>
      <c r="M5" s="535" t="s">
        <v>1228</v>
      </c>
      <c r="N5" s="535" t="s">
        <v>1229</v>
      </c>
      <c r="O5" s="535" t="s">
        <v>1230</v>
      </c>
      <c r="P5" s="535" t="s">
        <v>1218</v>
      </c>
      <c r="Q5" s="535" t="s">
        <v>1231</v>
      </c>
      <c r="R5" s="538" t="s">
        <v>170</v>
      </c>
      <c r="S5" s="535" t="s">
        <v>1253</v>
      </c>
      <c r="T5" s="535" t="s">
        <v>1916</v>
      </c>
      <c r="U5" s="536">
        <v>84852.3</v>
      </c>
      <c r="V5" s="535" t="s">
        <v>1220</v>
      </c>
      <c r="X5" s="369">
        <f>IF(OR(T5="125-65-654-50110",T5="125-65-652-50110",T5="125-65-656-50110"),"N/A",COUNTIF('Prop Budget Calc'!A:A,'Base Pay Report'!A5))</f>
        <v>0</v>
      </c>
    </row>
    <row r="6" spans="1:24">
      <c r="A6" s="535" t="s">
        <v>1232</v>
      </c>
      <c r="B6" s="456" t="s">
        <v>2992</v>
      </c>
      <c r="C6" s="456" t="s">
        <v>2993</v>
      </c>
      <c r="D6" s="456" t="s">
        <v>2994</v>
      </c>
      <c r="E6" s="456" t="str">
        <f t="shared" si="0"/>
        <v>First Name Last Name</v>
      </c>
      <c r="F6" s="535" t="s">
        <v>1214</v>
      </c>
      <c r="G6" s="535" t="s">
        <v>1233</v>
      </c>
      <c r="H6" s="536">
        <v>2319.85</v>
      </c>
      <c r="I6" s="537">
        <v>80</v>
      </c>
      <c r="J6" s="538">
        <v>39764</v>
      </c>
      <c r="K6" s="535" t="s">
        <v>170</v>
      </c>
      <c r="L6" s="535" t="s">
        <v>170</v>
      </c>
      <c r="M6" s="535" t="s">
        <v>1234</v>
      </c>
      <c r="N6" s="535" t="s">
        <v>991</v>
      </c>
      <c r="O6" s="535" t="s">
        <v>1230</v>
      </c>
      <c r="P6" s="535" t="s">
        <v>1218</v>
      </c>
      <c r="Q6" s="535" t="s">
        <v>1231</v>
      </c>
      <c r="R6" s="538" t="s">
        <v>170</v>
      </c>
      <c r="S6" s="535" t="s">
        <v>1253</v>
      </c>
      <c r="T6" s="535" t="s">
        <v>1236</v>
      </c>
      <c r="U6" s="536">
        <v>60316.1</v>
      </c>
      <c r="V6" s="535" t="s">
        <v>1220</v>
      </c>
      <c r="X6" s="369">
        <f>IF(OR(T6="125-65-654-50110",T6="125-65-652-50110",T6="125-65-656-50110"),"N/A",COUNTIF('Prop Budget Calc'!A:A,'Base Pay Report'!A6))</f>
        <v>0</v>
      </c>
    </row>
    <row r="7" spans="1:24">
      <c r="A7" s="535" t="s">
        <v>1237</v>
      </c>
      <c r="B7" s="456" t="s">
        <v>2992</v>
      </c>
      <c r="C7" s="456" t="s">
        <v>2993</v>
      </c>
      <c r="D7" s="456" t="s">
        <v>2994</v>
      </c>
      <c r="E7" s="456" t="str">
        <f t="shared" si="0"/>
        <v>First Name Last Name</v>
      </c>
      <c r="F7" s="535" t="s">
        <v>1214</v>
      </c>
      <c r="G7" s="535" t="s">
        <v>1238</v>
      </c>
      <c r="H7" s="536">
        <v>5314.46</v>
      </c>
      <c r="I7" s="537">
        <v>80</v>
      </c>
      <c r="J7" s="538">
        <v>39783</v>
      </c>
      <c r="K7" s="535" t="s">
        <v>170</v>
      </c>
      <c r="L7" s="535" t="s">
        <v>170</v>
      </c>
      <c r="M7" s="535" t="s">
        <v>1239</v>
      </c>
      <c r="N7" s="535" t="s">
        <v>137</v>
      </c>
      <c r="O7" s="535" t="s">
        <v>1240</v>
      </c>
      <c r="P7" s="535" t="s">
        <v>1218</v>
      </c>
      <c r="Q7" s="535" t="s">
        <v>1231</v>
      </c>
      <c r="R7" s="538" t="s">
        <v>170</v>
      </c>
      <c r="S7" s="535" t="s">
        <v>1241</v>
      </c>
      <c r="T7" s="535" t="s">
        <v>1242</v>
      </c>
      <c r="U7" s="536">
        <v>138175.96</v>
      </c>
      <c r="V7" s="535" t="s">
        <v>1220</v>
      </c>
      <c r="X7" s="369">
        <f>IF(OR(T7="125-65-654-50110",T7="125-65-652-50110",T7="125-65-656-50110"),"N/A",COUNTIF('Prop Budget Calc'!A:A,'Base Pay Report'!A7))</f>
        <v>0</v>
      </c>
    </row>
    <row r="8" spans="1:24">
      <c r="A8" s="535" t="s">
        <v>1243</v>
      </c>
      <c r="B8" s="456" t="s">
        <v>2992</v>
      </c>
      <c r="C8" s="456" t="s">
        <v>2993</v>
      </c>
      <c r="D8" s="456" t="s">
        <v>2994</v>
      </c>
      <c r="E8" s="456" t="str">
        <f t="shared" si="0"/>
        <v>First Name Last Name</v>
      </c>
      <c r="F8" s="535" t="s">
        <v>1214</v>
      </c>
      <c r="G8" s="535" t="s">
        <v>170</v>
      </c>
      <c r="H8" s="536">
        <v>4481.72</v>
      </c>
      <c r="I8" s="537">
        <v>80</v>
      </c>
      <c r="J8" s="538">
        <v>41305</v>
      </c>
      <c r="K8" s="535" t="s">
        <v>170</v>
      </c>
      <c r="L8" s="535" t="s">
        <v>170</v>
      </c>
      <c r="M8" s="535" t="s">
        <v>1244</v>
      </c>
      <c r="N8" s="535" t="s">
        <v>111</v>
      </c>
      <c r="O8" s="535" t="s">
        <v>1230</v>
      </c>
      <c r="P8" s="535" t="s">
        <v>1218</v>
      </c>
      <c r="Q8" s="535" t="s">
        <v>1231</v>
      </c>
      <c r="R8" s="538" t="s">
        <v>170</v>
      </c>
      <c r="S8" s="535" t="s">
        <v>1241</v>
      </c>
      <c r="T8" s="535" t="s">
        <v>1245</v>
      </c>
      <c r="U8" s="536">
        <v>116524.72</v>
      </c>
      <c r="V8" s="535" t="s">
        <v>1220</v>
      </c>
      <c r="X8" s="369">
        <f>IF(OR(T8="125-65-654-50110",T8="125-65-652-50110",T8="125-65-656-50110"),"N/A",COUNTIF('Prop Budget Calc'!A:A,'Base Pay Report'!A8))</f>
        <v>0</v>
      </c>
    </row>
    <row r="9" spans="1:24">
      <c r="A9" s="535" t="s">
        <v>1246</v>
      </c>
      <c r="B9" s="456" t="s">
        <v>2992</v>
      </c>
      <c r="C9" s="456" t="s">
        <v>2993</v>
      </c>
      <c r="D9" s="456" t="s">
        <v>2994</v>
      </c>
      <c r="E9" s="456" t="str">
        <f t="shared" si="0"/>
        <v>First Name Last Name</v>
      </c>
      <c r="F9" s="535" t="s">
        <v>1214</v>
      </c>
      <c r="G9" s="535" t="s">
        <v>1247</v>
      </c>
      <c r="H9" s="536">
        <v>37.869999999999997</v>
      </c>
      <c r="I9" s="537" t="s">
        <v>170</v>
      </c>
      <c r="J9" s="538">
        <v>42450</v>
      </c>
      <c r="K9" s="535" t="s">
        <v>170</v>
      </c>
      <c r="L9" s="535" t="s">
        <v>170</v>
      </c>
      <c r="M9" s="535" t="s">
        <v>1248</v>
      </c>
      <c r="N9" s="535" t="s">
        <v>116</v>
      </c>
      <c r="O9" s="535" t="s">
        <v>1249</v>
      </c>
      <c r="P9" s="535" t="s">
        <v>1218</v>
      </c>
      <c r="Q9" s="535" t="s">
        <v>492</v>
      </c>
      <c r="R9" s="538" t="s">
        <v>170</v>
      </c>
      <c r="S9" s="535" t="s">
        <v>2462</v>
      </c>
      <c r="T9" s="535" t="s">
        <v>955</v>
      </c>
      <c r="U9" s="536">
        <v>78769.600000000006</v>
      </c>
      <c r="V9" s="535" t="s">
        <v>1220</v>
      </c>
      <c r="X9" s="369">
        <f>IF(OR(T9="125-65-654-50110",T9="125-65-652-50110",T9="125-65-656-50110"),"N/A",COUNTIF('Prop Budget Calc'!A:A,'Base Pay Report'!A9))</f>
        <v>0</v>
      </c>
    </row>
    <row r="10" spans="1:24">
      <c r="A10" s="535" t="s">
        <v>1250</v>
      </c>
      <c r="B10" s="456" t="s">
        <v>2992</v>
      </c>
      <c r="C10" s="456" t="s">
        <v>2993</v>
      </c>
      <c r="D10" s="456" t="s">
        <v>2994</v>
      </c>
      <c r="E10" s="456" t="str">
        <f t="shared" si="0"/>
        <v>First Name Last Name</v>
      </c>
      <c r="F10" s="535" t="s">
        <v>1214</v>
      </c>
      <c r="G10" s="535" t="s">
        <v>1251</v>
      </c>
      <c r="H10" s="536">
        <v>2944.22</v>
      </c>
      <c r="I10" s="537">
        <v>80</v>
      </c>
      <c r="J10" s="538">
        <v>41954</v>
      </c>
      <c r="K10" s="535" t="s">
        <v>170</v>
      </c>
      <c r="L10" s="535" t="s">
        <v>170</v>
      </c>
      <c r="M10" s="535" t="s">
        <v>1252</v>
      </c>
      <c r="N10" s="535" t="s">
        <v>153</v>
      </c>
      <c r="O10" s="535" t="s">
        <v>1230</v>
      </c>
      <c r="P10" s="535" t="s">
        <v>1218</v>
      </c>
      <c r="Q10" s="535" t="s">
        <v>1231</v>
      </c>
      <c r="R10" s="538" t="s">
        <v>170</v>
      </c>
      <c r="S10" s="535" t="s">
        <v>1253</v>
      </c>
      <c r="T10" s="535" t="s">
        <v>1254</v>
      </c>
      <c r="U10" s="536">
        <v>76549.72</v>
      </c>
      <c r="V10" s="535" t="s">
        <v>1220</v>
      </c>
      <c r="X10" s="369">
        <f>IF(OR(T10="125-65-654-50110",T10="125-65-652-50110",T10="125-65-656-50110"),"N/A",COUNTIF('Prop Budget Calc'!A:A,'Base Pay Report'!A10))</f>
        <v>0</v>
      </c>
    </row>
    <row r="11" spans="1:24">
      <c r="A11" s="535" t="s">
        <v>1255</v>
      </c>
      <c r="B11" s="456" t="s">
        <v>2992</v>
      </c>
      <c r="C11" s="456" t="s">
        <v>2993</v>
      </c>
      <c r="D11" s="456" t="s">
        <v>2994</v>
      </c>
      <c r="E11" s="456" t="str">
        <f t="shared" si="0"/>
        <v>First Name Last Name</v>
      </c>
      <c r="F11" s="535" t="s">
        <v>1214</v>
      </c>
      <c r="G11" s="535" t="s">
        <v>1386</v>
      </c>
      <c r="H11" s="536">
        <v>24.62</v>
      </c>
      <c r="I11" s="537" t="s">
        <v>170</v>
      </c>
      <c r="J11" s="538">
        <v>38922</v>
      </c>
      <c r="K11" s="535" t="s">
        <v>170</v>
      </c>
      <c r="L11" s="535" t="s">
        <v>170</v>
      </c>
      <c r="M11" s="535" t="s">
        <v>2517</v>
      </c>
      <c r="N11" s="535" t="s">
        <v>2518</v>
      </c>
      <c r="O11" s="535" t="s">
        <v>1258</v>
      </c>
      <c r="P11" s="535" t="s">
        <v>1218</v>
      </c>
      <c r="Q11" s="535" t="s">
        <v>492</v>
      </c>
      <c r="R11" s="538" t="s">
        <v>170</v>
      </c>
      <c r="S11" s="535" t="s">
        <v>1259</v>
      </c>
      <c r="T11" s="535" t="s">
        <v>1260</v>
      </c>
      <c r="U11" s="536">
        <v>51209.599999999999</v>
      </c>
      <c r="V11" s="535" t="s">
        <v>1220</v>
      </c>
      <c r="X11" s="369">
        <f>IF(OR(T11="125-65-654-50110",T11="125-65-652-50110",T11="125-65-656-50110"),"N/A",COUNTIF('Prop Budget Calc'!A:A,'Base Pay Report'!A11))</f>
        <v>0</v>
      </c>
    </row>
    <row r="12" spans="1:24">
      <c r="A12" s="535" t="s">
        <v>2478</v>
      </c>
      <c r="B12" s="456" t="s">
        <v>2992</v>
      </c>
      <c r="C12" s="456" t="s">
        <v>2993</v>
      </c>
      <c r="D12" s="456" t="s">
        <v>2994</v>
      </c>
      <c r="E12" s="456" t="str">
        <f t="shared" si="0"/>
        <v>First Name Last Name</v>
      </c>
      <c r="F12" s="535" t="s">
        <v>1214</v>
      </c>
      <c r="G12" s="535" t="s">
        <v>170</v>
      </c>
      <c r="H12" s="536">
        <v>34</v>
      </c>
      <c r="I12" s="537" t="s">
        <v>170</v>
      </c>
      <c r="J12" s="538">
        <v>36507</v>
      </c>
      <c r="K12" s="535" t="s">
        <v>170</v>
      </c>
      <c r="L12" s="535" t="s">
        <v>170</v>
      </c>
      <c r="M12" s="535" t="s">
        <v>2590</v>
      </c>
      <c r="N12" s="535" t="s">
        <v>2599</v>
      </c>
      <c r="O12" s="535" t="s">
        <v>1230</v>
      </c>
      <c r="P12" s="535" t="s">
        <v>1218</v>
      </c>
      <c r="Q12" s="535" t="s">
        <v>492</v>
      </c>
      <c r="R12" s="538">
        <v>45162</v>
      </c>
      <c r="S12" s="535" t="s">
        <v>1305</v>
      </c>
      <c r="T12" s="535" t="s">
        <v>954</v>
      </c>
      <c r="U12" s="536">
        <v>70720</v>
      </c>
      <c r="V12" s="535" t="s">
        <v>1307</v>
      </c>
      <c r="X12" s="369">
        <f>IF(OR(T12="125-65-654-50110",T12="125-65-652-50110",T12="125-65-656-50110"),"N/A",COUNTIF('Prop Budget Calc'!A:A,'Base Pay Report'!A12))</f>
        <v>0</v>
      </c>
    </row>
    <row r="13" spans="1:24">
      <c r="A13" s="535" t="s">
        <v>1261</v>
      </c>
      <c r="B13" s="456" t="s">
        <v>2992</v>
      </c>
      <c r="C13" s="456" t="s">
        <v>2993</v>
      </c>
      <c r="D13" s="456" t="s">
        <v>2994</v>
      </c>
      <c r="E13" s="456" t="str">
        <f t="shared" si="0"/>
        <v>First Name Last Name</v>
      </c>
      <c r="F13" s="535" t="s">
        <v>1214</v>
      </c>
      <c r="G13" s="535" t="s">
        <v>1247</v>
      </c>
      <c r="H13" s="536">
        <v>37.130000000000003</v>
      </c>
      <c r="I13" s="537" t="s">
        <v>170</v>
      </c>
      <c r="J13" s="538">
        <v>41941</v>
      </c>
      <c r="K13" s="535" t="s">
        <v>170</v>
      </c>
      <c r="L13" s="535" t="s">
        <v>170</v>
      </c>
      <c r="M13" s="535" t="s">
        <v>1473</v>
      </c>
      <c r="N13" s="535" t="s">
        <v>119</v>
      </c>
      <c r="O13" s="535" t="s">
        <v>1224</v>
      </c>
      <c r="P13" s="535" t="s">
        <v>1218</v>
      </c>
      <c r="Q13" s="535" t="s">
        <v>492</v>
      </c>
      <c r="R13" s="538" t="s">
        <v>170</v>
      </c>
      <c r="S13" s="535" t="s">
        <v>1225</v>
      </c>
      <c r="T13" s="535" t="s">
        <v>955</v>
      </c>
      <c r="U13" s="536">
        <v>77230.399999999994</v>
      </c>
      <c r="V13" s="535" t="s">
        <v>1220</v>
      </c>
      <c r="X13" s="369">
        <f>IF(OR(T13="125-65-654-50110",T13="125-65-652-50110",T13="125-65-656-50110"),"N/A",COUNTIF('Prop Budget Calc'!A:A,'Base Pay Report'!A13))</f>
        <v>0</v>
      </c>
    </row>
    <row r="14" spans="1:24">
      <c r="A14" s="535" t="s">
        <v>1262</v>
      </c>
      <c r="B14" s="456" t="s">
        <v>2992</v>
      </c>
      <c r="C14" s="456" t="s">
        <v>2993</v>
      </c>
      <c r="D14" s="456" t="s">
        <v>2994</v>
      </c>
      <c r="E14" s="456" t="str">
        <f t="shared" si="0"/>
        <v>First Name Last Name</v>
      </c>
      <c r="F14" s="535" t="s">
        <v>1214</v>
      </c>
      <c r="G14" s="535" t="s">
        <v>1263</v>
      </c>
      <c r="H14" s="536">
        <v>33.43</v>
      </c>
      <c r="I14" s="537" t="s">
        <v>170</v>
      </c>
      <c r="J14" s="538">
        <v>32720</v>
      </c>
      <c r="K14" s="535" t="s">
        <v>170</v>
      </c>
      <c r="L14" s="535" t="s">
        <v>170</v>
      </c>
      <c r="M14" s="535" t="s">
        <v>1264</v>
      </c>
      <c r="N14" s="535" t="s">
        <v>138</v>
      </c>
      <c r="O14" s="535" t="s">
        <v>1265</v>
      </c>
      <c r="P14" s="535" t="s">
        <v>1218</v>
      </c>
      <c r="Q14" s="535" t="s">
        <v>492</v>
      </c>
      <c r="R14" s="538" t="s">
        <v>170</v>
      </c>
      <c r="S14" s="535" t="s">
        <v>1259</v>
      </c>
      <c r="T14" s="535" t="s">
        <v>1266</v>
      </c>
      <c r="U14" s="536">
        <v>69534.399999999994</v>
      </c>
      <c r="V14" s="535" t="s">
        <v>1220</v>
      </c>
      <c r="X14" s="369">
        <f>IF(OR(T14="125-65-654-50110",T14="125-65-652-50110",T14="125-65-656-50110"),"N/A",COUNTIF('Prop Budget Calc'!A:A,'Base Pay Report'!A14))</f>
        <v>0</v>
      </c>
    </row>
    <row r="15" spans="1:24">
      <c r="A15" s="535" t="s">
        <v>1267</v>
      </c>
      <c r="B15" s="456" t="s">
        <v>2992</v>
      </c>
      <c r="C15" s="456" t="s">
        <v>2993</v>
      </c>
      <c r="D15" s="456" t="s">
        <v>2994</v>
      </c>
      <c r="E15" s="456" t="str">
        <f t="shared" si="0"/>
        <v>First Name Last Name</v>
      </c>
      <c r="F15" s="535" t="s">
        <v>1214</v>
      </c>
      <c r="G15" s="535" t="s">
        <v>1268</v>
      </c>
      <c r="H15" s="536">
        <v>28.08</v>
      </c>
      <c r="I15" s="537" t="s">
        <v>170</v>
      </c>
      <c r="J15" s="538">
        <v>41873</v>
      </c>
      <c r="K15" s="535" t="s">
        <v>170</v>
      </c>
      <c r="L15" s="535" t="s">
        <v>170</v>
      </c>
      <c r="M15" s="535" t="s">
        <v>1269</v>
      </c>
      <c r="N15" s="535" t="s">
        <v>1270</v>
      </c>
      <c r="O15" s="535" t="s">
        <v>1217</v>
      </c>
      <c r="P15" s="535" t="s">
        <v>1218</v>
      </c>
      <c r="Q15" s="535" t="s">
        <v>492</v>
      </c>
      <c r="R15" s="538" t="s">
        <v>170</v>
      </c>
      <c r="S15" s="535" t="s">
        <v>1219</v>
      </c>
      <c r="T15" s="535" t="s">
        <v>959</v>
      </c>
      <c r="U15" s="536">
        <v>58406.400000000001</v>
      </c>
      <c r="V15" s="535" t="s">
        <v>1220</v>
      </c>
      <c r="X15" s="369">
        <f>IF(OR(T15="125-65-654-50110",T15="125-65-652-50110",T15="125-65-656-50110"),"N/A",COUNTIF('Prop Budget Calc'!A:A,'Base Pay Report'!A15))</f>
        <v>0</v>
      </c>
    </row>
    <row r="16" spans="1:24">
      <c r="A16" s="535" t="s">
        <v>1271</v>
      </c>
      <c r="B16" s="456" t="s">
        <v>2992</v>
      </c>
      <c r="C16" s="456" t="s">
        <v>2993</v>
      </c>
      <c r="D16" s="456" t="s">
        <v>2994</v>
      </c>
      <c r="E16" s="456" t="str">
        <f t="shared" si="0"/>
        <v>First Name Last Name</v>
      </c>
      <c r="F16" s="535" t="s">
        <v>1214</v>
      </c>
      <c r="G16" s="535" t="s">
        <v>1309</v>
      </c>
      <c r="H16" s="536">
        <v>24.71</v>
      </c>
      <c r="I16" s="537" t="s">
        <v>170</v>
      </c>
      <c r="J16" s="538">
        <v>42079</v>
      </c>
      <c r="K16" s="535" t="s">
        <v>170</v>
      </c>
      <c r="L16" s="535" t="s">
        <v>170</v>
      </c>
      <c r="M16" s="535" t="s">
        <v>2519</v>
      </c>
      <c r="N16" s="535" t="s">
        <v>2520</v>
      </c>
      <c r="O16" s="535" t="s">
        <v>1265</v>
      </c>
      <c r="P16" s="535" t="s">
        <v>1218</v>
      </c>
      <c r="Q16" s="535" t="s">
        <v>492</v>
      </c>
      <c r="R16" s="538" t="s">
        <v>170</v>
      </c>
      <c r="S16" s="535" t="s">
        <v>1259</v>
      </c>
      <c r="T16" s="535" t="s">
        <v>1272</v>
      </c>
      <c r="U16" s="536">
        <v>51396.800000000003</v>
      </c>
      <c r="V16" s="535" t="s">
        <v>1220</v>
      </c>
      <c r="X16" s="369">
        <f>IF(OR(T16="125-65-654-50110",T16="125-65-652-50110",T16="125-65-656-50110"),"N/A",COUNTIF('Prop Budget Calc'!A:A,'Base Pay Report'!A16))</f>
        <v>1</v>
      </c>
    </row>
    <row r="17" spans="1:24">
      <c r="A17" s="535" t="s">
        <v>1273</v>
      </c>
      <c r="B17" s="456" t="s">
        <v>2992</v>
      </c>
      <c r="C17" s="456" t="s">
        <v>2993</v>
      </c>
      <c r="D17" s="456" t="s">
        <v>2994</v>
      </c>
      <c r="E17" s="456" t="str">
        <f t="shared" si="0"/>
        <v>First Name Last Name</v>
      </c>
      <c r="F17" s="535" t="s">
        <v>1214</v>
      </c>
      <c r="G17" s="535" t="s">
        <v>1274</v>
      </c>
      <c r="H17" s="536">
        <v>29.19</v>
      </c>
      <c r="I17" s="537" t="s">
        <v>170</v>
      </c>
      <c r="J17" s="538">
        <v>41813</v>
      </c>
      <c r="K17" s="535" t="s">
        <v>170</v>
      </c>
      <c r="L17" s="535" t="s">
        <v>170</v>
      </c>
      <c r="M17" s="535" t="s">
        <v>1275</v>
      </c>
      <c r="N17" s="535" t="s">
        <v>133</v>
      </c>
      <c r="O17" s="535" t="s">
        <v>1217</v>
      </c>
      <c r="P17" s="535" t="s">
        <v>1218</v>
      </c>
      <c r="Q17" s="535" t="s">
        <v>492</v>
      </c>
      <c r="R17" s="538" t="s">
        <v>170</v>
      </c>
      <c r="S17" s="535" t="s">
        <v>1219</v>
      </c>
      <c r="T17" s="535" t="s">
        <v>959</v>
      </c>
      <c r="U17" s="536">
        <v>60715.199999999997</v>
      </c>
      <c r="V17" s="535" t="s">
        <v>1220</v>
      </c>
      <c r="X17" s="369">
        <f>IF(OR(T17="125-65-654-50110",T17="125-65-652-50110",T17="125-65-656-50110"),"N/A",COUNTIF('Prop Budget Calc'!A:A,'Base Pay Report'!A17))</f>
        <v>0</v>
      </c>
    </row>
    <row r="18" spans="1:24">
      <c r="A18" s="535" t="s">
        <v>1276</v>
      </c>
      <c r="B18" s="456" t="s">
        <v>2992</v>
      </c>
      <c r="C18" s="456" t="s">
        <v>2993</v>
      </c>
      <c r="D18" s="456" t="s">
        <v>2994</v>
      </c>
      <c r="E18" s="456" t="str">
        <f t="shared" si="0"/>
        <v>First Name Last Name</v>
      </c>
      <c r="F18" s="535" t="s">
        <v>1214</v>
      </c>
      <c r="G18" s="535" t="s">
        <v>1277</v>
      </c>
      <c r="H18" s="536">
        <v>3498.23</v>
      </c>
      <c r="I18" s="537">
        <v>80</v>
      </c>
      <c r="J18" s="538">
        <v>39398</v>
      </c>
      <c r="K18" s="535" t="s">
        <v>170</v>
      </c>
      <c r="L18" s="535" t="s">
        <v>170</v>
      </c>
      <c r="M18" s="535" t="s">
        <v>1278</v>
      </c>
      <c r="N18" s="535" t="s">
        <v>113</v>
      </c>
      <c r="O18" s="535" t="s">
        <v>1258</v>
      </c>
      <c r="P18" s="535" t="s">
        <v>1218</v>
      </c>
      <c r="Q18" s="535" t="s">
        <v>1231</v>
      </c>
      <c r="R18" s="538" t="s">
        <v>170</v>
      </c>
      <c r="S18" s="535" t="s">
        <v>1253</v>
      </c>
      <c r="T18" s="535" t="s">
        <v>1279</v>
      </c>
      <c r="U18" s="536">
        <v>90953.98</v>
      </c>
      <c r="V18" s="535" t="s">
        <v>1220</v>
      </c>
      <c r="X18" s="369">
        <f>IF(OR(T18="125-65-654-50110",T18="125-65-652-50110",T18="125-65-656-50110"),"N/A",COUNTIF('Prop Budget Calc'!A:A,'Base Pay Report'!A18))</f>
        <v>0</v>
      </c>
    </row>
    <row r="19" spans="1:24">
      <c r="A19" s="535" t="s">
        <v>1280</v>
      </c>
      <c r="B19" s="456" t="s">
        <v>2992</v>
      </c>
      <c r="C19" s="456" t="s">
        <v>2993</v>
      </c>
      <c r="D19" s="456" t="s">
        <v>2994</v>
      </c>
      <c r="E19" s="456" t="str">
        <f t="shared" si="0"/>
        <v>First Name Last Name</v>
      </c>
      <c r="F19" s="535" t="s">
        <v>1214</v>
      </c>
      <c r="G19" s="535" t="s">
        <v>1281</v>
      </c>
      <c r="H19" s="536">
        <v>53.06</v>
      </c>
      <c r="I19" s="537" t="s">
        <v>170</v>
      </c>
      <c r="J19" s="538">
        <v>36066</v>
      </c>
      <c r="K19" s="535" t="s">
        <v>170</v>
      </c>
      <c r="L19" s="535" t="s">
        <v>170</v>
      </c>
      <c r="M19" s="535" t="s">
        <v>1282</v>
      </c>
      <c r="N19" s="535" t="s">
        <v>117</v>
      </c>
      <c r="O19" s="535" t="s">
        <v>1224</v>
      </c>
      <c r="P19" s="535" t="s">
        <v>1218</v>
      </c>
      <c r="Q19" s="535" t="s">
        <v>492</v>
      </c>
      <c r="R19" s="538" t="s">
        <v>170</v>
      </c>
      <c r="S19" s="535" t="s">
        <v>1283</v>
      </c>
      <c r="T19" s="535" t="s">
        <v>955</v>
      </c>
      <c r="U19" s="536">
        <v>110364.8</v>
      </c>
      <c r="V19" s="535" t="s">
        <v>1220</v>
      </c>
      <c r="X19" s="369">
        <f>IF(OR(T19="125-65-654-50110",T19="125-65-652-50110",T19="125-65-656-50110"),"N/A",COUNTIF('Prop Budget Calc'!A:A,'Base Pay Report'!A19))</f>
        <v>0</v>
      </c>
    </row>
    <row r="20" spans="1:24">
      <c r="A20" s="535" t="s">
        <v>1284</v>
      </c>
      <c r="B20" s="456" t="s">
        <v>2992</v>
      </c>
      <c r="C20" s="456" t="s">
        <v>2993</v>
      </c>
      <c r="D20" s="456" t="s">
        <v>2994</v>
      </c>
      <c r="E20" s="456" t="str">
        <f t="shared" si="0"/>
        <v>First Name Last Name</v>
      </c>
      <c r="F20" s="535" t="s">
        <v>1214</v>
      </c>
      <c r="G20" s="535" t="s">
        <v>1281</v>
      </c>
      <c r="H20" s="536">
        <v>52.02</v>
      </c>
      <c r="I20" s="537" t="s">
        <v>170</v>
      </c>
      <c r="J20" s="538">
        <v>39531</v>
      </c>
      <c r="K20" s="535" t="s">
        <v>170</v>
      </c>
      <c r="L20" s="535" t="s">
        <v>170</v>
      </c>
      <c r="M20" s="535" t="s">
        <v>1282</v>
      </c>
      <c r="N20" s="535" t="s">
        <v>117</v>
      </c>
      <c r="O20" s="535" t="s">
        <v>1224</v>
      </c>
      <c r="P20" s="535" t="s">
        <v>1218</v>
      </c>
      <c r="Q20" s="535" t="s">
        <v>492</v>
      </c>
      <c r="R20" s="538" t="s">
        <v>170</v>
      </c>
      <c r="S20" s="535" t="s">
        <v>2462</v>
      </c>
      <c r="T20" s="535" t="s">
        <v>955</v>
      </c>
      <c r="U20" s="536">
        <v>108201.60000000001</v>
      </c>
      <c r="V20" s="535" t="s">
        <v>1220</v>
      </c>
      <c r="X20" s="369">
        <f>IF(OR(T20="125-65-654-50110",T20="125-65-652-50110",T20="125-65-656-50110"),"N/A",COUNTIF('Prop Budget Calc'!A:A,'Base Pay Report'!A20))</f>
        <v>0</v>
      </c>
    </row>
    <row r="21" spans="1:24">
      <c r="A21" s="535" t="s">
        <v>1285</v>
      </c>
      <c r="B21" s="456" t="s">
        <v>2992</v>
      </c>
      <c r="C21" s="456" t="s">
        <v>2993</v>
      </c>
      <c r="D21" s="456" t="s">
        <v>2994</v>
      </c>
      <c r="E21" s="456" t="str">
        <f t="shared" si="0"/>
        <v>First Name Last Name</v>
      </c>
      <c r="F21" s="535" t="s">
        <v>1214</v>
      </c>
      <c r="G21" s="535" t="s">
        <v>1286</v>
      </c>
      <c r="H21" s="536">
        <v>33.53</v>
      </c>
      <c r="I21" s="537" t="s">
        <v>170</v>
      </c>
      <c r="J21" s="538">
        <v>37011</v>
      </c>
      <c r="K21" s="535" t="s">
        <v>170</v>
      </c>
      <c r="L21" s="535" t="s">
        <v>170</v>
      </c>
      <c r="M21" s="535" t="s">
        <v>1275</v>
      </c>
      <c r="N21" s="535" t="s">
        <v>133</v>
      </c>
      <c r="O21" s="535" t="s">
        <v>1217</v>
      </c>
      <c r="P21" s="535" t="s">
        <v>1218</v>
      </c>
      <c r="Q21" s="535" t="s">
        <v>492</v>
      </c>
      <c r="R21" s="538" t="s">
        <v>170</v>
      </c>
      <c r="S21" s="535" t="s">
        <v>1219</v>
      </c>
      <c r="T21" s="535" t="s">
        <v>959</v>
      </c>
      <c r="U21" s="536">
        <v>69742.399999999994</v>
      </c>
      <c r="V21" s="535" t="s">
        <v>1220</v>
      </c>
      <c r="X21" s="369">
        <f>IF(OR(T21="125-65-654-50110",T21="125-65-652-50110",T21="125-65-656-50110"),"N/A",COUNTIF('Prop Budget Calc'!A:A,'Base Pay Report'!A21))</f>
        <v>0</v>
      </c>
    </row>
    <row r="22" spans="1:24">
      <c r="A22" s="535" t="s">
        <v>1287</v>
      </c>
      <c r="B22" s="456" t="s">
        <v>2992</v>
      </c>
      <c r="C22" s="456" t="s">
        <v>2993</v>
      </c>
      <c r="D22" s="456" t="s">
        <v>2994</v>
      </c>
      <c r="E22" s="456" t="str">
        <f t="shared" si="0"/>
        <v>First Name Last Name</v>
      </c>
      <c r="F22" s="535" t="s">
        <v>1214</v>
      </c>
      <c r="G22" s="535" t="s">
        <v>1288</v>
      </c>
      <c r="H22" s="536">
        <v>39.520000000000003</v>
      </c>
      <c r="I22" s="537" t="s">
        <v>170</v>
      </c>
      <c r="J22" s="538">
        <v>40771</v>
      </c>
      <c r="K22" s="535" t="s">
        <v>170</v>
      </c>
      <c r="L22" s="535" t="s">
        <v>170</v>
      </c>
      <c r="M22" s="535" t="s">
        <v>1289</v>
      </c>
      <c r="N22" s="535" t="s">
        <v>2521</v>
      </c>
      <c r="O22" s="535" t="s">
        <v>1290</v>
      </c>
      <c r="P22" s="535" t="s">
        <v>1218</v>
      </c>
      <c r="Q22" s="535" t="s">
        <v>492</v>
      </c>
      <c r="R22" s="538" t="s">
        <v>170</v>
      </c>
      <c r="S22" s="535" t="s">
        <v>1291</v>
      </c>
      <c r="T22" s="535" t="s">
        <v>965</v>
      </c>
      <c r="U22" s="536">
        <v>82201.600000000006</v>
      </c>
      <c r="V22" s="535" t="s">
        <v>1220</v>
      </c>
      <c r="X22" s="369">
        <f>IF(OR(T22="125-65-654-50110",T22="125-65-652-50110",T22="125-65-656-50110"),"N/A",COUNTIF('Prop Budget Calc'!A:A,'Base Pay Report'!A22))</f>
        <v>1</v>
      </c>
    </row>
    <row r="23" spans="1:24">
      <c r="A23" s="535" t="s">
        <v>1292</v>
      </c>
      <c r="B23" s="456" t="s">
        <v>2992</v>
      </c>
      <c r="C23" s="456" t="s">
        <v>2993</v>
      </c>
      <c r="D23" s="456" t="s">
        <v>2994</v>
      </c>
      <c r="E23" s="456" t="str">
        <f t="shared" si="0"/>
        <v>First Name Last Name</v>
      </c>
      <c r="F23" s="535" t="s">
        <v>1214</v>
      </c>
      <c r="G23" s="535" t="s">
        <v>1281</v>
      </c>
      <c r="H23" s="536">
        <v>52.02</v>
      </c>
      <c r="I23" s="537" t="s">
        <v>170</v>
      </c>
      <c r="J23" s="538">
        <v>40189</v>
      </c>
      <c r="K23" s="535" t="s">
        <v>170</v>
      </c>
      <c r="L23" s="535" t="s">
        <v>170</v>
      </c>
      <c r="M23" s="535" t="s">
        <v>1282</v>
      </c>
      <c r="N23" s="535" t="s">
        <v>117</v>
      </c>
      <c r="O23" s="535" t="s">
        <v>1224</v>
      </c>
      <c r="P23" s="535" t="s">
        <v>1218</v>
      </c>
      <c r="Q23" s="535" t="s">
        <v>492</v>
      </c>
      <c r="R23" s="538" t="s">
        <v>170</v>
      </c>
      <c r="S23" s="535" t="s">
        <v>1283</v>
      </c>
      <c r="T23" s="535" t="s">
        <v>955</v>
      </c>
      <c r="U23" s="536">
        <v>108201.60000000001</v>
      </c>
      <c r="V23" s="535" t="s">
        <v>1220</v>
      </c>
      <c r="X23" s="369">
        <f>IF(OR(T23="125-65-654-50110",T23="125-65-652-50110",T23="125-65-656-50110"),"N/A",COUNTIF('Prop Budget Calc'!A:A,'Base Pay Report'!A23))</f>
        <v>0</v>
      </c>
    </row>
    <row r="24" spans="1:24">
      <c r="A24" s="535" t="s">
        <v>1293</v>
      </c>
      <c r="B24" s="456" t="s">
        <v>2992</v>
      </c>
      <c r="C24" s="456" t="s">
        <v>2993</v>
      </c>
      <c r="D24" s="456" t="s">
        <v>2994</v>
      </c>
      <c r="E24" s="456" t="str">
        <f t="shared" si="0"/>
        <v>First Name Last Name</v>
      </c>
      <c r="F24" s="535" t="s">
        <v>1214</v>
      </c>
      <c r="G24" s="535" t="s">
        <v>170</v>
      </c>
      <c r="H24" s="536">
        <v>32.299999999999997</v>
      </c>
      <c r="I24" s="537" t="s">
        <v>170</v>
      </c>
      <c r="J24" s="538">
        <v>38593</v>
      </c>
      <c r="K24" s="535" t="s">
        <v>170</v>
      </c>
      <c r="L24" s="535" t="s">
        <v>170</v>
      </c>
      <c r="M24" s="535" t="s">
        <v>2590</v>
      </c>
      <c r="N24" s="535" t="s">
        <v>2599</v>
      </c>
      <c r="O24" s="535" t="s">
        <v>1230</v>
      </c>
      <c r="P24" s="535" t="s">
        <v>1218</v>
      </c>
      <c r="Q24" s="535" t="s">
        <v>492</v>
      </c>
      <c r="R24" s="538" t="s">
        <v>170</v>
      </c>
      <c r="S24" s="535" t="s">
        <v>1294</v>
      </c>
      <c r="T24" s="535" t="s">
        <v>954</v>
      </c>
      <c r="U24" s="536">
        <v>67184</v>
      </c>
      <c r="V24" s="535" t="s">
        <v>1220</v>
      </c>
      <c r="X24" s="369">
        <f>IF(OR(T24="125-65-654-50110",T24="125-65-652-50110",T24="125-65-656-50110"),"N/A",COUNTIF('Prop Budget Calc'!A:A,'Base Pay Report'!A24))</f>
        <v>0</v>
      </c>
    </row>
    <row r="25" spans="1:24">
      <c r="A25" s="535" t="s">
        <v>1295</v>
      </c>
      <c r="B25" s="456" t="s">
        <v>2992</v>
      </c>
      <c r="C25" s="456" t="s">
        <v>2993</v>
      </c>
      <c r="D25" s="456" t="s">
        <v>2994</v>
      </c>
      <c r="E25" s="456" t="str">
        <f t="shared" si="0"/>
        <v>First Name Last Name</v>
      </c>
      <c r="F25" s="535" t="s">
        <v>1214</v>
      </c>
      <c r="G25" s="535" t="s">
        <v>1233</v>
      </c>
      <c r="H25" s="536">
        <v>3413.83</v>
      </c>
      <c r="I25" s="537">
        <v>80</v>
      </c>
      <c r="J25" s="538">
        <v>38194</v>
      </c>
      <c r="K25" s="535" t="s">
        <v>170</v>
      </c>
      <c r="L25" s="535" t="s">
        <v>170</v>
      </c>
      <c r="M25" s="535" t="s">
        <v>1296</v>
      </c>
      <c r="N25" s="535" t="s">
        <v>992</v>
      </c>
      <c r="O25" s="535" t="s">
        <v>1230</v>
      </c>
      <c r="P25" s="535" t="s">
        <v>1218</v>
      </c>
      <c r="Q25" s="535" t="s">
        <v>1231</v>
      </c>
      <c r="R25" s="538" t="s">
        <v>170</v>
      </c>
      <c r="S25" s="535" t="s">
        <v>1241</v>
      </c>
      <c r="T25" s="535" t="s">
        <v>1297</v>
      </c>
      <c r="U25" s="536">
        <v>88759.58</v>
      </c>
      <c r="V25" s="535" t="s">
        <v>1220</v>
      </c>
      <c r="X25" s="369">
        <f>IF(OR(T25="125-65-654-50110",T25="125-65-652-50110",T25="125-65-656-50110"),"N/A",COUNTIF('Prop Budget Calc'!A:A,'Base Pay Report'!A25))</f>
        <v>1</v>
      </c>
    </row>
    <row r="26" spans="1:24">
      <c r="A26" s="535" t="s">
        <v>1298</v>
      </c>
      <c r="B26" s="456" t="s">
        <v>2992</v>
      </c>
      <c r="C26" s="456" t="s">
        <v>2993</v>
      </c>
      <c r="D26" s="456" t="s">
        <v>2994</v>
      </c>
      <c r="E26" s="456" t="str">
        <f t="shared" si="0"/>
        <v>First Name Last Name</v>
      </c>
      <c r="F26" s="535" t="s">
        <v>1214</v>
      </c>
      <c r="G26" s="535" t="s">
        <v>1247</v>
      </c>
      <c r="H26" s="536">
        <v>37.130000000000003</v>
      </c>
      <c r="I26" s="537" t="s">
        <v>170</v>
      </c>
      <c r="J26" s="538">
        <v>40452</v>
      </c>
      <c r="K26" s="535" t="s">
        <v>170</v>
      </c>
      <c r="L26" s="535" t="s">
        <v>170</v>
      </c>
      <c r="M26" s="535" t="s">
        <v>1248</v>
      </c>
      <c r="N26" s="535" t="s">
        <v>116</v>
      </c>
      <c r="O26" s="535" t="s">
        <v>1249</v>
      </c>
      <c r="P26" s="535" t="s">
        <v>1218</v>
      </c>
      <c r="Q26" s="535" t="s">
        <v>492</v>
      </c>
      <c r="R26" s="538" t="s">
        <v>170</v>
      </c>
      <c r="S26" s="535" t="s">
        <v>2462</v>
      </c>
      <c r="T26" s="535" t="s">
        <v>955</v>
      </c>
      <c r="U26" s="536">
        <v>77230.399999999994</v>
      </c>
      <c r="V26" s="535" t="s">
        <v>1220</v>
      </c>
      <c r="X26" s="369">
        <f>IF(OR(T26="125-65-654-50110",T26="125-65-652-50110",T26="125-65-656-50110"),"N/A",COUNTIF('Prop Budget Calc'!A:A,'Base Pay Report'!A26))</f>
        <v>0</v>
      </c>
    </row>
    <row r="27" spans="1:24">
      <c r="A27" s="535" t="s">
        <v>1300</v>
      </c>
      <c r="B27" s="456" t="s">
        <v>2992</v>
      </c>
      <c r="C27" s="456" t="s">
        <v>2993</v>
      </c>
      <c r="D27" s="456" t="s">
        <v>2994</v>
      </c>
      <c r="E27" s="456" t="str">
        <f t="shared" si="0"/>
        <v>First Name Last Name</v>
      </c>
      <c r="F27" s="535" t="s">
        <v>1214</v>
      </c>
      <c r="G27" s="535" t="s">
        <v>1247</v>
      </c>
      <c r="H27" s="536">
        <v>41.83</v>
      </c>
      <c r="I27" s="537" t="s">
        <v>170</v>
      </c>
      <c r="J27" s="538">
        <v>39272</v>
      </c>
      <c r="K27" s="535" t="s">
        <v>170</v>
      </c>
      <c r="L27" s="535" t="s">
        <v>170</v>
      </c>
      <c r="M27" s="535" t="s">
        <v>1248</v>
      </c>
      <c r="N27" s="535" t="s">
        <v>116</v>
      </c>
      <c r="O27" s="535" t="s">
        <v>1224</v>
      </c>
      <c r="P27" s="535" t="s">
        <v>1218</v>
      </c>
      <c r="Q27" s="535" t="s">
        <v>492</v>
      </c>
      <c r="R27" s="538" t="s">
        <v>170</v>
      </c>
      <c r="S27" s="535" t="s">
        <v>1225</v>
      </c>
      <c r="T27" s="535" t="s">
        <v>955</v>
      </c>
      <c r="U27" s="536">
        <v>87006.399999999994</v>
      </c>
      <c r="V27" s="535" t="s">
        <v>1220</v>
      </c>
      <c r="X27" s="369">
        <f>IF(OR(T27="125-65-654-50110",T27="125-65-652-50110",T27="125-65-656-50110"),"N/A",COUNTIF('Prop Budget Calc'!A:A,'Base Pay Report'!A27))</f>
        <v>0</v>
      </c>
    </row>
    <row r="28" spans="1:24">
      <c r="A28" s="535" t="s">
        <v>1301</v>
      </c>
      <c r="B28" s="456" t="s">
        <v>2992</v>
      </c>
      <c r="C28" s="456" t="s">
        <v>2993</v>
      </c>
      <c r="D28" s="456" t="s">
        <v>2994</v>
      </c>
      <c r="E28" s="456" t="str">
        <f t="shared" si="0"/>
        <v>First Name Last Name</v>
      </c>
      <c r="F28" s="535" t="s">
        <v>1214</v>
      </c>
      <c r="G28" s="535" t="s">
        <v>1302</v>
      </c>
      <c r="H28" s="536">
        <v>19.03</v>
      </c>
      <c r="I28" s="537" t="s">
        <v>170</v>
      </c>
      <c r="J28" s="538">
        <v>41974</v>
      </c>
      <c r="K28" s="535" t="s">
        <v>170</v>
      </c>
      <c r="L28" s="535" t="s">
        <v>170</v>
      </c>
      <c r="M28" s="535" t="s">
        <v>1303</v>
      </c>
      <c r="N28" s="535" t="s">
        <v>993</v>
      </c>
      <c r="O28" s="535" t="s">
        <v>1304</v>
      </c>
      <c r="P28" s="535" t="s">
        <v>1218</v>
      </c>
      <c r="Q28" s="535" t="s">
        <v>492</v>
      </c>
      <c r="R28" s="538" t="s">
        <v>170</v>
      </c>
      <c r="S28" s="535" t="s">
        <v>1305</v>
      </c>
      <c r="T28" s="535" t="s">
        <v>1306</v>
      </c>
      <c r="U28" s="536">
        <v>39582.400000000001</v>
      </c>
      <c r="V28" s="535" t="s">
        <v>1307</v>
      </c>
      <c r="X28" s="369">
        <f>IF(OR(T28="125-65-654-50110",T28="125-65-652-50110",T28="125-65-656-50110"),"N/A",COUNTIF('Prop Budget Calc'!A:A,'Base Pay Report'!A28))</f>
        <v>0</v>
      </c>
    </row>
    <row r="29" spans="1:24">
      <c r="A29" s="535" t="s">
        <v>1308</v>
      </c>
      <c r="B29" s="456" t="s">
        <v>2992</v>
      </c>
      <c r="C29" s="456" t="s">
        <v>2993</v>
      </c>
      <c r="D29" s="456" t="s">
        <v>2994</v>
      </c>
      <c r="E29" s="456" t="str">
        <f t="shared" si="0"/>
        <v>First Name Last Name</v>
      </c>
      <c r="F29" s="535" t="s">
        <v>1214</v>
      </c>
      <c r="G29" s="535" t="s">
        <v>1309</v>
      </c>
      <c r="H29" s="536">
        <v>21.4</v>
      </c>
      <c r="I29" s="537" t="s">
        <v>170</v>
      </c>
      <c r="J29" s="538">
        <v>42713</v>
      </c>
      <c r="K29" s="535" t="s">
        <v>170</v>
      </c>
      <c r="L29" s="535" t="s">
        <v>170</v>
      </c>
      <c r="M29" s="535" t="s">
        <v>1310</v>
      </c>
      <c r="N29" s="535" t="s">
        <v>1311</v>
      </c>
      <c r="O29" s="535" t="s">
        <v>1325</v>
      </c>
      <c r="P29" s="535" t="s">
        <v>1218</v>
      </c>
      <c r="Q29" s="535" t="s">
        <v>492</v>
      </c>
      <c r="R29" s="538" t="s">
        <v>170</v>
      </c>
      <c r="S29" s="535" t="s">
        <v>1291</v>
      </c>
      <c r="T29" s="535" t="s">
        <v>1312</v>
      </c>
      <c r="U29" s="536">
        <v>44512</v>
      </c>
      <c r="V29" s="535" t="s">
        <v>1220</v>
      </c>
      <c r="X29" s="369">
        <f>IF(OR(T29="125-65-654-50110",T29="125-65-652-50110",T29="125-65-656-50110"),"N/A",COUNTIF('Prop Budget Calc'!A:A,'Base Pay Report'!A29))</f>
        <v>0</v>
      </c>
    </row>
    <row r="30" spans="1:24">
      <c r="A30" s="535" t="s">
        <v>1313</v>
      </c>
      <c r="B30" s="456" t="s">
        <v>2992</v>
      </c>
      <c r="C30" s="456" t="s">
        <v>2993</v>
      </c>
      <c r="D30" s="456" t="s">
        <v>2994</v>
      </c>
      <c r="E30" s="456" t="str">
        <f t="shared" si="0"/>
        <v>First Name Last Name</v>
      </c>
      <c r="F30" s="535" t="s">
        <v>1214</v>
      </c>
      <c r="G30" s="535" t="s">
        <v>1256</v>
      </c>
      <c r="H30" s="536">
        <v>24.68</v>
      </c>
      <c r="I30" s="537" t="s">
        <v>170</v>
      </c>
      <c r="J30" s="538">
        <v>36795</v>
      </c>
      <c r="K30" s="535" t="s">
        <v>170</v>
      </c>
      <c r="L30" s="535" t="s">
        <v>170</v>
      </c>
      <c r="M30" s="535" t="s">
        <v>1314</v>
      </c>
      <c r="N30" s="535" t="s">
        <v>122</v>
      </c>
      <c r="O30" s="535" t="s">
        <v>1230</v>
      </c>
      <c r="P30" s="535" t="s">
        <v>1218</v>
      </c>
      <c r="Q30" s="535" t="s">
        <v>492</v>
      </c>
      <c r="R30" s="538" t="s">
        <v>170</v>
      </c>
      <c r="S30" s="535" t="s">
        <v>1259</v>
      </c>
      <c r="T30" s="535" t="s">
        <v>954</v>
      </c>
      <c r="U30" s="536">
        <v>51334.400000000001</v>
      </c>
      <c r="V30" s="535" t="s">
        <v>1220</v>
      </c>
      <c r="X30" s="369">
        <f>IF(OR(T30="125-65-654-50110",T30="125-65-652-50110",T30="125-65-656-50110"),"N/A",COUNTIF('Prop Budget Calc'!A:A,'Base Pay Report'!A30))</f>
        <v>0</v>
      </c>
    </row>
    <row r="31" spans="1:24">
      <c r="A31" s="535" t="s">
        <v>1315</v>
      </c>
      <c r="B31" s="456" t="s">
        <v>2992</v>
      </c>
      <c r="C31" s="456" t="s">
        <v>2993</v>
      </c>
      <c r="D31" s="456" t="s">
        <v>2994</v>
      </c>
      <c r="E31" s="456" t="str">
        <f t="shared" si="0"/>
        <v>First Name Last Name</v>
      </c>
      <c r="F31" s="535" t="s">
        <v>1214</v>
      </c>
      <c r="G31" s="535" t="s">
        <v>170</v>
      </c>
      <c r="H31" s="536">
        <v>42.04</v>
      </c>
      <c r="I31" s="537" t="s">
        <v>170</v>
      </c>
      <c r="J31" s="538">
        <v>36717</v>
      </c>
      <c r="K31" s="535" t="s">
        <v>170</v>
      </c>
      <c r="L31" s="535" t="s">
        <v>170</v>
      </c>
      <c r="M31" s="535" t="s">
        <v>1357</v>
      </c>
      <c r="N31" s="535" t="s">
        <v>135</v>
      </c>
      <c r="O31" s="535" t="s">
        <v>1217</v>
      </c>
      <c r="P31" s="535" t="s">
        <v>1218</v>
      </c>
      <c r="Q31" s="535" t="s">
        <v>492</v>
      </c>
      <c r="R31" s="538" t="s">
        <v>170</v>
      </c>
      <c r="S31" s="535" t="s">
        <v>1219</v>
      </c>
      <c r="T31" s="535" t="s">
        <v>959</v>
      </c>
      <c r="U31" s="536">
        <v>87443.199999999997</v>
      </c>
      <c r="V31" s="535" t="s">
        <v>1220</v>
      </c>
      <c r="X31" s="369">
        <f>IF(OR(T31="125-65-654-50110",T31="125-65-652-50110",T31="125-65-656-50110"),"N/A",COUNTIF('Prop Budget Calc'!A:A,'Base Pay Report'!A31))</f>
        <v>0</v>
      </c>
    </row>
    <row r="32" spans="1:24">
      <c r="A32" s="535" t="s">
        <v>1316</v>
      </c>
      <c r="B32" s="456" t="s">
        <v>2992</v>
      </c>
      <c r="C32" s="456" t="s">
        <v>2993</v>
      </c>
      <c r="D32" s="456" t="s">
        <v>2994</v>
      </c>
      <c r="E32" s="456" t="str">
        <f t="shared" si="0"/>
        <v>First Name Last Name</v>
      </c>
      <c r="F32" s="535" t="s">
        <v>1214</v>
      </c>
      <c r="G32" s="535" t="s">
        <v>1247</v>
      </c>
      <c r="H32" s="536">
        <v>37.869999999999997</v>
      </c>
      <c r="I32" s="537" t="s">
        <v>170</v>
      </c>
      <c r="J32" s="538">
        <v>42450</v>
      </c>
      <c r="K32" s="535" t="s">
        <v>170</v>
      </c>
      <c r="L32" s="535" t="s">
        <v>170</v>
      </c>
      <c r="M32" s="535" t="s">
        <v>1473</v>
      </c>
      <c r="N32" s="535" t="s">
        <v>119</v>
      </c>
      <c r="O32" s="535" t="s">
        <v>1224</v>
      </c>
      <c r="P32" s="535" t="s">
        <v>1218</v>
      </c>
      <c r="Q32" s="535" t="s">
        <v>492</v>
      </c>
      <c r="R32" s="538" t="s">
        <v>170</v>
      </c>
      <c r="S32" s="535" t="s">
        <v>1225</v>
      </c>
      <c r="T32" s="535" t="s">
        <v>955</v>
      </c>
      <c r="U32" s="536">
        <v>78769.600000000006</v>
      </c>
      <c r="V32" s="535" t="s">
        <v>1220</v>
      </c>
      <c r="X32" s="369">
        <f>IF(OR(T32="125-65-654-50110",T32="125-65-652-50110",T32="125-65-656-50110"),"N/A",COUNTIF('Prop Budget Calc'!A:A,'Base Pay Report'!A32))</f>
        <v>0</v>
      </c>
    </row>
    <row r="33" spans="1:24">
      <c r="A33" s="535" t="s">
        <v>1317</v>
      </c>
      <c r="B33" s="456" t="s">
        <v>2992</v>
      </c>
      <c r="C33" s="456" t="s">
        <v>2993</v>
      </c>
      <c r="D33" s="456" t="s">
        <v>2994</v>
      </c>
      <c r="E33" s="456" t="str">
        <f t="shared" si="0"/>
        <v>First Name Last Name</v>
      </c>
      <c r="F33" s="535" t="s">
        <v>1214</v>
      </c>
      <c r="G33" s="535" t="s">
        <v>170</v>
      </c>
      <c r="H33" s="536">
        <v>32.299999999999997</v>
      </c>
      <c r="I33" s="537" t="s">
        <v>170</v>
      </c>
      <c r="J33" s="538">
        <v>39173</v>
      </c>
      <c r="K33" s="535" t="s">
        <v>170</v>
      </c>
      <c r="L33" s="535" t="s">
        <v>170</v>
      </c>
      <c r="M33" s="535" t="s">
        <v>2590</v>
      </c>
      <c r="N33" s="535" t="s">
        <v>2599</v>
      </c>
      <c r="O33" s="535" t="s">
        <v>1230</v>
      </c>
      <c r="P33" s="535" t="s">
        <v>1218</v>
      </c>
      <c r="Q33" s="535" t="s">
        <v>492</v>
      </c>
      <c r="R33" s="538" t="s">
        <v>170</v>
      </c>
      <c r="S33" s="535" t="s">
        <v>1294</v>
      </c>
      <c r="T33" s="535" t="s">
        <v>954</v>
      </c>
      <c r="U33" s="536">
        <v>67184</v>
      </c>
      <c r="V33" s="535" t="s">
        <v>1220</v>
      </c>
      <c r="X33" s="369">
        <f>IF(OR(T33="125-65-654-50110",T33="125-65-652-50110",T33="125-65-656-50110"),"N/A",COUNTIF('Prop Budget Calc'!A:A,'Base Pay Report'!A33))</f>
        <v>0</v>
      </c>
    </row>
    <row r="34" spans="1:24">
      <c r="A34" s="535" t="s">
        <v>1320</v>
      </c>
      <c r="B34" s="456" t="s">
        <v>2992</v>
      </c>
      <c r="C34" s="456" t="s">
        <v>2993</v>
      </c>
      <c r="D34" s="456" t="s">
        <v>2994</v>
      </c>
      <c r="E34" s="456" t="str">
        <f t="shared" si="0"/>
        <v>First Name Last Name</v>
      </c>
      <c r="F34" s="535" t="s">
        <v>1214</v>
      </c>
      <c r="G34" s="535" t="s">
        <v>1309</v>
      </c>
      <c r="H34" s="536">
        <v>30.24</v>
      </c>
      <c r="I34" s="537" t="s">
        <v>170</v>
      </c>
      <c r="J34" s="538">
        <v>36626</v>
      </c>
      <c r="K34" s="535" t="s">
        <v>170</v>
      </c>
      <c r="L34" s="535" t="s">
        <v>170</v>
      </c>
      <c r="M34" s="535" t="s">
        <v>1321</v>
      </c>
      <c r="N34" s="535" t="s">
        <v>1322</v>
      </c>
      <c r="O34" s="535" t="s">
        <v>1230</v>
      </c>
      <c r="P34" s="535" t="s">
        <v>1218</v>
      </c>
      <c r="Q34" s="535" t="s">
        <v>492</v>
      </c>
      <c r="R34" s="538" t="s">
        <v>170</v>
      </c>
      <c r="S34" s="535" t="s">
        <v>1259</v>
      </c>
      <c r="T34" s="535" t="s">
        <v>956</v>
      </c>
      <c r="U34" s="536">
        <v>62899.199999999997</v>
      </c>
      <c r="V34" s="535" t="s">
        <v>1220</v>
      </c>
      <c r="X34" s="369">
        <f>IF(OR(T34="125-65-654-50110",T34="125-65-652-50110",T34="125-65-656-50110"),"N/A",COUNTIF('Prop Budget Calc'!A:A,'Base Pay Report'!A34))</f>
        <v>0</v>
      </c>
    </row>
    <row r="35" spans="1:24">
      <c r="A35" s="535" t="s">
        <v>1323</v>
      </c>
      <c r="B35" s="456" t="s">
        <v>2992</v>
      </c>
      <c r="C35" s="456" t="s">
        <v>2993</v>
      </c>
      <c r="D35" s="456" t="s">
        <v>2994</v>
      </c>
      <c r="E35" s="456" t="str">
        <f t="shared" si="0"/>
        <v>First Name Last Name</v>
      </c>
      <c r="F35" s="535" t="s">
        <v>1214</v>
      </c>
      <c r="G35" s="535" t="s">
        <v>1486</v>
      </c>
      <c r="H35" s="536">
        <v>14.33</v>
      </c>
      <c r="I35" s="537" t="s">
        <v>170</v>
      </c>
      <c r="J35" s="538">
        <v>43475</v>
      </c>
      <c r="K35" s="535" t="s">
        <v>170</v>
      </c>
      <c r="L35" s="535" t="s">
        <v>170</v>
      </c>
      <c r="M35" s="535" t="s">
        <v>1487</v>
      </c>
      <c r="N35" s="535" t="s">
        <v>1488</v>
      </c>
      <c r="O35" s="535" t="s">
        <v>1325</v>
      </c>
      <c r="P35" s="535" t="s">
        <v>1218</v>
      </c>
      <c r="Q35" s="535" t="s">
        <v>492</v>
      </c>
      <c r="R35" s="538" t="s">
        <v>170</v>
      </c>
      <c r="S35" s="535" t="s">
        <v>1305</v>
      </c>
      <c r="T35" s="535" t="s">
        <v>1326</v>
      </c>
      <c r="U35" s="536">
        <v>29806.400000000001</v>
      </c>
      <c r="V35" s="535" t="s">
        <v>1307</v>
      </c>
      <c r="X35" s="369" t="str">
        <f>IF(OR(T35="125-65-654-50110",T35="125-65-652-50110",T35="125-65-656-50110"),"N/A",COUNTIF('Prop Budget Calc'!A:A,'Base Pay Report'!A35))</f>
        <v>N/A</v>
      </c>
    </row>
    <row r="36" spans="1:24">
      <c r="A36" s="535" t="s">
        <v>1327</v>
      </c>
      <c r="B36" s="456" t="s">
        <v>2992</v>
      </c>
      <c r="C36" s="456" t="s">
        <v>2993</v>
      </c>
      <c r="D36" s="456" t="s">
        <v>2994</v>
      </c>
      <c r="E36" s="456" t="str">
        <f t="shared" si="0"/>
        <v>First Name Last Name</v>
      </c>
      <c r="F36" s="535" t="s">
        <v>1214</v>
      </c>
      <c r="G36" s="535" t="s">
        <v>1238</v>
      </c>
      <c r="H36" s="536">
        <v>4330.1400000000003</v>
      </c>
      <c r="I36" s="537">
        <v>80</v>
      </c>
      <c r="J36" s="538">
        <v>42524</v>
      </c>
      <c r="K36" s="535" t="s">
        <v>170</v>
      </c>
      <c r="L36" s="535" t="s">
        <v>170</v>
      </c>
      <c r="M36" s="535" t="s">
        <v>1948</v>
      </c>
      <c r="N36" s="535" t="s">
        <v>1949</v>
      </c>
      <c r="O36" s="535" t="s">
        <v>1304</v>
      </c>
      <c r="P36" s="535" t="s">
        <v>1218</v>
      </c>
      <c r="Q36" s="535" t="s">
        <v>1231</v>
      </c>
      <c r="R36" s="538" t="s">
        <v>170</v>
      </c>
      <c r="S36" s="535" t="s">
        <v>1253</v>
      </c>
      <c r="T36" s="535" t="s">
        <v>1329</v>
      </c>
      <c r="U36" s="536">
        <v>112583.64</v>
      </c>
      <c r="V36" s="535" t="s">
        <v>1220</v>
      </c>
      <c r="X36" s="369">
        <f>IF(OR(T36="125-65-654-50110",T36="125-65-652-50110",T36="125-65-656-50110"),"N/A",COUNTIF('Prop Budget Calc'!A:A,'Base Pay Report'!A36))</f>
        <v>0</v>
      </c>
    </row>
    <row r="37" spans="1:24">
      <c r="A37" s="535" t="s">
        <v>1330</v>
      </c>
      <c r="B37" s="456" t="s">
        <v>2992</v>
      </c>
      <c r="C37" s="456" t="s">
        <v>2993</v>
      </c>
      <c r="D37" s="456" t="s">
        <v>2994</v>
      </c>
      <c r="E37" s="456" t="str">
        <f t="shared" si="0"/>
        <v>First Name Last Name</v>
      </c>
      <c r="F37" s="535" t="s">
        <v>1214</v>
      </c>
      <c r="G37" s="535" t="s">
        <v>1247</v>
      </c>
      <c r="H37" s="536">
        <v>41.83</v>
      </c>
      <c r="I37" s="537" t="s">
        <v>170</v>
      </c>
      <c r="J37" s="538">
        <v>36633</v>
      </c>
      <c r="K37" s="535" t="s">
        <v>170</v>
      </c>
      <c r="L37" s="535" t="s">
        <v>170</v>
      </c>
      <c r="M37" s="535" t="s">
        <v>1248</v>
      </c>
      <c r="N37" s="535" t="s">
        <v>116</v>
      </c>
      <c r="O37" s="535" t="s">
        <v>1224</v>
      </c>
      <c r="P37" s="535" t="s">
        <v>1218</v>
      </c>
      <c r="Q37" s="535" t="s">
        <v>492</v>
      </c>
      <c r="R37" s="538" t="s">
        <v>170</v>
      </c>
      <c r="S37" s="535" t="s">
        <v>1225</v>
      </c>
      <c r="T37" s="535" t="s">
        <v>955</v>
      </c>
      <c r="U37" s="536">
        <v>87006.399999999994</v>
      </c>
      <c r="V37" s="535" t="s">
        <v>1220</v>
      </c>
      <c r="X37" s="369">
        <f>IF(OR(T37="125-65-654-50110",T37="125-65-652-50110",T37="125-65-656-50110"),"N/A",COUNTIF('Prop Budget Calc'!A:A,'Base Pay Report'!A37))</f>
        <v>0</v>
      </c>
    </row>
    <row r="38" spans="1:24">
      <c r="A38" s="535" t="s">
        <v>1331</v>
      </c>
      <c r="B38" s="456" t="s">
        <v>2992</v>
      </c>
      <c r="C38" s="456" t="s">
        <v>2993</v>
      </c>
      <c r="D38" s="456" t="s">
        <v>2994</v>
      </c>
      <c r="E38" s="456" t="str">
        <f t="shared" si="0"/>
        <v>First Name Last Name</v>
      </c>
      <c r="F38" s="535" t="s">
        <v>1214</v>
      </c>
      <c r="G38" s="535" t="s">
        <v>1286</v>
      </c>
      <c r="H38" s="536">
        <v>33.53</v>
      </c>
      <c r="I38" s="537" t="s">
        <v>170</v>
      </c>
      <c r="J38" s="538">
        <v>38980</v>
      </c>
      <c r="K38" s="535" t="s">
        <v>170</v>
      </c>
      <c r="L38" s="535" t="s">
        <v>170</v>
      </c>
      <c r="M38" s="535" t="s">
        <v>1275</v>
      </c>
      <c r="N38" s="535" t="s">
        <v>133</v>
      </c>
      <c r="O38" s="535" t="s">
        <v>1217</v>
      </c>
      <c r="P38" s="535" t="s">
        <v>1218</v>
      </c>
      <c r="Q38" s="535" t="s">
        <v>492</v>
      </c>
      <c r="R38" s="538" t="s">
        <v>170</v>
      </c>
      <c r="S38" s="535" t="s">
        <v>1219</v>
      </c>
      <c r="T38" s="535" t="s">
        <v>959</v>
      </c>
      <c r="U38" s="536">
        <v>69742.399999999994</v>
      </c>
      <c r="V38" s="535" t="s">
        <v>1220</v>
      </c>
      <c r="X38" s="369">
        <f>IF(OR(T38="125-65-654-50110",T38="125-65-652-50110",T38="125-65-656-50110"),"N/A",COUNTIF('Prop Budget Calc'!A:A,'Base Pay Report'!A38))</f>
        <v>0</v>
      </c>
    </row>
    <row r="39" spans="1:24">
      <c r="A39" s="535" t="s">
        <v>1332</v>
      </c>
      <c r="B39" s="456" t="s">
        <v>2992</v>
      </c>
      <c r="C39" s="456" t="s">
        <v>2993</v>
      </c>
      <c r="D39" s="456" t="s">
        <v>2994</v>
      </c>
      <c r="E39" s="456" t="str">
        <f t="shared" si="0"/>
        <v>First Name Last Name</v>
      </c>
      <c r="F39" s="535" t="s">
        <v>1214</v>
      </c>
      <c r="G39" s="535" t="s">
        <v>170</v>
      </c>
      <c r="H39" s="536">
        <v>29.72</v>
      </c>
      <c r="I39" s="537" t="s">
        <v>170</v>
      </c>
      <c r="J39" s="538">
        <v>39034</v>
      </c>
      <c r="K39" s="535" t="s">
        <v>170</v>
      </c>
      <c r="L39" s="535" t="s">
        <v>170</v>
      </c>
      <c r="M39" s="535" t="s">
        <v>1367</v>
      </c>
      <c r="N39" s="535" t="s">
        <v>144</v>
      </c>
      <c r="O39" s="535" t="s">
        <v>1290</v>
      </c>
      <c r="P39" s="535" t="s">
        <v>1218</v>
      </c>
      <c r="Q39" s="535" t="s">
        <v>492</v>
      </c>
      <c r="R39" s="538" t="s">
        <v>170</v>
      </c>
      <c r="S39" s="535" t="s">
        <v>1291</v>
      </c>
      <c r="T39" s="535" t="s">
        <v>963</v>
      </c>
      <c r="U39" s="536">
        <v>61817.599999999999</v>
      </c>
      <c r="V39" s="535" t="s">
        <v>1220</v>
      </c>
      <c r="X39" s="369">
        <f>IF(OR(T39="125-65-654-50110",T39="125-65-652-50110",T39="125-65-656-50110"),"N/A",COUNTIF('Prop Budget Calc'!A:A,'Base Pay Report'!A39))</f>
        <v>1</v>
      </c>
    </row>
    <row r="40" spans="1:24">
      <c r="A40" s="535" t="s">
        <v>1334</v>
      </c>
      <c r="B40" s="456" t="s">
        <v>2992</v>
      </c>
      <c r="C40" s="456" t="s">
        <v>2993</v>
      </c>
      <c r="D40" s="456" t="s">
        <v>2994</v>
      </c>
      <c r="E40" s="456" t="str">
        <f t="shared" si="0"/>
        <v>First Name Last Name</v>
      </c>
      <c r="F40" s="535" t="s">
        <v>1214</v>
      </c>
      <c r="G40" s="535" t="s">
        <v>1386</v>
      </c>
      <c r="H40" s="536">
        <v>30.76</v>
      </c>
      <c r="I40" s="537" t="s">
        <v>170</v>
      </c>
      <c r="J40" s="538">
        <v>35828</v>
      </c>
      <c r="K40" s="535" t="s">
        <v>170</v>
      </c>
      <c r="L40" s="535" t="s">
        <v>170</v>
      </c>
      <c r="M40" s="535" t="s">
        <v>2522</v>
      </c>
      <c r="N40" s="535" t="s">
        <v>2523</v>
      </c>
      <c r="O40" s="535" t="s">
        <v>1230</v>
      </c>
      <c r="P40" s="535" t="s">
        <v>1218</v>
      </c>
      <c r="Q40" s="535" t="s">
        <v>492</v>
      </c>
      <c r="R40" s="538" t="s">
        <v>170</v>
      </c>
      <c r="S40" s="535" t="s">
        <v>1259</v>
      </c>
      <c r="T40" s="535" t="s">
        <v>1266</v>
      </c>
      <c r="U40" s="536">
        <v>63980.800000000003</v>
      </c>
      <c r="V40" s="535" t="s">
        <v>1220</v>
      </c>
      <c r="X40" s="369">
        <f>IF(OR(T40="125-65-654-50110",T40="125-65-652-50110",T40="125-65-656-50110"),"N/A",COUNTIF('Prop Budget Calc'!A:A,'Base Pay Report'!A40))</f>
        <v>0</v>
      </c>
    </row>
    <row r="41" spans="1:24">
      <c r="A41" s="535" t="s">
        <v>1336</v>
      </c>
      <c r="B41" s="456" t="s">
        <v>2992</v>
      </c>
      <c r="C41" s="456" t="s">
        <v>2993</v>
      </c>
      <c r="D41" s="456" t="s">
        <v>2994</v>
      </c>
      <c r="E41" s="456" t="str">
        <f t="shared" si="0"/>
        <v>First Name Last Name</v>
      </c>
      <c r="F41" s="535" t="s">
        <v>1214</v>
      </c>
      <c r="G41" s="535" t="s">
        <v>170</v>
      </c>
      <c r="H41" s="536">
        <v>26.35</v>
      </c>
      <c r="I41" s="537" t="s">
        <v>170</v>
      </c>
      <c r="J41" s="538">
        <v>37529</v>
      </c>
      <c r="K41" s="535" t="s">
        <v>170</v>
      </c>
      <c r="L41" s="535" t="s">
        <v>170</v>
      </c>
      <c r="M41" s="535" t="s">
        <v>1337</v>
      </c>
      <c r="N41" s="535" t="s">
        <v>124</v>
      </c>
      <c r="O41" s="535" t="s">
        <v>1230</v>
      </c>
      <c r="P41" s="535" t="s">
        <v>1218</v>
      </c>
      <c r="Q41" s="535" t="s">
        <v>492</v>
      </c>
      <c r="R41" s="538" t="s">
        <v>170</v>
      </c>
      <c r="S41" s="535" t="s">
        <v>1259</v>
      </c>
      <c r="T41" s="535" t="s">
        <v>954</v>
      </c>
      <c r="U41" s="536">
        <v>54808</v>
      </c>
      <c r="V41" s="535" t="s">
        <v>1220</v>
      </c>
      <c r="X41" s="369">
        <f>IF(OR(T41="125-65-654-50110",T41="125-65-652-50110",T41="125-65-656-50110"),"N/A",COUNTIF('Prop Budget Calc'!A:A,'Base Pay Report'!A41))</f>
        <v>0</v>
      </c>
    </row>
    <row r="42" spans="1:24">
      <c r="A42" s="535" t="s">
        <v>1339</v>
      </c>
      <c r="B42" s="456" t="s">
        <v>2992</v>
      </c>
      <c r="C42" s="456" t="s">
        <v>2993</v>
      </c>
      <c r="D42" s="456" t="s">
        <v>2994</v>
      </c>
      <c r="E42" s="456" t="str">
        <f t="shared" si="0"/>
        <v>First Name Last Name</v>
      </c>
      <c r="F42" s="535" t="s">
        <v>1214</v>
      </c>
      <c r="G42" s="535" t="s">
        <v>1251</v>
      </c>
      <c r="H42" s="536">
        <v>4330.1400000000003</v>
      </c>
      <c r="I42" s="537">
        <v>80</v>
      </c>
      <c r="J42" s="538">
        <v>34275</v>
      </c>
      <c r="K42" s="535" t="s">
        <v>170</v>
      </c>
      <c r="L42" s="535" t="s">
        <v>170</v>
      </c>
      <c r="M42" s="535" t="s">
        <v>1340</v>
      </c>
      <c r="N42" s="535" t="s">
        <v>627</v>
      </c>
      <c r="O42" s="535" t="s">
        <v>1230</v>
      </c>
      <c r="P42" s="535" t="s">
        <v>1218</v>
      </c>
      <c r="Q42" s="535" t="s">
        <v>1231</v>
      </c>
      <c r="R42" s="538" t="s">
        <v>170</v>
      </c>
      <c r="S42" s="535" t="s">
        <v>1241</v>
      </c>
      <c r="T42" s="535" t="s">
        <v>1341</v>
      </c>
      <c r="U42" s="536">
        <v>112583.64</v>
      </c>
      <c r="V42" s="535" t="s">
        <v>1220</v>
      </c>
      <c r="X42" s="369">
        <f>IF(OR(T42="125-65-654-50110",T42="125-65-652-50110",T42="125-65-656-50110"),"N/A",COUNTIF('Prop Budget Calc'!A:A,'Base Pay Report'!A42))</f>
        <v>0</v>
      </c>
    </row>
    <row r="43" spans="1:24">
      <c r="A43" s="535" t="s">
        <v>1342</v>
      </c>
      <c r="B43" s="456" t="s">
        <v>2992</v>
      </c>
      <c r="C43" s="456" t="s">
        <v>2993</v>
      </c>
      <c r="D43" s="456" t="s">
        <v>2994</v>
      </c>
      <c r="E43" s="456" t="str">
        <f t="shared" si="0"/>
        <v>First Name Last Name</v>
      </c>
      <c r="F43" s="535" t="s">
        <v>1214</v>
      </c>
      <c r="G43" s="535" t="s">
        <v>170</v>
      </c>
      <c r="H43" s="536">
        <v>5606.51</v>
      </c>
      <c r="I43" s="537">
        <v>80</v>
      </c>
      <c r="J43" s="538">
        <v>33247</v>
      </c>
      <c r="K43" s="535" t="s">
        <v>170</v>
      </c>
      <c r="L43" s="535" t="s">
        <v>170</v>
      </c>
      <c r="M43" s="535" t="s">
        <v>1344</v>
      </c>
      <c r="N43" s="535" t="s">
        <v>127</v>
      </c>
      <c r="O43" s="535" t="s">
        <v>1217</v>
      </c>
      <c r="P43" s="535" t="s">
        <v>1218</v>
      </c>
      <c r="Q43" s="535" t="s">
        <v>1231</v>
      </c>
      <c r="R43" s="538" t="s">
        <v>170</v>
      </c>
      <c r="S43" s="535" t="s">
        <v>1219</v>
      </c>
      <c r="T43" s="535" t="s">
        <v>1345</v>
      </c>
      <c r="U43" s="536">
        <v>145769.26</v>
      </c>
      <c r="V43" s="535" t="s">
        <v>1220</v>
      </c>
      <c r="X43" s="369">
        <f>IF(OR(T43="125-65-654-50110",T43="125-65-652-50110",T43="125-65-656-50110"),"N/A",COUNTIF('Prop Budget Calc'!A:A,'Base Pay Report'!A43))</f>
        <v>0</v>
      </c>
    </row>
    <row r="44" spans="1:24">
      <c r="A44" s="535" t="s">
        <v>1346</v>
      </c>
      <c r="B44" s="456" t="s">
        <v>2992</v>
      </c>
      <c r="C44" s="456" t="s">
        <v>2993</v>
      </c>
      <c r="D44" s="456" t="s">
        <v>2994</v>
      </c>
      <c r="E44" s="456" t="str">
        <f t="shared" si="0"/>
        <v>First Name Last Name</v>
      </c>
      <c r="F44" s="535" t="s">
        <v>1214</v>
      </c>
      <c r="G44" s="535" t="s">
        <v>1286</v>
      </c>
      <c r="H44" s="536">
        <v>33.53</v>
      </c>
      <c r="I44" s="537" t="s">
        <v>170</v>
      </c>
      <c r="J44" s="538">
        <v>39720</v>
      </c>
      <c r="K44" s="535" t="s">
        <v>170</v>
      </c>
      <c r="L44" s="535" t="s">
        <v>170</v>
      </c>
      <c r="M44" s="535" t="s">
        <v>1275</v>
      </c>
      <c r="N44" s="535" t="s">
        <v>133</v>
      </c>
      <c r="O44" s="535" t="s">
        <v>1217</v>
      </c>
      <c r="P44" s="535" t="s">
        <v>1218</v>
      </c>
      <c r="Q44" s="535" t="s">
        <v>492</v>
      </c>
      <c r="R44" s="538" t="s">
        <v>170</v>
      </c>
      <c r="S44" s="535" t="s">
        <v>1219</v>
      </c>
      <c r="T44" s="535" t="s">
        <v>959</v>
      </c>
      <c r="U44" s="536">
        <v>69742.399999999994</v>
      </c>
      <c r="V44" s="535" t="s">
        <v>1220</v>
      </c>
      <c r="X44" s="369">
        <f>IF(OR(T44="125-65-654-50110",T44="125-65-652-50110",T44="125-65-656-50110"),"N/A",COUNTIF('Prop Budget Calc'!A:A,'Base Pay Report'!A44))</f>
        <v>0</v>
      </c>
    </row>
    <row r="45" spans="1:24">
      <c r="A45" s="535" t="s">
        <v>2421</v>
      </c>
      <c r="B45" s="456" t="s">
        <v>2992</v>
      </c>
      <c r="C45" s="456" t="s">
        <v>2993</v>
      </c>
      <c r="D45" s="456" t="s">
        <v>2994</v>
      </c>
      <c r="E45" s="456" t="str">
        <f t="shared" si="0"/>
        <v>First Name Last Name</v>
      </c>
      <c r="F45" s="535" t="s">
        <v>1214</v>
      </c>
      <c r="G45" s="535" t="s">
        <v>1256</v>
      </c>
      <c r="H45" s="536">
        <v>18.04</v>
      </c>
      <c r="I45" s="537" t="s">
        <v>170</v>
      </c>
      <c r="J45" s="538">
        <v>36878</v>
      </c>
      <c r="K45" s="535" t="s">
        <v>170</v>
      </c>
      <c r="L45" s="535" t="s">
        <v>170</v>
      </c>
      <c r="M45" s="535" t="s">
        <v>2463</v>
      </c>
      <c r="N45" s="535" t="s">
        <v>2464</v>
      </c>
      <c r="O45" s="535" t="s">
        <v>1230</v>
      </c>
      <c r="P45" s="535" t="s">
        <v>1218</v>
      </c>
      <c r="Q45" s="535" t="s">
        <v>492</v>
      </c>
      <c r="R45" s="538">
        <v>45096</v>
      </c>
      <c r="S45" s="535" t="s">
        <v>1259</v>
      </c>
      <c r="T45" s="535" t="s">
        <v>1266</v>
      </c>
      <c r="U45" s="536">
        <v>37523.199999999997</v>
      </c>
      <c r="V45" s="535" t="s">
        <v>1220</v>
      </c>
      <c r="X45" s="369">
        <f>IF(OR(T45="125-65-654-50110",T45="125-65-652-50110",T45="125-65-656-50110"),"N/A",COUNTIF('Prop Budget Calc'!A:A,'Base Pay Report'!A45))</f>
        <v>0</v>
      </c>
    </row>
    <row r="46" spans="1:24">
      <c r="A46" s="535" t="s">
        <v>1347</v>
      </c>
      <c r="B46" s="456" t="s">
        <v>2992</v>
      </c>
      <c r="C46" s="456" t="s">
        <v>2993</v>
      </c>
      <c r="D46" s="456" t="s">
        <v>2994</v>
      </c>
      <c r="E46" s="456" t="str">
        <f t="shared" si="0"/>
        <v>First Name Last Name</v>
      </c>
      <c r="F46" s="535" t="s">
        <v>1214</v>
      </c>
      <c r="G46" s="535" t="s">
        <v>1233</v>
      </c>
      <c r="H46" s="536">
        <v>2979.04</v>
      </c>
      <c r="I46" s="537">
        <v>80</v>
      </c>
      <c r="J46" s="538">
        <v>39062</v>
      </c>
      <c r="K46" s="535" t="s">
        <v>170</v>
      </c>
      <c r="L46" s="535" t="s">
        <v>170</v>
      </c>
      <c r="M46" s="535" t="s">
        <v>1348</v>
      </c>
      <c r="N46" s="535" t="s">
        <v>995</v>
      </c>
      <c r="O46" s="535" t="s">
        <v>1230</v>
      </c>
      <c r="P46" s="535" t="s">
        <v>1218</v>
      </c>
      <c r="Q46" s="535" t="s">
        <v>1231</v>
      </c>
      <c r="R46" s="538" t="s">
        <v>170</v>
      </c>
      <c r="S46" s="535" t="s">
        <v>1241</v>
      </c>
      <c r="T46" s="535" t="s">
        <v>1297</v>
      </c>
      <c r="U46" s="536">
        <v>77455.039999999994</v>
      </c>
      <c r="V46" s="535" t="s">
        <v>1220</v>
      </c>
      <c r="X46" s="369">
        <f>IF(OR(T46="125-65-654-50110",T46="125-65-652-50110",T46="125-65-656-50110"),"N/A",COUNTIF('Prop Budget Calc'!A:A,'Base Pay Report'!A46))</f>
        <v>0</v>
      </c>
    </row>
    <row r="47" spans="1:24">
      <c r="A47" s="535" t="s">
        <v>1349</v>
      </c>
      <c r="B47" s="456" t="s">
        <v>2992</v>
      </c>
      <c r="C47" s="456" t="s">
        <v>2993</v>
      </c>
      <c r="D47" s="456" t="s">
        <v>2994</v>
      </c>
      <c r="E47" s="456" t="str">
        <f t="shared" si="0"/>
        <v>First Name Last Name</v>
      </c>
      <c r="F47" s="535" t="s">
        <v>1214</v>
      </c>
      <c r="G47" s="535" t="s">
        <v>1309</v>
      </c>
      <c r="H47" s="536">
        <v>23.39</v>
      </c>
      <c r="I47" s="537" t="s">
        <v>170</v>
      </c>
      <c r="J47" s="538">
        <v>39665</v>
      </c>
      <c r="K47" s="535" t="s">
        <v>170</v>
      </c>
      <c r="L47" s="535" t="s">
        <v>170</v>
      </c>
      <c r="M47" s="535" t="s">
        <v>1350</v>
      </c>
      <c r="N47" s="535" t="s">
        <v>1351</v>
      </c>
      <c r="O47" s="535" t="s">
        <v>1230</v>
      </c>
      <c r="P47" s="535" t="s">
        <v>1218</v>
      </c>
      <c r="Q47" s="535" t="s">
        <v>492</v>
      </c>
      <c r="R47" s="538" t="s">
        <v>170</v>
      </c>
      <c r="S47" s="535" t="s">
        <v>1259</v>
      </c>
      <c r="T47" s="535" t="s">
        <v>1352</v>
      </c>
      <c r="U47" s="536">
        <v>48651.199999999997</v>
      </c>
      <c r="V47" s="535" t="s">
        <v>1220</v>
      </c>
      <c r="X47" s="369">
        <f>IF(OR(T47="125-65-654-50110",T47="125-65-652-50110",T47="125-65-656-50110"),"N/A",COUNTIF('Prop Budget Calc'!A:A,'Base Pay Report'!A47))</f>
        <v>1</v>
      </c>
    </row>
    <row r="48" spans="1:24">
      <c r="A48" s="535" t="s">
        <v>1353</v>
      </c>
      <c r="B48" s="456" t="s">
        <v>2992</v>
      </c>
      <c r="C48" s="456" t="s">
        <v>2993</v>
      </c>
      <c r="D48" s="456" t="s">
        <v>2994</v>
      </c>
      <c r="E48" s="456" t="str">
        <f t="shared" si="0"/>
        <v>First Name Last Name</v>
      </c>
      <c r="F48" s="535" t="s">
        <v>1214</v>
      </c>
      <c r="G48" s="535" t="s">
        <v>170</v>
      </c>
      <c r="H48" s="536">
        <v>34.69</v>
      </c>
      <c r="I48" s="537" t="s">
        <v>170</v>
      </c>
      <c r="J48" s="538">
        <v>40553</v>
      </c>
      <c r="K48" s="535" t="s">
        <v>170</v>
      </c>
      <c r="L48" s="535" t="s">
        <v>170</v>
      </c>
      <c r="M48" s="535" t="s">
        <v>1216</v>
      </c>
      <c r="N48" s="535" t="s">
        <v>131</v>
      </c>
      <c r="O48" s="535" t="s">
        <v>1217</v>
      </c>
      <c r="P48" s="535" t="s">
        <v>1218</v>
      </c>
      <c r="Q48" s="535" t="s">
        <v>492</v>
      </c>
      <c r="R48" s="538" t="s">
        <v>170</v>
      </c>
      <c r="S48" s="535" t="s">
        <v>1219</v>
      </c>
      <c r="T48" s="535" t="s">
        <v>959</v>
      </c>
      <c r="U48" s="536">
        <v>72155.199999999997</v>
      </c>
      <c r="V48" s="535" t="s">
        <v>1220</v>
      </c>
      <c r="X48" s="369">
        <f>IF(OR(T48="125-65-654-50110",T48="125-65-652-50110",T48="125-65-656-50110"),"N/A",COUNTIF('Prop Budget Calc'!A:A,'Base Pay Report'!A48))</f>
        <v>1</v>
      </c>
    </row>
    <row r="49" spans="1:24">
      <c r="A49" s="535" t="s">
        <v>2479</v>
      </c>
      <c r="B49" s="456" t="s">
        <v>2992</v>
      </c>
      <c r="C49" s="456" t="s">
        <v>2993</v>
      </c>
      <c r="D49" s="456" t="s">
        <v>2994</v>
      </c>
      <c r="E49" s="456" t="str">
        <f t="shared" si="0"/>
        <v>First Name Last Name</v>
      </c>
      <c r="F49" s="535" t="s">
        <v>1214</v>
      </c>
      <c r="G49" s="535" t="s">
        <v>1263</v>
      </c>
      <c r="H49" s="536">
        <v>24.76</v>
      </c>
      <c r="I49" s="537" t="s">
        <v>170</v>
      </c>
      <c r="J49" s="538">
        <v>41848</v>
      </c>
      <c r="K49" s="535" t="s">
        <v>170</v>
      </c>
      <c r="L49" s="535" t="s">
        <v>170</v>
      </c>
      <c r="M49" s="535" t="s">
        <v>1333</v>
      </c>
      <c r="N49" s="535" t="s">
        <v>994</v>
      </c>
      <c r="O49" s="535" t="s">
        <v>1290</v>
      </c>
      <c r="P49" s="535" t="s">
        <v>1218</v>
      </c>
      <c r="Q49" s="535" t="s">
        <v>492</v>
      </c>
      <c r="R49" s="538">
        <v>45215</v>
      </c>
      <c r="S49" s="535" t="s">
        <v>1291</v>
      </c>
      <c r="T49" s="535" t="s">
        <v>965</v>
      </c>
      <c r="U49" s="536">
        <v>51500.800000000003</v>
      </c>
      <c r="V49" s="535" t="s">
        <v>1220</v>
      </c>
      <c r="X49" s="369">
        <f>IF(OR(T49="125-65-654-50110",T49="125-65-652-50110",T49="125-65-656-50110"),"N/A",COUNTIF('Prop Budget Calc'!A:A,'Base Pay Report'!A49))</f>
        <v>0</v>
      </c>
    </row>
    <row r="50" spans="1:24">
      <c r="A50" s="535" t="s">
        <v>1355</v>
      </c>
      <c r="B50" s="456" t="s">
        <v>2992</v>
      </c>
      <c r="C50" s="456" t="s">
        <v>2993</v>
      </c>
      <c r="D50" s="456" t="s">
        <v>2994</v>
      </c>
      <c r="E50" s="456" t="str">
        <f t="shared" si="0"/>
        <v>First Name Last Name</v>
      </c>
      <c r="F50" s="535" t="s">
        <v>1214</v>
      </c>
      <c r="G50" s="535" t="s">
        <v>1286</v>
      </c>
      <c r="H50" s="536">
        <v>32.229999999999997</v>
      </c>
      <c r="I50" s="537" t="s">
        <v>170</v>
      </c>
      <c r="J50" s="538">
        <v>41729</v>
      </c>
      <c r="K50" s="535" t="s">
        <v>170</v>
      </c>
      <c r="L50" s="535" t="s">
        <v>170</v>
      </c>
      <c r="M50" s="535" t="s">
        <v>1354</v>
      </c>
      <c r="N50" s="535" t="s">
        <v>134</v>
      </c>
      <c r="O50" s="535" t="s">
        <v>1217</v>
      </c>
      <c r="P50" s="535" t="s">
        <v>1218</v>
      </c>
      <c r="Q50" s="535" t="s">
        <v>492</v>
      </c>
      <c r="R50" s="538" t="s">
        <v>170</v>
      </c>
      <c r="S50" s="535" t="s">
        <v>1219</v>
      </c>
      <c r="T50" s="535" t="s">
        <v>959</v>
      </c>
      <c r="U50" s="536">
        <v>67038.399999999994</v>
      </c>
      <c r="V50" s="535" t="s">
        <v>1220</v>
      </c>
      <c r="X50" s="369">
        <f>IF(OR(T50="125-65-654-50110",T50="125-65-652-50110",T50="125-65-656-50110"),"N/A",COUNTIF('Prop Budget Calc'!A:A,'Base Pay Report'!A50))</f>
        <v>0</v>
      </c>
    </row>
    <row r="51" spans="1:24">
      <c r="A51" s="535" t="s">
        <v>1359</v>
      </c>
      <c r="B51" s="456" t="s">
        <v>2992</v>
      </c>
      <c r="C51" s="456" t="s">
        <v>2993</v>
      </c>
      <c r="D51" s="456" t="s">
        <v>2994</v>
      </c>
      <c r="E51" s="456" t="str">
        <f t="shared" si="0"/>
        <v>First Name Last Name</v>
      </c>
      <c r="F51" s="535" t="s">
        <v>1214</v>
      </c>
      <c r="G51" s="535" t="s">
        <v>1238</v>
      </c>
      <c r="H51" s="536">
        <v>4721.8100000000004</v>
      </c>
      <c r="I51" s="537">
        <v>80</v>
      </c>
      <c r="J51" s="538">
        <v>42002</v>
      </c>
      <c r="K51" s="535" t="s">
        <v>170</v>
      </c>
      <c r="L51" s="535" t="s">
        <v>170</v>
      </c>
      <c r="M51" s="535" t="s">
        <v>2524</v>
      </c>
      <c r="N51" s="535" t="s">
        <v>2525</v>
      </c>
      <c r="O51" s="535" t="s">
        <v>1230</v>
      </c>
      <c r="P51" s="535" t="s">
        <v>1218</v>
      </c>
      <c r="Q51" s="535" t="s">
        <v>1231</v>
      </c>
      <c r="R51" s="538" t="s">
        <v>170</v>
      </c>
      <c r="S51" s="535" t="s">
        <v>1241</v>
      </c>
      <c r="T51" s="535" t="s">
        <v>1360</v>
      </c>
      <c r="U51" s="536">
        <v>122767.06</v>
      </c>
      <c r="V51" s="535" t="s">
        <v>1220</v>
      </c>
      <c r="X51" s="369">
        <f>IF(OR(T51="125-65-654-50110",T51="125-65-652-50110",T51="125-65-656-50110"),"N/A",COUNTIF('Prop Budget Calc'!A:A,'Base Pay Report'!A51))</f>
        <v>0</v>
      </c>
    </row>
    <row r="52" spans="1:24">
      <c r="A52" s="535" t="s">
        <v>1362</v>
      </c>
      <c r="B52" s="456" t="s">
        <v>2992</v>
      </c>
      <c r="C52" s="456" t="s">
        <v>2993</v>
      </c>
      <c r="D52" s="456" t="s">
        <v>2994</v>
      </c>
      <c r="E52" s="456" t="str">
        <f t="shared" si="0"/>
        <v>First Name Last Name</v>
      </c>
      <c r="F52" s="535" t="s">
        <v>1214</v>
      </c>
      <c r="G52" s="535" t="s">
        <v>170</v>
      </c>
      <c r="H52" s="536">
        <v>3637.24</v>
      </c>
      <c r="I52" s="537">
        <v>80</v>
      </c>
      <c r="J52" s="538">
        <v>38474</v>
      </c>
      <c r="K52" s="535" t="s">
        <v>170</v>
      </c>
      <c r="L52" s="535" t="s">
        <v>170</v>
      </c>
      <c r="M52" s="535" t="s">
        <v>1363</v>
      </c>
      <c r="N52" s="535" t="s">
        <v>980</v>
      </c>
      <c r="O52" s="535" t="s">
        <v>1230</v>
      </c>
      <c r="P52" s="535" t="s">
        <v>1218</v>
      </c>
      <c r="Q52" s="535" t="s">
        <v>1231</v>
      </c>
      <c r="R52" s="538" t="s">
        <v>170</v>
      </c>
      <c r="S52" s="535" t="s">
        <v>1241</v>
      </c>
      <c r="T52" s="535" t="s">
        <v>1364</v>
      </c>
      <c r="U52" s="536">
        <v>94568.24</v>
      </c>
      <c r="V52" s="535" t="s">
        <v>1220</v>
      </c>
      <c r="X52" s="369">
        <f>IF(OR(T52="125-65-654-50110",T52="125-65-652-50110",T52="125-65-656-50110"),"N/A",COUNTIF('Prop Budget Calc'!A:A,'Base Pay Report'!A52))</f>
        <v>1</v>
      </c>
    </row>
    <row r="53" spans="1:24">
      <c r="A53" s="535" t="s">
        <v>1365</v>
      </c>
      <c r="B53" s="456" t="s">
        <v>2992</v>
      </c>
      <c r="C53" s="456" t="s">
        <v>2993</v>
      </c>
      <c r="D53" s="456" t="s">
        <v>2994</v>
      </c>
      <c r="E53" s="456" t="str">
        <f t="shared" si="0"/>
        <v>First Name Last Name</v>
      </c>
      <c r="F53" s="535" t="s">
        <v>1214</v>
      </c>
      <c r="G53" s="535" t="s">
        <v>1215</v>
      </c>
      <c r="H53" s="536">
        <v>39.85</v>
      </c>
      <c r="I53" s="537" t="s">
        <v>170</v>
      </c>
      <c r="J53" s="538">
        <v>39517</v>
      </c>
      <c r="K53" s="535" t="s">
        <v>170</v>
      </c>
      <c r="L53" s="535" t="s">
        <v>170</v>
      </c>
      <c r="M53" s="535" t="s">
        <v>1216</v>
      </c>
      <c r="N53" s="535" t="s">
        <v>131</v>
      </c>
      <c r="O53" s="535" t="s">
        <v>1217</v>
      </c>
      <c r="P53" s="535" t="s">
        <v>1218</v>
      </c>
      <c r="Q53" s="535" t="s">
        <v>492</v>
      </c>
      <c r="R53" s="538" t="s">
        <v>170</v>
      </c>
      <c r="S53" s="535" t="s">
        <v>1219</v>
      </c>
      <c r="T53" s="535" t="s">
        <v>959</v>
      </c>
      <c r="U53" s="536">
        <v>82888</v>
      </c>
      <c r="V53" s="535" t="s">
        <v>1220</v>
      </c>
      <c r="X53" s="369">
        <f>IF(OR(T53="125-65-654-50110",T53="125-65-652-50110",T53="125-65-656-50110"),"N/A",COUNTIF('Prop Budget Calc'!A:A,'Base Pay Report'!A53))</f>
        <v>0</v>
      </c>
    </row>
    <row r="54" spans="1:24">
      <c r="A54" s="535" t="s">
        <v>1366</v>
      </c>
      <c r="B54" s="456" t="s">
        <v>2992</v>
      </c>
      <c r="C54" s="456" t="s">
        <v>2993</v>
      </c>
      <c r="D54" s="456" t="s">
        <v>2994</v>
      </c>
      <c r="E54" s="456" t="str">
        <f t="shared" si="0"/>
        <v>First Name Last Name</v>
      </c>
      <c r="F54" s="535" t="s">
        <v>1214</v>
      </c>
      <c r="G54" s="535" t="s">
        <v>1309</v>
      </c>
      <c r="H54" s="536">
        <v>29.72</v>
      </c>
      <c r="I54" s="537" t="s">
        <v>170</v>
      </c>
      <c r="J54" s="538">
        <v>38481</v>
      </c>
      <c r="K54" s="535" t="s">
        <v>170</v>
      </c>
      <c r="L54" s="535" t="s">
        <v>170</v>
      </c>
      <c r="M54" s="535" t="s">
        <v>1367</v>
      </c>
      <c r="N54" s="535" t="s">
        <v>144</v>
      </c>
      <c r="O54" s="535" t="s">
        <v>1290</v>
      </c>
      <c r="P54" s="535" t="s">
        <v>1218</v>
      </c>
      <c r="Q54" s="535" t="s">
        <v>492</v>
      </c>
      <c r="R54" s="538" t="s">
        <v>170</v>
      </c>
      <c r="S54" s="535" t="s">
        <v>1291</v>
      </c>
      <c r="T54" s="535" t="s">
        <v>963</v>
      </c>
      <c r="U54" s="536">
        <v>61817.599999999999</v>
      </c>
      <c r="V54" s="535" t="s">
        <v>1220</v>
      </c>
      <c r="X54" s="369">
        <f>IF(OR(T54="125-65-654-50110",T54="125-65-652-50110",T54="125-65-656-50110"),"N/A",COUNTIF('Prop Budget Calc'!A:A,'Base Pay Report'!A54))</f>
        <v>0</v>
      </c>
    </row>
    <row r="55" spans="1:24">
      <c r="A55" s="535" t="s">
        <v>1368</v>
      </c>
      <c r="B55" s="456" t="s">
        <v>2992</v>
      </c>
      <c r="C55" s="456" t="s">
        <v>2993</v>
      </c>
      <c r="D55" s="456" t="s">
        <v>2994</v>
      </c>
      <c r="E55" s="456" t="str">
        <f t="shared" si="0"/>
        <v>First Name Last Name</v>
      </c>
      <c r="F55" s="535" t="s">
        <v>1214</v>
      </c>
      <c r="G55" s="535" t="s">
        <v>1288</v>
      </c>
      <c r="H55" s="536">
        <v>3117.04</v>
      </c>
      <c r="I55" s="537">
        <v>80</v>
      </c>
      <c r="J55" s="538">
        <v>38047</v>
      </c>
      <c r="K55" s="535" t="s">
        <v>170</v>
      </c>
      <c r="L55" s="535" t="s">
        <v>170</v>
      </c>
      <c r="M55" s="535" t="s">
        <v>1369</v>
      </c>
      <c r="N55" s="535" t="s">
        <v>996</v>
      </c>
      <c r="O55" s="535" t="s">
        <v>1265</v>
      </c>
      <c r="P55" s="535" t="s">
        <v>1218</v>
      </c>
      <c r="Q55" s="535" t="s">
        <v>1231</v>
      </c>
      <c r="R55" s="538" t="s">
        <v>170</v>
      </c>
      <c r="S55" s="535" t="s">
        <v>1241</v>
      </c>
      <c r="T55" s="535" t="s">
        <v>1370</v>
      </c>
      <c r="U55" s="536">
        <v>81043.039999999994</v>
      </c>
      <c r="V55" s="535" t="s">
        <v>1220</v>
      </c>
      <c r="X55" s="369">
        <f>IF(OR(T55="125-65-654-50110",T55="125-65-652-50110",T55="125-65-656-50110"),"N/A",COUNTIF('Prop Budget Calc'!A:A,'Base Pay Report'!A55))</f>
        <v>0</v>
      </c>
    </row>
    <row r="56" spans="1:24">
      <c r="A56" s="535" t="s">
        <v>1371</v>
      </c>
      <c r="B56" s="456" t="s">
        <v>2992</v>
      </c>
      <c r="C56" s="456" t="s">
        <v>2993</v>
      </c>
      <c r="D56" s="456" t="s">
        <v>2994</v>
      </c>
      <c r="E56" s="456" t="str">
        <f t="shared" si="0"/>
        <v>First Name Last Name</v>
      </c>
      <c r="F56" s="535" t="s">
        <v>1214</v>
      </c>
      <c r="G56" s="535" t="s">
        <v>1281</v>
      </c>
      <c r="H56" s="536">
        <v>53.06</v>
      </c>
      <c r="I56" s="537" t="s">
        <v>170</v>
      </c>
      <c r="J56" s="538">
        <v>37291</v>
      </c>
      <c r="K56" s="535" t="s">
        <v>170</v>
      </c>
      <c r="L56" s="535" t="s">
        <v>170</v>
      </c>
      <c r="M56" s="535" t="s">
        <v>1282</v>
      </c>
      <c r="N56" s="535" t="s">
        <v>117</v>
      </c>
      <c r="O56" s="535" t="s">
        <v>1224</v>
      </c>
      <c r="P56" s="535" t="s">
        <v>1218</v>
      </c>
      <c r="Q56" s="535" t="s">
        <v>492</v>
      </c>
      <c r="R56" s="538" t="s">
        <v>170</v>
      </c>
      <c r="S56" s="535" t="s">
        <v>1283</v>
      </c>
      <c r="T56" s="535" t="s">
        <v>955</v>
      </c>
      <c r="U56" s="536">
        <v>110364.8</v>
      </c>
      <c r="V56" s="535" t="s">
        <v>1220</v>
      </c>
      <c r="X56" s="369">
        <f>IF(OR(T56="125-65-654-50110",T56="125-65-652-50110",T56="125-65-656-50110"),"N/A",COUNTIF('Prop Budget Calc'!A:A,'Base Pay Report'!A56))</f>
        <v>1</v>
      </c>
    </row>
    <row r="57" spans="1:24">
      <c r="A57" s="535" t="s">
        <v>1373</v>
      </c>
      <c r="B57" s="456" t="s">
        <v>2992</v>
      </c>
      <c r="C57" s="456" t="s">
        <v>2993</v>
      </c>
      <c r="D57" s="456" t="s">
        <v>2994</v>
      </c>
      <c r="E57" s="456" t="str">
        <f t="shared" si="0"/>
        <v>First Name Last Name</v>
      </c>
      <c r="F57" s="535" t="s">
        <v>1214</v>
      </c>
      <c r="G57" s="535" t="s">
        <v>1374</v>
      </c>
      <c r="H57" s="536">
        <v>61.24</v>
      </c>
      <c r="I57" s="537" t="s">
        <v>170</v>
      </c>
      <c r="J57" s="538">
        <v>36689</v>
      </c>
      <c r="K57" s="535" t="s">
        <v>170</v>
      </c>
      <c r="L57" s="535" t="s">
        <v>170</v>
      </c>
      <c r="M57" s="535" t="s">
        <v>1375</v>
      </c>
      <c r="N57" s="535" t="s">
        <v>128</v>
      </c>
      <c r="O57" s="535" t="s">
        <v>1217</v>
      </c>
      <c r="P57" s="535" t="s">
        <v>1218</v>
      </c>
      <c r="Q57" s="535" t="s">
        <v>492</v>
      </c>
      <c r="R57" s="538" t="s">
        <v>170</v>
      </c>
      <c r="S57" s="535" t="s">
        <v>1219</v>
      </c>
      <c r="T57" s="535" t="s">
        <v>1376</v>
      </c>
      <c r="U57" s="536">
        <v>127379.2</v>
      </c>
      <c r="V57" s="535" t="s">
        <v>1220</v>
      </c>
      <c r="X57" s="369">
        <f>IF(OR(T57="125-65-654-50110",T57="125-65-652-50110",T57="125-65-656-50110"),"N/A",COUNTIF('Prop Budget Calc'!A:A,'Base Pay Report'!A57))</f>
        <v>0</v>
      </c>
    </row>
    <row r="58" spans="1:24">
      <c r="A58" s="535" t="s">
        <v>1377</v>
      </c>
      <c r="B58" s="456" t="s">
        <v>2992</v>
      </c>
      <c r="C58" s="456" t="s">
        <v>2993</v>
      </c>
      <c r="D58" s="456" t="s">
        <v>2994</v>
      </c>
      <c r="E58" s="456" t="str">
        <f t="shared" si="0"/>
        <v>First Name Last Name</v>
      </c>
      <c r="F58" s="535" t="s">
        <v>1214</v>
      </c>
      <c r="G58" s="535" t="s">
        <v>1247</v>
      </c>
      <c r="H58" s="536">
        <v>41.83</v>
      </c>
      <c r="I58" s="537" t="s">
        <v>170</v>
      </c>
      <c r="J58" s="538">
        <v>38012</v>
      </c>
      <c r="K58" s="535" t="s">
        <v>170</v>
      </c>
      <c r="L58" s="535" t="s">
        <v>170</v>
      </c>
      <c r="M58" s="535" t="s">
        <v>1248</v>
      </c>
      <c r="N58" s="535" t="s">
        <v>116</v>
      </c>
      <c r="O58" s="535" t="s">
        <v>1224</v>
      </c>
      <c r="P58" s="535" t="s">
        <v>1218</v>
      </c>
      <c r="Q58" s="535" t="s">
        <v>492</v>
      </c>
      <c r="R58" s="538" t="s">
        <v>170</v>
      </c>
      <c r="S58" s="535" t="s">
        <v>1225</v>
      </c>
      <c r="T58" s="535" t="s">
        <v>955</v>
      </c>
      <c r="U58" s="536">
        <v>87006.399999999994</v>
      </c>
      <c r="V58" s="535" t="s">
        <v>1220</v>
      </c>
      <c r="X58" s="369">
        <f>IF(OR(T58="125-65-654-50110",T58="125-65-652-50110",T58="125-65-656-50110"),"N/A",COUNTIF('Prop Budget Calc'!A:A,'Base Pay Report'!A58))</f>
        <v>0</v>
      </c>
    </row>
    <row r="59" spans="1:24">
      <c r="A59" s="535" t="s">
        <v>1378</v>
      </c>
      <c r="B59" s="456" t="s">
        <v>2992</v>
      </c>
      <c r="C59" s="456" t="s">
        <v>2993</v>
      </c>
      <c r="D59" s="456" t="s">
        <v>2994</v>
      </c>
      <c r="E59" s="456" t="str">
        <f t="shared" si="0"/>
        <v>First Name Last Name</v>
      </c>
      <c r="F59" s="535" t="s">
        <v>1214</v>
      </c>
      <c r="G59" s="535" t="s">
        <v>1215</v>
      </c>
      <c r="H59" s="536">
        <v>39.85</v>
      </c>
      <c r="I59" s="537" t="s">
        <v>170</v>
      </c>
      <c r="J59" s="538">
        <v>36808</v>
      </c>
      <c r="K59" s="535" t="s">
        <v>170</v>
      </c>
      <c r="L59" s="535" t="s">
        <v>170</v>
      </c>
      <c r="M59" s="535" t="s">
        <v>1216</v>
      </c>
      <c r="N59" s="535" t="s">
        <v>131</v>
      </c>
      <c r="O59" s="535" t="s">
        <v>1217</v>
      </c>
      <c r="P59" s="535" t="s">
        <v>1218</v>
      </c>
      <c r="Q59" s="535" t="s">
        <v>492</v>
      </c>
      <c r="R59" s="538" t="s">
        <v>170</v>
      </c>
      <c r="S59" s="535" t="s">
        <v>1219</v>
      </c>
      <c r="T59" s="535" t="s">
        <v>959</v>
      </c>
      <c r="U59" s="536">
        <v>82888</v>
      </c>
      <c r="V59" s="535" t="s">
        <v>1220</v>
      </c>
      <c r="X59" s="369">
        <f>IF(OR(T59="125-65-654-50110",T59="125-65-652-50110",T59="125-65-656-50110"),"N/A",COUNTIF('Prop Budget Calc'!A:A,'Base Pay Report'!A59))</f>
        <v>0</v>
      </c>
    </row>
    <row r="60" spans="1:24">
      <c r="A60" s="535" t="s">
        <v>1379</v>
      </c>
      <c r="B60" s="456" t="s">
        <v>2992</v>
      </c>
      <c r="C60" s="456" t="s">
        <v>2993</v>
      </c>
      <c r="D60" s="456" t="s">
        <v>2994</v>
      </c>
      <c r="E60" s="456" t="str">
        <f t="shared" si="0"/>
        <v>First Name Last Name</v>
      </c>
      <c r="F60" s="535" t="s">
        <v>1214</v>
      </c>
      <c r="G60" s="535" t="s">
        <v>1263</v>
      </c>
      <c r="H60" s="536">
        <v>29.15</v>
      </c>
      <c r="I60" s="537" t="s">
        <v>170</v>
      </c>
      <c r="J60" s="538">
        <v>37571</v>
      </c>
      <c r="K60" s="535" t="s">
        <v>170</v>
      </c>
      <c r="L60" s="535" t="s">
        <v>170</v>
      </c>
      <c r="M60" s="535" t="s">
        <v>1380</v>
      </c>
      <c r="N60" s="535" t="s">
        <v>989</v>
      </c>
      <c r="O60" s="535" t="s">
        <v>1325</v>
      </c>
      <c r="P60" s="535" t="s">
        <v>1218</v>
      </c>
      <c r="Q60" s="535" t="s">
        <v>492</v>
      </c>
      <c r="R60" s="538" t="s">
        <v>170</v>
      </c>
      <c r="S60" s="535" t="s">
        <v>1291</v>
      </c>
      <c r="T60" s="535" t="s">
        <v>964</v>
      </c>
      <c r="U60" s="536">
        <v>60632</v>
      </c>
      <c r="V60" s="535" t="s">
        <v>1220</v>
      </c>
      <c r="X60" s="369">
        <f>IF(OR(T60="125-65-654-50110",T60="125-65-652-50110",T60="125-65-656-50110"),"N/A",COUNTIF('Prop Budget Calc'!A:A,'Base Pay Report'!A60))</f>
        <v>0</v>
      </c>
    </row>
    <row r="61" spans="1:24">
      <c r="A61" s="535" t="s">
        <v>1381</v>
      </c>
      <c r="B61" s="456" t="s">
        <v>2992</v>
      </c>
      <c r="C61" s="456" t="s">
        <v>2993</v>
      </c>
      <c r="D61" s="456" t="s">
        <v>2994</v>
      </c>
      <c r="E61" s="456" t="str">
        <f t="shared" si="0"/>
        <v>First Name Last Name</v>
      </c>
      <c r="F61" s="535" t="s">
        <v>1214</v>
      </c>
      <c r="G61" s="535" t="s">
        <v>1251</v>
      </c>
      <c r="H61" s="536">
        <v>4800.21</v>
      </c>
      <c r="I61" s="537">
        <v>80</v>
      </c>
      <c r="J61" s="538">
        <v>40875</v>
      </c>
      <c r="K61" s="535" t="s">
        <v>170</v>
      </c>
      <c r="L61" s="535" t="s">
        <v>170</v>
      </c>
      <c r="M61" s="535" t="s">
        <v>1950</v>
      </c>
      <c r="N61" s="535" t="s">
        <v>1951</v>
      </c>
      <c r="O61" s="535" t="s">
        <v>1230</v>
      </c>
      <c r="P61" s="535" t="s">
        <v>1218</v>
      </c>
      <c r="Q61" s="535" t="s">
        <v>1231</v>
      </c>
      <c r="R61" s="538" t="s">
        <v>170</v>
      </c>
      <c r="S61" s="535" t="s">
        <v>1241</v>
      </c>
      <c r="T61" s="535" t="s">
        <v>1672</v>
      </c>
      <c r="U61" s="536">
        <v>124805.46</v>
      </c>
      <c r="V61" s="535" t="s">
        <v>1220</v>
      </c>
      <c r="X61" s="369">
        <f>IF(OR(T61="125-65-654-50110",T61="125-65-652-50110",T61="125-65-656-50110"),"N/A",COUNTIF('Prop Budget Calc'!A:A,'Base Pay Report'!A61))</f>
        <v>0</v>
      </c>
    </row>
    <row r="62" spans="1:24">
      <c r="A62" s="535" t="s">
        <v>1384</v>
      </c>
      <c r="B62" s="456" t="s">
        <v>2992</v>
      </c>
      <c r="C62" s="456" t="s">
        <v>2993</v>
      </c>
      <c r="D62" s="456" t="s">
        <v>2994</v>
      </c>
      <c r="E62" s="456" t="str">
        <f t="shared" si="0"/>
        <v>First Name Last Name</v>
      </c>
      <c r="F62" s="535" t="s">
        <v>1214</v>
      </c>
      <c r="G62" s="535" t="s">
        <v>170</v>
      </c>
      <c r="H62" s="536">
        <v>32.299999999999997</v>
      </c>
      <c r="I62" s="537" t="s">
        <v>170</v>
      </c>
      <c r="J62" s="538">
        <v>36893</v>
      </c>
      <c r="K62" s="535" t="s">
        <v>170</v>
      </c>
      <c r="L62" s="535" t="s">
        <v>170</v>
      </c>
      <c r="M62" s="535" t="s">
        <v>2590</v>
      </c>
      <c r="N62" s="535" t="s">
        <v>2599</v>
      </c>
      <c r="O62" s="535" t="s">
        <v>1230</v>
      </c>
      <c r="P62" s="535" t="s">
        <v>1218</v>
      </c>
      <c r="Q62" s="535" t="s">
        <v>492</v>
      </c>
      <c r="R62" s="538" t="s">
        <v>170</v>
      </c>
      <c r="S62" s="535" t="s">
        <v>1294</v>
      </c>
      <c r="T62" s="535" t="s">
        <v>954</v>
      </c>
      <c r="U62" s="536">
        <v>67184</v>
      </c>
      <c r="V62" s="535" t="s">
        <v>1220</v>
      </c>
      <c r="X62" s="369">
        <f>IF(OR(T62="125-65-654-50110",T62="125-65-652-50110",T62="125-65-656-50110"),"N/A",COUNTIF('Prop Budget Calc'!A:A,'Base Pay Report'!A62))</f>
        <v>0</v>
      </c>
    </row>
    <row r="63" spans="1:24">
      <c r="A63" s="535" t="s">
        <v>1385</v>
      </c>
      <c r="B63" s="456" t="s">
        <v>2992</v>
      </c>
      <c r="C63" s="456" t="s">
        <v>2993</v>
      </c>
      <c r="D63" s="456" t="s">
        <v>2994</v>
      </c>
      <c r="E63" s="456" t="str">
        <f t="shared" si="0"/>
        <v>First Name Last Name</v>
      </c>
      <c r="F63" s="535" t="s">
        <v>1214</v>
      </c>
      <c r="G63" s="535" t="s">
        <v>1386</v>
      </c>
      <c r="H63" s="536">
        <v>30.56</v>
      </c>
      <c r="I63" s="537" t="s">
        <v>170</v>
      </c>
      <c r="J63" s="538">
        <v>37004</v>
      </c>
      <c r="K63" s="535" t="s">
        <v>170</v>
      </c>
      <c r="L63" s="535" t="s">
        <v>170</v>
      </c>
      <c r="M63" s="535" t="s">
        <v>1387</v>
      </c>
      <c r="N63" s="535" t="s">
        <v>997</v>
      </c>
      <c r="O63" s="535" t="s">
        <v>1338</v>
      </c>
      <c r="P63" s="535" t="s">
        <v>1218</v>
      </c>
      <c r="Q63" s="535" t="s">
        <v>492</v>
      </c>
      <c r="R63" s="538" t="s">
        <v>170</v>
      </c>
      <c r="S63" s="535" t="s">
        <v>1291</v>
      </c>
      <c r="T63" s="535" t="s">
        <v>1388</v>
      </c>
      <c r="U63" s="536">
        <v>63564.800000000003</v>
      </c>
      <c r="V63" s="535" t="s">
        <v>1220</v>
      </c>
      <c r="X63" s="369">
        <f>IF(OR(T63="125-65-654-50110",T63="125-65-652-50110",T63="125-65-656-50110"),"N/A",COUNTIF('Prop Budget Calc'!A:A,'Base Pay Report'!A63))</f>
        <v>1</v>
      </c>
    </row>
    <row r="64" spans="1:24">
      <c r="A64" s="535" t="s">
        <v>1389</v>
      </c>
      <c r="B64" s="456" t="s">
        <v>2992</v>
      </c>
      <c r="C64" s="456" t="s">
        <v>2993</v>
      </c>
      <c r="D64" s="456" t="s">
        <v>2994</v>
      </c>
      <c r="E64" s="456" t="str">
        <f t="shared" si="0"/>
        <v>First Name Last Name</v>
      </c>
      <c r="F64" s="535" t="s">
        <v>1214</v>
      </c>
      <c r="G64" s="535" t="s">
        <v>1343</v>
      </c>
      <c r="H64" s="536">
        <v>5115.38</v>
      </c>
      <c r="I64" s="537">
        <v>80</v>
      </c>
      <c r="J64" s="538">
        <v>37151</v>
      </c>
      <c r="K64" s="535" t="s">
        <v>170</v>
      </c>
      <c r="L64" s="535" t="s">
        <v>170</v>
      </c>
      <c r="M64" s="535" t="s">
        <v>1390</v>
      </c>
      <c r="N64" s="535" t="s">
        <v>120</v>
      </c>
      <c r="O64" s="535" t="s">
        <v>1224</v>
      </c>
      <c r="P64" s="535" t="s">
        <v>1218</v>
      </c>
      <c r="Q64" s="535" t="s">
        <v>1231</v>
      </c>
      <c r="R64" s="538" t="s">
        <v>170</v>
      </c>
      <c r="S64" s="535" t="s">
        <v>1253</v>
      </c>
      <c r="T64" s="535" t="s">
        <v>967</v>
      </c>
      <c r="U64" s="536">
        <v>132999.88</v>
      </c>
      <c r="V64" s="535" t="s">
        <v>1220</v>
      </c>
      <c r="X64" s="369">
        <f>IF(OR(T64="125-65-654-50110",T64="125-65-652-50110",T64="125-65-656-50110"),"N/A",COUNTIF('Prop Budget Calc'!A:A,'Base Pay Report'!A64))</f>
        <v>0</v>
      </c>
    </row>
    <row r="65" spans="1:24">
      <c r="A65" s="535" t="s">
        <v>1393</v>
      </c>
      <c r="B65" s="456" t="s">
        <v>2992</v>
      </c>
      <c r="C65" s="456" t="s">
        <v>2993</v>
      </c>
      <c r="D65" s="456" t="s">
        <v>2994</v>
      </c>
      <c r="E65" s="456" t="str">
        <f t="shared" si="0"/>
        <v>First Name Last Name</v>
      </c>
      <c r="F65" s="535" t="s">
        <v>1214</v>
      </c>
      <c r="G65" s="535" t="s">
        <v>1233</v>
      </c>
      <c r="H65" s="536">
        <v>3095.89</v>
      </c>
      <c r="I65" s="537">
        <v>80</v>
      </c>
      <c r="J65" s="538">
        <v>41058</v>
      </c>
      <c r="K65" s="535" t="s">
        <v>170</v>
      </c>
      <c r="L65" s="535" t="s">
        <v>170</v>
      </c>
      <c r="M65" s="535" t="s">
        <v>1394</v>
      </c>
      <c r="N65" s="535" t="s">
        <v>1111</v>
      </c>
      <c r="O65" s="535" t="s">
        <v>1230</v>
      </c>
      <c r="P65" s="535" t="s">
        <v>1218</v>
      </c>
      <c r="Q65" s="535" t="s">
        <v>1231</v>
      </c>
      <c r="R65" s="538" t="s">
        <v>170</v>
      </c>
      <c r="S65" s="535" t="s">
        <v>1241</v>
      </c>
      <c r="T65" s="535" t="s">
        <v>1382</v>
      </c>
      <c r="U65" s="536">
        <v>80493.14</v>
      </c>
      <c r="V65" s="535" t="s">
        <v>1220</v>
      </c>
      <c r="X65" s="369">
        <f>IF(OR(T65="125-65-654-50110",T65="125-65-652-50110",T65="125-65-656-50110"),"N/A",COUNTIF('Prop Budget Calc'!A:A,'Base Pay Report'!A65))</f>
        <v>1</v>
      </c>
    </row>
    <row r="66" spans="1:24">
      <c r="A66" s="535" t="s">
        <v>1395</v>
      </c>
      <c r="B66" s="456" t="s">
        <v>2992</v>
      </c>
      <c r="C66" s="456" t="s">
        <v>2993</v>
      </c>
      <c r="D66" s="456" t="s">
        <v>2994</v>
      </c>
      <c r="E66" s="456" t="str">
        <f t="shared" si="0"/>
        <v>First Name Last Name</v>
      </c>
      <c r="F66" s="535" t="s">
        <v>1214</v>
      </c>
      <c r="G66" s="535" t="s">
        <v>1268</v>
      </c>
      <c r="H66" s="536">
        <v>28.08</v>
      </c>
      <c r="I66" s="537" t="s">
        <v>170</v>
      </c>
      <c r="J66" s="538">
        <v>41505</v>
      </c>
      <c r="K66" s="535" t="s">
        <v>170</v>
      </c>
      <c r="L66" s="535" t="s">
        <v>170</v>
      </c>
      <c r="M66" s="535" t="s">
        <v>1269</v>
      </c>
      <c r="N66" s="535" t="s">
        <v>1270</v>
      </c>
      <c r="O66" s="535" t="s">
        <v>1217</v>
      </c>
      <c r="P66" s="535" t="s">
        <v>1218</v>
      </c>
      <c r="Q66" s="535" t="s">
        <v>492</v>
      </c>
      <c r="R66" s="538" t="s">
        <v>170</v>
      </c>
      <c r="S66" s="535" t="s">
        <v>1219</v>
      </c>
      <c r="T66" s="535" t="s">
        <v>959</v>
      </c>
      <c r="U66" s="536">
        <v>58406.400000000001</v>
      </c>
      <c r="V66" s="535" t="s">
        <v>1220</v>
      </c>
      <c r="X66" s="369">
        <f>IF(OR(T66="125-65-654-50110",T66="125-65-652-50110",T66="125-65-656-50110"),"N/A",COUNTIF('Prop Budget Calc'!A:A,'Base Pay Report'!A66))</f>
        <v>0</v>
      </c>
    </row>
    <row r="67" spans="1:24">
      <c r="A67" s="535" t="s">
        <v>1396</v>
      </c>
      <c r="B67" s="456" t="s">
        <v>2992</v>
      </c>
      <c r="C67" s="456" t="s">
        <v>2993</v>
      </c>
      <c r="D67" s="456" t="s">
        <v>2994</v>
      </c>
      <c r="E67" s="456" t="str">
        <f t="shared" si="0"/>
        <v>First Name Last Name</v>
      </c>
      <c r="F67" s="535" t="s">
        <v>1214</v>
      </c>
      <c r="G67" s="535" t="s">
        <v>1247</v>
      </c>
      <c r="H67" s="536">
        <v>32.97</v>
      </c>
      <c r="I67" s="537" t="s">
        <v>170</v>
      </c>
      <c r="J67" s="538">
        <v>44867</v>
      </c>
      <c r="K67" s="535" t="s">
        <v>170</v>
      </c>
      <c r="L67" s="535" t="s">
        <v>170</v>
      </c>
      <c r="M67" s="535" t="s">
        <v>1248</v>
      </c>
      <c r="N67" s="535" t="s">
        <v>116</v>
      </c>
      <c r="O67" s="535" t="s">
        <v>1224</v>
      </c>
      <c r="P67" s="535" t="s">
        <v>1218</v>
      </c>
      <c r="Q67" s="535" t="s">
        <v>492</v>
      </c>
      <c r="R67" s="538" t="s">
        <v>170</v>
      </c>
      <c r="S67" s="535" t="s">
        <v>1283</v>
      </c>
      <c r="T67" s="535" t="s">
        <v>955</v>
      </c>
      <c r="U67" s="536">
        <v>68577.600000000006</v>
      </c>
      <c r="V67" s="535" t="s">
        <v>1220</v>
      </c>
      <c r="X67" s="369">
        <f>IF(OR(T67="125-65-654-50110",T67="125-65-652-50110",T67="125-65-656-50110"),"N/A",COUNTIF('Prop Budget Calc'!A:A,'Base Pay Report'!A67))</f>
        <v>1</v>
      </c>
    </row>
    <row r="68" spans="1:24">
      <c r="A68" s="535" t="s">
        <v>1399</v>
      </c>
      <c r="B68" s="456" t="s">
        <v>2992</v>
      </c>
      <c r="C68" s="456" t="s">
        <v>2993</v>
      </c>
      <c r="D68" s="456" t="s">
        <v>2994</v>
      </c>
      <c r="E68" s="456" t="str">
        <f t="shared" ref="E68" si="1">B68&amp;" "&amp;D68</f>
        <v>First Name Last Name</v>
      </c>
      <c r="F68" s="535" t="s">
        <v>1214</v>
      </c>
      <c r="G68" s="535" t="s">
        <v>1361</v>
      </c>
      <c r="H68" s="536">
        <v>2716.48</v>
      </c>
      <c r="I68" s="537">
        <v>80</v>
      </c>
      <c r="J68" s="538">
        <v>42418</v>
      </c>
      <c r="K68" s="535" t="s">
        <v>170</v>
      </c>
      <c r="L68" s="535" t="s">
        <v>170</v>
      </c>
      <c r="M68" s="535" t="s">
        <v>1400</v>
      </c>
      <c r="N68" s="535" t="s">
        <v>1401</v>
      </c>
      <c r="O68" s="535" t="s">
        <v>1230</v>
      </c>
      <c r="P68" s="535" t="s">
        <v>1218</v>
      </c>
      <c r="Q68" s="535" t="s">
        <v>1231</v>
      </c>
      <c r="R68" s="538" t="s">
        <v>170</v>
      </c>
      <c r="S68" s="535" t="s">
        <v>1253</v>
      </c>
      <c r="T68" s="535" t="s">
        <v>1236</v>
      </c>
      <c r="U68" s="536">
        <v>70628.479999999996</v>
      </c>
      <c r="V68" s="535" t="s">
        <v>1220</v>
      </c>
      <c r="X68" s="369" t="e">
        <f>IF(OR(T68="125-65-654-50110",T68="125-65-652-50110",T68="125-65-656-50110"),"N/A",COUNTIF('[2]Prop Budget Calc'!A:A,'[2]Base Pay Report'!A68))</f>
        <v>#VALUE!</v>
      </c>
    </row>
    <row r="69" spans="1:24">
      <c r="A69" s="535" t="s">
        <v>1402</v>
      </c>
      <c r="B69" s="456" t="s">
        <v>2992</v>
      </c>
      <c r="C69" s="456" t="s">
        <v>2993</v>
      </c>
      <c r="D69" s="456" t="s">
        <v>2994</v>
      </c>
      <c r="E69" s="456" t="str">
        <f t="shared" ref="E69:E131" si="2">B69&amp;" "&amp;D69</f>
        <v>First Name Last Name</v>
      </c>
      <c r="F69" s="535" t="s">
        <v>1214</v>
      </c>
      <c r="G69" s="535" t="s">
        <v>1403</v>
      </c>
      <c r="H69" s="536">
        <v>2457.2399999999998</v>
      </c>
      <c r="I69" s="537">
        <v>80</v>
      </c>
      <c r="J69" s="538">
        <v>42268</v>
      </c>
      <c r="K69" s="535" t="s">
        <v>170</v>
      </c>
      <c r="L69" s="535" t="s">
        <v>170</v>
      </c>
      <c r="M69" s="535" t="s">
        <v>1404</v>
      </c>
      <c r="N69" s="535" t="s">
        <v>1405</v>
      </c>
      <c r="O69" s="535" t="s">
        <v>1230</v>
      </c>
      <c r="P69" s="535" t="s">
        <v>1218</v>
      </c>
      <c r="Q69" s="535" t="s">
        <v>1231</v>
      </c>
      <c r="R69" s="538" t="s">
        <v>170</v>
      </c>
      <c r="S69" s="535" t="s">
        <v>1241</v>
      </c>
      <c r="T69" s="535" t="s">
        <v>1406</v>
      </c>
      <c r="U69" s="536">
        <v>63888.24</v>
      </c>
      <c r="V69" s="535" t="s">
        <v>1220</v>
      </c>
      <c r="X69" s="369">
        <f>IF(OR(T69="125-65-654-50110",T69="125-65-652-50110",T69="125-65-656-50110"),"N/A",COUNTIF('Prop Budget Calc'!A:A,'Base Pay Report'!A69))</f>
        <v>1</v>
      </c>
    </row>
    <row r="70" spans="1:24">
      <c r="A70" s="535" t="s">
        <v>1407</v>
      </c>
      <c r="B70" s="456" t="s">
        <v>2992</v>
      </c>
      <c r="C70" s="456" t="s">
        <v>2993</v>
      </c>
      <c r="D70" s="456" t="s">
        <v>2994</v>
      </c>
      <c r="E70" s="456" t="str">
        <f t="shared" si="2"/>
        <v>First Name Last Name</v>
      </c>
      <c r="F70" s="535" t="s">
        <v>1214</v>
      </c>
      <c r="G70" s="535" t="s">
        <v>1263</v>
      </c>
      <c r="H70" s="536">
        <v>34.99</v>
      </c>
      <c r="I70" s="537" t="s">
        <v>170</v>
      </c>
      <c r="J70" s="538">
        <v>36612</v>
      </c>
      <c r="K70" s="535" t="s">
        <v>170</v>
      </c>
      <c r="L70" s="535" t="s">
        <v>170</v>
      </c>
      <c r="M70" s="535" t="s">
        <v>1408</v>
      </c>
      <c r="N70" s="535" t="s">
        <v>999</v>
      </c>
      <c r="O70" s="535" t="s">
        <v>1290</v>
      </c>
      <c r="P70" s="535" t="s">
        <v>1218</v>
      </c>
      <c r="Q70" s="535" t="s">
        <v>492</v>
      </c>
      <c r="R70" s="538" t="s">
        <v>170</v>
      </c>
      <c r="S70" s="535" t="s">
        <v>1291</v>
      </c>
      <c r="T70" s="535" t="s">
        <v>1388</v>
      </c>
      <c r="U70" s="536">
        <v>72779.199999999997</v>
      </c>
      <c r="V70" s="535" t="s">
        <v>1220</v>
      </c>
      <c r="X70" s="369">
        <f>IF(OR(T70="125-65-654-50110",T70="125-65-652-50110",T70="125-65-656-50110"),"N/A",COUNTIF('Prop Budget Calc'!A:A,'Base Pay Report'!A70))</f>
        <v>0</v>
      </c>
    </row>
    <row r="71" spans="1:24">
      <c r="A71" s="535" t="s">
        <v>1409</v>
      </c>
      <c r="B71" s="456" t="s">
        <v>2992</v>
      </c>
      <c r="C71" s="456" t="s">
        <v>2993</v>
      </c>
      <c r="D71" s="456" t="s">
        <v>2994</v>
      </c>
      <c r="E71" s="456" t="str">
        <f t="shared" si="2"/>
        <v>First Name Last Name</v>
      </c>
      <c r="F71" s="535" t="s">
        <v>1214</v>
      </c>
      <c r="G71" s="535" t="s">
        <v>1386</v>
      </c>
      <c r="H71" s="536">
        <v>26.09</v>
      </c>
      <c r="I71" s="537" t="s">
        <v>170</v>
      </c>
      <c r="J71" s="538">
        <v>40588</v>
      </c>
      <c r="K71" s="535" t="s">
        <v>170</v>
      </c>
      <c r="L71" s="535" t="s">
        <v>170</v>
      </c>
      <c r="M71" s="535" t="s">
        <v>1410</v>
      </c>
      <c r="N71" s="535" t="s">
        <v>139</v>
      </c>
      <c r="O71" s="535" t="s">
        <v>1338</v>
      </c>
      <c r="P71" s="535" t="s">
        <v>1218</v>
      </c>
      <c r="Q71" s="535" t="s">
        <v>492</v>
      </c>
      <c r="R71" s="538" t="s">
        <v>170</v>
      </c>
      <c r="S71" s="535" t="s">
        <v>1291</v>
      </c>
      <c r="T71" s="535" t="s">
        <v>1411</v>
      </c>
      <c r="U71" s="536">
        <v>54267.199999999997</v>
      </c>
      <c r="V71" s="535" t="s">
        <v>1220</v>
      </c>
      <c r="X71" s="369">
        <f>IF(OR(T71="125-65-654-50110",T71="125-65-652-50110",T71="125-65-656-50110"),"N/A",COUNTIF('Prop Budget Calc'!A:A,'Base Pay Report'!A71))</f>
        <v>0</v>
      </c>
    </row>
    <row r="72" spans="1:24">
      <c r="A72" s="535" t="s">
        <v>1412</v>
      </c>
      <c r="B72" s="456" t="s">
        <v>2992</v>
      </c>
      <c r="C72" s="456" t="s">
        <v>2993</v>
      </c>
      <c r="D72" s="456" t="s">
        <v>2994</v>
      </c>
      <c r="E72" s="456" t="str">
        <f t="shared" si="2"/>
        <v>First Name Last Name</v>
      </c>
      <c r="F72" s="535" t="s">
        <v>1214</v>
      </c>
      <c r="G72" s="535" t="s">
        <v>1413</v>
      </c>
      <c r="H72" s="536">
        <v>5401.15</v>
      </c>
      <c r="I72" s="537">
        <v>80</v>
      </c>
      <c r="J72" s="538">
        <v>42142</v>
      </c>
      <c r="K72" s="535" t="s">
        <v>170</v>
      </c>
      <c r="L72" s="535" t="s">
        <v>170</v>
      </c>
      <c r="M72" s="535" t="s">
        <v>1414</v>
      </c>
      <c r="N72" s="535" t="s">
        <v>1000</v>
      </c>
      <c r="O72" s="535" t="s">
        <v>1230</v>
      </c>
      <c r="P72" s="535" t="s">
        <v>1218</v>
      </c>
      <c r="Q72" s="535" t="s">
        <v>1231</v>
      </c>
      <c r="R72" s="538" t="s">
        <v>170</v>
      </c>
      <c r="S72" s="535" t="s">
        <v>1241</v>
      </c>
      <c r="T72" s="535" t="s">
        <v>1415</v>
      </c>
      <c r="U72" s="536">
        <v>140429.9</v>
      </c>
      <c r="V72" s="535" t="s">
        <v>1220</v>
      </c>
      <c r="X72" s="369">
        <f>IF(OR(T72="125-65-654-50110",T72="125-65-652-50110",T72="125-65-656-50110"),"N/A",COUNTIF('Prop Budget Calc'!A:A,'Base Pay Report'!A72))</f>
        <v>0</v>
      </c>
    </row>
    <row r="73" spans="1:24">
      <c r="A73" s="535" t="s">
        <v>1419</v>
      </c>
      <c r="B73" s="456" t="s">
        <v>2992</v>
      </c>
      <c r="C73" s="456" t="s">
        <v>2993</v>
      </c>
      <c r="D73" s="456" t="s">
        <v>2994</v>
      </c>
      <c r="E73" s="456" t="str">
        <f t="shared" si="2"/>
        <v>First Name Last Name</v>
      </c>
      <c r="F73" s="535" t="s">
        <v>1214</v>
      </c>
      <c r="G73" s="535" t="s">
        <v>170</v>
      </c>
      <c r="H73" s="536">
        <v>43.74</v>
      </c>
      <c r="I73" s="537" t="s">
        <v>170</v>
      </c>
      <c r="J73" s="538">
        <v>32741</v>
      </c>
      <c r="K73" s="535" t="s">
        <v>170</v>
      </c>
      <c r="L73" s="535" t="s">
        <v>170</v>
      </c>
      <c r="M73" s="535" t="s">
        <v>1357</v>
      </c>
      <c r="N73" s="535" t="s">
        <v>135</v>
      </c>
      <c r="O73" s="535" t="s">
        <v>1217</v>
      </c>
      <c r="P73" s="535" t="s">
        <v>1218</v>
      </c>
      <c r="Q73" s="535" t="s">
        <v>492</v>
      </c>
      <c r="R73" s="538" t="s">
        <v>170</v>
      </c>
      <c r="S73" s="535" t="s">
        <v>1219</v>
      </c>
      <c r="T73" s="535" t="s">
        <v>959</v>
      </c>
      <c r="U73" s="536">
        <v>90979.199999999997</v>
      </c>
      <c r="V73" s="535" t="s">
        <v>1220</v>
      </c>
      <c r="X73" s="369">
        <f>IF(OR(T73="125-65-654-50110",T73="125-65-652-50110",T73="125-65-656-50110"),"N/A",COUNTIF('Prop Budget Calc'!A:A,'Base Pay Report'!A73))</f>
        <v>1</v>
      </c>
    </row>
    <row r="74" spans="1:24">
      <c r="A74" s="535" t="s">
        <v>1420</v>
      </c>
      <c r="B74" s="456" t="s">
        <v>2992</v>
      </c>
      <c r="C74" s="456" t="s">
        <v>2993</v>
      </c>
      <c r="D74" s="456" t="s">
        <v>2994</v>
      </c>
      <c r="E74" s="456" t="str">
        <f t="shared" si="2"/>
        <v>First Name Last Name</v>
      </c>
      <c r="F74" s="535" t="s">
        <v>1214</v>
      </c>
      <c r="G74" s="535" t="s">
        <v>1421</v>
      </c>
      <c r="H74" s="536">
        <v>47.11</v>
      </c>
      <c r="I74" s="537" t="s">
        <v>170</v>
      </c>
      <c r="J74" s="538">
        <v>38791</v>
      </c>
      <c r="K74" s="535" t="s">
        <v>170</v>
      </c>
      <c r="L74" s="535" t="s">
        <v>170</v>
      </c>
      <c r="M74" s="535" t="s">
        <v>1422</v>
      </c>
      <c r="N74" s="535" t="s">
        <v>118</v>
      </c>
      <c r="O74" s="535" t="s">
        <v>1224</v>
      </c>
      <c r="P74" s="535" t="s">
        <v>1218</v>
      </c>
      <c r="Q74" s="535" t="s">
        <v>492</v>
      </c>
      <c r="R74" s="538" t="s">
        <v>170</v>
      </c>
      <c r="S74" s="535" t="s">
        <v>1283</v>
      </c>
      <c r="T74" s="535" t="s">
        <v>955</v>
      </c>
      <c r="U74" s="536">
        <v>97988.800000000003</v>
      </c>
      <c r="V74" s="535" t="s">
        <v>1220</v>
      </c>
      <c r="X74" s="369">
        <f>IF(OR(T74="125-65-654-50110",T74="125-65-652-50110",T74="125-65-656-50110"),"N/A",COUNTIF('Prop Budget Calc'!A:A,'Base Pay Report'!A74))</f>
        <v>0</v>
      </c>
    </row>
    <row r="75" spans="1:24">
      <c r="A75" s="535" t="s">
        <v>1423</v>
      </c>
      <c r="B75" s="456" t="s">
        <v>2992</v>
      </c>
      <c r="C75" s="456" t="s">
        <v>2993</v>
      </c>
      <c r="D75" s="456" t="s">
        <v>2994</v>
      </c>
      <c r="E75" s="456" t="str">
        <f t="shared" si="2"/>
        <v>First Name Last Name</v>
      </c>
      <c r="F75" s="535" t="s">
        <v>1214</v>
      </c>
      <c r="G75" s="535" t="s">
        <v>1386</v>
      </c>
      <c r="H75" s="536">
        <v>27.86</v>
      </c>
      <c r="I75" s="537" t="s">
        <v>170</v>
      </c>
      <c r="J75" s="538">
        <v>39139</v>
      </c>
      <c r="K75" s="535" t="s">
        <v>170</v>
      </c>
      <c r="L75" s="535" t="s">
        <v>170</v>
      </c>
      <c r="M75" s="535" t="s">
        <v>1424</v>
      </c>
      <c r="N75" s="535" t="s">
        <v>1001</v>
      </c>
      <c r="O75" s="535" t="s">
        <v>1290</v>
      </c>
      <c r="P75" s="535" t="s">
        <v>1218</v>
      </c>
      <c r="Q75" s="535" t="s">
        <v>492</v>
      </c>
      <c r="R75" s="538" t="s">
        <v>170</v>
      </c>
      <c r="S75" s="535" t="s">
        <v>1291</v>
      </c>
      <c r="T75" s="535" t="s">
        <v>963</v>
      </c>
      <c r="U75" s="536">
        <v>57948.800000000003</v>
      </c>
      <c r="V75" s="535" t="s">
        <v>1220</v>
      </c>
      <c r="X75" s="369">
        <f>IF(OR(T75="125-65-654-50110",T75="125-65-652-50110",T75="125-65-656-50110"),"N/A",COUNTIF('Prop Budget Calc'!A:A,'Base Pay Report'!A75))</f>
        <v>0</v>
      </c>
    </row>
    <row r="76" spans="1:24">
      <c r="A76" s="535" t="s">
        <v>1425</v>
      </c>
      <c r="B76" s="456" t="s">
        <v>2992</v>
      </c>
      <c r="C76" s="456" t="s">
        <v>2993</v>
      </c>
      <c r="D76" s="456" t="s">
        <v>2994</v>
      </c>
      <c r="E76" s="456" t="str">
        <f t="shared" si="2"/>
        <v>First Name Last Name</v>
      </c>
      <c r="F76" s="535" t="s">
        <v>1214</v>
      </c>
      <c r="G76" s="535" t="s">
        <v>170</v>
      </c>
      <c r="H76" s="536">
        <v>32.299999999999997</v>
      </c>
      <c r="I76" s="537" t="s">
        <v>170</v>
      </c>
      <c r="J76" s="538">
        <v>38481</v>
      </c>
      <c r="K76" s="535" t="s">
        <v>170</v>
      </c>
      <c r="L76" s="535" t="s">
        <v>170</v>
      </c>
      <c r="M76" s="535" t="s">
        <v>2590</v>
      </c>
      <c r="N76" s="535" t="s">
        <v>2599</v>
      </c>
      <c r="O76" s="535" t="s">
        <v>1230</v>
      </c>
      <c r="P76" s="535" t="s">
        <v>1218</v>
      </c>
      <c r="Q76" s="535" t="s">
        <v>492</v>
      </c>
      <c r="R76" s="538" t="s">
        <v>170</v>
      </c>
      <c r="S76" s="535" t="s">
        <v>1294</v>
      </c>
      <c r="T76" s="535" t="s">
        <v>954</v>
      </c>
      <c r="U76" s="536">
        <v>67184</v>
      </c>
      <c r="V76" s="535" t="s">
        <v>1220</v>
      </c>
      <c r="X76" s="369">
        <f>IF(OR(T76="125-65-654-50110",T76="125-65-652-50110",T76="125-65-656-50110"),"N/A",COUNTIF('Prop Budget Calc'!A:A,'Base Pay Report'!A76))</f>
        <v>0</v>
      </c>
    </row>
    <row r="77" spans="1:24">
      <c r="A77" s="535" t="s">
        <v>1426</v>
      </c>
      <c r="B77" s="456" t="s">
        <v>2992</v>
      </c>
      <c r="C77" s="456" t="s">
        <v>2993</v>
      </c>
      <c r="D77" s="456" t="s">
        <v>2994</v>
      </c>
      <c r="E77" s="456" t="str">
        <f t="shared" si="2"/>
        <v>First Name Last Name</v>
      </c>
      <c r="F77" s="535" t="s">
        <v>1214</v>
      </c>
      <c r="G77" s="535" t="s">
        <v>1256</v>
      </c>
      <c r="H77" s="536">
        <v>27.06</v>
      </c>
      <c r="I77" s="537" t="s">
        <v>170</v>
      </c>
      <c r="J77" s="538">
        <v>36493</v>
      </c>
      <c r="K77" s="535" t="s">
        <v>170</v>
      </c>
      <c r="L77" s="535" t="s">
        <v>170</v>
      </c>
      <c r="M77" s="535" t="s">
        <v>1392</v>
      </c>
      <c r="N77" s="535" t="s">
        <v>998</v>
      </c>
      <c r="O77" s="535" t="s">
        <v>1290</v>
      </c>
      <c r="P77" s="535" t="s">
        <v>1218</v>
      </c>
      <c r="Q77" s="535" t="s">
        <v>492</v>
      </c>
      <c r="R77" s="538" t="s">
        <v>170</v>
      </c>
      <c r="S77" s="535" t="s">
        <v>1259</v>
      </c>
      <c r="T77" s="535" t="s">
        <v>962</v>
      </c>
      <c r="U77" s="536">
        <v>56284.800000000003</v>
      </c>
      <c r="V77" s="535" t="s">
        <v>1220</v>
      </c>
      <c r="X77" s="369">
        <f>IF(OR(T77="125-65-654-50110",T77="125-65-652-50110",T77="125-65-656-50110"),"N/A",COUNTIF('Prop Budget Calc'!A:A,'Base Pay Report'!A77))</f>
        <v>1</v>
      </c>
    </row>
    <row r="78" spans="1:24">
      <c r="A78" s="535" t="s">
        <v>1427</v>
      </c>
      <c r="B78" s="456" t="s">
        <v>2992</v>
      </c>
      <c r="C78" s="456" t="s">
        <v>2993</v>
      </c>
      <c r="D78" s="456" t="s">
        <v>2994</v>
      </c>
      <c r="E78" s="456" t="str">
        <f t="shared" si="2"/>
        <v>First Name Last Name</v>
      </c>
      <c r="F78" s="535" t="s">
        <v>1214</v>
      </c>
      <c r="G78" s="535" t="s">
        <v>1286</v>
      </c>
      <c r="H78" s="536">
        <v>32.229999999999997</v>
      </c>
      <c r="I78" s="537" t="s">
        <v>170</v>
      </c>
      <c r="J78" s="538">
        <v>41813</v>
      </c>
      <c r="K78" s="535" t="s">
        <v>170</v>
      </c>
      <c r="L78" s="535" t="s">
        <v>170</v>
      </c>
      <c r="M78" s="535" t="s">
        <v>1354</v>
      </c>
      <c r="N78" s="535" t="s">
        <v>134</v>
      </c>
      <c r="O78" s="535" t="s">
        <v>1217</v>
      </c>
      <c r="P78" s="535" t="s">
        <v>1218</v>
      </c>
      <c r="Q78" s="535" t="s">
        <v>492</v>
      </c>
      <c r="R78" s="538" t="s">
        <v>170</v>
      </c>
      <c r="S78" s="535" t="s">
        <v>1219</v>
      </c>
      <c r="T78" s="535" t="s">
        <v>959</v>
      </c>
      <c r="U78" s="536">
        <v>67038.399999999994</v>
      </c>
      <c r="V78" s="535" t="s">
        <v>1220</v>
      </c>
      <c r="X78" s="369">
        <f>IF(OR(T78="125-65-654-50110",T78="125-65-652-50110",T78="125-65-656-50110"),"N/A",COUNTIF('Prop Budget Calc'!A:A,'Base Pay Report'!A78))</f>
        <v>0</v>
      </c>
    </row>
    <row r="79" spans="1:24">
      <c r="A79" s="535" t="s">
        <v>1428</v>
      </c>
      <c r="B79" s="456" t="s">
        <v>2992</v>
      </c>
      <c r="C79" s="456" t="s">
        <v>2993</v>
      </c>
      <c r="D79" s="456" t="s">
        <v>2994</v>
      </c>
      <c r="E79" s="456" t="str">
        <f t="shared" si="2"/>
        <v>First Name Last Name</v>
      </c>
      <c r="F79" s="535" t="s">
        <v>1214</v>
      </c>
      <c r="G79" s="535" t="s">
        <v>1361</v>
      </c>
      <c r="H79" s="536">
        <v>2599.36</v>
      </c>
      <c r="I79" s="537">
        <v>80</v>
      </c>
      <c r="J79" s="538">
        <v>39426</v>
      </c>
      <c r="K79" s="535" t="s">
        <v>170</v>
      </c>
      <c r="L79" s="535" t="s">
        <v>170</v>
      </c>
      <c r="M79" s="535" t="s">
        <v>1495</v>
      </c>
      <c r="N79" s="535" t="s">
        <v>182</v>
      </c>
      <c r="O79" s="535" t="s">
        <v>1230</v>
      </c>
      <c r="P79" s="535" t="s">
        <v>1218</v>
      </c>
      <c r="Q79" s="535" t="s">
        <v>1231</v>
      </c>
      <c r="R79" s="538" t="s">
        <v>170</v>
      </c>
      <c r="S79" s="535" t="s">
        <v>1241</v>
      </c>
      <c r="T79" s="535" t="s">
        <v>1341</v>
      </c>
      <c r="U79" s="536">
        <v>67583.360000000001</v>
      </c>
      <c r="V79" s="535" t="s">
        <v>1220</v>
      </c>
      <c r="X79" s="369">
        <f>IF(OR(T79="125-65-654-50110",T79="125-65-652-50110",T79="125-65-656-50110"),"N/A",COUNTIF('Prop Budget Calc'!A:A,'Base Pay Report'!A79))</f>
        <v>1</v>
      </c>
    </row>
    <row r="80" spans="1:24">
      <c r="A80" s="535" t="s">
        <v>1430</v>
      </c>
      <c r="B80" s="456" t="s">
        <v>2992</v>
      </c>
      <c r="C80" s="456" t="s">
        <v>2993</v>
      </c>
      <c r="D80" s="456" t="s">
        <v>2994</v>
      </c>
      <c r="E80" s="456" t="str">
        <f t="shared" si="2"/>
        <v>First Name Last Name</v>
      </c>
      <c r="F80" s="535" t="s">
        <v>1214</v>
      </c>
      <c r="G80" s="535" t="s">
        <v>1215</v>
      </c>
      <c r="H80" s="536">
        <v>39.07</v>
      </c>
      <c r="I80" s="537" t="s">
        <v>170</v>
      </c>
      <c r="J80" s="538">
        <v>38747</v>
      </c>
      <c r="K80" s="535" t="s">
        <v>170</v>
      </c>
      <c r="L80" s="535" t="s">
        <v>170</v>
      </c>
      <c r="M80" s="535" t="s">
        <v>1216</v>
      </c>
      <c r="N80" s="535" t="s">
        <v>131</v>
      </c>
      <c r="O80" s="535" t="s">
        <v>1217</v>
      </c>
      <c r="P80" s="535" t="s">
        <v>1218</v>
      </c>
      <c r="Q80" s="535" t="s">
        <v>492</v>
      </c>
      <c r="R80" s="538" t="s">
        <v>170</v>
      </c>
      <c r="S80" s="535" t="s">
        <v>1219</v>
      </c>
      <c r="T80" s="535" t="s">
        <v>959</v>
      </c>
      <c r="U80" s="536">
        <v>81265.600000000006</v>
      </c>
      <c r="V80" s="535" t="s">
        <v>1220</v>
      </c>
      <c r="X80" s="369">
        <f>IF(OR(T80="125-65-654-50110",T80="125-65-652-50110",T80="125-65-656-50110"),"N/A",COUNTIF('Prop Budget Calc'!A:A,'Base Pay Report'!A80))</f>
        <v>0</v>
      </c>
    </row>
    <row r="81" spans="1:24">
      <c r="A81" s="535" t="s">
        <v>1431</v>
      </c>
      <c r="B81" s="456" t="s">
        <v>2992</v>
      </c>
      <c r="C81" s="456" t="s">
        <v>2993</v>
      </c>
      <c r="D81" s="456" t="s">
        <v>2994</v>
      </c>
      <c r="E81" s="456" t="str">
        <f t="shared" si="2"/>
        <v>First Name Last Name</v>
      </c>
      <c r="F81" s="535" t="s">
        <v>1214</v>
      </c>
      <c r="G81" s="535" t="s">
        <v>1286</v>
      </c>
      <c r="H81" s="536">
        <v>33.53</v>
      </c>
      <c r="I81" s="537" t="s">
        <v>170</v>
      </c>
      <c r="J81" s="538">
        <v>37154</v>
      </c>
      <c r="K81" s="535" t="s">
        <v>170</v>
      </c>
      <c r="L81" s="535" t="s">
        <v>170</v>
      </c>
      <c r="M81" s="535" t="s">
        <v>1275</v>
      </c>
      <c r="N81" s="535" t="s">
        <v>133</v>
      </c>
      <c r="O81" s="535" t="s">
        <v>1217</v>
      </c>
      <c r="P81" s="535" t="s">
        <v>1218</v>
      </c>
      <c r="Q81" s="535" t="s">
        <v>492</v>
      </c>
      <c r="R81" s="538" t="s">
        <v>170</v>
      </c>
      <c r="S81" s="535" t="s">
        <v>1219</v>
      </c>
      <c r="T81" s="535" t="s">
        <v>959</v>
      </c>
      <c r="U81" s="536">
        <v>69742.399999999994</v>
      </c>
      <c r="V81" s="535" t="s">
        <v>1220</v>
      </c>
      <c r="X81" s="369">
        <f>IF(OR(T81="125-65-654-50110",T81="125-65-652-50110",T81="125-65-656-50110"),"N/A",COUNTIF('Prop Budget Calc'!A:A,'Base Pay Report'!A81))</f>
        <v>1</v>
      </c>
    </row>
    <row r="82" spans="1:24">
      <c r="A82" s="535" t="s">
        <v>1434</v>
      </c>
      <c r="B82" s="456" t="s">
        <v>2992</v>
      </c>
      <c r="C82" s="456" t="s">
        <v>2993</v>
      </c>
      <c r="D82" s="456" t="s">
        <v>2994</v>
      </c>
      <c r="E82" s="456" t="str">
        <f t="shared" si="2"/>
        <v>First Name Last Name</v>
      </c>
      <c r="F82" s="535" t="s">
        <v>1214</v>
      </c>
      <c r="G82" s="535" t="s">
        <v>1215</v>
      </c>
      <c r="H82" s="536">
        <v>36.090000000000003</v>
      </c>
      <c r="I82" s="537" t="s">
        <v>170</v>
      </c>
      <c r="J82" s="538">
        <v>41351</v>
      </c>
      <c r="K82" s="535" t="s">
        <v>170</v>
      </c>
      <c r="L82" s="535" t="s">
        <v>170</v>
      </c>
      <c r="M82" s="535" t="s">
        <v>1216</v>
      </c>
      <c r="N82" s="535" t="s">
        <v>131</v>
      </c>
      <c r="O82" s="535" t="s">
        <v>1217</v>
      </c>
      <c r="P82" s="535" t="s">
        <v>1218</v>
      </c>
      <c r="Q82" s="535" t="s">
        <v>492</v>
      </c>
      <c r="R82" s="538" t="s">
        <v>170</v>
      </c>
      <c r="S82" s="535" t="s">
        <v>1219</v>
      </c>
      <c r="T82" s="535" t="s">
        <v>959</v>
      </c>
      <c r="U82" s="536">
        <v>75067.199999999997</v>
      </c>
      <c r="V82" s="535" t="s">
        <v>1220</v>
      </c>
      <c r="X82" s="369">
        <f>IF(OR(T82="125-65-654-50110",T82="125-65-652-50110",T82="125-65-656-50110"),"N/A",COUNTIF('Prop Budget Calc'!A:A,'Base Pay Report'!A82))</f>
        <v>0</v>
      </c>
    </row>
    <row r="83" spans="1:24">
      <c r="A83" s="535" t="s">
        <v>1435</v>
      </c>
      <c r="B83" s="456" t="s">
        <v>2992</v>
      </c>
      <c r="C83" s="456" t="s">
        <v>2993</v>
      </c>
      <c r="D83" s="456" t="s">
        <v>2994</v>
      </c>
      <c r="E83" s="456" t="str">
        <f t="shared" si="2"/>
        <v>First Name Last Name</v>
      </c>
      <c r="F83" s="535" t="s">
        <v>1214</v>
      </c>
      <c r="G83" s="535" t="s">
        <v>1309</v>
      </c>
      <c r="H83" s="536">
        <v>25.88</v>
      </c>
      <c r="I83" s="537" t="s">
        <v>170</v>
      </c>
      <c r="J83" s="538">
        <v>37361</v>
      </c>
      <c r="K83" s="535" t="s">
        <v>170</v>
      </c>
      <c r="L83" s="535" t="s">
        <v>170</v>
      </c>
      <c r="M83" s="535" t="s">
        <v>1436</v>
      </c>
      <c r="N83" s="535" t="s">
        <v>1437</v>
      </c>
      <c r="O83" s="535" t="s">
        <v>1230</v>
      </c>
      <c r="P83" s="535" t="s">
        <v>1218</v>
      </c>
      <c r="Q83" s="535" t="s">
        <v>492</v>
      </c>
      <c r="R83" s="538" t="s">
        <v>170</v>
      </c>
      <c r="S83" s="535" t="s">
        <v>1259</v>
      </c>
      <c r="T83" s="535" t="s">
        <v>1391</v>
      </c>
      <c r="U83" s="536">
        <v>53830.400000000001</v>
      </c>
      <c r="V83" s="535" t="s">
        <v>1220</v>
      </c>
      <c r="X83" s="369">
        <f>IF(OR(T83="125-65-654-50110",T83="125-65-652-50110",T83="125-65-656-50110"),"N/A",COUNTIF('Prop Budget Calc'!A:A,'Base Pay Report'!A83))</f>
        <v>0</v>
      </c>
    </row>
    <row r="84" spans="1:24">
      <c r="A84" s="535" t="s">
        <v>2422</v>
      </c>
      <c r="B84" s="456" t="s">
        <v>2992</v>
      </c>
      <c r="C84" s="456" t="s">
        <v>2993</v>
      </c>
      <c r="D84" s="456" t="s">
        <v>2994</v>
      </c>
      <c r="E84" s="456" t="str">
        <f t="shared" si="2"/>
        <v>First Name Last Name</v>
      </c>
      <c r="F84" s="535" t="s">
        <v>1214</v>
      </c>
      <c r="G84" s="535" t="s">
        <v>1361</v>
      </c>
      <c r="H84" s="536">
        <v>2296.5</v>
      </c>
      <c r="I84" s="537">
        <v>80</v>
      </c>
      <c r="J84" s="538">
        <v>42093</v>
      </c>
      <c r="K84" s="535" t="s">
        <v>170</v>
      </c>
      <c r="L84" s="535" t="s">
        <v>170</v>
      </c>
      <c r="M84" s="535" t="s">
        <v>1759</v>
      </c>
      <c r="N84" s="535" t="s">
        <v>112</v>
      </c>
      <c r="O84" s="535" t="s">
        <v>1230</v>
      </c>
      <c r="P84" s="535" t="s">
        <v>1218</v>
      </c>
      <c r="Q84" s="535" t="s">
        <v>1231</v>
      </c>
      <c r="R84" s="538">
        <v>45112</v>
      </c>
      <c r="S84" s="535" t="s">
        <v>1241</v>
      </c>
      <c r="T84" s="535" t="s">
        <v>1245</v>
      </c>
      <c r="U84" s="536">
        <v>59709</v>
      </c>
      <c r="V84" s="535" t="s">
        <v>1220</v>
      </c>
      <c r="X84" s="369">
        <f>IF(OR(T84="125-65-654-50110",T84="125-65-652-50110",T84="125-65-656-50110"),"N/A",COUNTIF('Prop Budget Calc'!A:A,'Base Pay Report'!A84))</f>
        <v>1</v>
      </c>
    </row>
    <row r="85" spans="1:24">
      <c r="A85" s="535" t="s">
        <v>1438</v>
      </c>
      <c r="B85" s="456" t="s">
        <v>2992</v>
      </c>
      <c r="C85" s="456" t="s">
        <v>2993</v>
      </c>
      <c r="D85" s="456" t="s">
        <v>2994</v>
      </c>
      <c r="E85" s="456" t="str">
        <f t="shared" si="2"/>
        <v>First Name Last Name</v>
      </c>
      <c r="F85" s="535" t="s">
        <v>1214</v>
      </c>
      <c r="G85" s="535" t="s">
        <v>1281</v>
      </c>
      <c r="H85" s="536">
        <v>53.06</v>
      </c>
      <c r="I85" s="537" t="s">
        <v>170</v>
      </c>
      <c r="J85" s="538">
        <v>35437</v>
      </c>
      <c r="K85" s="535" t="s">
        <v>170</v>
      </c>
      <c r="L85" s="535" t="s">
        <v>170</v>
      </c>
      <c r="M85" s="535" t="s">
        <v>1282</v>
      </c>
      <c r="N85" s="535" t="s">
        <v>117</v>
      </c>
      <c r="O85" s="535" t="s">
        <v>1224</v>
      </c>
      <c r="P85" s="535" t="s">
        <v>1218</v>
      </c>
      <c r="Q85" s="535" t="s">
        <v>492</v>
      </c>
      <c r="R85" s="538" t="s">
        <v>170</v>
      </c>
      <c r="S85" s="535" t="s">
        <v>1225</v>
      </c>
      <c r="T85" s="535" t="s">
        <v>955</v>
      </c>
      <c r="U85" s="536">
        <v>110364.8</v>
      </c>
      <c r="V85" s="535" t="s">
        <v>1220</v>
      </c>
      <c r="X85" s="369">
        <f>IF(OR(T85="125-65-654-50110",T85="125-65-652-50110",T85="125-65-656-50110"),"N/A",COUNTIF('Prop Budget Calc'!A:A,'Base Pay Report'!A85))</f>
        <v>0</v>
      </c>
    </row>
    <row r="86" spans="1:24">
      <c r="A86" s="535" t="s">
        <v>1439</v>
      </c>
      <c r="B86" s="456" t="s">
        <v>2992</v>
      </c>
      <c r="C86" s="456" t="s">
        <v>2993</v>
      </c>
      <c r="D86" s="456" t="s">
        <v>2994</v>
      </c>
      <c r="E86" s="456" t="str">
        <f t="shared" si="2"/>
        <v>First Name Last Name</v>
      </c>
      <c r="F86" s="535" t="s">
        <v>1214</v>
      </c>
      <c r="G86" s="535" t="s">
        <v>1256</v>
      </c>
      <c r="H86" s="536">
        <v>22.82</v>
      </c>
      <c r="I86" s="537" t="s">
        <v>170</v>
      </c>
      <c r="J86" s="538">
        <v>42387</v>
      </c>
      <c r="K86" s="535" t="s">
        <v>170</v>
      </c>
      <c r="L86" s="535" t="s">
        <v>170</v>
      </c>
      <c r="M86" s="535" t="s">
        <v>1392</v>
      </c>
      <c r="N86" s="535" t="s">
        <v>998</v>
      </c>
      <c r="O86" s="535" t="s">
        <v>1290</v>
      </c>
      <c r="P86" s="535" t="s">
        <v>1218</v>
      </c>
      <c r="Q86" s="535" t="s">
        <v>492</v>
      </c>
      <c r="R86" s="538" t="s">
        <v>170</v>
      </c>
      <c r="S86" s="535" t="s">
        <v>1259</v>
      </c>
      <c r="T86" s="535" t="s">
        <v>962</v>
      </c>
      <c r="U86" s="536">
        <v>47465.599999999999</v>
      </c>
      <c r="V86" s="535" t="s">
        <v>1220</v>
      </c>
      <c r="X86" s="369">
        <f>IF(OR(T86="125-65-654-50110",T86="125-65-652-50110",T86="125-65-656-50110"),"N/A",COUNTIF('Prop Budget Calc'!A:A,'Base Pay Report'!A86))</f>
        <v>0</v>
      </c>
    </row>
    <row r="87" spans="1:24">
      <c r="A87" s="535" t="s">
        <v>1440</v>
      </c>
      <c r="B87" s="456" t="s">
        <v>2992</v>
      </c>
      <c r="C87" s="456" t="s">
        <v>2993</v>
      </c>
      <c r="D87" s="456" t="s">
        <v>2994</v>
      </c>
      <c r="E87" s="456" t="str">
        <f t="shared" si="2"/>
        <v>First Name Last Name</v>
      </c>
      <c r="F87" s="535" t="s">
        <v>1214</v>
      </c>
      <c r="G87" s="535" t="s">
        <v>1215</v>
      </c>
      <c r="H87" s="536">
        <v>39.85</v>
      </c>
      <c r="I87" s="537" t="s">
        <v>170</v>
      </c>
      <c r="J87" s="538">
        <v>34435</v>
      </c>
      <c r="K87" s="535" t="s">
        <v>170</v>
      </c>
      <c r="L87" s="535" t="s">
        <v>170</v>
      </c>
      <c r="M87" s="535" t="s">
        <v>1216</v>
      </c>
      <c r="N87" s="535" t="s">
        <v>131</v>
      </c>
      <c r="O87" s="535" t="s">
        <v>1217</v>
      </c>
      <c r="P87" s="535" t="s">
        <v>1218</v>
      </c>
      <c r="Q87" s="535" t="s">
        <v>492</v>
      </c>
      <c r="R87" s="538" t="s">
        <v>170</v>
      </c>
      <c r="S87" s="535" t="s">
        <v>1219</v>
      </c>
      <c r="T87" s="535" t="s">
        <v>959</v>
      </c>
      <c r="U87" s="536">
        <v>82888</v>
      </c>
      <c r="V87" s="535" t="s">
        <v>1220</v>
      </c>
      <c r="X87" s="369">
        <f>IF(OR(T87="125-65-654-50110",T87="125-65-652-50110",T87="125-65-656-50110"),"N/A",COUNTIF('Prop Budget Calc'!A:A,'Base Pay Report'!A87))</f>
        <v>0</v>
      </c>
    </row>
    <row r="88" spans="1:24">
      <c r="A88" s="535" t="s">
        <v>1441</v>
      </c>
      <c r="B88" s="456" t="s">
        <v>2992</v>
      </c>
      <c r="C88" s="456" t="s">
        <v>2993</v>
      </c>
      <c r="D88" s="456" t="s">
        <v>2994</v>
      </c>
      <c r="E88" s="456" t="str">
        <f t="shared" si="2"/>
        <v>First Name Last Name</v>
      </c>
      <c r="F88" s="535" t="s">
        <v>1214</v>
      </c>
      <c r="G88" s="535" t="s">
        <v>170</v>
      </c>
      <c r="H88" s="536">
        <v>37.28</v>
      </c>
      <c r="I88" s="537" t="s">
        <v>170</v>
      </c>
      <c r="J88" s="538">
        <v>35009</v>
      </c>
      <c r="K88" s="535" t="s">
        <v>170</v>
      </c>
      <c r="L88" s="535" t="s">
        <v>170</v>
      </c>
      <c r="M88" s="535" t="s">
        <v>1442</v>
      </c>
      <c r="N88" s="535" t="s">
        <v>981</v>
      </c>
      <c r="O88" s="535" t="s">
        <v>1258</v>
      </c>
      <c r="P88" s="535" t="s">
        <v>1218</v>
      </c>
      <c r="Q88" s="535" t="s">
        <v>492</v>
      </c>
      <c r="R88" s="538" t="s">
        <v>170</v>
      </c>
      <c r="S88" s="535" t="s">
        <v>1291</v>
      </c>
      <c r="T88" s="535" t="s">
        <v>1443</v>
      </c>
      <c r="U88" s="536">
        <v>77542.399999999994</v>
      </c>
      <c r="V88" s="535" t="s">
        <v>1220</v>
      </c>
      <c r="X88" s="369">
        <f>IF(OR(T88="125-65-654-50110",T88="125-65-652-50110",T88="125-65-656-50110"),"N/A",COUNTIF('Prop Budget Calc'!A:A,'Base Pay Report'!A88))</f>
        <v>1</v>
      </c>
    </row>
    <row r="89" spans="1:24">
      <c r="A89" s="535" t="s">
        <v>1444</v>
      </c>
      <c r="B89" s="456" t="s">
        <v>2992</v>
      </c>
      <c r="C89" s="456" t="s">
        <v>2993</v>
      </c>
      <c r="D89" s="456" t="s">
        <v>2994</v>
      </c>
      <c r="E89" s="456" t="str">
        <f t="shared" si="2"/>
        <v>First Name Last Name</v>
      </c>
      <c r="F89" s="535" t="s">
        <v>1214</v>
      </c>
      <c r="G89" s="535" t="s">
        <v>1268</v>
      </c>
      <c r="H89" s="536">
        <v>29.79</v>
      </c>
      <c r="I89" s="537" t="s">
        <v>170</v>
      </c>
      <c r="J89" s="538">
        <v>35891</v>
      </c>
      <c r="K89" s="535" t="s">
        <v>170</v>
      </c>
      <c r="L89" s="535" t="s">
        <v>170</v>
      </c>
      <c r="M89" s="535" t="s">
        <v>1269</v>
      </c>
      <c r="N89" s="535" t="s">
        <v>1270</v>
      </c>
      <c r="O89" s="535" t="s">
        <v>1217</v>
      </c>
      <c r="P89" s="535" t="s">
        <v>1218</v>
      </c>
      <c r="Q89" s="535" t="s">
        <v>492</v>
      </c>
      <c r="R89" s="538" t="s">
        <v>170</v>
      </c>
      <c r="S89" s="535" t="s">
        <v>1219</v>
      </c>
      <c r="T89" s="535" t="s">
        <v>959</v>
      </c>
      <c r="U89" s="536">
        <v>61963.199999999997</v>
      </c>
      <c r="V89" s="535" t="s">
        <v>1220</v>
      </c>
      <c r="X89" s="369">
        <f>IF(OR(T89="125-65-654-50110",T89="125-65-652-50110",T89="125-65-656-50110"),"N/A",COUNTIF('Prop Budget Calc'!A:A,'Base Pay Report'!A89))</f>
        <v>0</v>
      </c>
    </row>
    <row r="90" spans="1:24">
      <c r="A90" s="535" t="s">
        <v>1445</v>
      </c>
      <c r="B90" s="456" t="s">
        <v>2992</v>
      </c>
      <c r="C90" s="456" t="s">
        <v>2993</v>
      </c>
      <c r="D90" s="456" t="s">
        <v>2994</v>
      </c>
      <c r="E90" s="456" t="str">
        <f t="shared" si="2"/>
        <v>First Name Last Name</v>
      </c>
      <c r="F90" s="535" t="s">
        <v>1214</v>
      </c>
      <c r="G90" s="535" t="s">
        <v>1386</v>
      </c>
      <c r="H90" s="536">
        <v>28.32</v>
      </c>
      <c r="I90" s="537" t="s">
        <v>170</v>
      </c>
      <c r="J90" s="538">
        <v>37361</v>
      </c>
      <c r="K90" s="535" t="s">
        <v>170</v>
      </c>
      <c r="L90" s="535" t="s">
        <v>170</v>
      </c>
      <c r="M90" s="535" t="s">
        <v>2526</v>
      </c>
      <c r="N90" s="535" t="s">
        <v>2527</v>
      </c>
      <c r="O90" s="535" t="s">
        <v>1265</v>
      </c>
      <c r="P90" s="535" t="s">
        <v>1218</v>
      </c>
      <c r="Q90" s="535" t="s">
        <v>492</v>
      </c>
      <c r="R90" s="538" t="s">
        <v>170</v>
      </c>
      <c r="S90" s="535" t="s">
        <v>1259</v>
      </c>
      <c r="T90" s="535" t="s">
        <v>1272</v>
      </c>
      <c r="U90" s="536">
        <v>58905.599999999999</v>
      </c>
      <c r="V90" s="535" t="s">
        <v>1220</v>
      </c>
      <c r="X90" s="369">
        <f>IF(OR(T90="125-65-654-50110",T90="125-65-652-50110",T90="125-65-656-50110"),"N/A",COUNTIF('Prop Budget Calc'!A:A,'Base Pay Report'!A90))</f>
        <v>0</v>
      </c>
    </row>
    <row r="91" spans="1:24">
      <c r="A91" s="535" t="s">
        <v>1446</v>
      </c>
      <c r="B91" s="456" t="s">
        <v>2992</v>
      </c>
      <c r="C91" s="456" t="s">
        <v>2993</v>
      </c>
      <c r="D91" s="456" t="s">
        <v>2994</v>
      </c>
      <c r="E91" s="456" t="str">
        <f t="shared" si="2"/>
        <v>First Name Last Name</v>
      </c>
      <c r="F91" s="535" t="s">
        <v>1214</v>
      </c>
      <c r="G91" s="535" t="s">
        <v>1263</v>
      </c>
      <c r="H91" s="536">
        <v>29.63</v>
      </c>
      <c r="I91" s="537" t="s">
        <v>170</v>
      </c>
      <c r="J91" s="538">
        <v>37963</v>
      </c>
      <c r="K91" s="535" t="s">
        <v>170</v>
      </c>
      <c r="L91" s="535" t="s">
        <v>170</v>
      </c>
      <c r="M91" s="535" t="s">
        <v>1380</v>
      </c>
      <c r="N91" s="535" t="s">
        <v>989</v>
      </c>
      <c r="O91" s="535" t="s">
        <v>1325</v>
      </c>
      <c r="P91" s="535" t="s">
        <v>1218</v>
      </c>
      <c r="Q91" s="535" t="s">
        <v>492</v>
      </c>
      <c r="R91" s="538" t="s">
        <v>170</v>
      </c>
      <c r="S91" s="535" t="s">
        <v>1291</v>
      </c>
      <c r="T91" s="535" t="s">
        <v>1312</v>
      </c>
      <c r="U91" s="536">
        <v>61630.400000000001</v>
      </c>
      <c r="V91" s="535" t="s">
        <v>1220</v>
      </c>
      <c r="X91" s="369">
        <f>IF(OR(T91="125-65-654-50110",T91="125-65-652-50110",T91="125-65-656-50110"),"N/A",COUNTIF('Prop Budget Calc'!A:A,'Base Pay Report'!A91))</f>
        <v>0</v>
      </c>
    </row>
    <row r="92" spans="1:24">
      <c r="A92" s="535" t="s">
        <v>2480</v>
      </c>
      <c r="B92" s="456" t="s">
        <v>2992</v>
      </c>
      <c r="C92" s="456" t="s">
        <v>2993</v>
      </c>
      <c r="D92" s="456" t="s">
        <v>2994</v>
      </c>
      <c r="E92" s="456" t="str">
        <f t="shared" si="2"/>
        <v>First Name Last Name</v>
      </c>
      <c r="F92" s="535" t="s">
        <v>1214</v>
      </c>
      <c r="G92" s="535" t="s">
        <v>1247</v>
      </c>
      <c r="H92" s="536">
        <v>35.69</v>
      </c>
      <c r="I92" s="537" t="s">
        <v>170</v>
      </c>
      <c r="J92" s="538">
        <v>45203</v>
      </c>
      <c r="K92" s="535" t="s">
        <v>170</v>
      </c>
      <c r="L92" s="535" t="s">
        <v>170</v>
      </c>
      <c r="M92" s="535" t="s">
        <v>1248</v>
      </c>
      <c r="N92" s="535" t="s">
        <v>116</v>
      </c>
      <c r="O92" s="535" t="s">
        <v>1224</v>
      </c>
      <c r="P92" s="535" t="s">
        <v>1218</v>
      </c>
      <c r="Q92" s="535" t="s">
        <v>492</v>
      </c>
      <c r="R92" s="538" t="s">
        <v>170</v>
      </c>
      <c r="S92" s="535" t="s">
        <v>1283</v>
      </c>
      <c r="T92" s="535" t="s">
        <v>955</v>
      </c>
      <c r="U92" s="536">
        <v>74235.199999999997</v>
      </c>
      <c r="V92" s="535" t="s">
        <v>1220</v>
      </c>
      <c r="X92" s="369">
        <f>IF(OR(T92="125-65-654-50110",T92="125-65-652-50110",T92="125-65-656-50110"),"N/A",COUNTIF('Prop Budget Calc'!A:A,'Base Pay Report'!A92))</f>
        <v>0</v>
      </c>
    </row>
    <row r="93" spans="1:24">
      <c r="A93" s="535" t="s">
        <v>1447</v>
      </c>
      <c r="B93" s="456" t="s">
        <v>2992</v>
      </c>
      <c r="C93" s="456" t="s">
        <v>2993</v>
      </c>
      <c r="D93" s="456" t="s">
        <v>2994</v>
      </c>
      <c r="E93" s="456" t="str">
        <f t="shared" si="2"/>
        <v>First Name Last Name</v>
      </c>
      <c r="F93" s="535" t="s">
        <v>1214</v>
      </c>
      <c r="G93" s="535" t="s">
        <v>1268</v>
      </c>
      <c r="H93" s="536">
        <v>29.79</v>
      </c>
      <c r="I93" s="537" t="s">
        <v>170</v>
      </c>
      <c r="J93" s="538">
        <v>39118</v>
      </c>
      <c r="K93" s="535" t="s">
        <v>170</v>
      </c>
      <c r="L93" s="535" t="s">
        <v>170</v>
      </c>
      <c r="M93" s="535" t="s">
        <v>1269</v>
      </c>
      <c r="N93" s="535" t="s">
        <v>1270</v>
      </c>
      <c r="O93" s="535" t="s">
        <v>1217</v>
      </c>
      <c r="P93" s="535" t="s">
        <v>1218</v>
      </c>
      <c r="Q93" s="535" t="s">
        <v>492</v>
      </c>
      <c r="R93" s="538" t="s">
        <v>170</v>
      </c>
      <c r="S93" s="535" t="s">
        <v>1219</v>
      </c>
      <c r="T93" s="535" t="s">
        <v>959</v>
      </c>
      <c r="U93" s="536">
        <v>61963.199999999997</v>
      </c>
      <c r="V93" s="535" t="s">
        <v>1220</v>
      </c>
      <c r="X93" s="369">
        <f>IF(OR(T93="125-65-654-50110",T93="125-65-652-50110",T93="125-65-656-50110"),"N/A",COUNTIF('Prop Budget Calc'!A:A,'Base Pay Report'!A93))</f>
        <v>0</v>
      </c>
    </row>
    <row r="94" spans="1:24">
      <c r="A94" s="535" t="s">
        <v>1448</v>
      </c>
      <c r="B94" s="456" t="s">
        <v>2992</v>
      </c>
      <c r="C94" s="456" t="s">
        <v>2993</v>
      </c>
      <c r="D94" s="456" t="s">
        <v>2994</v>
      </c>
      <c r="E94" s="456" t="str">
        <f t="shared" si="2"/>
        <v>First Name Last Name</v>
      </c>
      <c r="F94" s="535" t="s">
        <v>1214</v>
      </c>
      <c r="G94" s="535" t="s">
        <v>1286</v>
      </c>
      <c r="H94" s="536">
        <v>33.53</v>
      </c>
      <c r="I94" s="537" t="s">
        <v>170</v>
      </c>
      <c r="J94" s="538">
        <v>39252</v>
      </c>
      <c r="K94" s="535" t="s">
        <v>170</v>
      </c>
      <c r="L94" s="535" t="s">
        <v>170</v>
      </c>
      <c r="M94" s="535" t="s">
        <v>1275</v>
      </c>
      <c r="N94" s="535" t="s">
        <v>133</v>
      </c>
      <c r="O94" s="535" t="s">
        <v>1217</v>
      </c>
      <c r="P94" s="535" t="s">
        <v>1218</v>
      </c>
      <c r="Q94" s="535" t="s">
        <v>492</v>
      </c>
      <c r="R94" s="538" t="s">
        <v>170</v>
      </c>
      <c r="S94" s="535" t="s">
        <v>1219</v>
      </c>
      <c r="T94" s="535" t="s">
        <v>959</v>
      </c>
      <c r="U94" s="536">
        <v>69742.399999999994</v>
      </c>
      <c r="V94" s="535" t="s">
        <v>1220</v>
      </c>
      <c r="X94" s="369">
        <f>IF(OR(T94="125-65-654-50110",T94="125-65-652-50110",T94="125-65-656-50110"),"N/A",COUNTIF('Prop Budget Calc'!A:A,'Base Pay Report'!A94))</f>
        <v>0</v>
      </c>
    </row>
    <row r="95" spans="1:24">
      <c r="A95" s="535" t="s">
        <v>1449</v>
      </c>
      <c r="B95" s="456" t="s">
        <v>2992</v>
      </c>
      <c r="C95" s="456" t="s">
        <v>2993</v>
      </c>
      <c r="D95" s="456" t="s">
        <v>2994</v>
      </c>
      <c r="E95" s="456" t="str">
        <f t="shared" si="2"/>
        <v>First Name Last Name</v>
      </c>
      <c r="F95" s="535" t="s">
        <v>1214</v>
      </c>
      <c r="G95" s="535" t="s">
        <v>1286</v>
      </c>
      <c r="H95" s="536">
        <v>33.53</v>
      </c>
      <c r="I95" s="537" t="s">
        <v>170</v>
      </c>
      <c r="J95" s="538">
        <v>39454</v>
      </c>
      <c r="K95" s="535" t="s">
        <v>170</v>
      </c>
      <c r="L95" s="535" t="s">
        <v>170</v>
      </c>
      <c r="M95" s="535" t="s">
        <v>1275</v>
      </c>
      <c r="N95" s="535" t="s">
        <v>133</v>
      </c>
      <c r="O95" s="535" t="s">
        <v>1217</v>
      </c>
      <c r="P95" s="535" t="s">
        <v>1218</v>
      </c>
      <c r="Q95" s="535" t="s">
        <v>492</v>
      </c>
      <c r="R95" s="538" t="s">
        <v>170</v>
      </c>
      <c r="S95" s="535" t="s">
        <v>1219</v>
      </c>
      <c r="T95" s="535" t="s">
        <v>959</v>
      </c>
      <c r="U95" s="536">
        <v>69742.399999999994</v>
      </c>
      <c r="V95" s="535" t="s">
        <v>1220</v>
      </c>
      <c r="X95" s="369">
        <f>IF(OR(T95="125-65-654-50110",T95="125-65-652-50110",T95="125-65-656-50110"),"N/A",COUNTIF('Prop Budget Calc'!A:A,'Base Pay Report'!A95))</f>
        <v>0</v>
      </c>
    </row>
    <row r="96" spans="1:24">
      <c r="A96" s="535" t="s">
        <v>1450</v>
      </c>
      <c r="B96" s="456" t="s">
        <v>2992</v>
      </c>
      <c r="C96" s="456" t="s">
        <v>2993</v>
      </c>
      <c r="D96" s="456" t="s">
        <v>2994</v>
      </c>
      <c r="E96" s="456" t="str">
        <f t="shared" si="2"/>
        <v>First Name Last Name</v>
      </c>
      <c r="F96" s="535" t="s">
        <v>1214</v>
      </c>
      <c r="G96" s="535" t="s">
        <v>1421</v>
      </c>
      <c r="H96" s="536">
        <v>43.52</v>
      </c>
      <c r="I96" s="537" t="s">
        <v>170</v>
      </c>
      <c r="J96" s="538">
        <v>39951</v>
      </c>
      <c r="K96" s="535" t="s">
        <v>170</v>
      </c>
      <c r="L96" s="535" t="s">
        <v>170</v>
      </c>
      <c r="M96" s="535" t="s">
        <v>1422</v>
      </c>
      <c r="N96" s="535" t="s">
        <v>118</v>
      </c>
      <c r="O96" s="535" t="s">
        <v>1224</v>
      </c>
      <c r="P96" s="535" t="s">
        <v>1218</v>
      </c>
      <c r="Q96" s="535" t="s">
        <v>492</v>
      </c>
      <c r="R96" s="538" t="s">
        <v>170</v>
      </c>
      <c r="S96" s="535" t="s">
        <v>1283</v>
      </c>
      <c r="T96" s="535" t="s">
        <v>955</v>
      </c>
      <c r="U96" s="536">
        <v>90521.600000000006</v>
      </c>
      <c r="V96" s="535" t="s">
        <v>1220</v>
      </c>
      <c r="X96" s="369">
        <f>IF(OR(T96="125-65-654-50110",T96="125-65-652-50110",T96="125-65-656-50110"),"N/A",COUNTIF('Prop Budget Calc'!A:A,'Base Pay Report'!A96))</f>
        <v>1</v>
      </c>
    </row>
    <row r="97" spans="1:24">
      <c r="A97" s="535" t="s">
        <v>1451</v>
      </c>
      <c r="B97" s="456" t="s">
        <v>2992</v>
      </c>
      <c r="C97" s="456" t="s">
        <v>2993</v>
      </c>
      <c r="D97" s="456" t="s">
        <v>2994</v>
      </c>
      <c r="E97" s="456" t="str">
        <f t="shared" si="2"/>
        <v>First Name Last Name</v>
      </c>
      <c r="F97" s="535" t="s">
        <v>1214</v>
      </c>
      <c r="G97" s="535" t="s">
        <v>1288</v>
      </c>
      <c r="H97" s="536">
        <v>39.19</v>
      </c>
      <c r="I97" s="537" t="s">
        <v>170</v>
      </c>
      <c r="J97" s="538">
        <v>37305</v>
      </c>
      <c r="K97" s="535" t="s">
        <v>170</v>
      </c>
      <c r="L97" s="535" t="s">
        <v>170</v>
      </c>
      <c r="M97" s="535" t="s">
        <v>2528</v>
      </c>
      <c r="N97" s="535" t="s">
        <v>2529</v>
      </c>
      <c r="O97" s="535" t="s">
        <v>1290</v>
      </c>
      <c r="P97" s="535" t="s">
        <v>1218</v>
      </c>
      <c r="Q97" s="535" t="s">
        <v>492</v>
      </c>
      <c r="R97" s="538" t="s">
        <v>170</v>
      </c>
      <c r="S97" s="535" t="s">
        <v>1291</v>
      </c>
      <c r="T97" s="535" t="s">
        <v>968</v>
      </c>
      <c r="U97" s="536">
        <v>81515.199999999997</v>
      </c>
      <c r="V97" s="535" t="s">
        <v>1220</v>
      </c>
      <c r="X97" s="369">
        <f>IF(OR(T97="125-65-654-50110",T97="125-65-652-50110",T97="125-65-656-50110"),"N/A",COUNTIF('Prop Budget Calc'!A:A,'Base Pay Report'!A97))</f>
        <v>1</v>
      </c>
    </row>
    <row r="98" spans="1:24">
      <c r="A98" s="535" t="s">
        <v>1454</v>
      </c>
      <c r="B98" s="456" t="s">
        <v>2992</v>
      </c>
      <c r="C98" s="456" t="s">
        <v>2993</v>
      </c>
      <c r="D98" s="456" t="s">
        <v>2994</v>
      </c>
      <c r="E98" s="456" t="str">
        <f t="shared" si="2"/>
        <v>First Name Last Name</v>
      </c>
      <c r="F98" s="535" t="s">
        <v>1214</v>
      </c>
      <c r="G98" s="535" t="s">
        <v>1413</v>
      </c>
      <c r="H98" s="536">
        <v>5875.27</v>
      </c>
      <c r="I98" s="537">
        <v>80</v>
      </c>
      <c r="J98" s="538">
        <v>42450</v>
      </c>
      <c r="K98" s="535" t="s">
        <v>170</v>
      </c>
      <c r="L98" s="535" t="s">
        <v>170</v>
      </c>
      <c r="M98" s="535" t="s">
        <v>1455</v>
      </c>
      <c r="N98" s="535" t="s">
        <v>1003</v>
      </c>
      <c r="O98" s="535" t="s">
        <v>1230</v>
      </c>
      <c r="P98" s="535" t="s">
        <v>1218</v>
      </c>
      <c r="Q98" s="535" t="s">
        <v>1231</v>
      </c>
      <c r="R98" s="538" t="s">
        <v>170</v>
      </c>
      <c r="S98" s="535" t="s">
        <v>1241</v>
      </c>
      <c r="T98" s="535" t="s">
        <v>1341</v>
      </c>
      <c r="U98" s="536">
        <v>152757.01999999999</v>
      </c>
      <c r="V98" s="535" t="s">
        <v>1220</v>
      </c>
      <c r="X98" s="369">
        <f>IF(OR(T98="125-65-654-50110",T98="125-65-652-50110",T98="125-65-656-50110"),"N/A",COUNTIF('Prop Budget Calc'!A:A,'Base Pay Report'!A98))</f>
        <v>0</v>
      </c>
    </row>
    <row r="99" spans="1:24">
      <c r="A99" s="535" t="s">
        <v>1456</v>
      </c>
      <c r="B99" s="456" t="s">
        <v>2992</v>
      </c>
      <c r="C99" s="456" t="s">
        <v>2993</v>
      </c>
      <c r="D99" s="456" t="s">
        <v>2994</v>
      </c>
      <c r="E99" s="456" t="str">
        <f t="shared" si="2"/>
        <v>First Name Last Name</v>
      </c>
      <c r="F99" s="535" t="s">
        <v>1214</v>
      </c>
      <c r="G99" s="535" t="s">
        <v>1215</v>
      </c>
      <c r="H99" s="536">
        <v>36.090000000000003</v>
      </c>
      <c r="I99" s="537" t="s">
        <v>170</v>
      </c>
      <c r="J99" s="538">
        <v>41225</v>
      </c>
      <c r="K99" s="535" t="s">
        <v>170</v>
      </c>
      <c r="L99" s="535" t="s">
        <v>170</v>
      </c>
      <c r="M99" s="535" t="s">
        <v>1216</v>
      </c>
      <c r="N99" s="535" t="s">
        <v>131</v>
      </c>
      <c r="O99" s="535" t="s">
        <v>1217</v>
      </c>
      <c r="P99" s="535" t="s">
        <v>1218</v>
      </c>
      <c r="Q99" s="535" t="s">
        <v>492</v>
      </c>
      <c r="R99" s="538" t="s">
        <v>170</v>
      </c>
      <c r="S99" s="535" t="s">
        <v>1219</v>
      </c>
      <c r="T99" s="535" t="s">
        <v>959</v>
      </c>
      <c r="U99" s="536">
        <v>75067.199999999997</v>
      </c>
      <c r="V99" s="535" t="s">
        <v>1220</v>
      </c>
      <c r="X99" s="369">
        <f>IF(OR(T99="125-65-654-50110",T99="125-65-652-50110",T99="125-65-656-50110"),"N/A",COUNTIF('Prop Budget Calc'!A:A,'Base Pay Report'!A99))</f>
        <v>0</v>
      </c>
    </row>
    <row r="100" spans="1:24">
      <c r="A100" s="535" t="s">
        <v>1457</v>
      </c>
      <c r="B100" s="456" t="s">
        <v>2992</v>
      </c>
      <c r="C100" s="456" t="s">
        <v>2993</v>
      </c>
      <c r="D100" s="456" t="s">
        <v>2994</v>
      </c>
      <c r="E100" s="456" t="str">
        <f t="shared" si="2"/>
        <v>First Name Last Name</v>
      </c>
      <c r="F100" s="535" t="s">
        <v>1214</v>
      </c>
      <c r="G100" s="535" t="s">
        <v>1277</v>
      </c>
      <c r="H100" s="536">
        <v>3853.15</v>
      </c>
      <c r="I100" s="537">
        <v>80</v>
      </c>
      <c r="J100" s="538">
        <v>41197</v>
      </c>
      <c r="K100" s="535" t="s">
        <v>170</v>
      </c>
      <c r="L100" s="535" t="s">
        <v>170</v>
      </c>
      <c r="M100" s="535" t="s">
        <v>1458</v>
      </c>
      <c r="N100" s="535" t="s">
        <v>1004</v>
      </c>
      <c r="O100" s="535" t="s">
        <v>1230</v>
      </c>
      <c r="P100" s="535" t="s">
        <v>1218</v>
      </c>
      <c r="Q100" s="535" t="s">
        <v>1231</v>
      </c>
      <c r="R100" s="538" t="s">
        <v>170</v>
      </c>
      <c r="S100" s="535" t="s">
        <v>1241</v>
      </c>
      <c r="T100" s="535" t="s">
        <v>1459</v>
      </c>
      <c r="U100" s="536">
        <v>100181.9</v>
      </c>
      <c r="V100" s="535" t="s">
        <v>1220</v>
      </c>
      <c r="X100" s="369">
        <f>IF(OR(T100="125-65-654-50110",T100="125-65-652-50110",T100="125-65-656-50110"),"N/A",COUNTIF('Prop Budget Calc'!A:A,'Base Pay Report'!A100))</f>
        <v>0</v>
      </c>
    </row>
    <row r="101" spans="1:24">
      <c r="A101" s="535" t="s">
        <v>1460</v>
      </c>
      <c r="B101" s="456" t="s">
        <v>2992</v>
      </c>
      <c r="C101" s="456" t="s">
        <v>2993</v>
      </c>
      <c r="D101" s="456" t="s">
        <v>2994</v>
      </c>
      <c r="E101" s="456" t="str">
        <f t="shared" si="2"/>
        <v>First Name Last Name</v>
      </c>
      <c r="F101" s="535" t="s">
        <v>1214</v>
      </c>
      <c r="G101" s="535" t="s">
        <v>1286</v>
      </c>
      <c r="H101" s="536">
        <v>29.19</v>
      </c>
      <c r="I101" s="537" t="s">
        <v>170</v>
      </c>
      <c r="J101" s="538">
        <v>42373</v>
      </c>
      <c r="K101" s="535" t="s">
        <v>170</v>
      </c>
      <c r="L101" s="535" t="s">
        <v>170</v>
      </c>
      <c r="M101" s="535" t="s">
        <v>1275</v>
      </c>
      <c r="N101" s="535" t="s">
        <v>133</v>
      </c>
      <c r="O101" s="535" t="s">
        <v>1217</v>
      </c>
      <c r="P101" s="535" t="s">
        <v>1218</v>
      </c>
      <c r="Q101" s="535" t="s">
        <v>492</v>
      </c>
      <c r="R101" s="538" t="s">
        <v>170</v>
      </c>
      <c r="S101" s="535" t="s">
        <v>1219</v>
      </c>
      <c r="T101" s="535" t="s">
        <v>959</v>
      </c>
      <c r="U101" s="536">
        <v>60715.199999999997</v>
      </c>
      <c r="V101" s="535" t="s">
        <v>1220</v>
      </c>
      <c r="X101" s="369">
        <f>IF(OR(T101="125-65-654-50110",T101="125-65-652-50110",T101="125-65-656-50110"),"N/A",COUNTIF('Prop Budget Calc'!A:A,'Base Pay Report'!A101))</f>
        <v>0</v>
      </c>
    </row>
    <row r="102" spans="1:24">
      <c r="A102" s="535" t="s">
        <v>1461</v>
      </c>
      <c r="B102" s="456" t="s">
        <v>2992</v>
      </c>
      <c r="C102" s="456" t="s">
        <v>2993</v>
      </c>
      <c r="D102" s="456" t="s">
        <v>2994</v>
      </c>
      <c r="E102" s="456" t="str">
        <f t="shared" si="2"/>
        <v>First Name Last Name</v>
      </c>
      <c r="F102" s="535" t="s">
        <v>1214</v>
      </c>
      <c r="G102" s="535" t="s">
        <v>1386</v>
      </c>
      <c r="H102" s="536">
        <v>32.29</v>
      </c>
      <c r="I102" s="537" t="s">
        <v>170</v>
      </c>
      <c r="J102" s="538">
        <v>37361</v>
      </c>
      <c r="K102" s="535" t="s">
        <v>170</v>
      </c>
      <c r="L102" s="535" t="s">
        <v>170</v>
      </c>
      <c r="M102" s="535" t="s">
        <v>1424</v>
      </c>
      <c r="N102" s="535" t="s">
        <v>1001</v>
      </c>
      <c r="O102" s="535" t="s">
        <v>1290</v>
      </c>
      <c r="P102" s="535" t="s">
        <v>1218</v>
      </c>
      <c r="Q102" s="535" t="s">
        <v>492</v>
      </c>
      <c r="R102" s="538" t="s">
        <v>170</v>
      </c>
      <c r="S102" s="535" t="s">
        <v>1291</v>
      </c>
      <c r="T102" s="535" t="s">
        <v>963</v>
      </c>
      <c r="U102" s="536">
        <v>67163.199999999997</v>
      </c>
      <c r="V102" s="535" t="s">
        <v>1220</v>
      </c>
      <c r="X102" s="369">
        <f>IF(OR(T102="125-65-654-50110",T102="125-65-652-50110",T102="125-65-656-50110"),"N/A",COUNTIF('Prop Budget Calc'!A:A,'Base Pay Report'!A102))</f>
        <v>1</v>
      </c>
    </row>
    <row r="103" spans="1:24">
      <c r="A103" s="535" t="s">
        <v>1462</v>
      </c>
      <c r="B103" s="456" t="s">
        <v>2992</v>
      </c>
      <c r="C103" s="456" t="s">
        <v>2993</v>
      </c>
      <c r="D103" s="456" t="s">
        <v>2994</v>
      </c>
      <c r="E103" s="456" t="str">
        <f t="shared" si="2"/>
        <v>First Name Last Name</v>
      </c>
      <c r="F103" s="535" t="s">
        <v>1214</v>
      </c>
      <c r="G103" s="535" t="s">
        <v>1263</v>
      </c>
      <c r="H103" s="536">
        <v>29.08</v>
      </c>
      <c r="I103" s="537" t="s">
        <v>170</v>
      </c>
      <c r="J103" s="538">
        <v>40987</v>
      </c>
      <c r="K103" s="535" t="s">
        <v>170</v>
      </c>
      <c r="L103" s="535" t="s">
        <v>170</v>
      </c>
      <c r="M103" s="535" t="s">
        <v>1264</v>
      </c>
      <c r="N103" s="535" t="s">
        <v>138</v>
      </c>
      <c r="O103" s="535" t="s">
        <v>1265</v>
      </c>
      <c r="P103" s="535" t="s">
        <v>1218</v>
      </c>
      <c r="Q103" s="535" t="s">
        <v>492</v>
      </c>
      <c r="R103" s="538" t="s">
        <v>170</v>
      </c>
      <c r="S103" s="535" t="s">
        <v>1259</v>
      </c>
      <c r="T103" s="535" t="s">
        <v>1433</v>
      </c>
      <c r="U103" s="536">
        <v>60486.400000000001</v>
      </c>
      <c r="V103" s="535" t="s">
        <v>1220</v>
      </c>
      <c r="X103" s="369">
        <f>IF(OR(T103="125-65-654-50110",T103="125-65-652-50110",T103="125-65-656-50110"),"N/A",COUNTIF('Prop Budget Calc'!A:A,'Base Pay Report'!A103))</f>
        <v>0</v>
      </c>
    </row>
    <row r="104" spans="1:24">
      <c r="A104" s="535" t="s">
        <v>1463</v>
      </c>
      <c r="B104" s="456" t="s">
        <v>2992</v>
      </c>
      <c r="C104" s="456" t="s">
        <v>2993</v>
      </c>
      <c r="D104" s="456" t="s">
        <v>2994</v>
      </c>
      <c r="E104" s="456" t="str">
        <f t="shared" si="2"/>
        <v>First Name Last Name</v>
      </c>
      <c r="F104" s="535" t="s">
        <v>1214</v>
      </c>
      <c r="G104" s="535" t="s">
        <v>1281</v>
      </c>
      <c r="H104" s="536">
        <v>49.02</v>
      </c>
      <c r="I104" s="537" t="s">
        <v>170</v>
      </c>
      <c r="J104" s="538">
        <v>40672</v>
      </c>
      <c r="K104" s="535" t="s">
        <v>170</v>
      </c>
      <c r="L104" s="535" t="s">
        <v>170</v>
      </c>
      <c r="M104" s="535" t="s">
        <v>1282</v>
      </c>
      <c r="N104" s="535" t="s">
        <v>117</v>
      </c>
      <c r="O104" s="535" t="s">
        <v>1224</v>
      </c>
      <c r="P104" s="535" t="s">
        <v>1218</v>
      </c>
      <c r="Q104" s="535" t="s">
        <v>492</v>
      </c>
      <c r="R104" s="538" t="s">
        <v>170</v>
      </c>
      <c r="S104" s="535" t="s">
        <v>1283</v>
      </c>
      <c r="T104" s="535" t="s">
        <v>955</v>
      </c>
      <c r="U104" s="536">
        <v>101961.60000000001</v>
      </c>
      <c r="V104" s="535" t="s">
        <v>1220</v>
      </c>
      <c r="X104" s="369">
        <f>IF(OR(T104="125-65-654-50110",T104="125-65-652-50110",T104="125-65-656-50110"),"N/A",COUNTIF('Prop Budget Calc'!A:A,'Base Pay Report'!A104))</f>
        <v>0</v>
      </c>
    </row>
    <row r="105" spans="1:24">
      <c r="A105" s="535" t="s">
        <v>1464</v>
      </c>
      <c r="B105" s="456" t="s">
        <v>2992</v>
      </c>
      <c r="C105" s="456" t="s">
        <v>2993</v>
      </c>
      <c r="D105" s="456" t="s">
        <v>2994</v>
      </c>
      <c r="E105" s="456" t="str">
        <f t="shared" si="2"/>
        <v>First Name Last Name</v>
      </c>
      <c r="F105" s="535" t="s">
        <v>1214</v>
      </c>
      <c r="G105" s="535" t="s">
        <v>170</v>
      </c>
      <c r="H105" s="536">
        <v>42.88</v>
      </c>
      <c r="I105" s="537" t="s">
        <v>170</v>
      </c>
      <c r="J105" s="538">
        <v>37165</v>
      </c>
      <c r="K105" s="535" t="s">
        <v>170</v>
      </c>
      <c r="L105" s="535" t="s">
        <v>170</v>
      </c>
      <c r="M105" s="535" t="s">
        <v>1357</v>
      </c>
      <c r="N105" s="535" t="s">
        <v>135</v>
      </c>
      <c r="O105" s="535" t="s">
        <v>1217</v>
      </c>
      <c r="P105" s="535" t="s">
        <v>1218</v>
      </c>
      <c r="Q105" s="535" t="s">
        <v>492</v>
      </c>
      <c r="R105" s="538" t="s">
        <v>170</v>
      </c>
      <c r="S105" s="535" t="s">
        <v>1219</v>
      </c>
      <c r="T105" s="535" t="s">
        <v>959</v>
      </c>
      <c r="U105" s="536">
        <v>89190.399999999994</v>
      </c>
      <c r="V105" s="535" t="s">
        <v>1220</v>
      </c>
      <c r="X105" s="369">
        <f>IF(OR(T105="125-65-654-50110",T105="125-65-652-50110",T105="125-65-656-50110"),"N/A",COUNTIF('Prop Budget Calc'!A:A,'Base Pay Report'!A105))</f>
        <v>0</v>
      </c>
    </row>
    <row r="106" spans="1:24">
      <c r="A106" s="535" t="s">
        <v>1465</v>
      </c>
      <c r="B106" s="456" t="s">
        <v>2992</v>
      </c>
      <c r="C106" s="456" t="s">
        <v>2993</v>
      </c>
      <c r="D106" s="456" t="s">
        <v>2994</v>
      </c>
      <c r="E106" s="456" t="str">
        <f t="shared" si="2"/>
        <v>First Name Last Name</v>
      </c>
      <c r="F106" s="535" t="s">
        <v>1214</v>
      </c>
      <c r="G106" s="535" t="s">
        <v>1247</v>
      </c>
      <c r="H106" s="536">
        <v>41.83</v>
      </c>
      <c r="I106" s="537" t="s">
        <v>170</v>
      </c>
      <c r="J106" s="538">
        <v>40849</v>
      </c>
      <c r="K106" s="535" t="s">
        <v>170</v>
      </c>
      <c r="L106" s="535" t="s">
        <v>170</v>
      </c>
      <c r="M106" s="535" t="s">
        <v>1248</v>
      </c>
      <c r="N106" s="535" t="s">
        <v>116</v>
      </c>
      <c r="O106" s="535" t="s">
        <v>1224</v>
      </c>
      <c r="P106" s="535" t="s">
        <v>1218</v>
      </c>
      <c r="Q106" s="535" t="s">
        <v>492</v>
      </c>
      <c r="R106" s="538" t="s">
        <v>170</v>
      </c>
      <c r="S106" s="535" t="s">
        <v>1225</v>
      </c>
      <c r="T106" s="535" t="s">
        <v>955</v>
      </c>
      <c r="U106" s="536">
        <v>87006.399999999994</v>
      </c>
      <c r="V106" s="535" t="s">
        <v>1220</v>
      </c>
      <c r="X106" s="369">
        <f>IF(OR(T106="125-65-654-50110",T106="125-65-652-50110",T106="125-65-656-50110"),"N/A",COUNTIF('Prop Budget Calc'!A:A,'Base Pay Report'!A106))</f>
        <v>0</v>
      </c>
    </row>
    <row r="107" spans="1:24">
      <c r="A107" s="535" t="s">
        <v>1466</v>
      </c>
      <c r="B107" s="456" t="s">
        <v>2992</v>
      </c>
      <c r="C107" s="456" t="s">
        <v>2993</v>
      </c>
      <c r="D107" s="456" t="s">
        <v>2994</v>
      </c>
      <c r="E107" s="456" t="str">
        <f t="shared" si="2"/>
        <v>First Name Last Name</v>
      </c>
      <c r="F107" s="535" t="s">
        <v>1214</v>
      </c>
      <c r="G107" s="535" t="s">
        <v>1374</v>
      </c>
      <c r="H107" s="536">
        <v>61.24</v>
      </c>
      <c r="I107" s="537" t="s">
        <v>170</v>
      </c>
      <c r="J107" s="538">
        <v>39132</v>
      </c>
      <c r="K107" s="535" t="s">
        <v>170</v>
      </c>
      <c r="L107" s="535" t="s">
        <v>170</v>
      </c>
      <c r="M107" s="535" t="s">
        <v>1467</v>
      </c>
      <c r="N107" s="535" t="s">
        <v>592</v>
      </c>
      <c r="O107" s="535" t="s">
        <v>1217</v>
      </c>
      <c r="P107" s="535" t="s">
        <v>1218</v>
      </c>
      <c r="Q107" s="535" t="s">
        <v>492</v>
      </c>
      <c r="R107" s="538" t="s">
        <v>170</v>
      </c>
      <c r="S107" s="535" t="s">
        <v>1219</v>
      </c>
      <c r="T107" s="535" t="s">
        <v>1376</v>
      </c>
      <c r="U107" s="536">
        <v>127379.2</v>
      </c>
      <c r="V107" s="535" t="s">
        <v>1220</v>
      </c>
      <c r="X107" s="369">
        <f>IF(OR(T107="125-65-654-50110",T107="125-65-652-50110",T107="125-65-656-50110"),"N/A",COUNTIF('Prop Budget Calc'!A:A,'Base Pay Report'!A107))</f>
        <v>0</v>
      </c>
    </row>
    <row r="108" spans="1:24">
      <c r="A108" s="535" t="s">
        <v>1468</v>
      </c>
      <c r="B108" s="456" t="s">
        <v>2992</v>
      </c>
      <c r="C108" s="456" t="s">
        <v>2993</v>
      </c>
      <c r="D108" s="456" t="s">
        <v>2994</v>
      </c>
      <c r="E108" s="456" t="str">
        <f t="shared" si="2"/>
        <v>First Name Last Name</v>
      </c>
      <c r="F108" s="535" t="s">
        <v>1214</v>
      </c>
      <c r="G108" s="535" t="s">
        <v>1215</v>
      </c>
      <c r="H108" s="536">
        <v>38.299999999999997</v>
      </c>
      <c r="I108" s="537" t="s">
        <v>170</v>
      </c>
      <c r="J108" s="538">
        <v>39454</v>
      </c>
      <c r="K108" s="535" t="s">
        <v>170</v>
      </c>
      <c r="L108" s="535" t="s">
        <v>170</v>
      </c>
      <c r="M108" s="535" t="s">
        <v>1216</v>
      </c>
      <c r="N108" s="535" t="s">
        <v>131</v>
      </c>
      <c r="O108" s="535" t="s">
        <v>1217</v>
      </c>
      <c r="P108" s="535" t="s">
        <v>1218</v>
      </c>
      <c r="Q108" s="535" t="s">
        <v>492</v>
      </c>
      <c r="R108" s="538" t="s">
        <v>170</v>
      </c>
      <c r="S108" s="535" t="s">
        <v>1219</v>
      </c>
      <c r="T108" s="535" t="s">
        <v>959</v>
      </c>
      <c r="U108" s="536">
        <v>79664</v>
      </c>
      <c r="V108" s="535" t="s">
        <v>1220</v>
      </c>
      <c r="X108" s="369">
        <f>IF(OR(T108="125-65-654-50110",T108="125-65-652-50110",T108="125-65-656-50110"),"N/A",COUNTIF('Prop Budget Calc'!A:A,'Base Pay Report'!A108))</f>
        <v>0</v>
      </c>
    </row>
    <row r="109" spans="1:24">
      <c r="A109" s="535" t="s">
        <v>1469</v>
      </c>
      <c r="B109" s="456" t="s">
        <v>2992</v>
      </c>
      <c r="C109" s="456" t="s">
        <v>2993</v>
      </c>
      <c r="D109" s="456" t="s">
        <v>2994</v>
      </c>
      <c r="E109" s="456" t="str">
        <f t="shared" si="2"/>
        <v>First Name Last Name</v>
      </c>
      <c r="F109" s="535" t="s">
        <v>1214</v>
      </c>
      <c r="G109" s="535" t="s">
        <v>170</v>
      </c>
      <c r="H109" s="536">
        <v>32.299999999999997</v>
      </c>
      <c r="I109" s="537" t="s">
        <v>170</v>
      </c>
      <c r="J109" s="538">
        <v>35735</v>
      </c>
      <c r="K109" s="535" t="s">
        <v>170</v>
      </c>
      <c r="L109" s="535" t="s">
        <v>170</v>
      </c>
      <c r="M109" s="535" t="s">
        <v>2590</v>
      </c>
      <c r="N109" s="535" t="s">
        <v>2599</v>
      </c>
      <c r="O109" s="535" t="s">
        <v>1230</v>
      </c>
      <c r="P109" s="535" t="s">
        <v>1218</v>
      </c>
      <c r="Q109" s="535" t="s">
        <v>492</v>
      </c>
      <c r="R109" s="538" t="s">
        <v>170</v>
      </c>
      <c r="S109" s="535" t="s">
        <v>1294</v>
      </c>
      <c r="T109" s="535" t="s">
        <v>954</v>
      </c>
      <c r="U109" s="536">
        <v>67184</v>
      </c>
      <c r="V109" s="535" t="s">
        <v>1220</v>
      </c>
      <c r="X109" s="369">
        <f>IF(OR(T109="125-65-654-50110",T109="125-65-652-50110",T109="125-65-656-50110"),"N/A",COUNTIF('Prop Budget Calc'!A:A,'Base Pay Report'!A109))</f>
        <v>0</v>
      </c>
    </row>
    <row r="110" spans="1:24">
      <c r="A110" s="535" t="s">
        <v>1470</v>
      </c>
      <c r="B110" s="456" t="s">
        <v>2992</v>
      </c>
      <c r="C110" s="456" t="s">
        <v>2993</v>
      </c>
      <c r="D110" s="456" t="s">
        <v>2994</v>
      </c>
      <c r="E110" s="456" t="str">
        <f t="shared" si="2"/>
        <v>First Name Last Name</v>
      </c>
      <c r="F110" s="535" t="s">
        <v>1214</v>
      </c>
      <c r="G110" s="535" t="s">
        <v>1238</v>
      </c>
      <c r="H110" s="536">
        <v>4971.34</v>
      </c>
      <c r="I110" s="537">
        <v>80</v>
      </c>
      <c r="J110" s="538">
        <v>38363</v>
      </c>
      <c r="K110" s="535" t="s">
        <v>170</v>
      </c>
      <c r="L110" s="535" t="s">
        <v>170</v>
      </c>
      <c r="M110" s="535" t="s">
        <v>1471</v>
      </c>
      <c r="N110" s="535" t="s">
        <v>608</v>
      </c>
      <c r="O110" s="535" t="s">
        <v>1230</v>
      </c>
      <c r="P110" s="535" t="s">
        <v>1218</v>
      </c>
      <c r="Q110" s="535" t="s">
        <v>1231</v>
      </c>
      <c r="R110" s="538" t="s">
        <v>170</v>
      </c>
      <c r="S110" s="535" t="s">
        <v>1241</v>
      </c>
      <c r="T110" s="535" t="s">
        <v>1297</v>
      </c>
      <c r="U110" s="536">
        <v>129254.84</v>
      </c>
      <c r="V110" s="535" t="s">
        <v>1220</v>
      </c>
      <c r="X110" s="369">
        <f>IF(OR(T110="125-65-654-50110",T110="125-65-652-50110",T110="125-65-656-50110"),"N/A",COUNTIF('Prop Budget Calc'!A:A,'Base Pay Report'!A110))</f>
        <v>0</v>
      </c>
    </row>
    <row r="111" spans="1:24">
      <c r="A111" s="535" t="s">
        <v>1472</v>
      </c>
      <c r="B111" s="456" t="s">
        <v>2992</v>
      </c>
      <c r="C111" s="456" t="s">
        <v>2993</v>
      </c>
      <c r="D111" s="456" t="s">
        <v>2994</v>
      </c>
      <c r="E111" s="456" t="str">
        <f t="shared" si="2"/>
        <v>First Name Last Name</v>
      </c>
      <c r="F111" s="535" t="s">
        <v>1214</v>
      </c>
      <c r="G111" s="535" t="s">
        <v>1247</v>
      </c>
      <c r="H111" s="536">
        <v>41.83</v>
      </c>
      <c r="I111" s="537" t="s">
        <v>170</v>
      </c>
      <c r="J111" s="538">
        <v>39279</v>
      </c>
      <c r="K111" s="535" t="s">
        <v>170</v>
      </c>
      <c r="L111" s="535" t="s">
        <v>170</v>
      </c>
      <c r="M111" s="535" t="s">
        <v>1473</v>
      </c>
      <c r="N111" s="535" t="s">
        <v>119</v>
      </c>
      <c r="O111" s="535" t="s">
        <v>1224</v>
      </c>
      <c r="P111" s="535" t="s">
        <v>1218</v>
      </c>
      <c r="Q111" s="535" t="s">
        <v>492</v>
      </c>
      <c r="R111" s="538" t="s">
        <v>170</v>
      </c>
      <c r="S111" s="535" t="s">
        <v>1225</v>
      </c>
      <c r="T111" s="535" t="s">
        <v>955</v>
      </c>
      <c r="U111" s="536">
        <v>87006.399999999994</v>
      </c>
      <c r="V111" s="535" t="s">
        <v>1220</v>
      </c>
      <c r="X111" s="369">
        <f>IF(OR(T111="125-65-654-50110",T111="125-65-652-50110",T111="125-65-656-50110"),"N/A",COUNTIF('Prop Budget Calc'!A:A,'Base Pay Report'!A111))</f>
        <v>1</v>
      </c>
    </row>
    <row r="112" spans="1:24">
      <c r="A112" s="535" t="s">
        <v>1474</v>
      </c>
      <c r="B112" s="456" t="s">
        <v>2992</v>
      </c>
      <c r="C112" s="456" t="s">
        <v>2993</v>
      </c>
      <c r="D112" s="456" t="s">
        <v>2994</v>
      </c>
      <c r="E112" s="456" t="str">
        <f t="shared" si="2"/>
        <v>First Name Last Name</v>
      </c>
      <c r="F112" s="535" t="s">
        <v>1214</v>
      </c>
      <c r="G112" s="535" t="s">
        <v>1263</v>
      </c>
      <c r="H112" s="536">
        <v>33.43</v>
      </c>
      <c r="I112" s="537" t="s">
        <v>170</v>
      </c>
      <c r="J112" s="538">
        <v>38775</v>
      </c>
      <c r="K112" s="535" t="s">
        <v>170</v>
      </c>
      <c r="L112" s="535" t="s">
        <v>170</v>
      </c>
      <c r="M112" s="535" t="s">
        <v>1264</v>
      </c>
      <c r="N112" s="535" t="s">
        <v>138</v>
      </c>
      <c r="O112" s="535" t="s">
        <v>1265</v>
      </c>
      <c r="P112" s="535" t="s">
        <v>1218</v>
      </c>
      <c r="Q112" s="535" t="s">
        <v>492</v>
      </c>
      <c r="R112" s="538" t="s">
        <v>170</v>
      </c>
      <c r="S112" s="535" t="s">
        <v>1235</v>
      </c>
      <c r="T112" s="535" t="s">
        <v>1388</v>
      </c>
      <c r="U112" s="536">
        <v>69534.399999999994</v>
      </c>
      <c r="V112" s="535" t="s">
        <v>1220</v>
      </c>
      <c r="X112" s="369">
        <f>IF(OR(T112="125-65-654-50110",T112="125-65-652-50110",T112="125-65-656-50110"),"N/A",COUNTIF('Prop Budget Calc'!A:A,'Base Pay Report'!A112))</f>
        <v>1</v>
      </c>
    </row>
    <row r="113" spans="1:24">
      <c r="A113" s="535" t="s">
        <v>1475</v>
      </c>
      <c r="B113" s="456" t="s">
        <v>2992</v>
      </c>
      <c r="C113" s="456" t="s">
        <v>2993</v>
      </c>
      <c r="D113" s="456" t="s">
        <v>2994</v>
      </c>
      <c r="E113" s="456" t="str">
        <f t="shared" si="2"/>
        <v>First Name Last Name</v>
      </c>
      <c r="F113" s="535" t="s">
        <v>1214</v>
      </c>
      <c r="G113" s="535" t="s">
        <v>1361</v>
      </c>
      <c r="H113" s="536">
        <v>2256.2399999999998</v>
      </c>
      <c r="I113" s="537">
        <v>80</v>
      </c>
      <c r="J113" s="538">
        <v>36201</v>
      </c>
      <c r="K113" s="535" t="s">
        <v>170</v>
      </c>
      <c r="L113" s="535" t="s">
        <v>170</v>
      </c>
      <c r="M113" s="535" t="s">
        <v>1658</v>
      </c>
      <c r="N113" s="535" t="s">
        <v>1952</v>
      </c>
      <c r="O113" s="535" t="s">
        <v>1230</v>
      </c>
      <c r="P113" s="535" t="s">
        <v>1218</v>
      </c>
      <c r="Q113" s="535" t="s">
        <v>1231</v>
      </c>
      <c r="R113" s="538">
        <v>43416</v>
      </c>
      <c r="S113" s="535" t="s">
        <v>1241</v>
      </c>
      <c r="T113" s="535" t="s">
        <v>1453</v>
      </c>
      <c r="U113" s="536">
        <v>58662.239999999998</v>
      </c>
      <c r="V113" s="535" t="s">
        <v>1220</v>
      </c>
      <c r="X113" s="369">
        <f>IF(OR(T113="125-65-654-50110",T113="125-65-652-50110",T113="125-65-656-50110"),"N/A",COUNTIF('Prop Budget Calc'!A:A,'Base Pay Report'!A113))</f>
        <v>0</v>
      </c>
    </row>
    <row r="114" spans="1:24">
      <c r="A114" s="535" t="s">
        <v>1476</v>
      </c>
      <c r="B114" s="456" t="s">
        <v>2992</v>
      </c>
      <c r="C114" s="456" t="s">
        <v>2993</v>
      </c>
      <c r="D114" s="456" t="s">
        <v>2994</v>
      </c>
      <c r="E114" s="456" t="str">
        <f t="shared" si="2"/>
        <v>First Name Last Name</v>
      </c>
      <c r="F114" s="535" t="s">
        <v>1214</v>
      </c>
      <c r="G114" s="535" t="s">
        <v>1286</v>
      </c>
      <c r="H114" s="536">
        <v>33.53</v>
      </c>
      <c r="I114" s="537" t="s">
        <v>170</v>
      </c>
      <c r="J114" s="538">
        <v>38845</v>
      </c>
      <c r="K114" s="535" t="s">
        <v>170</v>
      </c>
      <c r="L114" s="535" t="s">
        <v>170</v>
      </c>
      <c r="M114" s="535" t="s">
        <v>1275</v>
      </c>
      <c r="N114" s="535" t="s">
        <v>133</v>
      </c>
      <c r="O114" s="535" t="s">
        <v>1217</v>
      </c>
      <c r="P114" s="535" t="s">
        <v>1218</v>
      </c>
      <c r="Q114" s="535" t="s">
        <v>492</v>
      </c>
      <c r="R114" s="538" t="s">
        <v>170</v>
      </c>
      <c r="S114" s="535" t="s">
        <v>1219</v>
      </c>
      <c r="T114" s="535" t="s">
        <v>959</v>
      </c>
      <c r="U114" s="536">
        <v>69742.399999999994</v>
      </c>
      <c r="V114" s="535" t="s">
        <v>1220</v>
      </c>
      <c r="X114" s="369">
        <f>IF(OR(T114="125-65-654-50110",T114="125-65-652-50110",T114="125-65-656-50110"),"N/A",COUNTIF('Prop Budget Calc'!A:A,'Base Pay Report'!A114))</f>
        <v>0</v>
      </c>
    </row>
    <row r="115" spans="1:24">
      <c r="A115" s="535" t="s">
        <v>1477</v>
      </c>
      <c r="B115" s="456" t="s">
        <v>2992</v>
      </c>
      <c r="C115" s="456" t="s">
        <v>2993</v>
      </c>
      <c r="D115" s="456" t="s">
        <v>2994</v>
      </c>
      <c r="E115" s="456" t="str">
        <f t="shared" si="2"/>
        <v>First Name Last Name</v>
      </c>
      <c r="F115" s="535" t="s">
        <v>1214</v>
      </c>
      <c r="G115" s="535" t="s">
        <v>1286</v>
      </c>
      <c r="H115" s="536">
        <v>33.53</v>
      </c>
      <c r="I115" s="537" t="s">
        <v>170</v>
      </c>
      <c r="J115" s="538">
        <v>39720</v>
      </c>
      <c r="K115" s="535" t="s">
        <v>170</v>
      </c>
      <c r="L115" s="535" t="s">
        <v>170</v>
      </c>
      <c r="M115" s="535" t="s">
        <v>1354</v>
      </c>
      <c r="N115" s="535" t="s">
        <v>134</v>
      </c>
      <c r="O115" s="535" t="s">
        <v>1217</v>
      </c>
      <c r="P115" s="535" t="s">
        <v>1218</v>
      </c>
      <c r="Q115" s="535" t="s">
        <v>492</v>
      </c>
      <c r="R115" s="538" t="s">
        <v>170</v>
      </c>
      <c r="S115" s="535" t="s">
        <v>1219</v>
      </c>
      <c r="T115" s="535" t="s">
        <v>959</v>
      </c>
      <c r="U115" s="536">
        <v>69742.399999999994</v>
      </c>
      <c r="V115" s="535" t="s">
        <v>1220</v>
      </c>
      <c r="X115" s="369">
        <f>IF(OR(T115="125-65-654-50110",T115="125-65-652-50110",T115="125-65-656-50110"),"N/A",COUNTIF('Prop Budget Calc'!A:A,'Base Pay Report'!A115))</f>
        <v>0</v>
      </c>
    </row>
    <row r="116" spans="1:24">
      <c r="A116" s="535" t="s">
        <v>1478</v>
      </c>
      <c r="B116" s="456" t="s">
        <v>2992</v>
      </c>
      <c r="C116" s="456" t="s">
        <v>2993</v>
      </c>
      <c r="D116" s="456" t="s">
        <v>2994</v>
      </c>
      <c r="E116" s="456" t="str">
        <f t="shared" si="2"/>
        <v>First Name Last Name</v>
      </c>
      <c r="F116" s="535" t="s">
        <v>1214</v>
      </c>
      <c r="G116" s="535" t="s">
        <v>1222</v>
      </c>
      <c r="H116" s="536">
        <v>59.79</v>
      </c>
      <c r="I116" s="537" t="s">
        <v>170</v>
      </c>
      <c r="J116" s="538">
        <v>37291</v>
      </c>
      <c r="K116" s="535" t="s">
        <v>170</v>
      </c>
      <c r="L116" s="535" t="s">
        <v>170</v>
      </c>
      <c r="M116" s="535" t="s">
        <v>1223</v>
      </c>
      <c r="N116" s="535" t="s">
        <v>304</v>
      </c>
      <c r="O116" s="535" t="s">
        <v>1224</v>
      </c>
      <c r="P116" s="535" t="s">
        <v>1218</v>
      </c>
      <c r="Q116" s="535" t="s">
        <v>492</v>
      </c>
      <c r="R116" s="538" t="s">
        <v>170</v>
      </c>
      <c r="S116" s="535" t="s">
        <v>2462</v>
      </c>
      <c r="T116" s="535" t="s">
        <v>955</v>
      </c>
      <c r="U116" s="536">
        <v>124363.2</v>
      </c>
      <c r="V116" s="535" t="s">
        <v>1220</v>
      </c>
      <c r="X116" s="369">
        <f>IF(OR(T116="125-65-654-50110",T116="125-65-652-50110",T116="125-65-656-50110"),"N/A",COUNTIF('Prop Budget Calc'!A:A,'Base Pay Report'!A116))</f>
        <v>1</v>
      </c>
    </row>
    <row r="117" spans="1:24">
      <c r="A117" s="535" t="s">
        <v>1479</v>
      </c>
      <c r="B117" s="456" t="s">
        <v>2992</v>
      </c>
      <c r="C117" s="456" t="s">
        <v>2993</v>
      </c>
      <c r="D117" s="456" t="s">
        <v>2994</v>
      </c>
      <c r="E117" s="456" t="str">
        <f t="shared" si="2"/>
        <v>First Name Last Name</v>
      </c>
      <c r="F117" s="535" t="s">
        <v>1214</v>
      </c>
      <c r="G117" s="535" t="s">
        <v>1288</v>
      </c>
      <c r="H117" s="536">
        <v>38.93</v>
      </c>
      <c r="I117" s="537" t="s">
        <v>170</v>
      </c>
      <c r="J117" s="538">
        <v>37235</v>
      </c>
      <c r="K117" s="535" t="s">
        <v>170</v>
      </c>
      <c r="L117" s="535" t="s">
        <v>170</v>
      </c>
      <c r="M117" s="535" t="s">
        <v>1480</v>
      </c>
      <c r="N117" s="535" t="s">
        <v>145</v>
      </c>
      <c r="O117" s="535" t="s">
        <v>1290</v>
      </c>
      <c r="P117" s="535" t="s">
        <v>1218</v>
      </c>
      <c r="Q117" s="535" t="s">
        <v>492</v>
      </c>
      <c r="R117" s="538" t="s">
        <v>170</v>
      </c>
      <c r="S117" s="535" t="s">
        <v>1291</v>
      </c>
      <c r="T117" s="535" t="s">
        <v>963</v>
      </c>
      <c r="U117" s="536">
        <v>80974.399999999994</v>
      </c>
      <c r="V117" s="535" t="s">
        <v>1220</v>
      </c>
      <c r="X117" s="369">
        <f>IF(OR(T117="125-65-654-50110",T117="125-65-652-50110",T117="125-65-656-50110"),"N/A",COUNTIF('Prop Budget Calc'!A:A,'Base Pay Report'!A117))</f>
        <v>1</v>
      </c>
    </row>
    <row r="118" spans="1:24">
      <c r="A118" s="535" t="s">
        <v>1481</v>
      </c>
      <c r="B118" s="456" t="s">
        <v>2992</v>
      </c>
      <c r="C118" s="456" t="s">
        <v>2993</v>
      </c>
      <c r="D118" s="456" t="s">
        <v>2994</v>
      </c>
      <c r="E118" s="456" t="str">
        <f t="shared" si="2"/>
        <v>First Name Last Name</v>
      </c>
      <c r="F118" s="535" t="s">
        <v>1214</v>
      </c>
      <c r="G118" s="535" t="s">
        <v>1263</v>
      </c>
      <c r="H118" s="536">
        <v>27.86</v>
      </c>
      <c r="I118" s="537" t="s">
        <v>170</v>
      </c>
      <c r="J118" s="538">
        <v>39034</v>
      </c>
      <c r="K118" s="535" t="s">
        <v>170</v>
      </c>
      <c r="L118" s="535" t="s">
        <v>170</v>
      </c>
      <c r="M118" s="535" t="s">
        <v>1482</v>
      </c>
      <c r="N118" s="535" t="s">
        <v>1006</v>
      </c>
      <c r="O118" s="535" t="s">
        <v>1290</v>
      </c>
      <c r="P118" s="535" t="s">
        <v>1218</v>
      </c>
      <c r="Q118" s="535" t="s">
        <v>492</v>
      </c>
      <c r="R118" s="538" t="s">
        <v>170</v>
      </c>
      <c r="S118" s="535" t="s">
        <v>1291</v>
      </c>
      <c r="T118" s="535" t="s">
        <v>968</v>
      </c>
      <c r="U118" s="536">
        <v>57948.800000000003</v>
      </c>
      <c r="V118" s="535" t="s">
        <v>1220</v>
      </c>
      <c r="X118" s="369">
        <f>IF(OR(T118="125-65-654-50110",T118="125-65-652-50110",T118="125-65-656-50110"),"N/A",COUNTIF('Prop Budget Calc'!A:A,'Base Pay Report'!A118))</f>
        <v>1</v>
      </c>
    </row>
    <row r="119" spans="1:24">
      <c r="A119" s="535" t="s">
        <v>1483</v>
      </c>
      <c r="B119" s="456" t="s">
        <v>2992</v>
      </c>
      <c r="C119" s="456" t="s">
        <v>2993</v>
      </c>
      <c r="D119" s="456" t="s">
        <v>2994</v>
      </c>
      <c r="E119" s="456" t="str">
        <f t="shared" si="2"/>
        <v>First Name Last Name</v>
      </c>
      <c r="F119" s="535" t="s">
        <v>1214</v>
      </c>
      <c r="G119" s="535" t="s">
        <v>1361</v>
      </c>
      <c r="H119" s="536">
        <v>2412.11</v>
      </c>
      <c r="I119" s="537">
        <v>80</v>
      </c>
      <c r="J119" s="538">
        <v>43239</v>
      </c>
      <c r="K119" s="535" t="s">
        <v>170</v>
      </c>
      <c r="L119" s="535" t="s">
        <v>170</v>
      </c>
      <c r="M119" s="535" t="s">
        <v>1484</v>
      </c>
      <c r="N119" s="535" t="s">
        <v>1121</v>
      </c>
      <c r="O119" s="535" t="s">
        <v>1325</v>
      </c>
      <c r="P119" s="535" t="s">
        <v>1218</v>
      </c>
      <c r="Q119" s="535" t="s">
        <v>1231</v>
      </c>
      <c r="R119" s="538" t="s">
        <v>170</v>
      </c>
      <c r="S119" s="535" t="s">
        <v>1253</v>
      </c>
      <c r="T119" s="535" t="s">
        <v>1485</v>
      </c>
      <c r="U119" s="536">
        <v>62714.86</v>
      </c>
      <c r="V119" s="535" t="s">
        <v>1220</v>
      </c>
      <c r="X119" s="369">
        <f>IF(OR(T119="125-65-654-50110",T119="125-65-652-50110",T119="125-65-656-50110"),"N/A",COUNTIF('Prop Budget Calc'!A:A,'Base Pay Report'!A119))</f>
        <v>1</v>
      </c>
    </row>
    <row r="120" spans="1:24">
      <c r="A120" s="535" t="s">
        <v>1489</v>
      </c>
      <c r="B120" s="456" t="s">
        <v>2992</v>
      </c>
      <c r="C120" s="456" t="s">
        <v>2993</v>
      </c>
      <c r="D120" s="456" t="s">
        <v>2994</v>
      </c>
      <c r="E120" s="456" t="str">
        <f t="shared" si="2"/>
        <v>First Name Last Name</v>
      </c>
      <c r="F120" s="535" t="s">
        <v>1214</v>
      </c>
      <c r="G120" s="535" t="s">
        <v>1486</v>
      </c>
      <c r="H120" s="536">
        <v>14.33</v>
      </c>
      <c r="I120" s="537" t="s">
        <v>170</v>
      </c>
      <c r="J120" s="538">
        <v>43375</v>
      </c>
      <c r="K120" s="535" t="s">
        <v>170</v>
      </c>
      <c r="L120" s="535" t="s">
        <v>170</v>
      </c>
      <c r="M120" s="535" t="s">
        <v>1487</v>
      </c>
      <c r="N120" s="535" t="s">
        <v>1488</v>
      </c>
      <c r="O120" s="535" t="s">
        <v>1325</v>
      </c>
      <c r="P120" s="535" t="s">
        <v>1218</v>
      </c>
      <c r="Q120" s="535" t="s">
        <v>492</v>
      </c>
      <c r="R120" s="538" t="s">
        <v>170</v>
      </c>
      <c r="S120" s="535" t="s">
        <v>1305</v>
      </c>
      <c r="T120" s="535" t="s">
        <v>1326</v>
      </c>
      <c r="U120" s="536">
        <v>29806.400000000001</v>
      </c>
      <c r="V120" s="535" t="s">
        <v>1307</v>
      </c>
      <c r="X120" s="369" t="str">
        <f>IF(OR(T120="125-65-654-50110",T120="125-65-652-50110",T120="125-65-656-50110"),"N/A",COUNTIF('Prop Budget Calc'!A:A,'Base Pay Report'!A120))</f>
        <v>N/A</v>
      </c>
    </row>
    <row r="121" spans="1:24">
      <c r="A121" s="535" t="s">
        <v>1490</v>
      </c>
      <c r="B121" s="456" t="s">
        <v>2992</v>
      </c>
      <c r="C121" s="456" t="s">
        <v>2993</v>
      </c>
      <c r="D121" s="456" t="s">
        <v>2994</v>
      </c>
      <c r="E121" s="456" t="str">
        <f t="shared" si="2"/>
        <v>First Name Last Name</v>
      </c>
      <c r="F121" s="535" t="s">
        <v>1214</v>
      </c>
      <c r="G121" s="535" t="s">
        <v>170</v>
      </c>
      <c r="H121" s="536">
        <v>15.61</v>
      </c>
      <c r="I121" s="537" t="s">
        <v>170</v>
      </c>
      <c r="J121" s="538">
        <v>43404</v>
      </c>
      <c r="K121" s="535" t="s">
        <v>170</v>
      </c>
      <c r="L121" s="535" t="s">
        <v>170</v>
      </c>
      <c r="M121" s="535" t="s">
        <v>1491</v>
      </c>
      <c r="N121" s="535" t="s">
        <v>1008</v>
      </c>
      <c r="O121" s="535" t="s">
        <v>1230</v>
      </c>
      <c r="P121" s="535" t="s">
        <v>1218</v>
      </c>
      <c r="Q121" s="535" t="s">
        <v>492</v>
      </c>
      <c r="R121" s="538">
        <v>44863</v>
      </c>
      <c r="S121" s="535" t="s">
        <v>1305</v>
      </c>
      <c r="T121" s="535" t="s">
        <v>1493</v>
      </c>
      <c r="U121" s="536">
        <v>32468.799999999999</v>
      </c>
      <c r="V121" s="535" t="s">
        <v>1307</v>
      </c>
      <c r="X121" s="369" t="str">
        <f>IF(OR(T121="125-65-654-50110",T121="125-65-652-50110",T121="125-65-656-50110"),"N/A",COUNTIF('Prop Budget Calc'!A:A,'Base Pay Report'!A121))</f>
        <v>N/A</v>
      </c>
    </row>
    <row r="122" spans="1:24">
      <c r="A122" s="535" t="s">
        <v>1492</v>
      </c>
      <c r="B122" s="456" t="s">
        <v>2992</v>
      </c>
      <c r="C122" s="456" t="s">
        <v>2993</v>
      </c>
      <c r="D122" s="456" t="s">
        <v>2994</v>
      </c>
      <c r="E122" s="456" t="str">
        <f t="shared" si="2"/>
        <v>First Name Last Name</v>
      </c>
      <c r="F122" s="535" t="s">
        <v>1214</v>
      </c>
      <c r="G122" s="535" t="s">
        <v>1486</v>
      </c>
      <c r="H122" s="536">
        <v>15.61</v>
      </c>
      <c r="I122" s="537" t="s">
        <v>170</v>
      </c>
      <c r="J122" s="538">
        <v>43864</v>
      </c>
      <c r="K122" s="535" t="s">
        <v>170</v>
      </c>
      <c r="L122" s="535" t="s">
        <v>170</v>
      </c>
      <c r="M122" s="535" t="s">
        <v>1491</v>
      </c>
      <c r="N122" s="535" t="s">
        <v>1008</v>
      </c>
      <c r="O122" s="535" t="s">
        <v>1230</v>
      </c>
      <c r="P122" s="535" t="s">
        <v>1218</v>
      </c>
      <c r="Q122" s="535" t="s">
        <v>492</v>
      </c>
      <c r="R122" s="538" t="s">
        <v>170</v>
      </c>
      <c r="S122" s="535" t="s">
        <v>1305</v>
      </c>
      <c r="T122" s="535" t="s">
        <v>1493</v>
      </c>
      <c r="U122" s="536">
        <v>32468.799999999999</v>
      </c>
      <c r="V122" s="535" t="s">
        <v>1307</v>
      </c>
      <c r="X122" s="369" t="str">
        <f>IF(OR(T122="125-65-654-50110",T122="125-65-652-50110",T122="125-65-656-50110"),"N/A",COUNTIF('Prop Budget Calc'!A:A,'Base Pay Report'!A122))</f>
        <v>N/A</v>
      </c>
    </row>
    <row r="123" spans="1:24">
      <c r="A123" s="535" t="s">
        <v>1494</v>
      </c>
      <c r="B123" s="456" t="s">
        <v>2992</v>
      </c>
      <c r="C123" s="456" t="s">
        <v>2993</v>
      </c>
      <c r="D123" s="456" t="s">
        <v>2994</v>
      </c>
      <c r="E123" s="456" t="str">
        <f t="shared" si="2"/>
        <v>First Name Last Name</v>
      </c>
      <c r="F123" s="535" t="s">
        <v>1214</v>
      </c>
      <c r="G123" s="535" t="s">
        <v>1361</v>
      </c>
      <c r="H123" s="536">
        <v>2821.03</v>
      </c>
      <c r="I123" s="537">
        <v>80</v>
      </c>
      <c r="J123" s="538">
        <v>43052</v>
      </c>
      <c r="K123" s="535" t="s">
        <v>170</v>
      </c>
      <c r="L123" s="535" t="s">
        <v>170</v>
      </c>
      <c r="M123" s="535" t="s">
        <v>1495</v>
      </c>
      <c r="N123" s="535" t="s">
        <v>182</v>
      </c>
      <c r="O123" s="535" t="s">
        <v>1230</v>
      </c>
      <c r="P123" s="535" t="s">
        <v>1218</v>
      </c>
      <c r="Q123" s="535" t="s">
        <v>1231</v>
      </c>
      <c r="R123" s="538" t="s">
        <v>170</v>
      </c>
      <c r="S123" s="535" t="s">
        <v>1241</v>
      </c>
      <c r="T123" s="535" t="s">
        <v>1418</v>
      </c>
      <c r="U123" s="536">
        <v>73346.78</v>
      </c>
      <c r="V123" s="535" t="s">
        <v>1220</v>
      </c>
      <c r="X123" s="369">
        <f>IF(OR(T123="125-65-654-50110",T123="125-65-652-50110",T123="125-65-656-50110"),"N/A",COUNTIF('Prop Budget Calc'!A:A,'Base Pay Report'!A123))</f>
        <v>0</v>
      </c>
    </row>
    <row r="124" spans="1:24">
      <c r="A124" s="535" t="s">
        <v>1496</v>
      </c>
      <c r="B124" s="456" t="s">
        <v>2992</v>
      </c>
      <c r="C124" s="456" t="s">
        <v>2993</v>
      </c>
      <c r="D124" s="456" t="s">
        <v>2994</v>
      </c>
      <c r="E124" s="456" t="str">
        <f t="shared" si="2"/>
        <v>First Name Last Name</v>
      </c>
      <c r="F124" s="535" t="s">
        <v>1214</v>
      </c>
      <c r="G124" s="535" t="s">
        <v>1263</v>
      </c>
      <c r="H124" s="536">
        <v>26.48</v>
      </c>
      <c r="I124" s="537" t="s">
        <v>170</v>
      </c>
      <c r="J124" s="538">
        <v>43059</v>
      </c>
      <c r="K124" s="535" t="s">
        <v>170</v>
      </c>
      <c r="L124" s="535" t="s">
        <v>170</v>
      </c>
      <c r="M124" s="535" t="s">
        <v>1333</v>
      </c>
      <c r="N124" s="535" t="s">
        <v>994</v>
      </c>
      <c r="O124" s="535" t="s">
        <v>1290</v>
      </c>
      <c r="P124" s="535" t="s">
        <v>1218</v>
      </c>
      <c r="Q124" s="535" t="s">
        <v>492</v>
      </c>
      <c r="R124" s="538" t="s">
        <v>170</v>
      </c>
      <c r="S124" s="535" t="s">
        <v>1291</v>
      </c>
      <c r="T124" s="535" t="s">
        <v>968</v>
      </c>
      <c r="U124" s="536">
        <v>55078.400000000001</v>
      </c>
      <c r="V124" s="535" t="s">
        <v>1220</v>
      </c>
      <c r="X124" s="369">
        <f>IF(OR(T124="125-65-654-50110",T124="125-65-652-50110",T124="125-65-656-50110"),"N/A",COUNTIF('Prop Budget Calc'!A:A,'Base Pay Report'!A124))</f>
        <v>0</v>
      </c>
    </row>
    <row r="125" spans="1:24">
      <c r="A125" s="535" t="s">
        <v>1497</v>
      </c>
      <c r="B125" s="456" t="s">
        <v>2992</v>
      </c>
      <c r="C125" s="456" t="s">
        <v>2993</v>
      </c>
      <c r="D125" s="456" t="s">
        <v>2994</v>
      </c>
      <c r="E125" s="456" t="str">
        <f t="shared" si="2"/>
        <v>First Name Last Name</v>
      </c>
      <c r="F125" s="535" t="s">
        <v>1214</v>
      </c>
      <c r="G125" s="535" t="s">
        <v>1268</v>
      </c>
      <c r="H125" s="536">
        <v>26.46</v>
      </c>
      <c r="I125" s="537" t="s">
        <v>170</v>
      </c>
      <c r="J125" s="538">
        <v>43097</v>
      </c>
      <c r="K125" s="535" t="s">
        <v>170</v>
      </c>
      <c r="L125" s="535" t="s">
        <v>170</v>
      </c>
      <c r="M125" s="535" t="s">
        <v>1269</v>
      </c>
      <c r="N125" s="535" t="s">
        <v>1270</v>
      </c>
      <c r="O125" s="535" t="s">
        <v>1217</v>
      </c>
      <c r="P125" s="535" t="s">
        <v>1218</v>
      </c>
      <c r="Q125" s="535" t="s">
        <v>492</v>
      </c>
      <c r="R125" s="538" t="s">
        <v>170</v>
      </c>
      <c r="S125" s="535" t="s">
        <v>1219</v>
      </c>
      <c r="T125" s="535" t="s">
        <v>959</v>
      </c>
      <c r="U125" s="536">
        <v>55036.800000000003</v>
      </c>
      <c r="V125" s="535" t="s">
        <v>1220</v>
      </c>
      <c r="X125" s="369">
        <f>IF(OR(T125="125-65-654-50110",T125="125-65-652-50110",T125="125-65-656-50110"),"N/A",COUNTIF('Prop Budget Calc'!A:A,'Base Pay Report'!A125))</f>
        <v>0</v>
      </c>
    </row>
    <row r="126" spans="1:24">
      <c r="A126" s="535" t="s">
        <v>1498</v>
      </c>
      <c r="B126" s="456" t="s">
        <v>2992</v>
      </c>
      <c r="C126" s="456" t="s">
        <v>2993</v>
      </c>
      <c r="D126" s="456" t="s">
        <v>2994</v>
      </c>
      <c r="E126" s="456" t="str">
        <f t="shared" si="2"/>
        <v>First Name Last Name</v>
      </c>
      <c r="F126" s="535" t="s">
        <v>1214</v>
      </c>
      <c r="G126" s="535" t="s">
        <v>1277</v>
      </c>
      <c r="H126" s="536">
        <v>2301.0500000000002</v>
      </c>
      <c r="I126" s="537">
        <v>80</v>
      </c>
      <c r="J126" s="538">
        <v>43096</v>
      </c>
      <c r="K126" s="535" t="s">
        <v>170</v>
      </c>
      <c r="L126" s="535" t="s">
        <v>170</v>
      </c>
      <c r="M126" s="535" t="s">
        <v>1499</v>
      </c>
      <c r="N126" s="535" t="s">
        <v>1015</v>
      </c>
      <c r="O126" s="535" t="s">
        <v>1230</v>
      </c>
      <c r="P126" s="535" t="s">
        <v>1218</v>
      </c>
      <c r="Q126" s="535" t="s">
        <v>1231</v>
      </c>
      <c r="R126" s="538" t="s">
        <v>170</v>
      </c>
      <c r="S126" s="535" t="s">
        <v>1241</v>
      </c>
      <c r="T126" s="535" t="s">
        <v>1500</v>
      </c>
      <c r="U126" s="536">
        <v>59827.3</v>
      </c>
      <c r="V126" s="535" t="s">
        <v>1220</v>
      </c>
      <c r="X126" s="369">
        <f>IF(OR(T126="125-65-654-50110",T126="125-65-652-50110",T126="125-65-656-50110"),"N/A",COUNTIF('Prop Budget Calc'!A:A,'Base Pay Report'!A126))</f>
        <v>0</v>
      </c>
    </row>
    <row r="127" spans="1:24">
      <c r="A127" s="535" t="s">
        <v>1501</v>
      </c>
      <c r="B127" s="456" t="s">
        <v>2992</v>
      </c>
      <c r="C127" s="456" t="s">
        <v>2993</v>
      </c>
      <c r="D127" s="456" t="s">
        <v>2994</v>
      </c>
      <c r="E127" s="456" t="str">
        <f t="shared" si="2"/>
        <v>First Name Last Name</v>
      </c>
      <c r="F127" s="535" t="s">
        <v>1214</v>
      </c>
      <c r="G127" s="535" t="s">
        <v>1247</v>
      </c>
      <c r="H127" s="536">
        <v>37.130000000000003</v>
      </c>
      <c r="I127" s="537" t="s">
        <v>170</v>
      </c>
      <c r="J127" s="538">
        <v>43143</v>
      </c>
      <c r="K127" s="535" t="s">
        <v>170</v>
      </c>
      <c r="L127" s="535" t="s">
        <v>170</v>
      </c>
      <c r="M127" s="535" t="s">
        <v>1248</v>
      </c>
      <c r="N127" s="535" t="s">
        <v>116</v>
      </c>
      <c r="O127" s="535" t="s">
        <v>1224</v>
      </c>
      <c r="P127" s="535" t="s">
        <v>1218</v>
      </c>
      <c r="Q127" s="535" t="s">
        <v>492</v>
      </c>
      <c r="R127" s="538" t="s">
        <v>170</v>
      </c>
      <c r="S127" s="535" t="s">
        <v>1283</v>
      </c>
      <c r="T127" s="535" t="s">
        <v>955</v>
      </c>
      <c r="U127" s="536">
        <v>77230.399999999994</v>
      </c>
      <c r="V127" s="535" t="s">
        <v>1220</v>
      </c>
      <c r="X127" s="369">
        <f>IF(OR(T127="125-65-654-50110",T127="125-65-652-50110",T127="125-65-656-50110"),"N/A",COUNTIF('Prop Budget Calc'!A:A,'Base Pay Report'!A127))</f>
        <v>0</v>
      </c>
    </row>
    <row r="128" spans="1:24">
      <c r="A128" s="535" t="s">
        <v>1502</v>
      </c>
      <c r="B128" s="456" t="s">
        <v>2992</v>
      </c>
      <c r="C128" s="456" t="s">
        <v>2993</v>
      </c>
      <c r="D128" s="456" t="s">
        <v>2994</v>
      </c>
      <c r="E128" s="456" t="str">
        <f t="shared" si="2"/>
        <v>First Name Last Name</v>
      </c>
      <c r="F128" s="535" t="s">
        <v>1214</v>
      </c>
      <c r="G128" s="535" t="s">
        <v>1247</v>
      </c>
      <c r="H128" s="536">
        <v>37.130000000000003</v>
      </c>
      <c r="I128" s="537" t="s">
        <v>170</v>
      </c>
      <c r="J128" s="538">
        <v>43143</v>
      </c>
      <c r="K128" s="535" t="s">
        <v>170</v>
      </c>
      <c r="L128" s="535" t="s">
        <v>170</v>
      </c>
      <c r="M128" s="535" t="s">
        <v>1248</v>
      </c>
      <c r="N128" s="535" t="s">
        <v>116</v>
      </c>
      <c r="O128" s="535" t="s">
        <v>1224</v>
      </c>
      <c r="P128" s="535" t="s">
        <v>1218</v>
      </c>
      <c r="Q128" s="535" t="s">
        <v>492</v>
      </c>
      <c r="R128" s="538" t="s">
        <v>170</v>
      </c>
      <c r="S128" s="535" t="s">
        <v>1283</v>
      </c>
      <c r="T128" s="535" t="s">
        <v>955</v>
      </c>
      <c r="U128" s="536">
        <v>77230.399999999994</v>
      </c>
      <c r="V128" s="535" t="s">
        <v>1220</v>
      </c>
      <c r="X128" s="369">
        <f>IF(OR(T128="125-65-654-50110",T128="125-65-652-50110",T128="125-65-656-50110"),"N/A",COUNTIF('Prop Budget Calc'!A:A,'Base Pay Report'!A128))</f>
        <v>0</v>
      </c>
    </row>
    <row r="129" spans="1:24">
      <c r="A129" s="535" t="s">
        <v>1503</v>
      </c>
      <c r="B129" s="456" t="s">
        <v>2992</v>
      </c>
      <c r="C129" s="456" t="s">
        <v>2993</v>
      </c>
      <c r="D129" s="456" t="s">
        <v>2994</v>
      </c>
      <c r="E129" s="456" t="str">
        <f t="shared" si="2"/>
        <v>First Name Last Name</v>
      </c>
      <c r="F129" s="535" t="s">
        <v>1214</v>
      </c>
      <c r="G129" s="535" t="s">
        <v>170</v>
      </c>
      <c r="H129" s="536">
        <v>2126.4299999999998</v>
      </c>
      <c r="I129" s="537">
        <v>80</v>
      </c>
      <c r="J129" s="538">
        <v>43171</v>
      </c>
      <c r="K129" s="535" t="s">
        <v>170</v>
      </c>
      <c r="L129" s="535" t="s">
        <v>170</v>
      </c>
      <c r="M129" s="535" t="s">
        <v>1504</v>
      </c>
      <c r="N129" s="535" t="s">
        <v>1112</v>
      </c>
      <c r="O129" s="535" t="s">
        <v>1230</v>
      </c>
      <c r="P129" s="535" t="s">
        <v>1218</v>
      </c>
      <c r="Q129" s="535" t="s">
        <v>1231</v>
      </c>
      <c r="R129" s="538" t="s">
        <v>170</v>
      </c>
      <c r="S129" s="535" t="s">
        <v>1241</v>
      </c>
      <c r="T129" s="535" t="s">
        <v>1418</v>
      </c>
      <c r="U129" s="536">
        <v>55287.18</v>
      </c>
      <c r="V129" s="535" t="s">
        <v>1220</v>
      </c>
      <c r="X129" s="369">
        <f>IF(OR(T129="125-65-654-50110",T129="125-65-652-50110",T129="125-65-656-50110"),"N/A",COUNTIF('Prop Budget Calc'!A:A,'Base Pay Report'!A129))</f>
        <v>1</v>
      </c>
    </row>
    <row r="130" spans="1:24">
      <c r="A130" s="535" t="s">
        <v>1505</v>
      </c>
      <c r="B130" s="456" t="s">
        <v>2992</v>
      </c>
      <c r="C130" s="456" t="s">
        <v>2993</v>
      </c>
      <c r="D130" s="456" t="s">
        <v>2994</v>
      </c>
      <c r="E130" s="456" t="str">
        <f t="shared" si="2"/>
        <v>First Name Last Name</v>
      </c>
      <c r="F130" s="535" t="s">
        <v>1214</v>
      </c>
      <c r="G130" s="535" t="s">
        <v>170</v>
      </c>
      <c r="H130" s="536">
        <v>26.14</v>
      </c>
      <c r="I130" s="537" t="s">
        <v>170</v>
      </c>
      <c r="J130" s="538">
        <v>43157</v>
      </c>
      <c r="K130" s="535" t="s">
        <v>170</v>
      </c>
      <c r="L130" s="535" t="s">
        <v>170</v>
      </c>
      <c r="M130" s="535" t="s">
        <v>1408</v>
      </c>
      <c r="N130" s="535" t="s">
        <v>999</v>
      </c>
      <c r="O130" s="535" t="s">
        <v>1338</v>
      </c>
      <c r="P130" s="535" t="s">
        <v>1218</v>
      </c>
      <c r="Q130" s="535" t="s">
        <v>492</v>
      </c>
      <c r="R130" s="538" t="s">
        <v>170</v>
      </c>
      <c r="S130" s="535" t="s">
        <v>1291</v>
      </c>
      <c r="T130" s="535" t="s">
        <v>1388</v>
      </c>
      <c r="U130" s="536">
        <v>54371.199999999997</v>
      </c>
      <c r="V130" s="535" t="s">
        <v>1220</v>
      </c>
      <c r="X130" s="369">
        <f>IF(OR(T130="125-65-654-50110",T130="125-65-652-50110",T130="125-65-656-50110"),"N/A",COUNTIF('Prop Budget Calc'!A:A,'Base Pay Report'!A130))</f>
        <v>0</v>
      </c>
    </row>
    <row r="131" spans="1:24">
      <c r="A131" s="535" t="s">
        <v>1506</v>
      </c>
      <c r="B131" s="456" t="s">
        <v>2992</v>
      </c>
      <c r="C131" s="456" t="s">
        <v>2993</v>
      </c>
      <c r="D131" s="456" t="s">
        <v>2994</v>
      </c>
      <c r="E131" s="456" t="str">
        <f t="shared" si="2"/>
        <v>First Name Last Name</v>
      </c>
      <c r="F131" s="535" t="s">
        <v>1214</v>
      </c>
      <c r="G131" s="535" t="s">
        <v>1356</v>
      </c>
      <c r="H131" s="536">
        <v>46.94</v>
      </c>
      <c r="I131" s="537" t="s">
        <v>170</v>
      </c>
      <c r="J131" s="538">
        <v>43196</v>
      </c>
      <c r="K131" s="535" t="s">
        <v>170</v>
      </c>
      <c r="L131" s="535" t="s">
        <v>170</v>
      </c>
      <c r="M131" s="535" t="s">
        <v>1507</v>
      </c>
      <c r="N131" s="535" t="s">
        <v>130</v>
      </c>
      <c r="O131" s="535" t="s">
        <v>1217</v>
      </c>
      <c r="P131" s="535" t="s">
        <v>1218</v>
      </c>
      <c r="Q131" s="535" t="s">
        <v>492</v>
      </c>
      <c r="R131" s="538" t="s">
        <v>170</v>
      </c>
      <c r="S131" s="535" t="s">
        <v>1219</v>
      </c>
      <c r="T131" s="535" t="s">
        <v>1376</v>
      </c>
      <c r="U131" s="536">
        <v>97635.199999999997</v>
      </c>
      <c r="V131" s="535" t="s">
        <v>1220</v>
      </c>
      <c r="X131" s="369">
        <f>IF(OR(T131="125-65-654-50110",T131="125-65-652-50110",T131="125-65-656-50110"),"N/A",COUNTIF('Prop Budget Calc'!A:A,'Base Pay Report'!A131))</f>
        <v>0</v>
      </c>
    </row>
    <row r="132" spans="1:24">
      <c r="A132" s="535" t="s">
        <v>1508</v>
      </c>
      <c r="B132" s="456" t="s">
        <v>2992</v>
      </c>
      <c r="C132" s="456" t="s">
        <v>2993</v>
      </c>
      <c r="D132" s="456" t="s">
        <v>2994</v>
      </c>
      <c r="E132" s="456" t="str">
        <f t="shared" ref="E132:E195" si="3">B132&amp;" "&amp;D132</f>
        <v>First Name Last Name</v>
      </c>
      <c r="F132" s="535" t="s">
        <v>1214</v>
      </c>
      <c r="G132" s="535" t="s">
        <v>170</v>
      </c>
      <c r="H132" s="536">
        <v>35.28</v>
      </c>
      <c r="I132" s="537" t="s">
        <v>170</v>
      </c>
      <c r="J132" s="538">
        <v>43213</v>
      </c>
      <c r="K132" s="535" t="s">
        <v>170</v>
      </c>
      <c r="L132" s="535" t="s">
        <v>170</v>
      </c>
      <c r="M132" s="535" t="s">
        <v>2591</v>
      </c>
      <c r="N132" s="535" t="s">
        <v>2600</v>
      </c>
      <c r="O132" s="535" t="s">
        <v>1230</v>
      </c>
      <c r="P132" s="535" t="s">
        <v>1218</v>
      </c>
      <c r="Q132" s="535" t="s">
        <v>492</v>
      </c>
      <c r="R132" s="538" t="s">
        <v>170</v>
      </c>
      <c r="S132" s="535" t="s">
        <v>1294</v>
      </c>
      <c r="T132" s="535" t="s">
        <v>954</v>
      </c>
      <c r="U132" s="536">
        <v>73382.399999999994</v>
      </c>
      <c r="V132" s="535" t="s">
        <v>1220</v>
      </c>
      <c r="X132" s="369">
        <f>IF(OR(T132="125-65-654-50110",T132="125-65-652-50110",T132="125-65-656-50110"),"N/A",COUNTIF('Prop Budget Calc'!A:A,'Base Pay Report'!A132))</f>
        <v>0</v>
      </c>
    </row>
    <row r="133" spans="1:24">
      <c r="A133" s="535" t="s">
        <v>1509</v>
      </c>
      <c r="B133" s="456" t="s">
        <v>2992</v>
      </c>
      <c r="C133" s="456" t="s">
        <v>2993</v>
      </c>
      <c r="D133" s="456" t="s">
        <v>2994</v>
      </c>
      <c r="E133" s="456" t="str">
        <f t="shared" si="3"/>
        <v>First Name Last Name</v>
      </c>
      <c r="F133" s="535" t="s">
        <v>1214</v>
      </c>
      <c r="G133" s="535" t="s">
        <v>1268</v>
      </c>
      <c r="H133" s="536">
        <v>25.94</v>
      </c>
      <c r="I133" s="537" t="s">
        <v>170</v>
      </c>
      <c r="J133" s="538">
        <v>43224</v>
      </c>
      <c r="K133" s="535" t="s">
        <v>170</v>
      </c>
      <c r="L133" s="535" t="s">
        <v>170</v>
      </c>
      <c r="M133" s="535" t="s">
        <v>1269</v>
      </c>
      <c r="N133" s="535" t="s">
        <v>1270</v>
      </c>
      <c r="O133" s="535" t="s">
        <v>1217</v>
      </c>
      <c r="P133" s="535" t="s">
        <v>1218</v>
      </c>
      <c r="Q133" s="535" t="s">
        <v>492</v>
      </c>
      <c r="R133" s="538" t="s">
        <v>170</v>
      </c>
      <c r="S133" s="535" t="s">
        <v>1219</v>
      </c>
      <c r="T133" s="535" t="s">
        <v>959</v>
      </c>
      <c r="U133" s="536">
        <v>53955.199999999997</v>
      </c>
      <c r="V133" s="535" t="s">
        <v>1220</v>
      </c>
      <c r="X133" s="369">
        <f>IF(OR(T133="125-65-654-50110",T133="125-65-652-50110",T133="125-65-656-50110"),"N/A",COUNTIF('Prop Budget Calc'!A:A,'Base Pay Report'!A133))</f>
        <v>0</v>
      </c>
    </row>
    <row r="134" spans="1:24">
      <c r="A134" s="535" t="s">
        <v>1510</v>
      </c>
      <c r="B134" s="456" t="s">
        <v>2992</v>
      </c>
      <c r="C134" s="456" t="s">
        <v>2993</v>
      </c>
      <c r="D134" s="456" t="s">
        <v>2994</v>
      </c>
      <c r="E134" s="456" t="str">
        <f t="shared" si="3"/>
        <v>First Name Last Name</v>
      </c>
      <c r="F134" s="535" t="s">
        <v>1214</v>
      </c>
      <c r="G134" s="535" t="s">
        <v>1421</v>
      </c>
      <c r="H134" s="536">
        <v>43.52</v>
      </c>
      <c r="I134" s="537" t="s">
        <v>170</v>
      </c>
      <c r="J134" s="538">
        <v>43199</v>
      </c>
      <c r="K134" s="535" t="s">
        <v>170</v>
      </c>
      <c r="L134" s="535" t="s">
        <v>170</v>
      </c>
      <c r="M134" s="535" t="s">
        <v>1422</v>
      </c>
      <c r="N134" s="535" t="s">
        <v>118</v>
      </c>
      <c r="O134" s="535" t="s">
        <v>1224</v>
      </c>
      <c r="P134" s="535" t="s">
        <v>1218</v>
      </c>
      <c r="Q134" s="535" t="s">
        <v>492</v>
      </c>
      <c r="R134" s="538" t="s">
        <v>170</v>
      </c>
      <c r="S134" s="535" t="s">
        <v>1283</v>
      </c>
      <c r="T134" s="535" t="s">
        <v>955</v>
      </c>
      <c r="U134" s="536">
        <v>90521.600000000006</v>
      </c>
      <c r="V134" s="535" t="s">
        <v>1220</v>
      </c>
      <c r="X134" s="369">
        <f>IF(OR(T134="125-65-654-50110",T134="125-65-652-50110",T134="125-65-656-50110"),"N/A",COUNTIF('Prop Budget Calc'!A:A,'Base Pay Report'!A134))</f>
        <v>0</v>
      </c>
    </row>
    <row r="135" spans="1:24">
      <c r="A135" s="535" t="s">
        <v>1511</v>
      </c>
      <c r="B135" s="456" t="s">
        <v>2992</v>
      </c>
      <c r="C135" s="456" t="s">
        <v>2993</v>
      </c>
      <c r="D135" s="456" t="s">
        <v>2994</v>
      </c>
      <c r="E135" s="456" t="str">
        <f t="shared" si="3"/>
        <v>First Name Last Name</v>
      </c>
      <c r="F135" s="535" t="s">
        <v>1214</v>
      </c>
      <c r="G135" s="535" t="s">
        <v>1247</v>
      </c>
      <c r="H135" s="536">
        <v>37.130000000000003</v>
      </c>
      <c r="I135" s="537" t="s">
        <v>170</v>
      </c>
      <c r="J135" s="538">
        <v>43255</v>
      </c>
      <c r="K135" s="535" t="s">
        <v>170</v>
      </c>
      <c r="L135" s="535" t="s">
        <v>170</v>
      </c>
      <c r="M135" s="535" t="s">
        <v>1473</v>
      </c>
      <c r="N135" s="535" t="s">
        <v>119</v>
      </c>
      <c r="O135" s="535" t="s">
        <v>1224</v>
      </c>
      <c r="P135" s="535" t="s">
        <v>1218</v>
      </c>
      <c r="Q135" s="535" t="s">
        <v>492</v>
      </c>
      <c r="R135" s="538" t="s">
        <v>170</v>
      </c>
      <c r="S135" s="535" t="s">
        <v>1225</v>
      </c>
      <c r="T135" s="535" t="s">
        <v>955</v>
      </c>
      <c r="U135" s="536">
        <v>77230.399999999994</v>
      </c>
      <c r="V135" s="535" t="s">
        <v>1220</v>
      </c>
      <c r="X135" s="369">
        <f>IF(OR(T135="125-65-654-50110",T135="125-65-652-50110",T135="125-65-656-50110"),"N/A",COUNTIF('Prop Budget Calc'!A:A,'Base Pay Report'!A135))</f>
        <v>0</v>
      </c>
    </row>
    <row r="136" spans="1:24">
      <c r="A136" s="535" t="s">
        <v>1515</v>
      </c>
      <c r="B136" s="456" t="s">
        <v>2992</v>
      </c>
      <c r="C136" s="456" t="s">
        <v>2993</v>
      </c>
      <c r="D136" s="456" t="s">
        <v>2994</v>
      </c>
      <c r="E136" s="456" t="str">
        <f t="shared" si="3"/>
        <v>First Name Last Name</v>
      </c>
      <c r="F136" s="535" t="s">
        <v>1214</v>
      </c>
      <c r="G136" s="535" t="s">
        <v>1361</v>
      </c>
      <c r="H136" s="536">
        <v>2299.5300000000002</v>
      </c>
      <c r="I136" s="537">
        <v>80</v>
      </c>
      <c r="J136" s="538">
        <v>43255</v>
      </c>
      <c r="K136" s="535" t="s">
        <v>170</v>
      </c>
      <c r="L136" s="535" t="s">
        <v>170</v>
      </c>
      <c r="M136" s="535" t="s">
        <v>1516</v>
      </c>
      <c r="N136" s="535" t="s">
        <v>284</v>
      </c>
      <c r="O136" s="535" t="s">
        <v>1258</v>
      </c>
      <c r="P136" s="535" t="s">
        <v>1218</v>
      </c>
      <c r="Q136" s="535" t="s">
        <v>1231</v>
      </c>
      <c r="R136" s="538" t="s">
        <v>170</v>
      </c>
      <c r="S136" s="535" t="s">
        <v>1253</v>
      </c>
      <c r="T136" s="535" t="s">
        <v>1517</v>
      </c>
      <c r="U136" s="536">
        <v>59787.78</v>
      </c>
      <c r="V136" s="535" t="s">
        <v>1220</v>
      </c>
      <c r="X136" s="369">
        <f>IF(OR(T136="125-65-654-50110",T136="125-65-652-50110",T136="125-65-656-50110"),"N/A",COUNTIF('Prop Budget Calc'!A:A,'Base Pay Report'!A136))</f>
        <v>0</v>
      </c>
    </row>
    <row r="137" spans="1:24">
      <c r="A137" s="535" t="s">
        <v>1518</v>
      </c>
      <c r="B137" s="456" t="s">
        <v>2992</v>
      </c>
      <c r="C137" s="456" t="s">
        <v>2993</v>
      </c>
      <c r="D137" s="456" t="s">
        <v>2994</v>
      </c>
      <c r="E137" s="456" t="str">
        <f t="shared" si="3"/>
        <v>First Name Last Name</v>
      </c>
      <c r="F137" s="535" t="s">
        <v>1214</v>
      </c>
      <c r="G137" s="535" t="s">
        <v>1247</v>
      </c>
      <c r="H137" s="536">
        <v>36.4</v>
      </c>
      <c r="I137" s="537" t="s">
        <v>170</v>
      </c>
      <c r="J137" s="538">
        <v>43262</v>
      </c>
      <c r="K137" s="535" t="s">
        <v>170</v>
      </c>
      <c r="L137" s="535" t="s">
        <v>170</v>
      </c>
      <c r="M137" s="535" t="s">
        <v>1248</v>
      </c>
      <c r="N137" s="535" t="s">
        <v>116</v>
      </c>
      <c r="O137" s="535" t="s">
        <v>1224</v>
      </c>
      <c r="P137" s="535" t="s">
        <v>1218</v>
      </c>
      <c r="Q137" s="535" t="s">
        <v>492</v>
      </c>
      <c r="R137" s="538">
        <v>44375</v>
      </c>
      <c r="S137" s="535" t="s">
        <v>1283</v>
      </c>
      <c r="T137" s="535" t="s">
        <v>955</v>
      </c>
      <c r="U137" s="536">
        <v>75712</v>
      </c>
      <c r="V137" s="535" t="s">
        <v>1220</v>
      </c>
      <c r="X137" s="369">
        <f>IF(OR(T137="125-65-654-50110",T137="125-65-652-50110",T137="125-65-656-50110"),"N/A",COUNTIF('Prop Budget Calc'!A:A,'Base Pay Report'!A137))</f>
        <v>0</v>
      </c>
    </row>
    <row r="138" spans="1:24">
      <c r="A138" s="535" t="s">
        <v>1519</v>
      </c>
      <c r="B138" s="456" t="s">
        <v>2992</v>
      </c>
      <c r="C138" s="456" t="s">
        <v>2993</v>
      </c>
      <c r="D138" s="456" t="s">
        <v>2994</v>
      </c>
      <c r="E138" s="456" t="str">
        <f t="shared" si="3"/>
        <v>First Name Last Name</v>
      </c>
      <c r="F138" s="535" t="s">
        <v>1214</v>
      </c>
      <c r="G138" s="535" t="s">
        <v>1247</v>
      </c>
      <c r="H138" s="536">
        <v>34.99</v>
      </c>
      <c r="I138" s="537" t="s">
        <v>170</v>
      </c>
      <c r="J138" s="538">
        <v>43283</v>
      </c>
      <c r="K138" s="535" t="s">
        <v>170</v>
      </c>
      <c r="L138" s="535" t="s">
        <v>170</v>
      </c>
      <c r="M138" s="535" t="s">
        <v>1248</v>
      </c>
      <c r="N138" s="535" t="s">
        <v>116</v>
      </c>
      <c r="O138" s="535" t="s">
        <v>1224</v>
      </c>
      <c r="P138" s="535" t="s">
        <v>1218</v>
      </c>
      <c r="Q138" s="535" t="s">
        <v>492</v>
      </c>
      <c r="R138" s="538" t="s">
        <v>170</v>
      </c>
      <c r="S138" s="535" t="s">
        <v>1283</v>
      </c>
      <c r="T138" s="535" t="s">
        <v>955</v>
      </c>
      <c r="U138" s="536">
        <v>72779.199999999997</v>
      </c>
      <c r="V138" s="535" t="s">
        <v>1220</v>
      </c>
      <c r="X138" s="369">
        <f>IF(OR(T138="125-65-654-50110",T138="125-65-652-50110",T138="125-65-656-50110"),"N/A",COUNTIF('Prop Budget Calc'!A:A,'Base Pay Report'!A138))</f>
        <v>0</v>
      </c>
    </row>
    <row r="139" spans="1:24">
      <c r="A139" s="535" t="s">
        <v>1520</v>
      </c>
      <c r="B139" s="456" t="s">
        <v>2992</v>
      </c>
      <c r="C139" s="456" t="s">
        <v>2993</v>
      </c>
      <c r="D139" s="456" t="s">
        <v>2994</v>
      </c>
      <c r="E139" s="456" t="str">
        <f t="shared" si="3"/>
        <v>First Name Last Name</v>
      </c>
      <c r="F139" s="535" t="s">
        <v>1214</v>
      </c>
      <c r="G139" s="535" t="s">
        <v>1268</v>
      </c>
      <c r="H139" s="536">
        <v>25.94</v>
      </c>
      <c r="I139" s="537" t="s">
        <v>170</v>
      </c>
      <c r="J139" s="538">
        <v>43297</v>
      </c>
      <c r="K139" s="535" t="s">
        <v>170</v>
      </c>
      <c r="L139" s="535" t="s">
        <v>170</v>
      </c>
      <c r="M139" s="535" t="s">
        <v>1269</v>
      </c>
      <c r="N139" s="535" t="s">
        <v>1270</v>
      </c>
      <c r="O139" s="535" t="s">
        <v>1217</v>
      </c>
      <c r="P139" s="535" t="s">
        <v>1218</v>
      </c>
      <c r="Q139" s="535" t="s">
        <v>492</v>
      </c>
      <c r="R139" s="538" t="s">
        <v>170</v>
      </c>
      <c r="S139" s="535" t="s">
        <v>1219</v>
      </c>
      <c r="T139" s="535" t="s">
        <v>959</v>
      </c>
      <c r="U139" s="536">
        <v>53955.199999999997</v>
      </c>
      <c r="V139" s="535" t="s">
        <v>1220</v>
      </c>
      <c r="X139" s="369">
        <f>IF(OR(T139="125-65-654-50110",T139="125-65-652-50110",T139="125-65-656-50110"),"N/A",COUNTIF('Prop Budget Calc'!A:A,'Base Pay Report'!A139))</f>
        <v>0</v>
      </c>
    </row>
    <row r="140" spans="1:24">
      <c r="A140" s="535" t="s">
        <v>1522</v>
      </c>
      <c r="B140" s="456" t="s">
        <v>2992</v>
      </c>
      <c r="C140" s="456" t="s">
        <v>2993</v>
      </c>
      <c r="D140" s="456" t="s">
        <v>2994</v>
      </c>
      <c r="E140" s="456" t="str">
        <f t="shared" si="3"/>
        <v>First Name Last Name</v>
      </c>
      <c r="F140" s="535" t="s">
        <v>1214</v>
      </c>
      <c r="G140" s="535" t="s">
        <v>1227</v>
      </c>
      <c r="H140" s="536">
        <v>2572.0700000000002</v>
      </c>
      <c r="I140" s="537">
        <v>80</v>
      </c>
      <c r="J140" s="538">
        <v>43395</v>
      </c>
      <c r="K140" s="535" t="s">
        <v>170</v>
      </c>
      <c r="L140" s="535" t="s">
        <v>170</v>
      </c>
      <c r="M140" s="535" t="s">
        <v>1523</v>
      </c>
      <c r="N140" s="535" t="s">
        <v>142</v>
      </c>
      <c r="O140" s="535" t="s">
        <v>1304</v>
      </c>
      <c r="P140" s="535" t="s">
        <v>1218</v>
      </c>
      <c r="Q140" s="535" t="s">
        <v>1231</v>
      </c>
      <c r="R140" s="538" t="s">
        <v>170</v>
      </c>
      <c r="S140" s="535" t="s">
        <v>1241</v>
      </c>
      <c r="T140" s="535" t="s">
        <v>1329</v>
      </c>
      <c r="U140" s="536">
        <v>66873.820000000007</v>
      </c>
      <c r="V140" s="535" t="s">
        <v>1220</v>
      </c>
      <c r="X140" s="369">
        <f>IF(OR(T140="125-65-654-50110",T140="125-65-652-50110",T140="125-65-656-50110"),"N/A",COUNTIF('Prop Budget Calc'!A:A,'Base Pay Report'!A140))</f>
        <v>0</v>
      </c>
    </row>
    <row r="141" spans="1:24">
      <c r="A141" s="535" t="s">
        <v>1524</v>
      </c>
      <c r="B141" s="456" t="s">
        <v>2992</v>
      </c>
      <c r="C141" s="456" t="s">
        <v>2993</v>
      </c>
      <c r="D141" s="456" t="s">
        <v>2994</v>
      </c>
      <c r="E141" s="456" t="str">
        <f t="shared" si="3"/>
        <v>First Name Last Name</v>
      </c>
      <c r="F141" s="535" t="s">
        <v>1214</v>
      </c>
      <c r="G141" s="535" t="s">
        <v>1386</v>
      </c>
      <c r="H141" s="536">
        <v>25.25</v>
      </c>
      <c r="I141" s="537" t="s">
        <v>170</v>
      </c>
      <c r="J141" s="538">
        <v>43402</v>
      </c>
      <c r="K141" s="535" t="s">
        <v>170</v>
      </c>
      <c r="L141" s="535" t="s">
        <v>170</v>
      </c>
      <c r="M141" s="535" t="s">
        <v>1525</v>
      </c>
      <c r="N141" s="535" t="s">
        <v>1526</v>
      </c>
      <c r="O141" s="535" t="s">
        <v>1527</v>
      </c>
      <c r="P141" s="535" t="s">
        <v>1218</v>
      </c>
      <c r="Q141" s="535" t="s">
        <v>492</v>
      </c>
      <c r="R141" s="538" t="s">
        <v>170</v>
      </c>
      <c r="S141" s="535" t="s">
        <v>1235</v>
      </c>
      <c r="T141" s="535" t="s">
        <v>1528</v>
      </c>
      <c r="U141" s="536">
        <v>52520</v>
      </c>
      <c r="V141" s="535" t="s">
        <v>1220</v>
      </c>
      <c r="X141" s="369">
        <f>IF(OR(T141="125-65-654-50110",T141="125-65-652-50110",T141="125-65-656-50110"),"N/A",COUNTIF('Prop Budget Calc'!A:A,'Base Pay Report'!A141))</f>
        <v>0</v>
      </c>
    </row>
    <row r="142" spans="1:24">
      <c r="A142" s="535" t="s">
        <v>1529</v>
      </c>
      <c r="B142" s="456" t="s">
        <v>2992</v>
      </c>
      <c r="C142" s="456" t="s">
        <v>2993</v>
      </c>
      <c r="D142" s="456" t="s">
        <v>2994</v>
      </c>
      <c r="E142" s="456" t="str">
        <f t="shared" si="3"/>
        <v>First Name Last Name</v>
      </c>
      <c r="F142" s="535" t="s">
        <v>1214</v>
      </c>
      <c r="G142" s="535" t="s">
        <v>170</v>
      </c>
      <c r="H142" s="536">
        <v>33.914999999999999</v>
      </c>
      <c r="I142" s="537" t="s">
        <v>170</v>
      </c>
      <c r="J142" s="538">
        <v>43402</v>
      </c>
      <c r="K142" s="535" t="s">
        <v>170</v>
      </c>
      <c r="L142" s="535" t="s">
        <v>170</v>
      </c>
      <c r="M142" s="535" t="s">
        <v>2591</v>
      </c>
      <c r="N142" s="535" t="s">
        <v>2600</v>
      </c>
      <c r="O142" s="535" t="s">
        <v>1230</v>
      </c>
      <c r="P142" s="535" t="s">
        <v>1218</v>
      </c>
      <c r="Q142" s="535" t="s">
        <v>492</v>
      </c>
      <c r="R142" s="538" t="s">
        <v>170</v>
      </c>
      <c r="S142" s="535" t="s">
        <v>1294</v>
      </c>
      <c r="T142" s="535" t="s">
        <v>954</v>
      </c>
      <c r="U142" s="536">
        <v>70553.600000000006</v>
      </c>
      <c r="V142" s="535" t="s">
        <v>1220</v>
      </c>
      <c r="X142" s="369">
        <f>IF(OR(T142="125-65-654-50110",T142="125-65-652-50110",T142="125-65-656-50110"),"N/A",COUNTIF('Prop Budget Calc'!A:A,'Base Pay Report'!A142))</f>
        <v>0</v>
      </c>
    </row>
    <row r="143" spans="1:24">
      <c r="A143" s="535" t="s">
        <v>1530</v>
      </c>
      <c r="B143" s="456" t="s">
        <v>2992</v>
      </c>
      <c r="C143" s="456" t="s">
        <v>2993</v>
      </c>
      <c r="D143" s="456" t="s">
        <v>2994</v>
      </c>
      <c r="E143" s="456" t="str">
        <f t="shared" si="3"/>
        <v>First Name Last Name</v>
      </c>
      <c r="F143" s="535" t="s">
        <v>1214</v>
      </c>
      <c r="G143" s="535" t="s">
        <v>1263</v>
      </c>
      <c r="H143" s="536">
        <v>26.58</v>
      </c>
      <c r="I143" s="537" t="s">
        <v>170</v>
      </c>
      <c r="J143" s="538">
        <v>43447</v>
      </c>
      <c r="K143" s="535" t="s">
        <v>170</v>
      </c>
      <c r="L143" s="535" t="s">
        <v>170</v>
      </c>
      <c r="M143" s="535" t="s">
        <v>1531</v>
      </c>
      <c r="N143" s="535" t="s">
        <v>279</v>
      </c>
      <c r="O143" s="535" t="s">
        <v>1230</v>
      </c>
      <c r="P143" s="535" t="s">
        <v>1218</v>
      </c>
      <c r="Q143" s="535" t="s">
        <v>492</v>
      </c>
      <c r="R143" s="538" t="s">
        <v>170</v>
      </c>
      <c r="S143" s="535" t="s">
        <v>1259</v>
      </c>
      <c r="T143" s="535" t="s">
        <v>1532</v>
      </c>
      <c r="U143" s="536">
        <v>55286.400000000001</v>
      </c>
      <c r="V143" s="535" t="s">
        <v>1220</v>
      </c>
      <c r="X143" s="369">
        <f>IF(OR(T143="125-65-654-50110",T143="125-65-652-50110",T143="125-65-656-50110"),"N/A",COUNTIF('Prop Budget Calc'!A:A,'Base Pay Report'!A143))</f>
        <v>0</v>
      </c>
    </row>
    <row r="144" spans="1:24">
      <c r="A144" s="535" t="s">
        <v>1533</v>
      </c>
      <c r="B144" s="456" t="s">
        <v>2992</v>
      </c>
      <c r="C144" s="456" t="s">
        <v>2993</v>
      </c>
      <c r="D144" s="456" t="s">
        <v>2994</v>
      </c>
      <c r="E144" s="456" t="str">
        <f t="shared" si="3"/>
        <v>First Name Last Name</v>
      </c>
      <c r="F144" s="535" t="s">
        <v>1214</v>
      </c>
      <c r="G144" s="535" t="s">
        <v>1247</v>
      </c>
      <c r="H144" s="536">
        <v>36.4</v>
      </c>
      <c r="I144" s="537" t="s">
        <v>170</v>
      </c>
      <c r="J144" s="538">
        <v>43467</v>
      </c>
      <c r="K144" s="535" t="s">
        <v>170</v>
      </c>
      <c r="L144" s="535" t="s">
        <v>170</v>
      </c>
      <c r="M144" s="535" t="s">
        <v>1248</v>
      </c>
      <c r="N144" s="535" t="s">
        <v>116</v>
      </c>
      <c r="O144" s="535" t="s">
        <v>1224</v>
      </c>
      <c r="P144" s="535" t="s">
        <v>1218</v>
      </c>
      <c r="Q144" s="535" t="s">
        <v>492</v>
      </c>
      <c r="R144" s="538" t="s">
        <v>170</v>
      </c>
      <c r="S144" s="535" t="s">
        <v>1283</v>
      </c>
      <c r="T144" s="535" t="s">
        <v>955</v>
      </c>
      <c r="U144" s="536">
        <v>75712</v>
      </c>
      <c r="V144" s="535" t="s">
        <v>1220</v>
      </c>
      <c r="X144" s="369">
        <f>IF(OR(T144="125-65-654-50110",T144="125-65-652-50110",T144="125-65-656-50110"),"N/A",COUNTIF('Prop Budget Calc'!A:A,'Base Pay Report'!A144))</f>
        <v>0</v>
      </c>
    </row>
    <row r="145" spans="1:24">
      <c r="A145" s="535" t="s">
        <v>1534</v>
      </c>
      <c r="B145" s="456" t="s">
        <v>2992</v>
      </c>
      <c r="C145" s="456" t="s">
        <v>2993</v>
      </c>
      <c r="D145" s="456" t="s">
        <v>2994</v>
      </c>
      <c r="E145" s="456" t="str">
        <f t="shared" si="3"/>
        <v>First Name Last Name</v>
      </c>
      <c r="F145" s="535" t="s">
        <v>1214</v>
      </c>
      <c r="G145" s="535" t="s">
        <v>1247</v>
      </c>
      <c r="H145" s="536">
        <v>36.4</v>
      </c>
      <c r="I145" s="537" t="s">
        <v>170</v>
      </c>
      <c r="J145" s="538">
        <v>43467</v>
      </c>
      <c r="K145" s="535" t="s">
        <v>170</v>
      </c>
      <c r="L145" s="535" t="s">
        <v>170</v>
      </c>
      <c r="M145" s="535" t="s">
        <v>1473</v>
      </c>
      <c r="N145" s="535" t="s">
        <v>119</v>
      </c>
      <c r="O145" s="535" t="s">
        <v>1224</v>
      </c>
      <c r="P145" s="535" t="s">
        <v>1218</v>
      </c>
      <c r="Q145" s="535" t="s">
        <v>492</v>
      </c>
      <c r="R145" s="538" t="s">
        <v>170</v>
      </c>
      <c r="S145" s="535" t="s">
        <v>1225</v>
      </c>
      <c r="T145" s="535" t="s">
        <v>955</v>
      </c>
      <c r="U145" s="536">
        <v>75712</v>
      </c>
      <c r="V145" s="535" t="s">
        <v>1220</v>
      </c>
      <c r="X145" s="369">
        <f>IF(OR(T145="125-65-654-50110",T145="125-65-652-50110",T145="125-65-656-50110"),"N/A",COUNTIF('Prop Budget Calc'!A:A,'Base Pay Report'!A145))</f>
        <v>0</v>
      </c>
    </row>
    <row r="146" spans="1:24">
      <c r="A146" s="535" t="s">
        <v>1535</v>
      </c>
      <c r="B146" s="456" t="s">
        <v>2992</v>
      </c>
      <c r="C146" s="456" t="s">
        <v>2993</v>
      </c>
      <c r="D146" s="456" t="s">
        <v>2994</v>
      </c>
      <c r="E146" s="456" t="str">
        <f t="shared" si="3"/>
        <v>First Name Last Name</v>
      </c>
      <c r="F146" s="535" t="s">
        <v>1214</v>
      </c>
      <c r="G146" s="535" t="s">
        <v>1302</v>
      </c>
      <c r="H146" s="536">
        <v>17.760000000000002</v>
      </c>
      <c r="I146" s="537" t="s">
        <v>170</v>
      </c>
      <c r="J146" s="538">
        <v>43472</v>
      </c>
      <c r="K146" s="535" t="s">
        <v>170</v>
      </c>
      <c r="L146" s="535" t="s">
        <v>170</v>
      </c>
      <c r="M146" s="535" t="s">
        <v>1303</v>
      </c>
      <c r="N146" s="535" t="s">
        <v>993</v>
      </c>
      <c r="O146" s="535" t="s">
        <v>1304</v>
      </c>
      <c r="P146" s="535" t="s">
        <v>1218</v>
      </c>
      <c r="Q146" s="535" t="s">
        <v>492</v>
      </c>
      <c r="R146" s="538" t="s">
        <v>170</v>
      </c>
      <c r="S146" s="535" t="s">
        <v>1305</v>
      </c>
      <c r="T146" s="535" t="s">
        <v>1306</v>
      </c>
      <c r="U146" s="536">
        <v>36940.800000000003</v>
      </c>
      <c r="V146" s="535" t="s">
        <v>1307</v>
      </c>
      <c r="X146" s="369">
        <f>IF(OR(T146="125-65-654-50110",T146="125-65-652-50110",T146="125-65-656-50110"),"N/A",COUNTIF('Prop Budget Calc'!A:A,'Base Pay Report'!A146))</f>
        <v>0</v>
      </c>
    </row>
    <row r="147" spans="1:24">
      <c r="A147" s="535" t="s">
        <v>1536</v>
      </c>
      <c r="B147" s="456" t="s">
        <v>2992</v>
      </c>
      <c r="C147" s="456" t="s">
        <v>2993</v>
      </c>
      <c r="D147" s="456" t="s">
        <v>2994</v>
      </c>
      <c r="E147" s="456" t="str">
        <f t="shared" si="3"/>
        <v>First Name Last Name</v>
      </c>
      <c r="F147" s="535" t="s">
        <v>1214</v>
      </c>
      <c r="G147" s="535" t="s">
        <v>1277</v>
      </c>
      <c r="H147" s="536">
        <v>3080.77</v>
      </c>
      <c r="I147" s="537">
        <v>80</v>
      </c>
      <c r="J147" s="538">
        <v>43514</v>
      </c>
      <c r="K147" s="535" t="s">
        <v>170</v>
      </c>
      <c r="L147" s="535" t="s">
        <v>170</v>
      </c>
      <c r="M147" s="535" t="s">
        <v>1537</v>
      </c>
      <c r="N147" s="535" t="s">
        <v>595</v>
      </c>
      <c r="O147" s="535" t="s">
        <v>1230</v>
      </c>
      <c r="P147" s="535" t="s">
        <v>1218</v>
      </c>
      <c r="Q147" s="535" t="s">
        <v>1231</v>
      </c>
      <c r="R147" s="538">
        <v>44655</v>
      </c>
      <c r="S147" s="535" t="s">
        <v>1241</v>
      </c>
      <c r="T147" s="535" t="s">
        <v>1358</v>
      </c>
      <c r="U147" s="536">
        <v>80100.02</v>
      </c>
      <c r="V147" s="535" t="s">
        <v>1220</v>
      </c>
      <c r="X147" s="369">
        <f>IF(OR(T147="125-65-654-50110",T147="125-65-652-50110",T147="125-65-656-50110"),"N/A",COUNTIF('Prop Budget Calc'!A:A,'Base Pay Report'!A147))</f>
        <v>1</v>
      </c>
    </row>
    <row r="148" spans="1:24">
      <c r="A148" s="535" t="s">
        <v>1538</v>
      </c>
      <c r="B148" s="456" t="s">
        <v>2992</v>
      </c>
      <c r="C148" s="456" t="s">
        <v>2993</v>
      </c>
      <c r="D148" s="456" t="s">
        <v>2994</v>
      </c>
      <c r="E148" s="456" t="str">
        <f t="shared" si="3"/>
        <v>First Name Last Name</v>
      </c>
      <c r="F148" s="535" t="s">
        <v>1214</v>
      </c>
      <c r="G148" s="535" t="s">
        <v>170</v>
      </c>
      <c r="H148" s="536">
        <v>19.37</v>
      </c>
      <c r="I148" s="537" t="s">
        <v>170</v>
      </c>
      <c r="J148" s="538">
        <v>43529</v>
      </c>
      <c r="K148" s="535" t="s">
        <v>170</v>
      </c>
      <c r="L148" s="535" t="s">
        <v>170</v>
      </c>
      <c r="M148" s="535" t="s">
        <v>1624</v>
      </c>
      <c r="N148" s="535" t="s">
        <v>1016</v>
      </c>
      <c r="O148" s="535" t="s">
        <v>1304</v>
      </c>
      <c r="P148" s="535" t="s">
        <v>1218</v>
      </c>
      <c r="Q148" s="535" t="s">
        <v>492</v>
      </c>
      <c r="R148" s="538" t="s">
        <v>170</v>
      </c>
      <c r="S148" s="535" t="s">
        <v>1259</v>
      </c>
      <c r="T148" s="535" t="s">
        <v>1391</v>
      </c>
      <c r="U148" s="536">
        <v>40289.599999999999</v>
      </c>
      <c r="V148" s="535" t="s">
        <v>1220</v>
      </c>
      <c r="X148" s="369">
        <f>IF(OR(T148="125-65-654-50110",T148="125-65-652-50110",T148="125-65-656-50110"),"N/A",COUNTIF('Prop Budget Calc'!A:A,'Base Pay Report'!A148))</f>
        <v>0</v>
      </c>
    </row>
    <row r="149" spans="1:24">
      <c r="A149" s="535" t="s">
        <v>1541</v>
      </c>
      <c r="B149" s="456" t="s">
        <v>2992</v>
      </c>
      <c r="C149" s="456" t="s">
        <v>2993</v>
      </c>
      <c r="D149" s="456" t="s">
        <v>2994</v>
      </c>
      <c r="E149" s="456" t="str">
        <f t="shared" si="3"/>
        <v>First Name Last Name</v>
      </c>
      <c r="F149" s="535" t="s">
        <v>1214</v>
      </c>
      <c r="G149" s="535" t="s">
        <v>1286</v>
      </c>
      <c r="H149" s="536">
        <v>29.19</v>
      </c>
      <c r="I149" s="537" t="s">
        <v>170</v>
      </c>
      <c r="J149" s="538">
        <v>43577</v>
      </c>
      <c r="K149" s="535" t="s">
        <v>170</v>
      </c>
      <c r="L149" s="535" t="s">
        <v>170</v>
      </c>
      <c r="M149" s="535" t="s">
        <v>1354</v>
      </c>
      <c r="N149" s="535" t="s">
        <v>134</v>
      </c>
      <c r="O149" s="535" t="s">
        <v>1217</v>
      </c>
      <c r="P149" s="535" t="s">
        <v>1218</v>
      </c>
      <c r="Q149" s="535" t="s">
        <v>492</v>
      </c>
      <c r="R149" s="538" t="s">
        <v>170</v>
      </c>
      <c r="S149" s="535" t="s">
        <v>1219</v>
      </c>
      <c r="T149" s="535" t="s">
        <v>959</v>
      </c>
      <c r="U149" s="536">
        <v>60715.199999999997</v>
      </c>
      <c r="V149" s="535" t="s">
        <v>1220</v>
      </c>
      <c r="X149" s="369">
        <f>IF(OR(T149="125-65-654-50110",T149="125-65-652-50110",T149="125-65-656-50110"),"N/A",COUNTIF('Prop Budget Calc'!A:A,'Base Pay Report'!A149))</f>
        <v>0</v>
      </c>
    </row>
    <row r="150" spans="1:24">
      <c r="A150" s="535" t="s">
        <v>1542</v>
      </c>
      <c r="B150" s="456" t="s">
        <v>2992</v>
      </c>
      <c r="C150" s="456" t="s">
        <v>2993</v>
      </c>
      <c r="D150" s="456" t="s">
        <v>2994</v>
      </c>
      <c r="E150" s="456" t="str">
        <f t="shared" si="3"/>
        <v>First Name Last Name</v>
      </c>
      <c r="F150" s="535" t="s">
        <v>1214</v>
      </c>
      <c r="G150" s="535" t="s">
        <v>170</v>
      </c>
      <c r="H150" s="536">
        <v>15.3</v>
      </c>
      <c r="I150" s="537" t="s">
        <v>170</v>
      </c>
      <c r="J150" s="538">
        <v>43603</v>
      </c>
      <c r="K150" s="535" t="s">
        <v>170</v>
      </c>
      <c r="L150" s="535" t="s">
        <v>170</v>
      </c>
      <c r="M150" s="535" t="s">
        <v>2925</v>
      </c>
      <c r="N150" s="535" t="s">
        <v>2926</v>
      </c>
      <c r="O150" s="535" t="s">
        <v>1325</v>
      </c>
      <c r="P150" s="535" t="s">
        <v>1218</v>
      </c>
      <c r="Q150" s="535" t="s">
        <v>492</v>
      </c>
      <c r="R150" s="538" t="s">
        <v>170</v>
      </c>
      <c r="S150" s="535" t="s">
        <v>1305</v>
      </c>
      <c r="T150" s="535" t="s">
        <v>1326</v>
      </c>
      <c r="U150" s="536">
        <v>31824</v>
      </c>
      <c r="V150" s="535" t="s">
        <v>1307</v>
      </c>
      <c r="X150" s="369" t="str">
        <f>IF(OR(T150="125-65-654-50110",T150="125-65-652-50110",T150="125-65-656-50110"),"N/A",COUNTIF('Prop Budget Calc'!A:A,'Base Pay Report'!A150))</f>
        <v>N/A</v>
      </c>
    </row>
    <row r="151" spans="1:24">
      <c r="A151" s="535" t="s">
        <v>1544</v>
      </c>
      <c r="B151" s="456" t="s">
        <v>2992</v>
      </c>
      <c r="C151" s="456" t="s">
        <v>2993</v>
      </c>
      <c r="D151" s="456" t="s">
        <v>2994</v>
      </c>
      <c r="E151" s="456" t="str">
        <f t="shared" si="3"/>
        <v>First Name Last Name</v>
      </c>
      <c r="F151" s="535" t="s">
        <v>1214</v>
      </c>
      <c r="G151" s="535" t="s">
        <v>1486</v>
      </c>
      <c r="H151" s="536">
        <v>15.61</v>
      </c>
      <c r="I151" s="537" t="s">
        <v>170</v>
      </c>
      <c r="J151" s="538">
        <v>44709</v>
      </c>
      <c r="K151" s="535" t="s">
        <v>170</v>
      </c>
      <c r="L151" s="535" t="s">
        <v>170</v>
      </c>
      <c r="M151" s="535" t="s">
        <v>1491</v>
      </c>
      <c r="N151" s="535" t="s">
        <v>1008</v>
      </c>
      <c r="O151" s="535" t="s">
        <v>1230</v>
      </c>
      <c r="P151" s="535" t="s">
        <v>1218</v>
      </c>
      <c r="Q151" s="535" t="s">
        <v>492</v>
      </c>
      <c r="R151" s="538" t="s">
        <v>170</v>
      </c>
      <c r="S151" s="535" t="s">
        <v>1305</v>
      </c>
      <c r="T151" s="535" t="s">
        <v>1493</v>
      </c>
      <c r="U151" s="536">
        <v>32468.799999999999</v>
      </c>
      <c r="V151" s="535" t="s">
        <v>1307</v>
      </c>
      <c r="X151" s="369" t="str">
        <f>IF(OR(T151="125-65-654-50110",T151="125-65-652-50110",T151="125-65-656-50110"),"N/A",COUNTIF('Prop Budget Calc'!A:A,'Base Pay Report'!A151))</f>
        <v>N/A</v>
      </c>
    </row>
    <row r="152" spans="1:24">
      <c r="A152" s="535" t="s">
        <v>1923</v>
      </c>
      <c r="B152" s="456" t="s">
        <v>2992</v>
      </c>
      <c r="C152" s="456" t="s">
        <v>2993</v>
      </c>
      <c r="D152" s="456" t="s">
        <v>2994</v>
      </c>
      <c r="E152" s="456" t="str">
        <f t="shared" si="3"/>
        <v>First Name Last Name</v>
      </c>
      <c r="F152" s="535" t="s">
        <v>1214</v>
      </c>
      <c r="G152" s="535" t="s">
        <v>1486</v>
      </c>
      <c r="H152" s="536">
        <v>15.61</v>
      </c>
      <c r="I152" s="537" t="s">
        <v>170</v>
      </c>
      <c r="J152" s="538">
        <v>44706</v>
      </c>
      <c r="K152" s="535" t="s">
        <v>170</v>
      </c>
      <c r="L152" s="535" t="s">
        <v>170</v>
      </c>
      <c r="M152" s="535" t="s">
        <v>1491</v>
      </c>
      <c r="N152" s="535" t="s">
        <v>1008</v>
      </c>
      <c r="O152" s="535" t="s">
        <v>1325</v>
      </c>
      <c r="P152" s="535" t="s">
        <v>1218</v>
      </c>
      <c r="Q152" s="535" t="s">
        <v>492</v>
      </c>
      <c r="R152" s="538">
        <v>45031</v>
      </c>
      <c r="S152" s="535" t="s">
        <v>1305</v>
      </c>
      <c r="T152" s="535" t="s">
        <v>1493</v>
      </c>
      <c r="U152" s="536">
        <v>32468.799999999999</v>
      </c>
      <c r="V152" s="535" t="s">
        <v>1307</v>
      </c>
      <c r="X152" s="369" t="str">
        <f>IF(OR(T152="125-65-654-50110",T152="125-65-652-50110",T152="125-65-656-50110"),"N/A",COUNTIF('Prop Budget Calc'!A:A,'Base Pay Report'!A152))</f>
        <v>N/A</v>
      </c>
    </row>
    <row r="153" spans="1:24">
      <c r="A153" s="535" t="s">
        <v>1545</v>
      </c>
      <c r="B153" s="456" t="s">
        <v>2992</v>
      </c>
      <c r="C153" s="456" t="s">
        <v>2993</v>
      </c>
      <c r="D153" s="456" t="s">
        <v>2994</v>
      </c>
      <c r="E153" s="456" t="str">
        <f t="shared" si="3"/>
        <v>First Name Last Name</v>
      </c>
      <c r="F153" s="535" t="s">
        <v>1214</v>
      </c>
      <c r="G153" s="535" t="s">
        <v>1268</v>
      </c>
      <c r="H153" s="536">
        <v>25.43</v>
      </c>
      <c r="I153" s="537" t="s">
        <v>170</v>
      </c>
      <c r="J153" s="538">
        <v>43577</v>
      </c>
      <c r="K153" s="535" t="s">
        <v>170</v>
      </c>
      <c r="L153" s="535" t="s">
        <v>170</v>
      </c>
      <c r="M153" s="535" t="s">
        <v>1269</v>
      </c>
      <c r="N153" s="535" t="s">
        <v>1270</v>
      </c>
      <c r="O153" s="535" t="s">
        <v>1217</v>
      </c>
      <c r="P153" s="535" t="s">
        <v>1218</v>
      </c>
      <c r="Q153" s="535" t="s">
        <v>492</v>
      </c>
      <c r="R153" s="538" t="s">
        <v>170</v>
      </c>
      <c r="S153" s="535" t="s">
        <v>1219</v>
      </c>
      <c r="T153" s="535" t="s">
        <v>959</v>
      </c>
      <c r="U153" s="536">
        <v>52894.400000000001</v>
      </c>
      <c r="V153" s="535" t="s">
        <v>1220</v>
      </c>
      <c r="X153" s="369">
        <f>IF(OR(T153="125-65-654-50110",T153="125-65-652-50110",T153="125-65-656-50110"),"N/A",COUNTIF('Prop Budget Calc'!A:A,'Base Pay Report'!A153))</f>
        <v>0</v>
      </c>
    </row>
    <row r="154" spans="1:24">
      <c r="A154" s="535" t="s">
        <v>1546</v>
      </c>
      <c r="B154" s="456" t="s">
        <v>2992</v>
      </c>
      <c r="C154" s="456" t="s">
        <v>2993</v>
      </c>
      <c r="D154" s="456" t="s">
        <v>2994</v>
      </c>
      <c r="E154" s="456" t="str">
        <f t="shared" si="3"/>
        <v>First Name Last Name</v>
      </c>
      <c r="F154" s="535" t="s">
        <v>1214</v>
      </c>
      <c r="G154" s="535" t="s">
        <v>1227</v>
      </c>
      <c r="H154" s="536">
        <v>2572.0700000000002</v>
      </c>
      <c r="I154" s="537">
        <v>80</v>
      </c>
      <c r="J154" s="538">
        <v>43598</v>
      </c>
      <c r="K154" s="535" t="s">
        <v>170</v>
      </c>
      <c r="L154" s="535" t="s">
        <v>170</v>
      </c>
      <c r="M154" s="535" t="s">
        <v>1547</v>
      </c>
      <c r="N154" s="535" t="s">
        <v>360</v>
      </c>
      <c r="O154" s="535" t="s">
        <v>1304</v>
      </c>
      <c r="P154" s="535" t="s">
        <v>1218</v>
      </c>
      <c r="Q154" s="535" t="s">
        <v>1231</v>
      </c>
      <c r="R154" s="538" t="s">
        <v>170</v>
      </c>
      <c r="S154" s="535" t="s">
        <v>1253</v>
      </c>
      <c r="T154" s="535" t="s">
        <v>1329</v>
      </c>
      <c r="U154" s="536">
        <v>66873.820000000007</v>
      </c>
      <c r="V154" s="535" t="s">
        <v>1220</v>
      </c>
      <c r="X154" s="369">
        <f>IF(OR(T154="125-65-654-50110",T154="125-65-652-50110",T154="125-65-656-50110"),"N/A",COUNTIF('Prop Budget Calc'!A:A,'Base Pay Report'!A154))</f>
        <v>0</v>
      </c>
    </row>
    <row r="155" spans="1:24">
      <c r="A155" s="535" t="s">
        <v>1548</v>
      </c>
      <c r="B155" s="456" t="s">
        <v>2992</v>
      </c>
      <c r="C155" s="456" t="s">
        <v>2993</v>
      </c>
      <c r="D155" s="456" t="s">
        <v>2994</v>
      </c>
      <c r="E155" s="456" t="str">
        <f t="shared" si="3"/>
        <v>First Name Last Name</v>
      </c>
      <c r="F155" s="535" t="s">
        <v>1214</v>
      </c>
      <c r="G155" s="535" t="s">
        <v>1268</v>
      </c>
      <c r="H155" s="536">
        <v>25.43</v>
      </c>
      <c r="I155" s="537" t="s">
        <v>170</v>
      </c>
      <c r="J155" s="538">
        <v>43605</v>
      </c>
      <c r="K155" s="535" t="s">
        <v>170</v>
      </c>
      <c r="L155" s="535" t="s">
        <v>170</v>
      </c>
      <c r="M155" s="535" t="s">
        <v>1269</v>
      </c>
      <c r="N155" s="535" t="s">
        <v>1270</v>
      </c>
      <c r="O155" s="535" t="s">
        <v>1217</v>
      </c>
      <c r="P155" s="535" t="s">
        <v>1218</v>
      </c>
      <c r="Q155" s="535" t="s">
        <v>492</v>
      </c>
      <c r="R155" s="538" t="s">
        <v>170</v>
      </c>
      <c r="S155" s="535" t="s">
        <v>1219</v>
      </c>
      <c r="T155" s="535" t="s">
        <v>959</v>
      </c>
      <c r="U155" s="536">
        <v>52894.400000000001</v>
      </c>
      <c r="V155" s="535" t="s">
        <v>1220</v>
      </c>
      <c r="X155" s="369">
        <f>IF(OR(T155="125-65-654-50110",T155="125-65-652-50110",T155="125-65-656-50110"),"N/A",COUNTIF('Prop Budget Calc'!A:A,'Base Pay Report'!A155))</f>
        <v>0</v>
      </c>
    </row>
    <row r="156" spans="1:24">
      <c r="A156" s="535" t="s">
        <v>1549</v>
      </c>
      <c r="B156" s="456" t="s">
        <v>2992</v>
      </c>
      <c r="C156" s="456" t="s">
        <v>2993</v>
      </c>
      <c r="D156" s="456" t="s">
        <v>2994</v>
      </c>
      <c r="E156" s="456" t="str">
        <f t="shared" si="3"/>
        <v>First Name Last Name</v>
      </c>
      <c r="F156" s="535" t="s">
        <v>1214</v>
      </c>
      <c r="G156" s="535" t="s">
        <v>1247</v>
      </c>
      <c r="H156" s="536">
        <v>35.69</v>
      </c>
      <c r="I156" s="537" t="s">
        <v>170</v>
      </c>
      <c r="J156" s="538">
        <v>43644</v>
      </c>
      <c r="K156" s="535" t="s">
        <v>170</v>
      </c>
      <c r="L156" s="535" t="s">
        <v>170</v>
      </c>
      <c r="M156" s="535" t="s">
        <v>1248</v>
      </c>
      <c r="N156" s="535" t="s">
        <v>116</v>
      </c>
      <c r="O156" s="535" t="s">
        <v>1224</v>
      </c>
      <c r="P156" s="535" t="s">
        <v>1218</v>
      </c>
      <c r="Q156" s="535" t="s">
        <v>492</v>
      </c>
      <c r="R156" s="538" t="s">
        <v>170</v>
      </c>
      <c r="S156" s="535" t="s">
        <v>1283</v>
      </c>
      <c r="T156" s="535" t="s">
        <v>955</v>
      </c>
      <c r="U156" s="536">
        <v>74235.199999999997</v>
      </c>
      <c r="V156" s="535" t="s">
        <v>1220</v>
      </c>
      <c r="X156" s="369">
        <f>IF(OR(T156="125-65-654-50110",T156="125-65-652-50110",T156="125-65-656-50110"),"N/A",COUNTIF('Prop Budget Calc'!A:A,'Base Pay Report'!A156))</f>
        <v>0</v>
      </c>
    </row>
    <row r="157" spans="1:24">
      <c r="A157" s="535" t="s">
        <v>1550</v>
      </c>
      <c r="B157" s="456" t="s">
        <v>2992</v>
      </c>
      <c r="C157" s="456" t="s">
        <v>2993</v>
      </c>
      <c r="D157" s="456" t="s">
        <v>2994</v>
      </c>
      <c r="E157" s="456" t="str">
        <f t="shared" si="3"/>
        <v>First Name Last Name</v>
      </c>
      <c r="F157" s="535" t="s">
        <v>1214</v>
      </c>
      <c r="G157" s="535" t="s">
        <v>1386</v>
      </c>
      <c r="H157" s="536">
        <v>22.83</v>
      </c>
      <c r="I157" s="537" t="s">
        <v>170</v>
      </c>
      <c r="J157" s="538">
        <v>43682</v>
      </c>
      <c r="K157" s="535" t="s">
        <v>170</v>
      </c>
      <c r="L157" s="535" t="s">
        <v>170</v>
      </c>
      <c r="M157" s="535" t="s">
        <v>2465</v>
      </c>
      <c r="N157" s="535" t="s">
        <v>1959</v>
      </c>
      <c r="O157" s="535" t="s">
        <v>1230</v>
      </c>
      <c r="P157" s="535" t="s">
        <v>1218</v>
      </c>
      <c r="Q157" s="535" t="s">
        <v>492</v>
      </c>
      <c r="R157" s="538" t="s">
        <v>170</v>
      </c>
      <c r="S157" s="535" t="s">
        <v>1259</v>
      </c>
      <c r="T157" s="535" t="s">
        <v>1669</v>
      </c>
      <c r="U157" s="536">
        <v>47486.400000000001</v>
      </c>
      <c r="V157" s="535" t="s">
        <v>1220</v>
      </c>
      <c r="X157" s="369">
        <f>IF(OR(T157="125-65-654-50110",T157="125-65-652-50110",T157="125-65-656-50110"),"N/A",COUNTIF('Prop Budget Calc'!A:A,'Base Pay Report'!A157))</f>
        <v>1</v>
      </c>
    </row>
    <row r="158" spans="1:24">
      <c r="A158" s="535" t="s">
        <v>1557</v>
      </c>
      <c r="B158" s="456" t="s">
        <v>2992</v>
      </c>
      <c r="C158" s="456" t="s">
        <v>2993</v>
      </c>
      <c r="D158" s="456" t="s">
        <v>2994</v>
      </c>
      <c r="E158" s="456" t="str">
        <f t="shared" si="3"/>
        <v>First Name Last Name</v>
      </c>
      <c r="F158" s="535" t="s">
        <v>1214</v>
      </c>
      <c r="G158" s="535" t="s">
        <v>1227</v>
      </c>
      <c r="H158" s="536">
        <v>3606.1</v>
      </c>
      <c r="I158" s="537">
        <v>80</v>
      </c>
      <c r="J158" s="538">
        <v>43801</v>
      </c>
      <c r="K158" s="535" t="s">
        <v>170</v>
      </c>
      <c r="L158" s="535" t="s">
        <v>170</v>
      </c>
      <c r="M158" s="535" t="s">
        <v>1558</v>
      </c>
      <c r="N158" s="535" t="s">
        <v>385</v>
      </c>
      <c r="O158" s="535" t="s">
        <v>1240</v>
      </c>
      <c r="P158" s="535" t="s">
        <v>1218</v>
      </c>
      <c r="Q158" s="535" t="s">
        <v>1231</v>
      </c>
      <c r="R158" s="538" t="s">
        <v>170</v>
      </c>
      <c r="S158" s="535" t="s">
        <v>1241</v>
      </c>
      <c r="T158" s="535" t="s">
        <v>1242</v>
      </c>
      <c r="U158" s="536">
        <v>93758.6</v>
      </c>
      <c r="V158" s="535" t="s">
        <v>1220</v>
      </c>
      <c r="X158" s="369">
        <f>IF(OR(T158="125-65-654-50110",T158="125-65-652-50110",T158="125-65-656-50110"),"N/A",COUNTIF('Prop Budget Calc'!A:A,'Base Pay Report'!A158))</f>
        <v>1</v>
      </c>
    </row>
    <row r="159" spans="1:24">
      <c r="A159" s="535" t="s">
        <v>1559</v>
      </c>
      <c r="B159" s="456" t="s">
        <v>2992</v>
      </c>
      <c r="C159" s="456" t="s">
        <v>2993</v>
      </c>
      <c r="D159" s="456" t="s">
        <v>2994</v>
      </c>
      <c r="E159" s="456" t="str">
        <f t="shared" si="3"/>
        <v>First Name Last Name</v>
      </c>
      <c r="F159" s="535" t="s">
        <v>1214</v>
      </c>
      <c r="G159" s="535" t="s">
        <v>1233</v>
      </c>
      <c r="H159" s="536">
        <v>2321.23</v>
      </c>
      <c r="I159" s="537">
        <v>80</v>
      </c>
      <c r="J159" s="538">
        <v>43801</v>
      </c>
      <c r="K159" s="535" t="s">
        <v>170</v>
      </c>
      <c r="L159" s="535" t="s">
        <v>170</v>
      </c>
      <c r="M159" s="535" t="s">
        <v>1953</v>
      </c>
      <c r="N159" s="535" t="s">
        <v>1954</v>
      </c>
      <c r="O159" s="535" t="s">
        <v>1230</v>
      </c>
      <c r="P159" s="535" t="s">
        <v>1218</v>
      </c>
      <c r="Q159" s="535" t="s">
        <v>1231</v>
      </c>
      <c r="R159" s="538" t="s">
        <v>170</v>
      </c>
      <c r="S159" s="535" t="s">
        <v>1241</v>
      </c>
      <c r="T159" s="535" t="s">
        <v>1341</v>
      </c>
      <c r="U159" s="536">
        <v>60351.98</v>
      </c>
      <c r="V159" s="535" t="s">
        <v>1220</v>
      </c>
      <c r="X159" s="369">
        <f>IF(OR(T159="125-65-654-50110",T159="125-65-652-50110",T159="125-65-656-50110"),"N/A",COUNTIF('Prop Budget Calc'!A:A,'Base Pay Report'!A159))</f>
        <v>0</v>
      </c>
    </row>
    <row r="160" spans="1:24">
      <c r="A160" s="535" t="s">
        <v>1561</v>
      </c>
      <c r="B160" s="456" t="s">
        <v>2992</v>
      </c>
      <c r="C160" s="456" t="s">
        <v>2993</v>
      </c>
      <c r="D160" s="456" t="s">
        <v>2994</v>
      </c>
      <c r="E160" s="456" t="str">
        <f t="shared" si="3"/>
        <v>First Name Last Name</v>
      </c>
      <c r="F160" s="535" t="s">
        <v>1214</v>
      </c>
      <c r="G160" s="535" t="s">
        <v>1309</v>
      </c>
      <c r="H160" s="536">
        <v>22.05</v>
      </c>
      <c r="I160" s="537" t="s">
        <v>170</v>
      </c>
      <c r="J160" s="538">
        <v>43836</v>
      </c>
      <c r="K160" s="535" t="s">
        <v>170</v>
      </c>
      <c r="L160" s="535" t="s">
        <v>170</v>
      </c>
      <c r="M160" s="535" t="s">
        <v>1310</v>
      </c>
      <c r="N160" s="535" t="s">
        <v>1311</v>
      </c>
      <c r="O160" s="535" t="s">
        <v>1325</v>
      </c>
      <c r="P160" s="535" t="s">
        <v>1218</v>
      </c>
      <c r="Q160" s="535" t="s">
        <v>492</v>
      </c>
      <c r="R160" s="538" t="s">
        <v>170</v>
      </c>
      <c r="S160" s="535" t="s">
        <v>1291</v>
      </c>
      <c r="T160" s="535" t="s">
        <v>964</v>
      </c>
      <c r="U160" s="536">
        <v>45864</v>
      </c>
      <c r="V160" s="535" t="s">
        <v>1220</v>
      </c>
      <c r="X160" s="369">
        <f>IF(OR(T160="125-65-654-50110",T160="125-65-652-50110",T160="125-65-656-50110"),"N/A",COUNTIF('Prop Budget Calc'!A:A,'Base Pay Report'!A160))</f>
        <v>0</v>
      </c>
    </row>
    <row r="161" spans="1:24">
      <c r="A161" s="535" t="s">
        <v>1562</v>
      </c>
      <c r="B161" s="456" t="s">
        <v>2992</v>
      </c>
      <c r="C161" s="456" t="s">
        <v>2993</v>
      </c>
      <c r="D161" s="456" t="s">
        <v>2994</v>
      </c>
      <c r="E161" s="456" t="str">
        <f t="shared" si="3"/>
        <v>First Name Last Name</v>
      </c>
      <c r="F161" s="535" t="s">
        <v>1214</v>
      </c>
      <c r="G161" s="535" t="s">
        <v>1563</v>
      </c>
      <c r="H161" s="536">
        <v>15.09</v>
      </c>
      <c r="I161" s="537" t="s">
        <v>170</v>
      </c>
      <c r="J161" s="538">
        <v>44695</v>
      </c>
      <c r="K161" s="535" t="s">
        <v>170</v>
      </c>
      <c r="L161" s="535" t="s">
        <v>170</v>
      </c>
      <c r="M161" s="535" t="s">
        <v>1564</v>
      </c>
      <c r="N161" s="535" t="s">
        <v>539</v>
      </c>
      <c r="O161" s="535" t="s">
        <v>1325</v>
      </c>
      <c r="P161" s="535" t="s">
        <v>1218</v>
      </c>
      <c r="Q161" s="535" t="s">
        <v>492</v>
      </c>
      <c r="R161" s="538" t="s">
        <v>170</v>
      </c>
      <c r="S161" s="535" t="s">
        <v>1305</v>
      </c>
      <c r="T161" s="535" t="s">
        <v>1565</v>
      </c>
      <c r="U161" s="536">
        <v>31387.200000000001</v>
      </c>
      <c r="V161" s="535" t="s">
        <v>1307</v>
      </c>
      <c r="X161" s="369" t="str">
        <f>IF(OR(T161="125-65-654-50110",T161="125-65-652-50110",T161="125-65-656-50110"),"N/A",COUNTIF('Prop Budget Calc'!A:A,'Base Pay Report'!A161))</f>
        <v>N/A</v>
      </c>
    </row>
    <row r="162" spans="1:24">
      <c r="A162" s="535" t="s">
        <v>1566</v>
      </c>
      <c r="B162" s="456" t="s">
        <v>2992</v>
      </c>
      <c r="C162" s="456" t="s">
        <v>2993</v>
      </c>
      <c r="D162" s="456" t="s">
        <v>2994</v>
      </c>
      <c r="E162" s="456" t="str">
        <f t="shared" si="3"/>
        <v>First Name Last Name</v>
      </c>
      <c r="F162" s="535" t="s">
        <v>1214</v>
      </c>
      <c r="G162" s="535" t="s">
        <v>1567</v>
      </c>
      <c r="H162" s="536">
        <v>6813.49</v>
      </c>
      <c r="I162" s="537">
        <v>80</v>
      </c>
      <c r="J162" s="538">
        <v>43899</v>
      </c>
      <c r="K162" s="535" t="s">
        <v>170</v>
      </c>
      <c r="L162" s="535" t="s">
        <v>170</v>
      </c>
      <c r="M162" s="535" t="s">
        <v>1568</v>
      </c>
      <c r="N162" s="535" t="s">
        <v>383</v>
      </c>
      <c r="O162" s="535" t="s">
        <v>1224</v>
      </c>
      <c r="P162" s="535" t="s">
        <v>1218</v>
      </c>
      <c r="Q162" s="535" t="s">
        <v>1231</v>
      </c>
      <c r="R162" s="538" t="s">
        <v>170</v>
      </c>
      <c r="S162" s="535" t="s">
        <v>1253</v>
      </c>
      <c r="T162" s="535" t="s">
        <v>967</v>
      </c>
      <c r="U162" s="536">
        <v>177150.74</v>
      </c>
      <c r="V162" s="535" t="s">
        <v>1220</v>
      </c>
      <c r="X162" s="369">
        <f>IF(OR(T162="125-65-654-50110",T162="125-65-652-50110",T162="125-65-656-50110"),"N/A",COUNTIF('Prop Budget Calc'!A:A,'Base Pay Report'!A162))</f>
        <v>0</v>
      </c>
    </row>
    <row r="163" spans="1:24">
      <c r="A163" s="535" t="s">
        <v>1569</v>
      </c>
      <c r="B163" s="456" t="s">
        <v>2992</v>
      </c>
      <c r="C163" s="456" t="s">
        <v>2993</v>
      </c>
      <c r="D163" s="456" t="s">
        <v>2994</v>
      </c>
      <c r="E163" s="456" t="str">
        <f t="shared" si="3"/>
        <v>First Name Last Name</v>
      </c>
      <c r="F163" s="535" t="s">
        <v>1214</v>
      </c>
      <c r="G163" s="535" t="s">
        <v>1563</v>
      </c>
      <c r="H163" s="536">
        <v>15.09</v>
      </c>
      <c r="I163" s="537" t="s">
        <v>170</v>
      </c>
      <c r="J163" s="538">
        <v>44625</v>
      </c>
      <c r="K163" s="535" t="s">
        <v>170</v>
      </c>
      <c r="L163" s="535" t="s">
        <v>170</v>
      </c>
      <c r="M163" s="535" t="s">
        <v>1564</v>
      </c>
      <c r="N163" s="535" t="s">
        <v>539</v>
      </c>
      <c r="O163" s="535" t="s">
        <v>1325</v>
      </c>
      <c r="P163" s="535" t="s">
        <v>1218</v>
      </c>
      <c r="Q163" s="535" t="s">
        <v>492</v>
      </c>
      <c r="R163" s="538" t="s">
        <v>170</v>
      </c>
      <c r="S163" s="535" t="s">
        <v>1305</v>
      </c>
      <c r="T163" s="535" t="s">
        <v>1565</v>
      </c>
      <c r="U163" s="536">
        <v>31387.200000000001</v>
      </c>
      <c r="V163" s="535" t="s">
        <v>1307</v>
      </c>
      <c r="X163" s="369" t="str">
        <f>IF(OR(T163="125-65-654-50110",T163="125-65-652-50110",T163="125-65-656-50110"),"N/A",COUNTIF('Prop Budget Calc'!A:A,'Base Pay Report'!A163))</f>
        <v>N/A</v>
      </c>
    </row>
    <row r="164" spans="1:24">
      <c r="A164" s="535" t="s">
        <v>1570</v>
      </c>
      <c r="B164" s="456" t="s">
        <v>2992</v>
      </c>
      <c r="C164" s="456" t="s">
        <v>2993</v>
      </c>
      <c r="D164" s="456" t="s">
        <v>2994</v>
      </c>
      <c r="E164" s="456" t="str">
        <f t="shared" si="3"/>
        <v>First Name Last Name</v>
      </c>
      <c r="F164" s="535" t="s">
        <v>1214</v>
      </c>
      <c r="G164" s="535" t="s">
        <v>1554</v>
      </c>
      <c r="H164" s="536">
        <v>30.31</v>
      </c>
      <c r="I164" s="537" t="s">
        <v>170</v>
      </c>
      <c r="J164" s="538">
        <v>42488</v>
      </c>
      <c r="K164" s="535" t="s">
        <v>170</v>
      </c>
      <c r="L164" s="535" t="s">
        <v>170</v>
      </c>
      <c r="M164" s="535" t="s">
        <v>1555</v>
      </c>
      <c r="N164" s="535" t="s">
        <v>1556</v>
      </c>
      <c r="O164" s="535" t="s">
        <v>1224</v>
      </c>
      <c r="P164" s="535" t="s">
        <v>1218</v>
      </c>
      <c r="Q164" s="535" t="s">
        <v>492</v>
      </c>
      <c r="R164" s="538" t="s">
        <v>170</v>
      </c>
      <c r="S164" s="535" t="s">
        <v>2462</v>
      </c>
      <c r="T164" s="535" t="s">
        <v>957</v>
      </c>
      <c r="U164" s="536">
        <v>63044.800000000003</v>
      </c>
      <c r="V164" s="535" t="s">
        <v>1220</v>
      </c>
      <c r="X164" s="369">
        <f>IF(OR(T164="125-65-654-50110",T164="125-65-652-50110",T164="125-65-656-50110"),"N/A",COUNTIF('Prop Budget Calc'!A:A,'Base Pay Report'!A164))</f>
        <v>0</v>
      </c>
    </row>
    <row r="165" spans="1:24">
      <c r="A165" s="535" t="s">
        <v>1571</v>
      </c>
      <c r="B165" s="456" t="s">
        <v>2992</v>
      </c>
      <c r="C165" s="456" t="s">
        <v>2993</v>
      </c>
      <c r="D165" s="456" t="s">
        <v>2994</v>
      </c>
      <c r="E165" s="456" t="str">
        <f t="shared" si="3"/>
        <v>First Name Last Name</v>
      </c>
      <c r="F165" s="535" t="s">
        <v>1214</v>
      </c>
      <c r="G165" s="535" t="s">
        <v>1247</v>
      </c>
      <c r="H165" s="536">
        <v>34.99</v>
      </c>
      <c r="I165" s="537" t="s">
        <v>170</v>
      </c>
      <c r="J165" s="538">
        <v>43948</v>
      </c>
      <c r="K165" s="535" t="s">
        <v>170</v>
      </c>
      <c r="L165" s="535" t="s">
        <v>170</v>
      </c>
      <c r="M165" s="535" t="s">
        <v>1248</v>
      </c>
      <c r="N165" s="535" t="s">
        <v>116</v>
      </c>
      <c r="O165" s="535" t="s">
        <v>1224</v>
      </c>
      <c r="P165" s="535" t="s">
        <v>1218</v>
      </c>
      <c r="Q165" s="535" t="s">
        <v>492</v>
      </c>
      <c r="R165" s="538" t="s">
        <v>170</v>
      </c>
      <c r="S165" s="535" t="s">
        <v>1283</v>
      </c>
      <c r="T165" s="535" t="s">
        <v>955</v>
      </c>
      <c r="U165" s="536">
        <v>72779.199999999997</v>
      </c>
      <c r="V165" s="535" t="s">
        <v>1220</v>
      </c>
      <c r="X165" s="369">
        <f>IF(OR(T165="125-65-654-50110",T165="125-65-652-50110",T165="125-65-656-50110"),"N/A",COUNTIF('Prop Budget Calc'!A:A,'Base Pay Report'!A165))</f>
        <v>0</v>
      </c>
    </row>
    <row r="166" spans="1:24">
      <c r="A166" s="535" t="s">
        <v>1572</v>
      </c>
      <c r="B166" s="456" t="s">
        <v>2992</v>
      </c>
      <c r="C166" s="456" t="s">
        <v>2993</v>
      </c>
      <c r="D166" s="456" t="s">
        <v>2994</v>
      </c>
      <c r="E166" s="456" t="str">
        <f t="shared" si="3"/>
        <v>First Name Last Name</v>
      </c>
      <c r="F166" s="535" t="s">
        <v>1214</v>
      </c>
      <c r="G166" s="535" t="s">
        <v>1268</v>
      </c>
      <c r="H166" s="536">
        <v>26.99</v>
      </c>
      <c r="I166" s="537" t="s">
        <v>170</v>
      </c>
      <c r="J166" s="538">
        <v>42506</v>
      </c>
      <c r="K166" s="535" t="s">
        <v>170</v>
      </c>
      <c r="L166" s="535" t="s">
        <v>170</v>
      </c>
      <c r="M166" s="535" t="s">
        <v>1269</v>
      </c>
      <c r="N166" s="535" t="s">
        <v>1270</v>
      </c>
      <c r="O166" s="535" t="s">
        <v>1217</v>
      </c>
      <c r="P166" s="535" t="s">
        <v>1218</v>
      </c>
      <c r="Q166" s="535" t="s">
        <v>492</v>
      </c>
      <c r="R166" s="538" t="s">
        <v>170</v>
      </c>
      <c r="S166" s="535" t="s">
        <v>1219</v>
      </c>
      <c r="T166" s="535" t="s">
        <v>959</v>
      </c>
      <c r="U166" s="536">
        <v>56139.199999999997</v>
      </c>
      <c r="V166" s="535" t="s">
        <v>1220</v>
      </c>
      <c r="X166" s="369">
        <f>IF(OR(T166="125-65-654-50110",T166="125-65-652-50110",T166="125-65-656-50110"),"N/A",COUNTIF('Prop Budget Calc'!A:A,'Base Pay Report'!A166))</f>
        <v>0</v>
      </c>
    </row>
    <row r="167" spans="1:24">
      <c r="A167" s="535" t="s">
        <v>1573</v>
      </c>
      <c r="B167" s="456" t="s">
        <v>2992</v>
      </c>
      <c r="C167" s="456" t="s">
        <v>2993</v>
      </c>
      <c r="D167" s="456" t="s">
        <v>2994</v>
      </c>
      <c r="E167" s="456" t="str">
        <f t="shared" si="3"/>
        <v>First Name Last Name</v>
      </c>
      <c r="F167" s="535" t="s">
        <v>1214</v>
      </c>
      <c r="G167" s="535" t="s">
        <v>1309</v>
      </c>
      <c r="H167" s="536">
        <v>21.48</v>
      </c>
      <c r="I167" s="537" t="s">
        <v>170</v>
      </c>
      <c r="J167" s="538">
        <v>43983</v>
      </c>
      <c r="K167" s="535" t="s">
        <v>170</v>
      </c>
      <c r="L167" s="535" t="s">
        <v>170</v>
      </c>
      <c r="M167" s="535" t="s">
        <v>1574</v>
      </c>
      <c r="N167" s="535" t="s">
        <v>1575</v>
      </c>
      <c r="O167" s="535" t="s">
        <v>1290</v>
      </c>
      <c r="P167" s="535" t="s">
        <v>1218</v>
      </c>
      <c r="Q167" s="535" t="s">
        <v>492</v>
      </c>
      <c r="R167" s="538">
        <v>44970</v>
      </c>
      <c r="S167" s="535" t="s">
        <v>1291</v>
      </c>
      <c r="T167" s="535" t="s">
        <v>968</v>
      </c>
      <c r="U167" s="536">
        <v>44678.400000000001</v>
      </c>
      <c r="V167" s="535" t="s">
        <v>1220</v>
      </c>
      <c r="X167" s="369">
        <f>IF(OR(T167="125-65-654-50110",T167="125-65-652-50110",T167="125-65-656-50110"),"N/A",COUNTIF('Prop Budget Calc'!A:A,'Base Pay Report'!A167))</f>
        <v>1</v>
      </c>
    </row>
    <row r="168" spans="1:24">
      <c r="A168" s="535" t="s">
        <v>1576</v>
      </c>
      <c r="B168" s="456" t="s">
        <v>2992</v>
      </c>
      <c r="C168" s="456" t="s">
        <v>2993</v>
      </c>
      <c r="D168" s="456" t="s">
        <v>2994</v>
      </c>
      <c r="E168" s="456" t="str">
        <f t="shared" si="3"/>
        <v>First Name Last Name</v>
      </c>
      <c r="F168" s="535" t="s">
        <v>1214</v>
      </c>
      <c r="G168" s="535" t="s">
        <v>1263</v>
      </c>
      <c r="H168" s="536">
        <v>27.5</v>
      </c>
      <c r="I168" s="537" t="s">
        <v>170</v>
      </c>
      <c r="J168" s="538">
        <v>44004</v>
      </c>
      <c r="K168" s="535" t="s">
        <v>170</v>
      </c>
      <c r="L168" s="535" t="s">
        <v>170</v>
      </c>
      <c r="M168" s="535" t="s">
        <v>1333</v>
      </c>
      <c r="N168" s="535" t="s">
        <v>994</v>
      </c>
      <c r="O168" s="535" t="s">
        <v>1290</v>
      </c>
      <c r="P168" s="535" t="s">
        <v>1218</v>
      </c>
      <c r="Q168" s="535" t="s">
        <v>492</v>
      </c>
      <c r="R168" s="538" t="s">
        <v>170</v>
      </c>
      <c r="S168" s="535" t="s">
        <v>1291</v>
      </c>
      <c r="T168" s="535" t="s">
        <v>965</v>
      </c>
      <c r="U168" s="536">
        <v>57200</v>
      </c>
      <c r="V168" s="535" t="s">
        <v>1220</v>
      </c>
      <c r="X168" s="369">
        <f>IF(OR(T168="125-65-654-50110",T168="125-65-652-50110",T168="125-65-656-50110"),"N/A",COUNTIF('Prop Budget Calc'!A:A,'Base Pay Report'!A168))</f>
        <v>1</v>
      </c>
    </row>
    <row r="169" spans="1:24">
      <c r="A169" s="535" t="s">
        <v>1577</v>
      </c>
      <c r="B169" s="456" t="s">
        <v>2992</v>
      </c>
      <c r="C169" s="456" t="s">
        <v>2993</v>
      </c>
      <c r="D169" s="456" t="s">
        <v>2994</v>
      </c>
      <c r="E169" s="456" t="str">
        <f t="shared" si="3"/>
        <v>First Name Last Name</v>
      </c>
      <c r="F169" s="535" t="s">
        <v>1214</v>
      </c>
      <c r="G169" s="535" t="s">
        <v>1256</v>
      </c>
      <c r="H169" s="536">
        <v>22.48</v>
      </c>
      <c r="I169" s="537" t="s">
        <v>170</v>
      </c>
      <c r="J169" s="538">
        <v>44004</v>
      </c>
      <c r="K169" s="535" t="s">
        <v>170</v>
      </c>
      <c r="L169" s="535" t="s">
        <v>170</v>
      </c>
      <c r="M169" s="535" t="s">
        <v>1513</v>
      </c>
      <c r="N169" s="535" t="s">
        <v>1514</v>
      </c>
      <c r="O169" s="535" t="s">
        <v>1338</v>
      </c>
      <c r="P169" s="535" t="s">
        <v>1218</v>
      </c>
      <c r="Q169" s="535" t="s">
        <v>492</v>
      </c>
      <c r="R169" s="538" t="s">
        <v>170</v>
      </c>
      <c r="S169" s="535" t="s">
        <v>1291</v>
      </c>
      <c r="T169" s="535" t="s">
        <v>968</v>
      </c>
      <c r="U169" s="536">
        <v>46758.400000000001</v>
      </c>
      <c r="V169" s="535" t="s">
        <v>1220</v>
      </c>
      <c r="X169" s="369">
        <f>IF(OR(T169="125-65-654-50110",T169="125-65-652-50110",T169="125-65-656-50110"),"N/A",COUNTIF('Prop Budget Calc'!A:A,'Base Pay Report'!A169))</f>
        <v>0</v>
      </c>
    </row>
    <row r="170" spans="1:24">
      <c r="A170" s="535" t="s">
        <v>1578</v>
      </c>
      <c r="B170" s="456" t="s">
        <v>2992</v>
      </c>
      <c r="C170" s="456" t="s">
        <v>2993</v>
      </c>
      <c r="D170" s="456" t="s">
        <v>2994</v>
      </c>
      <c r="E170" s="456" t="str">
        <f t="shared" si="3"/>
        <v>First Name Last Name</v>
      </c>
      <c r="F170" s="535" t="s">
        <v>1214</v>
      </c>
      <c r="G170" s="535" t="s">
        <v>1563</v>
      </c>
      <c r="H170" s="536">
        <v>15.09</v>
      </c>
      <c r="I170" s="537" t="s">
        <v>170</v>
      </c>
      <c r="J170" s="538">
        <v>44007</v>
      </c>
      <c r="K170" s="535" t="s">
        <v>170</v>
      </c>
      <c r="L170" s="535" t="s">
        <v>170</v>
      </c>
      <c r="M170" s="535" t="s">
        <v>1564</v>
      </c>
      <c r="N170" s="535" t="s">
        <v>539</v>
      </c>
      <c r="O170" s="535" t="s">
        <v>1325</v>
      </c>
      <c r="P170" s="535" t="s">
        <v>1218</v>
      </c>
      <c r="Q170" s="535" t="s">
        <v>492</v>
      </c>
      <c r="R170" s="538">
        <v>44933</v>
      </c>
      <c r="S170" s="535" t="s">
        <v>1305</v>
      </c>
      <c r="T170" s="535" t="s">
        <v>1565</v>
      </c>
      <c r="U170" s="536">
        <v>31387.200000000001</v>
      </c>
      <c r="V170" s="535" t="s">
        <v>1307</v>
      </c>
      <c r="X170" s="369" t="str">
        <f>IF(OR(T170="125-65-654-50110",T170="125-65-652-50110",T170="125-65-656-50110"),"N/A",COUNTIF('Prop Budget Calc'!A:A,'Base Pay Report'!A170))</f>
        <v>N/A</v>
      </c>
    </row>
    <row r="171" spans="1:24">
      <c r="A171" s="535" t="s">
        <v>1581</v>
      </c>
      <c r="B171" s="456" t="s">
        <v>2992</v>
      </c>
      <c r="C171" s="456" t="s">
        <v>2993</v>
      </c>
      <c r="D171" s="456" t="s">
        <v>2994</v>
      </c>
      <c r="E171" s="456" t="str">
        <f t="shared" si="3"/>
        <v>First Name Last Name</v>
      </c>
      <c r="F171" s="535" t="s">
        <v>1214</v>
      </c>
      <c r="G171" s="535" t="s">
        <v>1563</v>
      </c>
      <c r="H171" s="536">
        <v>15.09</v>
      </c>
      <c r="I171" s="537" t="s">
        <v>170</v>
      </c>
      <c r="J171" s="538">
        <v>44681</v>
      </c>
      <c r="K171" s="535" t="s">
        <v>170</v>
      </c>
      <c r="L171" s="535" t="s">
        <v>170</v>
      </c>
      <c r="M171" s="535" t="s">
        <v>1564</v>
      </c>
      <c r="N171" s="535" t="s">
        <v>539</v>
      </c>
      <c r="O171" s="535" t="s">
        <v>1325</v>
      </c>
      <c r="P171" s="535" t="s">
        <v>1218</v>
      </c>
      <c r="Q171" s="535" t="s">
        <v>492</v>
      </c>
      <c r="R171" s="538" t="s">
        <v>170</v>
      </c>
      <c r="S171" s="535" t="s">
        <v>1305</v>
      </c>
      <c r="T171" s="535" t="s">
        <v>1565</v>
      </c>
      <c r="U171" s="536">
        <v>31387.200000000001</v>
      </c>
      <c r="V171" s="535" t="s">
        <v>1307</v>
      </c>
      <c r="X171" s="369" t="str">
        <f>IF(OR(T171="125-65-654-50110",T171="125-65-652-50110",T171="125-65-656-50110"),"N/A",COUNTIF('Prop Budget Calc'!A:A,'Base Pay Report'!A171))</f>
        <v>N/A</v>
      </c>
    </row>
    <row r="172" spans="1:24">
      <c r="A172" s="535" t="s">
        <v>1582</v>
      </c>
      <c r="B172" s="456" t="s">
        <v>2992</v>
      </c>
      <c r="C172" s="456" t="s">
        <v>2993</v>
      </c>
      <c r="D172" s="456" t="s">
        <v>2994</v>
      </c>
      <c r="E172" s="456" t="str">
        <f t="shared" si="3"/>
        <v>First Name Last Name</v>
      </c>
      <c r="F172" s="535" t="s">
        <v>1214</v>
      </c>
      <c r="G172" s="535" t="s">
        <v>1302</v>
      </c>
      <c r="H172" s="536">
        <v>18.420000000000002</v>
      </c>
      <c r="I172" s="537" t="s">
        <v>170</v>
      </c>
      <c r="J172" s="538">
        <v>42524</v>
      </c>
      <c r="K172" s="535" t="s">
        <v>170</v>
      </c>
      <c r="L172" s="535" t="s">
        <v>170</v>
      </c>
      <c r="M172" s="535" t="s">
        <v>1303</v>
      </c>
      <c r="N172" s="535" t="s">
        <v>993</v>
      </c>
      <c r="O172" s="535" t="s">
        <v>1304</v>
      </c>
      <c r="P172" s="535" t="s">
        <v>1218</v>
      </c>
      <c r="Q172" s="535" t="s">
        <v>492</v>
      </c>
      <c r="R172" s="538" t="s">
        <v>170</v>
      </c>
      <c r="S172" s="535" t="s">
        <v>1305</v>
      </c>
      <c r="T172" s="535" t="s">
        <v>1306</v>
      </c>
      <c r="U172" s="536">
        <v>38313.599999999999</v>
      </c>
      <c r="V172" s="535" t="s">
        <v>1307</v>
      </c>
      <c r="X172" s="369">
        <f>IF(OR(T172="125-65-654-50110",T172="125-65-652-50110",T172="125-65-656-50110"),"N/A",COUNTIF('Prop Budget Calc'!A:A,'Base Pay Report'!A172))</f>
        <v>0</v>
      </c>
    </row>
    <row r="173" spans="1:24">
      <c r="A173" s="535" t="s">
        <v>1583</v>
      </c>
      <c r="B173" s="456" t="s">
        <v>2992</v>
      </c>
      <c r="C173" s="456" t="s">
        <v>2993</v>
      </c>
      <c r="D173" s="456" t="s">
        <v>2994</v>
      </c>
      <c r="E173" s="456" t="str">
        <f t="shared" si="3"/>
        <v>First Name Last Name</v>
      </c>
      <c r="F173" s="535" t="s">
        <v>1214</v>
      </c>
      <c r="G173" s="535" t="s">
        <v>1309</v>
      </c>
      <c r="H173" s="536">
        <v>20.39</v>
      </c>
      <c r="I173" s="537" t="s">
        <v>170</v>
      </c>
      <c r="J173" s="538">
        <v>44032</v>
      </c>
      <c r="K173" s="535" t="s">
        <v>170</v>
      </c>
      <c r="L173" s="535" t="s">
        <v>170</v>
      </c>
      <c r="M173" s="535" t="s">
        <v>1584</v>
      </c>
      <c r="N173" s="535" t="s">
        <v>115</v>
      </c>
      <c r="O173" s="535" t="s">
        <v>1230</v>
      </c>
      <c r="P173" s="535" t="s">
        <v>1218</v>
      </c>
      <c r="Q173" s="535" t="s">
        <v>492</v>
      </c>
      <c r="R173" s="538" t="s">
        <v>170</v>
      </c>
      <c r="S173" s="535" t="s">
        <v>1259</v>
      </c>
      <c r="T173" s="535" t="s">
        <v>1585</v>
      </c>
      <c r="U173" s="536">
        <v>42411.199999999997</v>
      </c>
      <c r="V173" s="535" t="s">
        <v>1220</v>
      </c>
      <c r="X173" s="369">
        <f>IF(OR(T173="125-65-654-50110",T173="125-65-652-50110",T173="125-65-656-50110"),"N/A",COUNTIF('Prop Budget Calc'!A:A,'Base Pay Report'!A173))</f>
        <v>0</v>
      </c>
    </row>
    <row r="174" spans="1:24">
      <c r="A174" s="535" t="s">
        <v>1586</v>
      </c>
      <c r="B174" s="456" t="s">
        <v>2992</v>
      </c>
      <c r="C174" s="456" t="s">
        <v>2993</v>
      </c>
      <c r="D174" s="456" t="s">
        <v>2994</v>
      </c>
      <c r="E174" s="456" t="str">
        <f t="shared" si="3"/>
        <v>First Name Last Name</v>
      </c>
      <c r="F174" s="535" t="s">
        <v>1214</v>
      </c>
      <c r="G174" s="535" t="s">
        <v>1403</v>
      </c>
      <c r="H174" s="536">
        <v>2448.13</v>
      </c>
      <c r="I174" s="537">
        <v>80</v>
      </c>
      <c r="J174" s="538">
        <v>44165</v>
      </c>
      <c r="K174" s="535" t="s">
        <v>170</v>
      </c>
      <c r="L174" s="535" t="s">
        <v>170</v>
      </c>
      <c r="M174" s="535" t="s">
        <v>1587</v>
      </c>
      <c r="N174" s="535" t="s">
        <v>1588</v>
      </c>
      <c r="O174" s="535" t="s">
        <v>1325</v>
      </c>
      <c r="P174" s="535" t="s">
        <v>1218</v>
      </c>
      <c r="Q174" s="535" t="s">
        <v>1231</v>
      </c>
      <c r="R174" s="538" t="s">
        <v>170</v>
      </c>
      <c r="S174" s="535" t="s">
        <v>1253</v>
      </c>
      <c r="T174" s="535" t="s">
        <v>1589</v>
      </c>
      <c r="U174" s="536">
        <v>63651.38</v>
      </c>
      <c r="V174" s="535" t="s">
        <v>1220</v>
      </c>
      <c r="X174" s="369">
        <f>IF(OR(T174="125-65-654-50110",T174="125-65-652-50110",T174="125-65-656-50110"),"N/A",COUNTIF('Prop Budget Calc'!A:A,'Base Pay Report'!A174))</f>
        <v>0</v>
      </c>
    </row>
    <row r="175" spans="1:24">
      <c r="A175" s="535" t="s">
        <v>1590</v>
      </c>
      <c r="B175" s="456" t="s">
        <v>2992</v>
      </c>
      <c r="C175" s="456" t="s">
        <v>2993</v>
      </c>
      <c r="D175" s="456" t="s">
        <v>2994</v>
      </c>
      <c r="E175" s="456" t="str">
        <f t="shared" si="3"/>
        <v>First Name Last Name</v>
      </c>
      <c r="F175" s="535" t="s">
        <v>1214</v>
      </c>
      <c r="G175" s="535" t="s">
        <v>170</v>
      </c>
      <c r="H175" s="536">
        <v>34.590000000000003</v>
      </c>
      <c r="I175" s="537" t="s">
        <v>170</v>
      </c>
      <c r="J175" s="538">
        <v>44207</v>
      </c>
      <c r="K175" s="535" t="s">
        <v>170</v>
      </c>
      <c r="L175" s="535" t="s">
        <v>170</v>
      </c>
      <c r="M175" s="535" t="s">
        <v>2591</v>
      </c>
      <c r="N175" s="535" t="s">
        <v>2600</v>
      </c>
      <c r="O175" s="535" t="s">
        <v>1230</v>
      </c>
      <c r="P175" s="535" t="s">
        <v>1218</v>
      </c>
      <c r="Q175" s="535" t="s">
        <v>492</v>
      </c>
      <c r="R175" s="538" t="s">
        <v>170</v>
      </c>
      <c r="S175" s="535" t="s">
        <v>1294</v>
      </c>
      <c r="T175" s="535" t="s">
        <v>954</v>
      </c>
      <c r="U175" s="536">
        <v>71947.199999999997</v>
      </c>
      <c r="V175" s="535" t="s">
        <v>1220</v>
      </c>
      <c r="X175" s="369">
        <f>IF(OR(T175="125-65-654-50110",T175="125-65-652-50110",T175="125-65-656-50110"),"N/A",COUNTIF('Prop Budget Calc'!A:A,'Base Pay Report'!A175))</f>
        <v>0</v>
      </c>
    </row>
    <row r="176" spans="1:24">
      <c r="A176" s="535" t="s">
        <v>1591</v>
      </c>
      <c r="B176" s="456" t="s">
        <v>2992</v>
      </c>
      <c r="C176" s="456" t="s">
        <v>2993</v>
      </c>
      <c r="D176" s="456" t="s">
        <v>2994</v>
      </c>
      <c r="E176" s="456" t="str">
        <f t="shared" si="3"/>
        <v>First Name Last Name</v>
      </c>
      <c r="F176" s="535" t="s">
        <v>1214</v>
      </c>
      <c r="G176" s="535" t="s">
        <v>170</v>
      </c>
      <c r="H176" s="536">
        <v>34.590000000000003</v>
      </c>
      <c r="I176" s="537" t="s">
        <v>170</v>
      </c>
      <c r="J176" s="538">
        <v>44207</v>
      </c>
      <c r="K176" s="535" t="s">
        <v>170</v>
      </c>
      <c r="L176" s="535" t="s">
        <v>170</v>
      </c>
      <c r="M176" s="535" t="s">
        <v>2591</v>
      </c>
      <c r="N176" s="535" t="s">
        <v>2600</v>
      </c>
      <c r="O176" s="535" t="s">
        <v>1230</v>
      </c>
      <c r="P176" s="535" t="s">
        <v>1218</v>
      </c>
      <c r="Q176" s="535" t="s">
        <v>492</v>
      </c>
      <c r="R176" s="538" t="s">
        <v>170</v>
      </c>
      <c r="S176" s="535" t="s">
        <v>1294</v>
      </c>
      <c r="T176" s="535" t="s">
        <v>954</v>
      </c>
      <c r="U176" s="536">
        <v>71947.199999999997</v>
      </c>
      <c r="V176" s="535" t="s">
        <v>1220</v>
      </c>
      <c r="X176" s="369">
        <f>IF(OR(T176="125-65-654-50110",T176="125-65-652-50110",T176="125-65-656-50110"),"N/A",COUNTIF('Prop Budget Calc'!A:A,'Base Pay Report'!A176))</f>
        <v>0</v>
      </c>
    </row>
    <row r="177" spans="1:24">
      <c r="A177" s="535" t="s">
        <v>1593</v>
      </c>
      <c r="B177" s="456" t="s">
        <v>2992</v>
      </c>
      <c r="C177" s="456" t="s">
        <v>2993</v>
      </c>
      <c r="D177" s="456" t="s">
        <v>2994</v>
      </c>
      <c r="E177" s="456" t="str">
        <f t="shared" si="3"/>
        <v>First Name Last Name</v>
      </c>
      <c r="F177" s="535" t="s">
        <v>1214</v>
      </c>
      <c r="G177" s="535" t="s">
        <v>1397</v>
      </c>
      <c r="H177" s="536">
        <v>21.53</v>
      </c>
      <c r="I177" s="537" t="s">
        <v>170</v>
      </c>
      <c r="J177" s="538">
        <v>44228</v>
      </c>
      <c r="K177" s="535" t="s">
        <v>170</v>
      </c>
      <c r="L177" s="535" t="s">
        <v>170</v>
      </c>
      <c r="M177" s="535" t="s">
        <v>1398</v>
      </c>
      <c r="N177" s="535" t="s">
        <v>126</v>
      </c>
      <c r="O177" s="535" t="s">
        <v>1224</v>
      </c>
      <c r="P177" s="535" t="s">
        <v>1218</v>
      </c>
      <c r="Q177" s="535" t="s">
        <v>492</v>
      </c>
      <c r="R177" s="538" t="s">
        <v>170</v>
      </c>
      <c r="S177" s="535" t="s">
        <v>1283</v>
      </c>
      <c r="T177" s="535" t="s">
        <v>957</v>
      </c>
      <c r="U177" s="536">
        <v>44782.400000000001</v>
      </c>
      <c r="V177" s="535" t="s">
        <v>1220</v>
      </c>
      <c r="X177" s="369">
        <f>IF(OR(T177="125-65-654-50110",T177="125-65-652-50110",T177="125-65-656-50110"),"N/A",COUNTIF('Prop Budget Calc'!A:A,'Base Pay Report'!A177))</f>
        <v>0</v>
      </c>
    </row>
    <row r="178" spans="1:24">
      <c r="A178" s="535" t="s">
        <v>1594</v>
      </c>
      <c r="B178" s="456" t="s">
        <v>2992</v>
      </c>
      <c r="C178" s="456" t="s">
        <v>2993</v>
      </c>
      <c r="D178" s="456" t="s">
        <v>2994</v>
      </c>
      <c r="E178" s="456" t="str">
        <f t="shared" si="3"/>
        <v>First Name Last Name</v>
      </c>
      <c r="F178" s="535" t="s">
        <v>1214</v>
      </c>
      <c r="G178" s="535" t="s">
        <v>1247</v>
      </c>
      <c r="H178" s="536">
        <v>34.299999999999997</v>
      </c>
      <c r="I178" s="537" t="s">
        <v>170</v>
      </c>
      <c r="J178" s="538">
        <v>44277</v>
      </c>
      <c r="K178" s="535" t="s">
        <v>170</v>
      </c>
      <c r="L178" s="535" t="s">
        <v>170</v>
      </c>
      <c r="M178" s="535" t="s">
        <v>1248</v>
      </c>
      <c r="N178" s="535" t="s">
        <v>116</v>
      </c>
      <c r="O178" s="535" t="s">
        <v>1224</v>
      </c>
      <c r="P178" s="535" t="s">
        <v>1218</v>
      </c>
      <c r="Q178" s="535" t="s">
        <v>492</v>
      </c>
      <c r="R178" s="538" t="s">
        <v>170</v>
      </c>
      <c r="S178" s="535" t="s">
        <v>1283</v>
      </c>
      <c r="T178" s="535" t="s">
        <v>955</v>
      </c>
      <c r="U178" s="536">
        <v>71344</v>
      </c>
      <c r="V178" s="535" t="s">
        <v>1220</v>
      </c>
      <c r="X178" s="369">
        <f>IF(OR(T178="125-65-654-50110",T178="125-65-652-50110",T178="125-65-656-50110"),"N/A",COUNTIF('Prop Budget Calc'!A:A,'Base Pay Report'!A178))</f>
        <v>0</v>
      </c>
    </row>
    <row r="179" spans="1:24">
      <c r="A179" s="535" t="s">
        <v>1595</v>
      </c>
      <c r="B179" s="456" t="s">
        <v>2992</v>
      </c>
      <c r="C179" s="456" t="s">
        <v>2993</v>
      </c>
      <c r="D179" s="456" t="s">
        <v>2994</v>
      </c>
      <c r="E179" s="456" t="str">
        <f t="shared" si="3"/>
        <v>First Name Last Name</v>
      </c>
      <c r="F179" s="535" t="s">
        <v>1214</v>
      </c>
      <c r="G179" s="535" t="s">
        <v>1361</v>
      </c>
      <c r="H179" s="536">
        <v>28.19</v>
      </c>
      <c r="I179" s="537" t="s">
        <v>170</v>
      </c>
      <c r="J179" s="538">
        <v>44291</v>
      </c>
      <c r="K179" s="535" t="s">
        <v>170</v>
      </c>
      <c r="L179" s="535" t="s">
        <v>170</v>
      </c>
      <c r="M179" s="535" t="s">
        <v>1658</v>
      </c>
      <c r="N179" s="535" t="s">
        <v>1952</v>
      </c>
      <c r="O179" s="535" t="s">
        <v>1230</v>
      </c>
      <c r="P179" s="535" t="s">
        <v>1218</v>
      </c>
      <c r="Q179" s="535" t="s">
        <v>492</v>
      </c>
      <c r="R179" s="538" t="s">
        <v>170</v>
      </c>
      <c r="S179" s="535" t="s">
        <v>1305</v>
      </c>
      <c r="T179" s="535" t="s">
        <v>1596</v>
      </c>
      <c r="U179" s="536">
        <v>58635.199999999997</v>
      </c>
      <c r="V179" s="535" t="s">
        <v>1307</v>
      </c>
      <c r="X179" s="369">
        <f>IF(OR(T179="125-65-654-50110",T179="125-65-652-50110",T179="125-65-656-50110"),"N/A",COUNTIF('Prop Budget Calc'!A:A,'Base Pay Report'!A179))</f>
        <v>1</v>
      </c>
    </row>
    <row r="180" spans="1:24">
      <c r="A180" s="535" t="s">
        <v>1597</v>
      </c>
      <c r="B180" s="456" t="s">
        <v>2992</v>
      </c>
      <c r="C180" s="456" t="s">
        <v>2993</v>
      </c>
      <c r="D180" s="456" t="s">
        <v>2994</v>
      </c>
      <c r="E180" s="456" t="str">
        <f t="shared" si="3"/>
        <v>First Name Last Name</v>
      </c>
      <c r="F180" s="535" t="s">
        <v>1214</v>
      </c>
      <c r="G180" s="535" t="s">
        <v>1268</v>
      </c>
      <c r="H180" s="536">
        <v>24.44</v>
      </c>
      <c r="I180" s="537" t="s">
        <v>170</v>
      </c>
      <c r="J180" s="538">
        <v>44305</v>
      </c>
      <c r="K180" s="535" t="s">
        <v>170</v>
      </c>
      <c r="L180" s="535" t="s">
        <v>170</v>
      </c>
      <c r="M180" s="535" t="s">
        <v>1269</v>
      </c>
      <c r="N180" s="535" t="s">
        <v>1270</v>
      </c>
      <c r="O180" s="535" t="s">
        <v>1217</v>
      </c>
      <c r="P180" s="535" t="s">
        <v>1218</v>
      </c>
      <c r="Q180" s="535" t="s">
        <v>492</v>
      </c>
      <c r="R180" s="538" t="s">
        <v>170</v>
      </c>
      <c r="S180" s="535" t="s">
        <v>1219</v>
      </c>
      <c r="T180" s="535" t="s">
        <v>959</v>
      </c>
      <c r="U180" s="536">
        <v>50835.199999999997</v>
      </c>
      <c r="V180" s="535" t="s">
        <v>1220</v>
      </c>
      <c r="X180" s="369">
        <f>IF(OR(T180="125-65-654-50110",T180="125-65-652-50110",T180="125-65-656-50110"),"N/A",COUNTIF('Prop Budget Calc'!A:A,'Base Pay Report'!A180))</f>
        <v>1</v>
      </c>
    </row>
    <row r="181" spans="1:24">
      <c r="A181" s="535" t="s">
        <v>1598</v>
      </c>
      <c r="B181" s="456" t="s">
        <v>2992</v>
      </c>
      <c r="C181" s="456" t="s">
        <v>2993</v>
      </c>
      <c r="D181" s="456" t="s">
        <v>2994</v>
      </c>
      <c r="E181" s="456" t="str">
        <f t="shared" si="3"/>
        <v>First Name Last Name</v>
      </c>
      <c r="F181" s="535" t="s">
        <v>1214</v>
      </c>
      <c r="G181" s="535" t="s">
        <v>170</v>
      </c>
      <c r="H181" s="536">
        <v>28.62</v>
      </c>
      <c r="I181" s="537" t="s">
        <v>170</v>
      </c>
      <c r="J181" s="538">
        <v>44305</v>
      </c>
      <c r="K181" s="535" t="s">
        <v>170</v>
      </c>
      <c r="L181" s="535" t="s">
        <v>170</v>
      </c>
      <c r="M181" s="535" t="s">
        <v>1354</v>
      </c>
      <c r="N181" s="535" t="s">
        <v>134</v>
      </c>
      <c r="O181" s="535" t="s">
        <v>1217</v>
      </c>
      <c r="P181" s="535" t="s">
        <v>1218</v>
      </c>
      <c r="Q181" s="535" t="s">
        <v>492</v>
      </c>
      <c r="R181" s="538" t="s">
        <v>170</v>
      </c>
      <c r="S181" s="535" t="s">
        <v>1219</v>
      </c>
      <c r="T181" s="535" t="s">
        <v>959</v>
      </c>
      <c r="U181" s="536">
        <v>59529.599999999999</v>
      </c>
      <c r="V181" s="535" t="s">
        <v>1220</v>
      </c>
      <c r="X181" s="369">
        <f>IF(OR(T181="125-65-654-50110",T181="125-65-652-50110",T181="125-65-656-50110"),"N/A",COUNTIF('Prop Budget Calc'!A:A,'Base Pay Report'!A181))</f>
        <v>0</v>
      </c>
    </row>
    <row r="182" spans="1:24">
      <c r="A182" s="535" t="s">
        <v>1599</v>
      </c>
      <c r="B182" s="456" t="s">
        <v>2992</v>
      </c>
      <c r="C182" s="456" t="s">
        <v>2993</v>
      </c>
      <c r="D182" s="456" t="s">
        <v>2994</v>
      </c>
      <c r="E182" s="456" t="str">
        <f t="shared" si="3"/>
        <v>First Name Last Name</v>
      </c>
      <c r="F182" s="535" t="s">
        <v>1214</v>
      </c>
      <c r="G182" s="535" t="s">
        <v>1247</v>
      </c>
      <c r="H182" s="536">
        <v>34.299999999999997</v>
      </c>
      <c r="I182" s="537" t="s">
        <v>170</v>
      </c>
      <c r="J182" s="538">
        <v>44305</v>
      </c>
      <c r="K182" s="535" t="s">
        <v>170</v>
      </c>
      <c r="L182" s="535" t="s">
        <v>170</v>
      </c>
      <c r="M182" s="535" t="s">
        <v>1248</v>
      </c>
      <c r="N182" s="535" t="s">
        <v>116</v>
      </c>
      <c r="O182" s="535" t="s">
        <v>1224</v>
      </c>
      <c r="P182" s="535" t="s">
        <v>1218</v>
      </c>
      <c r="Q182" s="535" t="s">
        <v>492</v>
      </c>
      <c r="R182" s="538" t="s">
        <v>170</v>
      </c>
      <c r="S182" s="535" t="s">
        <v>1283</v>
      </c>
      <c r="T182" s="535" t="s">
        <v>955</v>
      </c>
      <c r="U182" s="536">
        <v>71344</v>
      </c>
      <c r="V182" s="535" t="s">
        <v>1220</v>
      </c>
      <c r="X182" s="369">
        <f>IF(OR(T182="125-65-654-50110",T182="125-65-652-50110",T182="125-65-656-50110"),"N/A",COUNTIF('Prop Budget Calc'!A:A,'Base Pay Report'!A182))</f>
        <v>0</v>
      </c>
    </row>
    <row r="183" spans="1:24">
      <c r="A183" s="535" t="s">
        <v>1600</v>
      </c>
      <c r="B183" s="456" t="s">
        <v>2992</v>
      </c>
      <c r="C183" s="456" t="s">
        <v>2993</v>
      </c>
      <c r="D183" s="456" t="s">
        <v>2994</v>
      </c>
      <c r="E183" s="456" t="str">
        <f t="shared" si="3"/>
        <v>First Name Last Name</v>
      </c>
      <c r="F183" s="535" t="s">
        <v>1214</v>
      </c>
      <c r="G183" s="535" t="s">
        <v>1247</v>
      </c>
      <c r="H183" s="536">
        <v>33.630000000000003</v>
      </c>
      <c r="I183" s="537" t="s">
        <v>170</v>
      </c>
      <c r="J183" s="538">
        <v>42521</v>
      </c>
      <c r="K183" s="535" t="s">
        <v>170</v>
      </c>
      <c r="L183" s="535" t="s">
        <v>170</v>
      </c>
      <c r="M183" s="535" t="s">
        <v>1248</v>
      </c>
      <c r="N183" s="535" t="s">
        <v>116</v>
      </c>
      <c r="O183" s="535" t="s">
        <v>1224</v>
      </c>
      <c r="P183" s="535" t="s">
        <v>1218</v>
      </c>
      <c r="Q183" s="535" t="s">
        <v>492</v>
      </c>
      <c r="R183" s="538" t="s">
        <v>170</v>
      </c>
      <c r="S183" s="535" t="s">
        <v>1225</v>
      </c>
      <c r="T183" s="535" t="s">
        <v>955</v>
      </c>
      <c r="U183" s="536">
        <v>69950.399999999994</v>
      </c>
      <c r="V183" s="535" t="s">
        <v>1220</v>
      </c>
      <c r="X183" s="369">
        <f>IF(OR(T183="125-65-654-50110",T183="125-65-652-50110",T183="125-65-656-50110"),"N/A",COUNTIF('Prop Budget Calc'!A:A,'Base Pay Report'!A183))</f>
        <v>0</v>
      </c>
    </row>
    <row r="184" spans="1:24">
      <c r="A184" s="535" t="s">
        <v>1601</v>
      </c>
      <c r="B184" s="456" t="s">
        <v>2992</v>
      </c>
      <c r="C184" s="456" t="s">
        <v>2993</v>
      </c>
      <c r="D184" s="456" t="s">
        <v>2994</v>
      </c>
      <c r="E184" s="456" t="str">
        <f t="shared" si="3"/>
        <v>First Name Last Name</v>
      </c>
      <c r="F184" s="535" t="s">
        <v>1214</v>
      </c>
      <c r="G184" s="535" t="s">
        <v>170</v>
      </c>
      <c r="H184" s="536">
        <v>15.3</v>
      </c>
      <c r="I184" s="537" t="s">
        <v>170</v>
      </c>
      <c r="J184" s="538">
        <v>44329</v>
      </c>
      <c r="K184" s="535" t="s">
        <v>170</v>
      </c>
      <c r="L184" s="535" t="s">
        <v>170</v>
      </c>
      <c r="M184" s="535" t="s">
        <v>2925</v>
      </c>
      <c r="N184" s="535" t="s">
        <v>2926</v>
      </c>
      <c r="O184" s="535" t="s">
        <v>1325</v>
      </c>
      <c r="P184" s="535" t="s">
        <v>1218</v>
      </c>
      <c r="Q184" s="535" t="s">
        <v>492</v>
      </c>
      <c r="R184" s="538" t="s">
        <v>170</v>
      </c>
      <c r="S184" s="535" t="s">
        <v>1305</v>
      </c>
      <c r="T184" s="535" t="s">
        <v>1326</v>
      </c>
      <c r="U184" s="536">
        <v>31824</v>
      </c>
      <c r="V184" s="535" t="s">
        <v>1307</v>
      </c>
      <c r="X184" s="369" t="str">
        <f>IF(OR(T184="125-65-654-50110",T184="125-65-652-50110",T184="125-65-656-50110"),"N/A",COUNTIF('Prop Budget Calc'!A:A,'Base Pay Report'!A184))</f>
        <v>N/A</v>
      </c>
    </row>
    <row r="185" spans="1:24">
      <c r="A185" s="535" t="s">
        <v>1604</v>
      </c>
      <c r="B185" s="456" t="s">
        <v>2992</v>
      </c>
      <c r="C185" s="456" t="s">
        <v>2993</v>
      </c>
      <c r="D185" s="456" t="s">
        <v>2994</v>
      </c>
      <c r="E185" s="456" t="str">
        <f t="shared" si="3"/>
        <v>First Name Last Name</v>
      </c>
      <c r="F185" s="535" t="s">
        <v>1214</v>
      </c>
      <c r="G185" s="535" t="s">
        <v>1309</v>
      </c>
      <c r="H185" s="536">
        <v>19.13</v>
      </c>
      <c r="I185" s="537" t="s">
        <v>170</v>
      </c>
      <c r="J185" s="538">
        <v>44333</v>
      </c>
      <c r="K185" s="535" t="s">
        <v>170</v>
      </c>
      <c r="L185" s="535" t="s">
        <v>170</v>
      </c>
      <c r="M185" s="535" t="s">
        <v>1605</v>
      </c>
      <c r="N185" s="535" t="s">
        <v>125</v>
      </c>
      <c r="O185" s="535" t="s">
        <v>1527</v>
      </c>
      <c r="P185" s="535" t="s">
        <v>1218</v>
      </c>
      <c r="Q185" s="535" t="s">
        <v>492</v>
      </c>
      <c r="R185" s="538" t="s">
        <v>170</v>
      </c>
      <c r="S185" s="535" t="s">
        <v>1235</v>
      </c>
      <c r="T185" s="535" t="s">
        <v>1528</v>
      </c>
      <c r="U185" s="536">
        <v>39790.400000000001</v>
      </c>
      <c r="V185" s="535" t="s">
        <v>1220</v>
      </c>
      <c r="X185" s="369">
        <f>IF(OR(T185="125-65-654-50110",T185="125-65-652-50110",T185="125-65-656-50110"),"N/A",COUNTIF('Prop Budget Calc'!A:A,'Base Pay Report'!A185))</f>
        <v>0</v>
      </c>
    </row>
    <row r="186" spans="1:24">
      <c r="A186" s="535" t="s">
        <v>2423</v>
      </c>
      <c r="B186" s="456" t="s">
        <v>2992</v>
      </c>
      <c r="C186" s="456" t="s">
        <v>2993</v>
      </c>
      <c r="D186" s="456" t="s">
        <v>2994</v>
      </c>
      <c r="E186" s="456" t="str">
        <f t="shared" si="3"/>
        <v>First Name Last Name</v>
      </c>
      <c r="F186" s="535" t="s">
        <v>1214</v>
      </c>
      <c r="G186" s="535" t="s">
        <v>1486</v>
      </c>
      <c r="H186" s="536">
        <v>13.77</v>
      </c>
      <c r="I186" s="537" t="s">
        <v>170</v>
      </c>
      <c r="J186" s="538">
        <v>44331</v>
      </c>
      <c r="K186" s="535" t="s">
        <v>170</v>
      </c>
      <c r="L186" s="535" t="s">
        <v>170</v>
      </c>
      <c r="M186" s="535" t="s">
        <v>1487</v>
      </c>
      <c r="N186" s="535" t="s">
        <v>1488</v>
      </c>
      <c r="O186" s="535" t="s">
        <v>1325</v>
      </c>
      <c r="P186" s="535" t="s">
        <v>1218</v>
      </c>
      <c r="Q186" s="535" t="s">
        <v>492</v>
      </c>
      <c r="R186" s="538">
        <v>45115</v>
      </c>
      <c r="S186" s="535" t="s">
        <v>1305</v>
      </c>
      <c r="T186" s="535" t="s">
        <v>1326</v>
      </c>
      <c r="U186" s="536">
        <v>28641.599999999999</v>
      </c>
      <c r="V186" s="535" t="s">
        <v>1307</v>
      </c>
      <c r="X186" s="369" t="str">
        <f>IF(OR(T186="125-65-654-50110",T186="125-65-652-50110",T186="125-65-656-50110"),"N/A",COUNTIF('Prop Budget Calc'!A:A,'Base Pay Report'!A186))</f>
        <v>N/A</v>
      </c>
    </row>
    <row r="187" spans="1:24">
      <c r="A187" s="535" t="s">
        <v>1606</v>
      </c>
      <c r="B187" s="456" t="s">
        <v>2992</v>
      </c>
      <c r="C187" s="456" t="s">
        <v>2993</v>
      </c>
      <c r="D187" s="456" t="s">
        <v>2994</v>
      </c>
      <c r="E187" s="456" t="str">
        <f t="shared" si="3"/>
        <v>First Name Last Name</v>
      </c>
      <c r="F187" s="535" t="s">
        <v>1214</v>
      </c>
      <c r="G187" s="535" t="s">
        <v>1486</v>
      </c>
      <c r="H187" s="536">
        <v>14.33</v>
      </c>
      <c r="I187" s="537" t="s">
        <v>170</v>
      </c>
      <c r="J187" s="538">
        <v>44342</v>
      </c>
      <c r="K187" s="535" t="s">
        <v>170</v>
      </c>
      <c r="L187" s="535" t="s">
        <v>170</v>
      </c>
      <c r="M187" s="535" t="s">
        <v>1487</v>
      </c>
      <c r="N187" s="535" t="s">
        <v>1488</v>
      </c>
      <c r="O187" s="535" t="s">
        <v>1325</v>
      </c>
      <c r="P187" s="535" t="s">
        <v>1218</v>
      </c>
      <c r="Q187" s="535" t="s">
        <v>492</v>
      </c>
      <c r="R187" s="538" t="s">
        <v>170</v>
      </c>
      <c r="S187" s="535" t="s">
        <v>1305</v>
      </c>
      <c r="T187" s="535" t="s">
        <v>1326</v>
      </c>
      <c r="U187" s="536">
        <v>29806.400000000001</v>
      </c>
      <c r="V187" s="535" t="s">
        <v>1307</v>
      </c>
      <c r="X187" s="369" t="str">
        <f>IF(OR(T187="125-65-654-50110",T187="125-65-652-50110",T187="125-65-656-50110"),"N/A",COUNTIF('Prop Budget Calc'!A:A,'Base Pay Report'!A187))</f>
        <v>N/A</v>
      </c>
    </row>
    <row r="188" spans="1:24">
      <c r="A188" s="535" t="s">
        <v>1607</v>
      </c>
      <c r="B188" s="456" t="s">
        <v>2992</v>
      </c>
      <c r="C188" s="456" t="s">
        <v>2993</v>
      </c>
      <c r="D188" s="456" t="s">
        <v>2994</v>
      </c>
      <c r="E188" s="456" t="str">
        <f t="shared" si="3"/>
        <v>First Name Last Name</v>
      </c>
      <c r="F188" s="535" t="s">
        <v>1214</v>
      </c>
      <c r="G188" s="535" t="s">
        <v>1486</v>
      </c>
      <c r="H188" s="536">
        <v>14.05</v>
      </c>
      <c r="I188" s="537" t="s">
        <v>170</v>
      </c>
      <c r="J188" s="538">
        <v>44331</v>
      </c>
      <c r="K188" s="535" t="s">
        <v>170</v>
      </c>
      <c r="L188" s="535" t="s">
        <v>170</v>
      </c>
      <c r="M188" s="535" t="s">
        <v>1487</v>
      </c>
      <c r="N188" s="535" t="s">
        <v>1488</v>
      </c>
      <c r="O188" s="535" t="s">
        <v>1325</v>
      </c>
      <c r="P188" s="535" t="s">
        <v>1218</v>
      </c>
      <c r="Q188" s="535" t="s">
        <v>492</v>
      </c>
      <c r="R188" s="538" t="s">
        <v>170</v>
      </c>
      <c r="S188" s="535" t="s">
        <v>1305</v>
      </c>
      <c r="T188" s="535" t="s">
        <v>1326</v>
      </c>
      <c r="U188" s="536">
        <v>29224</v>
      </c>
      <c r="V188" s="535" t="s">
        <v>1307</v>
      </c>
      <c r="X188" s="369" t="str">
        <f>IF(OR(T188="125-65-654-50110",T188="125-65-652-50110",T188="125-65-656-50110"),"N/A",COUNTIF('Prop Budget Calc'!A:A,'Base Pay Report'!A188))</f>
        <v>N/A</v>
      </c>
    </row>
    <row r="189" spans="1:24">
      <c r="A189" s="535" t="s">
        <v>1608</v>
      </c>
      <c r="B189" s="456" t="s">
        <v>2992</v>
      </c>
      <c r="C189" s="456" t="s">
        <v>2993</v>
      </c>
      <c r="D189" s="456" t="s">
        <v>2994</v>
      </c>
      <c r="E189" s="456" t="str">
        <f t="shared" si="3"/>
        <v>First Name Last Name</v>
      </c>
      <c r="F189" s="535" t="s">
        <v>1214</v>
      </c>
      <c r="G189" s="535" t="s">
        <v>170</v>
      </c>
      <c r="H189" s="536">
        <v>15.3</v>
      </c>
      <c r="I189" s="537" t="s">
        <v>170</v>
      </c>
      <c r="J189" s="538">
        <v>44345</v>
      </c>
      <c r="K189" s="535" t="s">
        <v>170</v>
      </c>
      <c r="L189" s="535" t="s">
        <v>170</v>
      </c>
      <c r="M189" s="535" t="s">
        <v>2925</v>
      </c>
      <c r="N189" s="535" t="s">
        <v>2926</v>
      </c>
      <c r="O189" s="535" t="s">
        <v>1325</v>
      </c>
      <c r="P189" s="535" t="s">
        <v>1218</v>
      </c>
      <c r="Q189" s="535" t="s">
        <v>492</v>
      </c>
      <c r="R189" s="538" t="s">
        <v>170</v>
      </c>
      <c r="S189" s="535" t="s">
        <v>1305</v>
      </c>
      <c r="T189" s="535" t="s">
        <v>1326</v>
      </c>
      <c r="U189" s="536">
        <v>31824</v>
      </c>
      <c r="V189" s="535" t="s">
        <v>1307</v>
      </c>
      <c r="X189" s="369" t="str">
        <f>IF(OR(T189="125-65-654-50110",T189="125-65-652-50110",T189="125-65-656-50110"),"N/A",COUNTIF('Prop Budget Calc'!A:A,'Base Pay Report'!A189))</f>
        <v>N/A</v>
      </c>
    </row>
    <row r="190" spans="1:24">
      <c r="A190" s="535" t="s">
        <v>2892</v>
      </c>
      <c r="B190" s="456" t="s">
        <v>2992</v>
      </c>
      <c r="C190" s="456" t="s">
        <v>2993</v>
      </c>
      <c r="D190" s="456" t="s">
        <v>2994</v>
      </c>
      <c r="E190" s="456" t="str">
        <f t="shared" si="3"/>
        <v>First Name Last Name</v>
      </c>
      <c r="F190" s="535" t="s">
        <v>1214</v>
      </c>
      <c r="G190" s="535" t="s">
        <v>1602</v>
      </c>
      <c r="H190" s="536">
        <v>13.77</v>
      </c>
      <c r="I190" s="537" t="s">
        <v>170</v>
      </c>
      <c r="J190" s="538">
        <v>44345</v>
      </c>
      <c r="K190" s="535" t="s">
        <v>170</v>
      </c>
      <c r="L190" s="535" t="s">
        <v>170</v>
      </c>
      <c r="M190" s="535" t="s">
        <v>2927</v>
      </c>
      <c r="N190" s="535" t="s">
        <v>2928</v>
      </c>
      <c r="O190" s="535" t="s">
        <v>1325</v>
      </c>
      <c r="P190" s="535" t="s">
        <v>1218</v>
      </c>
      <c r="Q190" s="535" t="s">
        <v>492</v>
      </c>
      <c r="R190" s="538">
        <v>45409</v>
      </c>
      <c r="S190" s="535" t="s">
        <v>1305</v>
      </c>
      <c r="T190" s="535" t="s">
        <v>1326</v>
      </c>
      <c r="U190" s="536">
        <v>28641.599999999999</v>
      </c>
      <c r="V190" s="535" t="s">
        <v>1307</v>
      </c>
      <c r="X190" s="369" t="str">
        <f>IF(OR(T190="125-65-654-50110",T190="125-65-652-50110",T190="125-65-656-50110"),"N/A",COUNTIF('Prop Budget Calc'!A:A,'Base Pay Report'!A190))</f>
        <v>N/A</v>
      </c>
    </row>
    <row r="191" spans="1:24">
      <c r="A191" s="535" t="s">
        <v>2481</v>
      </c>
      <c r="B191" s="456" t="s">
        <v>2992</v>
      </c>
      <c r="C191" s="456" t="s">
        <v>2993</v>
      </c>
      <c r="D191" s="456" t="s">
        <v>2994</v>
      </c>
      <c r="E191" s="456" t="str">
        <f t="shared" si="3"/>
        <v>First Name Last Name</v>
      </c>
      <c r="F191" s="535" t="s">
        <v>1214</v>
      </c>
      <c r="G191" s="535" t="s">
        <v>1563</v>
      </c>
      <c r="H191" s="536">
        <v>14.79</v>
      </c>
      <c r="I191" s="537" t="s">
        <v>170</v>
      </c>
      <c r="J191" s="538">
        <v>44345</v>
      </c>
      <c r="K191" s="535" t="s">
        <v>170</v>
      </c>
      <c r="L191" s="535" t="s">
        <v>170</v>
      </c>
      <c r="M191" s="535" t="s">
        <v>1564</v>
      </c>
      <c r="N191" s="535" t="s">
        <v>539</v>
      </c>
      <c r="O191" s="535" t="s">
        <v>1325</v>
      </c>
      <c r="P191" s="535" t="s">
        <v>1218</v>
      </c>
      <c r="Q191" s="535" t="s">
        <v>492</v>
      </c>
      <c r="R191" s="538">
        <v>45200</v>
      </c>
      <c r="S191" s="535" t="s">
        <v>1305</v>
      </c>
      <c r="T191" s="535" t="s">
        <v>1565</v>
      </c>
      <c r="U191" s="536">
        <v>30763.200000000001</v>
      </c>
      <c r="V191" s="535" t="s">
        <v>1307</v>
      </c>
      <c r="X191" s="369" t="str">
        <f>IF(OR(T191="125-65-654-50110",T191="125-65-652-50110",T191="125-65-656-50110"),"N/A",COUNTIF('Prop Budget Calc'!A:A,'Base Pay Report'!A191))</f>
        <v>N/A</v>
      </c>
    </row>
    <row r="192" spans="1:24">
      <c r="A192" s="535" t="s">
        <v>1609</v>
      </c>
      <c r="B192" s="456" t="s">
        <v>2992</v>
      </c>
      <c r="C192" s="456" t="s">
        <v>2993</v>
      </c>
      <c r="D192" s="456" t="s">
        <v>2994</v>
      </c>
      <c r="E192" s="456" t="str">
        <f t="shared" si="3"/>
        <v>First Name Last Name</v>
      </c>
      <c r="F192" s="535" t="s">
        <v>1214</v>
      </c>
      <c r="G192" s="535" t="s">
        <v>170</v>
      </c>
      <c r="H192" s="536">
        <v>23.96</v>
      </c>
      <c r="I192" s="537" t="s">
        <v>170</v>
      </c>
      <c r="J192" s="538">
        <v>44655</v>
      </c>
      <c r="K192" s="535" t="s">
        <v>170</v>
      </c>
      <c r="L192" s="535" t="s">
        <v>170</v>
      </c>
      <c r="M192" s="535" t="s">
        <v>1269</v>
      </c>
      <c r="N192" s="535" t="s">
        <v>1270</v>
      </c>
      <c r="O192" s="535" t="s">
        <v>1217</v>
      </c>
      <c r="P192" s="535" t="s">
        <v>1218</v>
      </c>
      <c r="Q192" s="535" t="s">
        <v>492</v>
      </c>
      <c r="R192" s="538" t="s">
        <v>170</v>
      </c>
      <c r="S192" s="535" t="s">
        <v>1219</v>
      </c>
      <c r="T192" s="535" t="s">
        <v>959</v>
      </c>
      <c r="U192" s="536">
        <v>49836.800000000003</v>
      </c>
      <c r="V192" s="535" t="s">
        <v>1220</v>
      </c>
      <c r="X192" s="369">
        <f>IF(OR(T192="125-65-654-50110",T192="125-65-652-50110",T192="125-65-656-50110"),"N/A",COUNTIF('Prop Budget Calc'!A:A,'Base Pay Report'!A192))</f>
        <v>0</v>
      </c>
    </row>
    <row r="193" spans="1:24">
      <c r="A193" s="535" t="s">
        <v>1610</v>
      </c>
      <c r="B193" s="456" t="s">
        <v>2992</v>
      </c>
      <c r="C193" s="456" t="s">
        <v>2993</v>
      </c>
      <c r="D193" s="456" t="s">
        <v>2994</v>
      </c>
      <c r="E193" s="456" t="str">
        <f t="shared" si="3"/>
        <v>First Name Last Name</v>
      </c>
      <c r="F193" s="535" t="s">
        <v>1214</v>
      </c>
      <c r="G193" s="535" t="s">
        <v>1256</v>
      </c>
      <c r="H193" s="536">
        <v>19.39</v>
      </c>
      <c r="I193" s="537" t="s">
        <v>170</v>
      </c>
      <c r="J193" s="538">
        <v>44389</v>
      </c>
      <c r="K193" s="535" t="s">
        <v>170</v>
      </c>
      <c r="L193" s="535" t="s">
        <v>170</v>
      </c>
      <c r="M193" s="535" t="s">
        <v>1611</v>
      </c>
      <c r="N193" s="535" t="s">
        <v>1013</v>
      </c>
      <c r="O193" s="535" t="s">
        <v>1230</v>
      </c>
      <c r="P193" s="535" t="s">
        <v>1218</v>
      </c>
      <c r="Q193" s="535" t="s">
        <v>492</v>
      </c>
      <c r="R193" s="538" t="s">
        <v>170</v>
      </c>
      <c r="S193" s="535" t="s">
        <v>1259</v>
      </c>
      <c r="T193" s="535" t="s">
        <v>1612</v>
      </c>
      <c r="U193" s="536">
        <v>40331.199999999997</v>
      </c>
      <c r="V193" s="535" t="s">
        <v>1220</v>
      </c>
      <c r="X193" s="369">
        <f>IF(OR(T193="125-65-654-50110",T193="125-65-652-50110",T193="125-65-656-50110"),"N/A",COUNTIF('Prop Budget Calc'!A:A,'Base Pay Report'!A193))</f>
        <v>0</v>
      </c>
    </row>
    <row r="194" spans="1:24">
      <c r="A194" s="535" t="s">
        <v>1616</v>
      </c>
      <c r="B194" s="456" t="s">
        <v>2992</v>
      </c>
      <c r="C194" s="456" t="s">
        <v>2993</v>
      </c>
      <c r="D194" s="456" t="s">
        <v>2994</v>
      </c>
      <c r="E194" s="456" t="str">
        <f t="shared" si="3"/>
        <v>First Name Last Name</v>
      </c>
      <c r="F194" s="535" t="s">
        <v>1214</v>
      </c>
      <c r="G194" s="535" t="s">
        <v>1256</v>
      </c>
      <c r="H194" s="536">
        <v>17.54</v>
      </c>
      <c r="I194" s="537" t="s">
        <v>170</v>
      </c>
      <c r="J194" s="538">
        <v>44389</v>
      </c>
      <c r="K194" s="535" t="s">
        <v>170</v>
      </c>
      <c r="L194" s="535" t="s">
        <v>170</v>
      </c>
      <c r="M194" s="535" t="s">
        <v>1539</v>
      </c>
      <c r="N194" s="535" t="s">
        <v>140</v>
      </c>
      <c r="O194" s="535" t="s">
        <v>1304</v>
      </c>
      <c r="P194" s="535" t="s">
        <v>1218</v>
      </c>
      <c r="Q194" s="535" t="s">
        <v>492</v>
      </c>
      <c r="R194" s="538" t="s">
        <v>170</v>
      </c>
      <c r="S194" s="535" t="s">
        <v>1235</v>
      </c>
      <c r="T194" s="535" t="s">
        <v>1391</v>
      </c>
      <c r="U194" s="536">
        <v>36483.199999999997</v>
      </c>
      <c r="V194" s="535" t="s">
        <v>1220</v>
      </c>
      <c r="X194" s="369">
        <f>IF(OR(T194="125-65-654-50110",T194="125-65-652-50110",T194="125-65-656-50110"),"N/A",COUNTIF('Prop Budget Calc'!A:A,'Base Pay Report'!A194))</f>
        <v>0</v>
      </c>
    </row>
    <row r="195" spans="1:24">
      <c r="A195" s="535" t="s">
        <v>1617</v>
      </c>
      <c r="B195" s="456" t="s">
        <v>2992</v>
      </c>
      <c r="C195" s="456" t="s">
        <v>2993</v>
      </c>
      <c r="D195" s="456" t="s">
        <v>2994</v>
      </c>
      <c r="E195" s="456" t="str">
        <f t="shared" si="3"/>
        <v>First Name Last Name</v>
      </c>
      <c r="F195" s="535" t="s">
        <v>1214</v>
      </c>
      <c r="G195" s="535" t="s">
        <v>1361</v>
      </c>
      <c r="H195" s="536">
        <v>2425.06</v>
      </c>
      <c r="I195" s="537">
        <v>80</v>
      </c>
      <c r="J195" s="538">
        <v>42597</v>
      </c>
      <c r="K195" s="535" t="s">
        <v>170</v>
      </c>
      <c r="L195" s="535" t="s">
        <v>170</v>
      </c>
      <c r="M195" s="535" t="s">
        <v>1429</v>
      </c>
      <c r="N195" s="535" t="s">
        <v>114</v>
      </c>
      <c r="O195" s="535" t="s">
        <v>1230</v>
      </c>
      <c r="P195" s="535" t="s">
        <v>1218</v>
      </c>
      <c r="Q195" s="535" t="s">
        <v>1231</v>
      </c>
      <c r="R195" s="538" t="s">
        <v>170</v>
      </c>
      <c r="S195" s="535" t="s">
        <v>1241</v>
      </c>
      <c r="T195" s="535" t="s">
        <v>1341</v>
      </c>
      <c r="U195" s="536">
        <v>63051.56</v>
      </c>
      <c r="V195" s="535" t="s">
        <v>1220</v>
      </c>
      <c r="X195" s="369">
        <f>IF(OR(T195="125-65-654-50110",T195="125-65-652-50110",T195="125-65-656-50110"),"N/A",COUNTIF('Prop Budget Calc'!A:A,'Base Pay Report'!A195))</f>
        <v>1</v>
      </c>
    </row>
    <row r="196" spans="1:24">
      <c r="A196" s="535" t="s">
        <v>1619</v>
      </c>
      <c r="B196" s="456" t="s">
        <v>2992</v>
      </c>
      <c r="C196" s="456" t="s">
        <v>2993</v>
      </c>
      <c r="D196" s="456" t="s">
        <v>2994</v>
      </c>
      <c r="E196" s="456" t="str">
        <f t="shared" ref="E196:E259" si="4">B196&amp;" "&amp;D196</f>
        <v>First Name Last Name</v>
      </c>
      <c r="F196" s="535" t="s">
        <v>1214</v>
      </c>
      <c r="G196" s="535" t="s">
        <v>1563</v>
      </c>
      <c r="H196" s="536">
        <v>15.39</v>
      </c>
      <c r="I196" s="537" t="s">
        <v>170</v>
      </c>
      <c r="J196" s="538">
        <v>44401</v>
      </c>
      <c r="K196" s="535" t="s">
        <v>170</v>
      </c>
      <c r="L196" s="535" t="s">
        <v>170</v>
      </c>
      <c r="M196" s="535" t="s">
        <v>1564</v>
      </c>
      <c r="N196" s="535" t="s">
        <v>539</v>
      </c>
      <c r="O196" s="535" t="s">
        <v>1325</v>
      </c>
      <c r="P196" s="535" t="s">
        <v>1218</v>
      </c>
      <c r="Q196" s="535" t="s">
        <v>492</v>
      </c>
      <c r="R196" s="538" t="s">
        <v>170</v>
      </c>
      <c r="S196" s="535" t="s">
        <v>1305</v>
      </c>
      <c r="T196" s="535" t="s">
        <v>1565</v>
      </c>
      <c r="U196" s="536">
        <v>32011.200000000001</v>
      </c>
      <c r="V196" s="535" t="s">
        <v>1307</v>
      </c>
      <c r="X196" s="369" t="str">
        <f>IF(OR(T196="125-65-654-50110",T196="125-65-652-50110",T196="125-65-656-50110"),"N/A",COUNTIF('Prop Budget Calc'!A:A,'Base Pay Report'!A196))</f>
        <v>N/A</v>
      </c>
    </row>
    <row r="197" spans="1:24">
      <c r="A197" s="535" t="s">
        <v>1620</v>
      </c>
      <c r="B197" s="456" t="s">
        <v>2992</v>
      </c>
      <c r="C197" s="456" t="s">
        <v>2993</v>
      </c>
      <c r="D197" s="456" t="s">
        <v>2994</v>
      </c>
      <c r="E197" s="456" t="str">
        <f t="shared" si="4"/>
        <v>First Name Last Name</v>
      </c>
      <c r="F197" s="535" t="s">
        <v>1214</v>
      </c>
      <c r="G197" s="535" t="s">
        <v>1324</v>
      </c>
      <c r="H197" s="536">
        <v>15.3</v>
      </c>
      <c r="I197" s="537" t="s">
        <v>170</v>
      </c>
      <c r="J197" s="538">
        <v>44415</v>
      </c>
      <c r="K197" s="535" t="s">
        <v>170</v>
      </c>
      <c r="L197" s="535" t="s">
        <v>170</v>
      </c>
      <c r="M197" s="535" t="s">
        <v>2530</v>
      </c>
      <c r="N197" s="535" t="s">
        <v>2531</v>
      </c>
      <c r="O197" s="535" t="s">
        <v>1258</v>
      </c>
      <c r="P197" s="535" t="s">
        <v>1218</v>
      </c>
      <c r="Q197" s="535" t="s">
        <v>492</v>
      </c>
      <c r="R197" s="538">
        <v>45227</v>
      </c>
      <c r="S197" s="535" t="s">
        <v>1305</v>
      </c>
      <c r="T197" s="535" t="s">
        <v>2532</v>
      </c>
      <c r="U197" s="536">
        <v>31824</v>
      </c>
      <c r="V197" s="535" t="s">
        <v>1307</v>
      </c>
      <c r="X197" s="369">
        <f>IF(OR(T197="125-65-654-50110",T197="125-65-652-50110",T197="125-65-656-50110"),"N/A",COUNTIF('Prop Budget Calc'!A:A,'Base Pay Report'!A197))</f>
        <v>0</v>
      </c>
    </row>
    <row r="198" spans="1:24">
      <c r="A198" s="535" t="s">
        <v>1621</v>
      </c>
      <c r="B198" s="456" t="s">
        <v>2992</v>
      </c>
      <c r="C198" s="456" t="s">
        <v>2993</v>
      </c>
      <c r="D198" s="456" t="s">
        <v>2994</v>
      </c>
      <c r="E198" s="456" t="str">
        <f t="shared" si="4"/>
        <v>First Name Last Name</v>
      </c>
      <c r="F198" s="535" t="s">
        <v>1214</v>
      </c>
      <c r="G198" s="535" t="s">
        <v>1563</v>
      </c>
      <c r="H198" s="536">
        <v>15.09</v>
      </c>
      <c r="I198" s="537" t="s">
        <v>170</v>
      </c>
      <c r="J198" s="538">
        <v>44443</v>
      </c>
      <c r="K198" s="535" t="s">
        <v>170</v>
      </c>
      <c r="L198" s="535" t="s">
        <v>170</v>
      </c>
      <c r="M198" s="535" t="s">
        <v>1564</v>
      </c>
      <c r="N198" s="535" t="s">
        <v>539</v>
      </c>
      <c r="O198" s="535" t="s">
        <v>1325</v>
      </c>
      <c r="P198" s="535" t="s">
        <v>1218</v>
      </c>
      <c r="Q198" s="535" t="s">
        <v>492</v>
      </c>
      <c r="R198" s="538" t="s">
        <v>170</v>
      </c>
      <c r="S198" s="535" t="s">
        <v>1305</v>
      </c>
      <c r="T198" s="535" t="s">
        <v>1565</v>
      </c>
      <c r="U198" s="536">
        <v>31387.200000000001</v>
      </c>
      <c r="V198" s="535" t="s">
        <v>1307</v>
      </c>
      <c r="X198" s="369" t="str">
        <f>IF(OR(T198="125-65-654-50110",T198="125-65-652-50110",T198="125-65-656-50110"),"N/A",COUNTIF('Prop Budget Calc'!A:A,'Base Pay Report'!A198))</f>
        <v>N/A</v>
      </c>
    </row>
    <row r="199" spans="1:24">
      <c r="A199" s="535" t="s">
        <v>1622</v>
      </c>
      <c r="B199" s="456" t="s">
        <v>2992</v>
      </c>
      <c r="C199" s="456" t="s">
        <v>2993</v>
      </c>
      <c r="D199" s="456" t="s">
        <v>2994</v>
      </c>
      <c r="E199" s="456" t="str">
        <f t="shared" si="4"/>
        <v>First Name Last Name</v>
      </c>
      <c r="F199" s="535" t="s">
        <v>1214</v>
      </c>
      <c r="G199" s="535" t="s">
        <v>1602</v>
      </c>
      <c r="H199" s="536">
        <v>15.61</v>
      </c>
      <c r="I199" s="537" t="s">
        <v>170</v>
      </c>
      <c r="J199" s="538">
        <v>44443</v>
      </c>
      <c r="K199" s="535" t="s">
        <v>170</v>
      </c>
      <c r="L199" s="535" t="s">
        <v>170</v>
      </c>
      <c r="M199" s="535" t="s">
        <v>2466</v>
      </c>
      <c r="N199" s="535" t="s">
        <v>2467</v>
      </c>
      <c r="O199" s="535" t="s">
        <v>1325</v>
      </c>
      <c r="P199" s="535" t="s">
        <v>1218</v>
      </c>
      <c r="Q199" s="535" t="s">
        <v>492</v>
      </c>
      <c r="R199" s="538">
        <v>44828</v>
      </c>
      <c r="S199" s="535" t="s">
        <v>1305</v>
      </c>
      <c r="T199" s="535" t="s">
        <v>1326</v>
      </c>
      <c r="U199" s="536">
        <v>32468.799999999999</v>
      </c>
      <c r="V199" s="535" t="s">
        <v>1307</v>
      </c>
      <c r="X199" s="369" t="str">
        <f>IF(OR(T199="125-65-654-50110",T199="125-65-652-50110",T199="125-65-656-50110"),"N/A",COUNTIF('Prop Budget Calc'!A:A,'Base Pay Report'!A199))</f>
        <v>N/A</v>
      </c>
    </row>
    <row r="200" spans="1:24">
      <c r="A200" s="535" t="s">
        <v>1623</v>
      </c>
      <c r="B200" s="456" t="s">
        <v>2992</v>
      </c>
      <c r="C200" s="456" t="s">
        <v>2993</v>
      </c>
      <c r="D200" s="456" t="s">
        <v>2994</v>
      </c>
      <c r="E200" s="456" t="str">
        <f t="shared" si="4"/>
        <v>First Name Last Name</v>
      </c>
      <c r="F200" s="535" t="s">
        <v>1214</v>
      </c>
      <c r="G200" s="535" t="s">
        <v>170</v>
      </c>
      <c r="H200" s="536">
        <v>2122</v>
      </c>
      <c r="I200" s="537">
        <v>80</v>
      </c>
      <c r="J200" s="538">
        <v>44443</v>
      </c>
      <c r="K200" s="535" t="s">
        <v>170</v>
      </c>
      <c r="L200" s="535" t="s">
        <v>170</v>
      </c>
      <c r="M200" s="535" t="s">
        <v>1677</v>
      </c>
      <c r="N200" s="535" t="s">
        <v>1096</v>
      </c>
      <c r="O200" s="535" t="s">
        <v>1325</v>
      </c>
      <c r="P200" s="535" t="s">
        <v>1218</v>
      </c>
      <c r="Q200" s="535" t="s">
        <v>1231</v>
      </c>
      <c r="R200" s="538" t="s">
        <v>170</v>
      </c>
      <c r="S200" s="535" t="s">
        <v>1253</v>
      </c>
      <c r="T200" s="535" t="s">
        <v>1589</v>
      </c>
      <c r="U200" s="536">
        <v>55172</v>
      </c>
      <c r="V200" s="535" t="s">
        <v>1220</v>
      </c>
      <c r="X200" s="369">
        <f>IF(OR(T200="125-65-654-50110",T200="125-65-652-50110",T200="125-65-656-50110"),"N/A",COUNTIF('Prop Budget Calc'!A:A,'Base Pay Report'!A200))</f>
        <v>0</v>
      </c>
    </row>
    <row r="201" spans="1:24">
      <c r="A201" s="535" t="s">
        <v>1625</v>
      </c>
      <c r="B201" s="456" t="s">
        <v>2992</v>
      </c>
      <c r="C201" s="456" t="s">
        <v>2993</v>
      </c>
      <c r="D201" s="456" t="s">
        <v>2994</v>
      </c>
      <c r="E201" s="456" t="str">
        <f t="shared" si="4"/>
        <v>First Name Last Name</v>
      </c>
      <c r="F201" s="535" t="s">
        <v>1214</v>
      </c>
      <c r="G201" s="535" t="s">
        <v>1247</v>
      </c>
      <c r="H201" s="536">
        <v>34.99</v>
      </c>
      <c r="I201" s="537" t="s">
        <v>170</v>
      </c>
      <c r="J201" s="538">
        <v>44457</v>
      </c>
      <c r="K201" s="535" t="s">
        <v>170</v>
      </c>
      <c r="L201" s="535" t="s">
        <v>170</v>
      </c>
      <c r="M201" s="535" t="s">
        <v>1248</v>
      </c>
      <c r="N201" s="535" t="s">
        <v>116</v>
      </c>
      <c r="O201" s="535" t="s">
        <v>1224</v>
      </c>
      <c r="P201" s="535" t="s">
        <v>1218</v>
      </c>
      <c r="Q201" s="535" t="s">
        <v>492</v>
      </c>
      <c r="R201" s="538" t="s">
        <v>170</v>
      </c>
      <c r="S201" s="535" t="s">
        <v>1283</v>
      </c>
      <c r="T201" s="535" t="s">
        <v>955</v>
      </c>
      <c r="U201" s="536">
        <v>72779.199999999997</v>
      </c>
      <c r="V201" s="535" t="s">
        <v>1220</v>
      </c>
      <c r="X201" s="369">
        <f>IF(OR(T201="125-65-654-50110",T201="125-65-652-50110",T201="125-65-656-50110"),"N/A",COUNTIF('Prop Budget Calc'!A:A,'Base Pay Report'!A201))</f>
        <v>0</v>
      </c>
    </row>
    <row r="202" spans="1:24">
      <c r="A202" s="535" t="s">
        <v>1626</v>
      </c>
      <c r="B202" s="456" t="s">
        <v>2992</v>
      </c>
      <c r="C202" s="456" t="s">
        <v>2993</v>
      </c>
      <c r="D202" s="456" t="s">
        <v>2994</v>
      </c>
      <c r="E202" s="456" t="str">
        <f t="shared" si="4"/>
        <v>First Name Last Name</v>
      </c>
      <c r="F202" s="535" t="s">
        <v>1214</v>
      </c>
      <c r="G202" s="535" t="s">
        <v>1247</v>
      </c>
      <c r="H202" s="536">
        <v>34.99</v>
      </c>
      <c r="I202" s="537" t="s">
        <v>170</v>
      </c>
      <c r="J202" s="538">
        <v>44457</v>
      </c>
      <c r="K202" s="535" t="s">
        <v>170</v>
      </c>
      <c r="L202" s="535" t="s">
        <v>170</v>
      </c>
      <c r="M202" s="535" t="s">
        <v>1248</v>
      </c>
      <c r="N202" s="535" t="s">
        <v>116</v>
      </c>
      <c r="O202" s="535" t="s">
        <v>1224</v>
      </c>
      <c r="P202" s="535" t="s">
        <v>1218</v>
      </c>
      <c r="Q202" s="535" t="s">
        <v>492</v>
      </c>
      <c r="R202" s="538" t="s">
        <v>170</v>
      </c>
      <c r="S202" s="535" t="s">
        <v>1283</v>
      </c>
      <c r="T202" s="535" t="s">
        <v>955</v>
      </c>
      <c r="U202" s="536">
        <v>72779.199999999997</v>
      </c>
      <c r="V202" s="535" t="s">
        <v>1220</v>
      </c>
      <c r="X202" s="369">
        <f>IF(OR(T202="125-65-654-50110",T202="125-65-652-50110",T202="125-65-656-50110"),"N/A",COUNTIF('Prop Budget Calc'!A:A,'Base Pay Report'!A202))</f>
        <v>0</v>
      </c>
    </row>
    <row r="203" spans="1:24">
      <c r="A203" s="535" t="s">
        <v>1627</v>
      </c>
      <c r="B203" s="456" t="s">
        <v>2992</v>
      </c>
      <c r="C203" s="456" t="s">
        <v>2993</v>
      </c>
      <c r="D203" s="456" t="s">
        <v>2994</v>
      </c>
      <c r="E203" s="456" t="str">
        <f t="shared" si="4"/>
        <v>First Name Last Name</v>
      </c>
      <c r="F203" s="535" t="s">
        <v>1214</v>
      </c>
      <c r="G203" s="535" t="s">
        <v>1247</v>
      </c>
      <c r="H203" s="536">
        <v>34.299999999999997</v>
      </c>
      <c r="I203" s="537" t="s">
        <v>170</v>
      </c>
      <c r="J203" s="538">
        <v>44471</v>
      </c>
      <c r="K203" s="535" t="s">
        <v>170</v>
      </c>
      <c r="L203" s="535" t="s">
        <v>170</v>
      </c>
      <c r="M203" s="535" t="s">
        <v>1248</v>
      </c>
      <c r="N203" s="535" t="s">
        <v>116</v>
      </c>
      <c r="O203" s="535" t="s">
        <v>1224</v>
      </c>
      <c r="P203" s="535" t="s">
        <v>1218</v>
      </c>
      <c r="Q203" s="535" t="s">
        <v>492</v>
      </c>
      <c r="R203" s="538" t="s">
        <v>170</v>
      </c>
      <c r="S203" s="535" t="s">
        <v>1283</v>
      </c>
      <c r="T203" s="535" t="s">
        <v>955</v>
      </c>
      <c r="U203" s="536">
        <v>71344</v>
      </c>
      <c r="V203" s="535" t="s">
        <v>1220</v>
      </c>
      <c r="X203" s="369">
        <f>IF(OR(T203="125-65-654-50110",T203="125-65-652-50110",T203="125-65-656-50110"),"N/A",COUNTIF('Prop Budget Calc'!A:A,'Base Pay Report'!A203))</f>
        <v>0</v>
      </c>
    </row>
    <row r="204" spans="1:24">
      <c r="A204" s="535" t="s">
        <v>1628</v>
      </c>
      <c r="B204" s="456" t="s">
        <v>2992</v>
      </c>
      <c r="C204" s="456" t="s">
        <v>2993</v>
      </c>
      <c r="D204" s="456" t="s">
        <v>2994</v>
      </c>
      <c r="E204" s="456" t="str">
        <f t="shared" si="4"/>
        <v>First Name Last Name</v>
      </c>
      <c r="F204" s="535" t="s">
        <v>1214</v>
      </c>
      <c r="G204" s="535" t="s">
        <v>1247</v>
      </c>
      <c r="H204" s="536">
        <v>34.299999999999997</v>
      </c>
      <c r="I204" s="537" t="s">
        <v>170</v>
      </c>
      <c r="J204" s="538">
        <v>44471</v>
      </c>
      <c r="K204" s="535" t="s">
        <v>170</v>
      </c>
      <c r="L204" s="535" t="s">
        <v>170</v>
      </c>
      <c r="M204" s="535" t="s">
        <v>1248</v>
      </c>
      <c r="N204" s="535" t="s">
        <v>116</v>
      </c>
      <c r="O204" s="535" t="s">
        <v>1224</v>
      </c>
      <c r="P204" s="535" t="s">
        <v>1218</v>
      </c>
      <c r="Q204" s="535" t="s">
        <v>492</v>
      </c>
      <c r="R204" s="538" t="s">
        <v>170</v>
      </c>
      <c r="S204" s="535" t="s">
        <v>1283</v>
      </c>
      <c r="T204" s="535" t="s">
        <v>955</v>
      </c>
      <c r="U204" s="536">
        <v>71344</v>
      </c>
      <c r="V204" s="535" t="s">
        <v>1220</v>
      </c>
      <c r="X204" s="369">
        <f>IF(OR(T204="125-65-654-50110",T204="125-65-652-50110",T204="125-65-656-50110"),"N/A",COUNTIF('Prop Budget Calc'!A:A,'Base Pay Report'!A204))</f>
        <v>0</v>
      </c>
    </row>
    <row r="205" spans="1:24">
      <c r="A205" s="535" t="s">
        <v>1629</v>
      </c>
      <c r="B205" s="456" t="s">
        <v>2992</v>
      </c>
      <c r="C205" s="456" t="s">
        <v>2993</v>
      </c>
      <c r="D205" s="456" t="s">
        <v>2994</v>
      </c>
      <c r="E205" s="456" t="str">
        <f t="shared" si="4"/>
        <v>First Name Last Name</v>
      </c>
      <c r="F205" s="535" t="s">
        <v>1214</v>
      </c>
      <c r="G205" s="535" t="s">
        <v>1288</v>
      </c>
      <c r="H205" s="536">
        <v>26.58</v>
      </c>
      <c r="I205" s="537" t="s">
        <v>170</v>
      </c>
      <c r="J205" s="538">
        <v>44494</v>
      </c>
      <c r="K205" s="535" t="s">
        <v>170</v>
      </c>
      <c r="L205" s="535" t="s">
        <v>170</v>
      </c>
      <c r="M205" s="535" t="s">
        <v>2533</v>
      </c>
      <c r="N205" s="535" t="s">
        <v>2534</v>
      </c>
      <c r="O205" s="535" t="s">
        <v>1230</v>
      </c>
      <c r="P205" s="535" t="s">
        <v>1218</v>
      </c>
      <c r="Q205" s="535" t="s">
        <v>492</v>
      </c>
      <c r="R205" s="538" t="s">
        <v>170</v>
      </c>
      <c r="S205" s="535" t="s">
        <v>1259</v>
      </c>
      <c r="T205" s="535" t="s">
        <v>966</v>
      </c>
      <c r="U205" s="536">
        <v>55286.400000000001</v>
      </c>
      <c r="V205" s="535" t="s">
        <v>1220</v>
      </c>
      <c r="X205" s="369">
        <f>IF(OR(T205="125-65-654-50110",T205="125-65-652-50110",T205="125-65-656-50110"),"N/A",COUNTIF('Prop Budget Calc'!A:A,'Base Pay Report'!A205))</f>
        <v>1</v>
      </c>
    </row>
    <row r="206" spans="1:24">
      <c r="A206" s="535" t="s">
        <v>1630</v>
      </c>
      <c r="B206" s="456" t="s">
        <v>2992</v>
      </c>
      <c r="C206" s="456" t="s">
        <v>2993</v>
      </c>
      <c r="D206" s="456" t="s">
        <v>2994</v>
      </c>
      <c r="E206" s="456" t="str">
        <f t="shared" si="4"/>
        <v>First Name Last Name</v>
      </c>
      <c r="F206" s="535" t="s">
        <v>1214</v>
      </c>
      <c r="G206" s="535" t="s">
        <v>1256</v>
      </c>
      <c r="H206" s="536">
        <v>19.39</v>
      </c>
      <c r="I206" s="537" t="s">
        <v>170</v>
      </c>
      <c r="J206" s="538">
        <v>44494</v>
      </c>
      <c r="K206" s="535" t="s">
        <v>170</v>
      </c>
      <c r="L206" s="535" t="s">
        <v>170</v>
      </c>
      <c r="M206" s="535" t="s">
        <v>1611</v>
      </c>
      <c r="N206" s="535" t="s">
        <v>1013</v>
      </c>
      <c r="O206" s="535" t="s">
        <v>1230</v>
      </c>
      <c r="P206" s="535" t="s">
        <v>1218</v>
      </c>
      <c r="Q206" s="535" t="s">
        <v>492</v>
      </c>
      <c r="R206" s="538" t="s">
        <v>170</v>
      </c>
      <c r="S206" s="535" t="s">
        <v>1259</v>
      </c>
      <c r="T206" s="535" t="s">
        <v>1612</v>
      </c>
      <c r="U206" s="536">
        <v>40331.199999999997</v>
      </c>
      <c r="V206" s="535" t="s">
        <v>1220</v>
      </c>
      <c r="X206" s="369">
        <f>IF(OR(T206="125-65-654-50110",T206="125-65-652-50110",T206="125-65-656-50110"),"N/A",COUNTIF('Prop Budget Calc'!A:A,'Base Pay Report'!A206))</f>
        <v>1</v>
      </c>
    </row>
    <row r="207" spans="1:24">
      <c r="A207" s="535" t="s">
        <v>1631</v>
      </c>
      <c r="B207" s="456" t="s">
        <v>2992</v>
      </c>
      <c r="C207" s="456" t="s">
        <v>2993</v>
      </c>
      <c r="D207" s="456" t="s">
        <v>2994</v>
      </c>
      <c r="E207" s="456" t="str">
        <f t="shared" si="4"/>
        <v>First Name Last Name</v>
      </c>
      <c r="F207" s="535" t="s">
        <v>1214</v>
      </c>
      <c r="G207" s="535" t="s">
        <v>1238</v>
      </c>
      <c r="H207" s="536">
        <v>4971.3500000000004</v>
      </c>
      <c r="I207" s="537">
        <v>80</v>
      </c>
      <c r="J207" s="538">
        <v>44508</v>
      </c>
      <c r="K207" s="535" t="s">
        <v>170</v>
      </c>
      <c r="L207" s="535" t="s">
        <v>170</v>
      </c>
      <c r="M207" s="535" t="s">
        <v>1632</v>
      </c>
      <c r="N207" s="535" t="s">
        <v>1017</v>
      </c>
      <c r="O207" s="535" t="s">
        <v>1230</v>
      </c>
      <c r="P207" s="535" t="s">
        <v>1218</v>
      </c>
      <c r="Q207" s="535" t="s">
        <v>1231</v>
      </c>
      <c r="R207" s="538" t="s">
        <v>170</v>
      </c>
      <c r="S207" s="535" t="s">
        <v>1241</v>
      </c>
      <c r="T207" s="535" t="s">
        <v>1453</v>
      </c>
      <c r="U207" s="536">
        <v>129255.1</v>
      </c>
      <c r="V207" s="535" t="s">
        <v>1220</v>
      </c>
      <c r="X207" s="369">
        <f>IF(OR(T207="125-65-654-50110",T207="125-65-652-50110",T207="125-65-656-50110"),"N/A",COUNTIF('Prop Budget Calc'!A:A,'Base Pay Report'!A207))</f>
        <v>0</v>
      </c>
    </row>
    <row r="208" spans="1:24">
      <c r="A208" s="535" t="s">
        <v>1633</v>
      </c>
      <c r="B208" s="456" t="s">
        <v>2992</v>
      </c>
      <c r="C208" s="456" t="s">
        <v>2993</v>
      </c>
      <c r="D208" s="456" t="s">
        <v>2994</v>
      </c>
      <c r="E208" s="456" t="str">
        <f t="shared" si="4"/>
        <v>First Name Last Name</v>
      </c>
      <c r="F208" s="535" t="s">
        <v>1214</v>
      </c>
      <c r="G208" s="535" t="s">
        <v>170</v>
      </c>
      <c r="H208" s="536">
        <v>25.98</v>
      </c>
      <c r="I208" s="537" t="s">
        <v>170</v>
      </c>
      <c r="J208" s="538">
        <v>44494</v>
      </c>
      <c r="K208" s="535" t="s">
        <v>170</v>
      </c>
      <c r="L208" s="535" t="s">
        <v>170</v>
      </c>
      <c r="M208" s="535" t="s">
        <v>2590</v>
      </c>
      <c r="N208" s="535" t="s">
        <v>2599</v>
      </c>
      <c r="O208" s="535" t="s">
        <v>1230</v>
      </c>
      <c r="P208" s="535" t="s">
        <v>1218</v>
      </c>
      <c r="Q208" s="535" t="s">
        <v>492</v>
      </c>
      <c r="R208" s="538" t="s">
        <v>170</v>
      </c>
      <c r="S208" s="535" t="s">
        <v>1294</v>
      </c>
      <c r="T208" s="535" t="s">
        <v>954</v>
      </c>
      <c r="U208" s="536">
        <v>54038.400000000001</v>
      </c>
      <c r="V208" s="535" t="s">
        <v>1220</v>
      </c>
      <c r="X208" s="369">
        <f>IF(OR(T208="125-65-654-50110",T208="125-65-652-50110",T208="125-65-656-50110"),"N/A",COUNTIF('Prop Budget Calc'!A:A,'Base Pay Report'!A208))</f>
        <v>0</v>
      </c>
    </row>
    <row r="209" spans="1:24">
      <c r="A209" s="535" t="s">
        <v>1634</v>
      </c>
      <c r="B209" s="456" t="s">
        <v>2992</v>
      </c>
      <c r="C209" s="456" t="s">
        <v>2993</v>
      </c>
      <c r="D209" s="456" t="s">
        <v>2994</v>
      </c>
      <c r="E209" s="456" t="str">
        <f t="shared" si="4"/>
        <v>First Name Last Name</v>
      </c>
      <c r="F209" s="535" t="s">
        <v>1214</v>
      </c>
      <c r="G209" s="535" t="s">
        <v>1563</v>
      </c>
      <c r="H209" s="536">
        <v>15.39</v>
      </c>
      <c r="I209" s="537" t="s">
        <v>170</v>
      </c>
      <c r="J209" s="538">
        <v>44485</v>
      </c>
      <c r="K209" s="535" t="s">
        <v>170</v>
      </c>
      <c r="L209" s="535" t="s">
        <v>170</v>
      </c>
      <c r="M209" s="535" t="s">
        <v>1564</v>
      </c>
      <c r="N209" s="535" t="s">
        <v>539</v>
      </c>
      <c r="O209" s="535" t="s">
        <v>1325</v>
      </c>
      <c r="P209" s="535" t="s">
        <v>1218</v>
      </c>
      <c r="Q209" s="535" t="s">
        <v>492</v>
      </c>
      <c r="R209" s="538" t="s">
        <v>170</v>
      </c>
      <c r="S209" s="535" t="s">
        <v>1305</v>
      </c>
      <c r="T209" s="535" t="s">
        <v>1565</v>
      </c>
      <c r="U209" s="536">
        <v>32011.200000000001</v>
      </c>
      <c r="V209" s="535" t="s">
        <v>1307</v>
      </c>
      <c r="X209" s="369" t="str">
        <f>IF(OR(T209="125-65-654-50110",T209="125-65-652-50110",T209="125-65-656-50110"),"N/A",COUNTIF('Prop Budget Calc'!A:A,'Base Pay Report'!A209))</f>
        <v>N/A</v>
      </c>
    </row>
    <row r="210" spans="1:24">
      <c r="A210" s="535" t="s">
        <v>2552</v>
      </c>
      <c r="B210" s="456" t="s">
        <v>2992</v>
      </c>
      <c r="C210" s="456" t="s">
        <v>2993</v>
      </c>
      <c r="D210" s="456" t="s">
        <v>2994</v>
      </c>
      <c r="E210" s="456" t="str">
        <f t="shared" si="4"/>
        <v>First Name Last Name</v>
      </c>
      <c r="F210" s="535" t="s">
        <v>1214</v>
      </c>
      <c r="G210" s="535" t="s">
        <v>170</v>
      </c>
      <c r="H210" s="536">
        <v>13.77</v>
      </c>
      <c r="I210" s="537" t="s">
        <v>170</v>
      </c>
      <c r="J210" s="538">
        <v>44499</v>
      </c>
      <c r="K210" s="535" t="s">
        <v>170</v>
      </c>
      <c r="L210" s="535" t="s">
        <v>170</v>
      </c>
      <c r="M210" s="535" t="s">
        <v>1487</v>
      </c>
      <c r="N210" s="535" t="s">
        <v>1488</v>
      </c>
      <c r="O210" s="535" t="s">
        <v>1325</v>
      </c>
      <c r="P210" s="535" t="s">
        <v>1218</v>
      </c>
      <c r="Q210" s="535" t="s">
        <v>492</v>
      </c>
      <c r="R210" s="538">
        <v>45353</v>
      </c>
      <c r="S210" s="535" t="s">
        <v>1305</v>
      </c>
      <c r="T210" s="535" t="s">
        <v>1326</v>
      </c>
      <c r="U210" s="536">
        <v>28641.599999999999</v>
      </c>
      <c r="V210" s="535" t="s">
        <v>1307</v>
      </c>
      <c r="X210" s="369" t="str">
        <f>IF(OR(T210="125-65-654-50110",T210="125-65-652-50110",T210="125-65-656-50110"),"N/A",COUNTIF('Prop Budget Calc'!A:A,'Base Pay Report'!A210))</f>
        <v>N/A</v>
      </c>
    </row>
    <row r="211" spans="1:24">
      <c r="A211" s="535" t="s">
        <v>1636</v>
      </c>
      <c r="B211" s="456" t="s">
        <v>2992</v>
      </c>
      <c r="C211" s="456" t="s">
        <v>2993</v>
      </c>
      <c r="D211" s="456" t="s">
        <v>2994</v>
      </c>
      <c r="E211" s="456" t="str">
        <f t="shared" si="4"/>
        <v>First Name Last Name</v>
      </c>
      <c r="F211" s="535" t="s">
        <v>1214</v>
      </c>
      <c r="G211" s="535" t="s">
        <v>1256</v>
      </c>
      <c r="H211" s="536">
        <v>20.93</v>
      </c>
      <c r="I211" s="537" t="s">
        <v>170</v>
      </c>
      <c r="J211" s="538">
        <v>44536</v>
      </c>
      <c r="K211" s="535" t="s">
        <v>170</v>
      </c>
      <c r="L211" s="535" t="s">
        <v>170</v>
      </c>
      <c r="M211" s="535" t="s">
        <v>1392</v>
      </c>
      <c r="N211" s="535" t="s">
        <v>998</v>
      </c>
      <c r="O211" s="535" t="s">
        <v>1290</v>
      </c>
      <c r="P211" s="535" t="s">
        <v>1218</v>
      </c>
      <c r="Q211" s="535" t="s">
        <v>492</v>
      </c>
      <c r="R211" s="538" t="s">
        <v>170</v>
      </c>
      <c r="S211" s="535" t="s">
        <v>1259</v>
      </c>
      <c r="T211" s="535" t="s">
        <v>962</v>
      </c>
      <c r="U211" s="536">
        <v>43534.400000000001</v>
      </c>
      <c r="V211" s="535" t="s">
        <v>1220</v>
      </c>
      <c r="X211" s="369">
        <f>IF(OR(T211="125-65-654-50110",T211="125-65-652-50110",T211="125-65-656-50110"),"N/A",COUNTIF('Prop Budget Calc'!A:A,'Base Pay Report'!A211))</f>
        <v>0</v>
      </c>
    </row>
    <row r="212" spans="1:24">
      <c r="A212" s="535" t="s">
        <v>1637</v>
      </c>
      <c r="B212" s="456" t="s">
        <v>2992</v>
      </c>
      <c r="C212" s="456" t="s">
        <v>2993</v>
      </c>
      <c r="D212" s="456" t="s">
        <v>2994</v>
      </c>
      <c r="E212" s="456" t="str">
        <f t="shared" si="4"/>
        <v>First Name Last Name</v>
      </c>
      <c r="F212" s="535" t="s">
        <v>1214</v>
      </c>
      <c r="G212" s="535" t="s">
        <v>1486</v>
      </c>
      <c r="H212" s="536">
        <v>15.61</v>
      </c>
      <c r="I212" s="537" t="s">
        <v>170</v>
      </c>
      <c r="J212" s="538">
        <v>44527</v>
      </c>
      <c r="K212" s="535" t="s">
        <v>170</v>
      </c>
      <c r="L212" s="535" t="s">
        <v>170</v>
      </c>
      <c r="M212" s="535" t="s">
        <v>1491</v>
      </c>
      <c r="N212" s="535" t="s">
        <v>1008</v>
      </c>
      <c r="O212" s="535" t="s">
        <v>1230</v>
      </c>
      <c r="P212" s="535" t="s">
        <v>1218</v>
      </c>
      <c r="Q212" s="535" t="s">
        <v>492</v>
      </c>
      <c r="R212" s="538" t="s">
        <v>170</v>
      </c>
      <c r="S212" s="535" t="s">
        <v>1305</v>
      </c>
      <c r="T212" s="535" t="s">
        <v>1493</v>
      </c>
      <c r="U212" s="536">
        <v>32468.799999999999</v>
      </c>
      <c r="V212" s="535" t="s">
        <v>1307</v>
      </c>
      <c r="X212" s="369" t="str">
        <f>IF(OR(T212="125-65-654-50110",T212="125-65-652-50110",T212="125-65-656-50110"),"N/A",COUNTIF('Prop Budget Calc'!A:A,'Base Pay Report'!A212))</f>
        <v>N/A</v>
      </c>
    </row>
    <row r="213" spans="1:24">
      <c r="A213" s="535" t="s">
        <v>1638</v>
      </c>
      <c r="B213" s="456" t="s">
        <v>2992</v>
      </c>
      <c r="C213" s="456" t="s">
        <v>2993</v>
      </c>
      <c r="D213" s="456" t="s">
        <v>2994</v>
      </c>
      <c r="E213" s="456" t="str">
        <f t="shared" si="4"/>
        <v>First Name Last Name</v>
      </c>
      <c r="F213" s="535" t="s">
        <v>1214</v>
      </c>
      <c r="G213" s="535" t="s">
        <v>1563</v>
      </c>
      <c r="H213" s="536">
        <v>15.09</v>
      </c>
      <c r="I213" s="537" t="s">
        <v>170</v>
      </c>
      <c r="J213" s="538">
        <v>44527</v>
      </c>
      <c r="K213" s="535" t="s">
        <v>170</v>
      </c>
      <c r="L213" s="535" t="s">
        <v>170</v>
      </c>
      <c r="M213" s="535" t="s">
        <v>1564</v>
      </c>
      <c r="N213" s="535" t="s">
        <v>539</v>
      </c>
      <c r="O213" s="535" t="s">
        <v>1325</v>
      </c>
      <c r="P213" s="535" t="s">
        <v>1218</v>
      </c>
      <c r="Q213" s="535" t="s">
        <v>492</v>
      </c>
      <c r="R213" s="538" t="s">
        <v>170</v>
      </c>
      <c r="S213" s="535" t="s">
        <v>1305</v>
      </c>
      <c r="T213" s="535" t="s">
        <v>1565</v>
      </c>
      <c r="U213" s="536">
        <v>31387.200000000001</v>
      </c>
      <c r="V213" s="535" t="s">
        <v>1307</v>
      </c>
      <c r="X213" s="369" t="str">
        <f>IF(OR(T213="125-65-654-50110",T213="125-65-652-50110",T213="125-65-656-50110"),"N/A",COUNTIF('Prop Budget Calc'!A:A,'Base Pay Report'!A213))</f>
        <v>N/A</v>
      </c>
    </row>
    <row r="214" spans="1:24">
      <c r="A214" s="535" t="s">
        <v>1639</v>
      </c>
      <c r="B214" s="456" t="s">
        <v>2992</v>
      </c>
      <c r="C214" s="456" t="s">
        <v>2993</v>
      </c>
      <c r="D214" s="456" t="s">
        <v>2994</v>
      </c>
      <c r="E214" s="456" t="str">
        <f t="shared" si="4"/>
        <v>First Name Last Name</v>
      </c>
      <c r="F214" s="535" t="s">
        <v>1214</v>
      </c>
      <c r="G214" s="535" t="s">
        <v>1309</v>
      </c>
      <c r="H214" s="536">
        <v>19.7</v>
      </c>
      <c r="I214" s="537" t="s">
        <v>170</v>
      </c>
      <c r="J214" s="538">
        <v>44538</v>
      </c>
      <c r="K214" s="535" t="s">
        <v>170</v>
      </c>
      <c r="L214" s="535" t="s">
        <v>170</v>
      </c>
      <c r="M214" s="535" t="s">
        <v>1624</v>
      </c>
      <c r="N214" s="535" t="s">
        <v>1016</v>
      </c>
      <c r="O214" s="535" t="s">
        <v>1304</v>
      </c>
      <c r="P214" s="535" t="s">
        <v>1218</v>
      </c>
      <c r="Q214" s="535" t="s">
        <v>492</v>
      </c>
      <c r="R214" s="538" t="s">
        <v>170</v>
      </c>
      <c r="S214" s="535" t="s">
        <v>1259</v>
      </c>
      <c r="T214" s="535" t="s">
        <v>1391</v>
      </c>
      <c r="U214" s="536">
        <v>40976</v>
      </c>
      <c r="V214" s="535" t="s">
        <v>1220</v>
      </c>
      <c r="X214" s="369">
        <f>IF(OR(T214="125-65-654-50110",T214="125-65-652-50110",T214="125-65-656-50110"),"N/A",COUNTIF('Prop Budget Calc'!A:A,'Base Pay Report'!A214))</f>
        <v>1</v>
      </c>
    </row>
    <row r="215" spans="1:24">
      <c r="A215" s="535" t="s">
        <v>1641</v>
      </c>
      <c r="B215" s="456" t="s">
        <v>2992</v>
      </c>
      <c r="C215" s="456" t="s">
        <v>2993</v>
      </c>
      <c r="D215" s="456" t="s">
        <v>2994</v>
      </c>
      <c r="E215" s="456" t="str">
        <f t="shared" si="4"/>
        <v>First Name Last Name</v>
      </c>
      <c r="F215" s="535" t="s">
        <v>1214</v>
      </c>
      <c r="G215" s="535" t="s">
        <v>1233</v>
      </c>
      <c r="H215" s="536">
        <v>2292.9299999999998</v>
      </c>
      <c r="I215" s="537">
        <v>80</v>
      </c>
      <c r="J215" s="538">
        <v>44564</v>
      </c>
      <c r="K215" s="535" t="s">
        <v>170</v>
      </c>
      <c r="L215" s="535" t="s">
        <v>170</v>
      </c>
      <c r="M215" s="535" t="s">
        <v>1642</v>
      </c>
      <c r="N215" s="535" t="s">
        <v>1005</v>
      </c>
      <c r="O215" s="535" t="s">
        <v>1230</v>
      </c>
      <c r="P215" s="535" t="s">
        <v>1218</v>
      </c>
      <c r="Q215" s="535" t="s">
        <v>1231</v>
      </c>
      <c r="R215" s="538" t="s">
        <v>170</v>
      </c>
      <c r="S215" s="535" t="s">
        <v>1241</v>
      </c>
      <c r="T215" s="535" t="s">
        <v>1360</v>
      </c>
      <c r="U215" s="536">
        <v>59616.18</v>
      </c>
      <c r="V215" s="535" t="s">
        <v>1220</v>
      </c>
      <c r="X215" s="369">
        <f>IF(OR(T215="125-65-654-50110",T215="125-65-652-50110",T215="125-65-656-50110"),"N/A",COUNTIF('Prop Budget Calc'!A:A,'Base Pay Report'!A215))</f>
        <v>0</v>
      </c>
    </row>
    <row r="216" spans="1:24">
      <c r="A216" s="535" t="s">
        <v>1643</v>
      </c>
      <c r="B216" s="456" t="s">
        <v>2992</v>
      </c>
      <c r="C216" s="456" t="s">
        <v>2993</v>
      </c>
      <c r="D216" s="456" t="s">
        <v>2994</v>
      </c>
      <c r="E216" s="456" t="str">
        <f t="shared" si="4"/>
        <v>First Name Last Name</v>
      </c>
      <c r="F216" s="535" t="s">
        <v>1214</v>
      </c>
      <c r="G216" s="535" t="s">
        <v>170</v>
      </c>
      <c r="H216" s="536">
        <v>2434.62</v>
      </c>
      <c r="I216" s="537">
        <v>80</v>
      </c>
      <c r="J216" s="538">
        <v>42688</v>
      </c>
      <c r="K216" s="535" t="s">
        <v>170</v>
      </c>
      <c r="L216" s="535" t="s">
        <v>170</v>
      </c>
      <c r="M216" s="535" t="s">
        <v>1644</v>
      </c>
      <c r="N216" s="535" t="s">
        <v>1019</v>
      </c>
      <c r="O216" s="535" t="s">
        <v>1230</v>
      </c>
      <c r="P216" s="535" t="s">
        <v>1218</v>
      </c>
      <c r="Q216" s="535" t="s">
        <v>1231</v>
      </c>
      <c r="R216" s="538" t="s">
        <v>170</v>
      </c>
      <c r="S216" s="535" t="s">
        <v>1253</v>
      </c>
      <c r="T216" s="535" t="s">
        <v>1645</v>
      </c>
      <c r="U216" s="536">
        <v>63300.12</v>
      </c>
      <c r="V216" s="535" t="s">
        <v>1220</v>
      </c>
      <c r="X216" s="369">
        <f>IF(OR(T216="125-65-654-50110",T216="125-65-652-50110",T216="125-65-656-50110"),"N/A",COUNTIF('Prop Budget Calc'!A:A,'Base Pay Report'!A216))</f>
        <v>0</v>
      </c>
    </row>
    <row r="217" spans="1:24">
      <c r="A217" s="535" t="s">
        <v>1646</v>
      </c>
      <c r="B217" s="456" t="s">
        <v>2992</v>
      </c>
      <c r="C217" s="456" t="s">
        <v>2993</v>
      </c>
      <c r="D217" s="456" t="s">
        <v>2994</v>
      </c>
      <c r="E217" s="456" t="str">
        <f t="shared" si="4"/>
        <v>First Name Last Name</v>
      </c>
      <c r="F217" s="535" t="s">
        <v>1214</v>
      </c>
      <c r="G217" s="535" t="s">
        <v>1233</v>
      </c>
      <c r="H217" s="536">
        <v>2212.9499999999998</v>
      </c>
      <c r="I217" s="537">
        <v>80</v>
      </c>
      <c r="J217" s="538">
        <v>44564</v>
      </c>
      <c r="K217" s="535" t="s">
        <v>170</v>
      </c>
      <c r="L217" s="535" t="s">
        <v>170</v>
      </c>
      <c r="M217" s="535" t="s">
        <v>1647</v>
      </c>
      <c r="N217" s="535" t="s">
        <v>969</v>
      </c>
      <c r="O217" s="535" t="s">
        <v>1230</v>
      </c>
      <c r="P217" s="535" t="s">
        <v>1218</v>
      </c>
      <c r="Q217" s="535" t="s">
        <v>1231</v>
      </c>
      <c r="R217" s="538" t="s">
        <v>170</v>
      </c>
      <c r="S217" s="535" t="s">
        <v>1253</v>
      </c>
      <c r="T217" s="535" t="s">
        <v>1254</v>
      </c>
      <c r="U217" s="536">
        <v>57536.7</v>
      </c>
      <c r="V217" s="535" t="s">
        <v>1220</v>
      </c>
      <c r="X217" s="369">
        <f>IF(OR(T217="125-65-654-50110",T217="125-65-652-50110",T217="125-65-656-50110"),"N/A",COUNTIF('Prop Budget Calc'!A:A,'Base Pay Report'!A217))</f>
        <v>0</v>
      </c>
    </row>
    <row r="218" spans="1:24">
      <c r="A218" s="535" t="s">
        <v>1648</v>
      </c>
      <c r="B218" s="456" t="s">
        <v>2992</v>
      </c>
      <c r="C218" s="456" t="s">
        <v>2993</v>
      </c>
      <c r="D218" s="456" t="s">
        <v>2994</v>
      </c>
      <c r="E218" s="456" t="str">
        <f t="shared" si="4"/>
        <v>First Name Last Name</v>
      </c>
      <c r="F218" s="535" t="s">
        <v>1214</v>
      </c>
      <c r="G218" s="535" t="s">
        <v>1486</v>
      </c>
      <c r="H218" s="536">
        <v>15.61</v>
      </c>
      <c r="I218" s="537" t="s">
        <v>170</v>
      </c>
      <c r="J218" s="538">
        <v>44541</v>
      </c>
      <c r="K218" s="535" t="s">
        <v>170</v>
      </c>
      <c r="L218" s="535" t="s">
        <v>170</v>
      </c>
      <c r="M218" s="535" t="s">
        <v>1491</v>
      </c>
      <c r="N218" s="535" t="s">
        <v>1008</v>
      </c>
      <c r="O218" s="535" t="s">
        <v>1325</v>
      </c>
      <c r="P218" s="535" t="s">
        <v>1218</v>
      </c>
      <c r="Q218" s="535" t="s">
        <v>492</v>
      </c>
      <c r="R218" s="538" t="s">
        <v>170</v>
      </c>
      <c r="S218" s="535" t="s">
        <v>1305</v>
      </c>
      <c r="T218" s="535" t="s">
        <v>1493</v>
      </c>
      <c r="U218" s="536">
        <v>32468.799999999999</v>
      </c>
      <c r="V218" s="535" t="s">
        <v>1307</v>
      </c>
      <c r="X218" s="369" t="str">
        <f>IF(OR(T218="125-65-654-50110",T218="125-65-652-50110",T218="125-65-656-50110"),"N/A",COUNTIF('Prop Budget Calc'!A:A,'Base Pay Report'!A218))</f>
        <v>N/A</v>
      </c>
    </row>
    <row r="219" spans="1:24">
      <c r="A219" s="535" t="s">
        <v>1649</v>
      </c>
      <c r="B219" s="456" t="s">
        <v>2992</v>
      </c>
      <c r="C219" s="456" t="s">
        <v>2993</v>
      </c>
      <c r="D219" s="456" t="s">
        <v>2994</v>
      </c>
      <c r="E219" s="456" t="str">
        <f t="shared" si="4"/>
        <v>First Name Last Name</v>
      </c>
      <c r="F219" s="535" t="s">
        <v>1214</v>
      </c>
      <c r="G219" s="535" t="s">
        <v>1233</v>
      </c>
      <c r="H219" s="536">
        <v>2212.9499999999998</v>
      </c>
      <c r="I219" s="537">
        <v>80</v>
      </c>
      <c r="J219" s="538">
        <v>44564</v>
      </c>
      <c r="K219" s="535" t="s">
        <v>170</v>
      </c>
      <c r="L219" s="535" t="s">
        <v>170</v>
      </c>
      <c r="M219" s="535" t="s">
        <v>1650</v>
      </c>
      <c r="N219" s="535" t="s">
        <v>1020</v>
      </c>
      <c r="O219" s="535" t="s">
        <v>1230</v>
      </c>
      <c r="P219" s="535" t="s">
        <v>1218</v>
      </c>
      <c r="Q219" s="535" t="s">
        <v>1231</v>
      </c>
      <c r="R219" s="538" t="s">
        <v>170</v>
      </c>
      <c r="S219" s="535" t="s">
        <v>1253</v>
      </c>
      <c r="T219" s="535" t="s">
        <v>1254</v>
      </c>
      <c r="U219" s="536">
        <v>57536.7</v>
      </c>
      <c r="V219" s="535" t="s">
        <v>1220</v>
      </c>
      <c r="X219" s="369">
        <f>IF(OR(T219="125-65-654-50110",T219="125-65-652-50110",T219="125-65-656-50110"),"N/A",COUNTIF('Prop Budget Calc'!A:A,'Base Pay Report'!A219))</f>
        <v>0</v>
      </c>
    </row>
    <row r="220" spans="1:24">
      <c r="A220" s="535" t="s">
        <v>1651</v>
      </c>
      <c r="B220" s="456" t="s">
        <v>2992</v>
      </c>
      <c r="C220" s="456" t="s">
        <v>2993</v>
      </c>
      <c r="D220" s="456" t="s">
        <v>2994</v>
      </c>
      <c r="E220" s="456" t="str">
        <f t="shared" si="4"/>
        <v>First Name Last Name</v>
      </c>
      <c r="F220" s="535" t="s">
        <v>1214</v>
      </c>
      <c r="G220" s="535" t="s">
        <v>1563</v>
      </c>
      <c r="H220" s="536">
        <v>15.09</v>
      </c>
      <c r="I220" s="537" t="s">
        <v>170</v>
      </c>
      <c r="J220" s="538">
        <v>44555</v>
      </c>
      <c r="K220" s="535" t="s">
        <v>170</v>
      </c>
      <c r="L220" s="535" t="s">
        <v>170</v>
      </c>
      <c r="M220" s="535" t="s">
        <v>1564</v>
      </c>
      <c r="N220" s="535" t="s">
        <v>539</v>
      </c>
      <c r="O220" s="535" t="s">
        <v>1325</v>
      </c>
      <c r="P220" s="535" t="s">
        <v>1218</v>
      </c>
      <c r="Q220" s="535" t="s">
        <v>492</v>
      </c>
      <c r="R220" s="538" t="s">
        <v>170</v>
      </c>
      <c r="S220" s="535" t="s">
        <v>1305</v>
      </c>
      <c r="T220" s="535" t="s">
        <v>1565</v>
      </c>
      <c r="U220" s="536">
        <v>31387.200000000001</v>
      </c>
      <c r="V220" s="535" t="s">
        <v>1307</v>
      </c>
      <c r="X220" s="369" t="str">
        <f>IF(OR(T220="125-65-654-50110",T220="125-65-652-50110",T220="125-65-656-50110"),"N/A",COUNTIF('Prop Budget Calc'!A:A,'Base Pay Report'!A220))</f>
        <v>N/A</v>
      </c>
    </row>
    <row r="221" spans="1:24">
      <c r="A221" s="535" t="s">
        <v>1652</v>
      </c>
      <c r="B221" s="456" t="s">
        <v>2992</v>
      </c>
      <c r="C221" s="456" t="s">
        <v>2993</v>
      </c>
      <c r="D221" s="456" t="s">
        <v>2994</v>
      </c>
      <c r="E221" s="456" t="str">
        <f t="shared" si="4"/>
        <v>First Name Last Name</v>
      </c>
      <c r="F221" s="535" t="s">
        <v>1214</v>
      </c>
      <c r="G221" s="535" t="s">
        <v>1256</v>
      </c>
      <c r="H221" s="536">
        <v>20.57</v>
      </c>
      <c r="I221" s="537" t="s">
        <v>170</v>
      </c>
      <c r="J221" s="538">
        <v>42702</v>
      </c>
      <c r="K221" s="535" t="s">
        <v>170</v>
      </c>
      <c r="L221" s="535" t="s">
        <v>170</v>
      </c>
      <c r="M221" s="535" t="s">
        <v>1314</v>
      </c>
      <c r="N221" s="535" t="s">
        <v>122</v>
      </c>
      <c r="O221" s="535" t="s">
        <v>1230</v>
      </c>
      <c r="P221" s="535" t="s">
        <v>1218</v>
      </c>
      <c r="Q221" s="535" t="s">
        <v>492</v>
      </c>
      <c r="R221" s="538" t="s">
        <v>170</v>
      </c>
      <c r="S221" s="535" t="s">
        <v>1259</v>
      </c>
      <c r="T221" s="535" t="s">
        <v>954</v>
      </c>
      <c r="U221" s="536">
        <v>42785.599999999999</v>
      </c>
      <c r="V221" s="535" t="s">
        <v>1220</v>
      </c>
      <c r="X221" s="369">
        <f>IF(OR(T221="125-65-654-50110",T221="125-65-652-50110",T221="125-65-656-50110"),"N/A",COUNTIF('Prop Budget Calc'!A:A,'Base Pay Report'!A221))</f>
        <v>0</v>
      </c>
    </row>
    <row r="222" spans="1:24">
      <c r="A222" s="535" t="s">
        <v>1653</v>
      </c>
      <c r="B222" s="456" t="s">
        <v>2992</v>
      </c>
      <c r="C222" s="456" t="s">
        <v>2993</v>
      </c>
      <c r="D222" s="456" t="s">
        <v>2994</v>
      </c>
      <c r="E222" s="456" t="str">
        <f t="shared" si="4"/>
        <v>First Name Last Name</v>
      </c>
      <c r="F222" s="535" t="s">
        <v>1214</v>
      </c>
      <c r="G222" s="535" t="s">
        <v>1563</v>
      </c>
      <c r="H222" s="536">
        <v>15.09</v>
      </c>
      <c r="I222" s="537" t="s">
        <v>170</v>
      </c>
      <c r="J222" s="538">
        <v>44555</v>
      </c>
      <c r="K222" s="535" t="s">
        <v>170</v>
      </c>
      <c r="L222" s="535" t="s">
        <v>170</v>
      </c>
      <c r="M222" s="535" t="s">
        <v>1564</v>
      </c>
      <c r="N222" s="535" t="s">
        <v>539</v>
      </c>
      <c r="O222" s="535" t="s">
        <v>1325</v>
      </c>
      <c r="P222" s="535" t="s">
        <v>1218</v>
      </c>
      <c r="Q222" s="535" t="s">
        <v>492</v>
      </c>
      <c r="R222" s="538" t="s">
        <v>170</v>
      </c>
      <c r="S222" s="535" t="s">
        <v>1305</v>
      </c>
      <c r="T222" s="535" t="s">
        <v>1565</v>
      </c>
      <c r="U222" s="536">
        <v>31387.200000000001</v>
      </c>
      <c r="V222" s="535" t="s">
        <v>1307</v>
      </c>
      <c r="X222" s="369" t="str">
        <f>IF(OR(T222="125-65-654-50110",T222="125-65-652-50110",T222="125-65-656-50110"),"N/A",COUNTIF('Prop Budget Calc'!A:A,'Base Pay Report'!A222))</f>
        <v>N/A</v>
      </c>
    </row>
    <row r="223" spans="1:24">
      <c r="A223" s="535" t="s">
        <v>1654</v>
      </c>
      <c r="B223" s="456" t="s">
        <v>2992</v>
      </c>
      <c r="C223" s="456" t="s">
        <v>2993</v>
      </c>
      <c r="D223" s="456" t="s">
        <v>2994</v>
      </c>
      <c r="E223" s="456" t="str">
        <f t="shared" si="4"/>
        <v>First Name Last Name</v>
      </c>
      <c r="F223" s="535" t="s">
        <v>1214</v>
      </c>
      <c r="G223" s="535" t="s">
        <v>1309</v>
      </c>
      <c r="H223" s="536">
        <v>19.5</v>
      </c>
      <c r="I223" s="537" t="s">
        <v>170</v>
      </c>
      <c r="J223" s="538">
        <v>44575</v>
      </c>
      <c r="K223" s="535" t="s">
        <v>170</v>
      </c>
      <c r="L223" s="535" t="s">
        <v>170</v>
      </c>
      <c r="M223" s="535" t="s">
        <v>1655</v>
      </c>
      <c r="N223" s="535" t="s">
        <v>1656</v>
      </c>
      <c r="O223" s="535" t="s">
        <v>1325</v>
      </c>
      <c r="P223" s="535" t="s">
        <v>1218</v>
      </c>
      <c r="Q223" s="535" t="s">
        <v>492</v>
      </c>
      <c r="R223" s="538" t="s">
        <v>170</v>
      </c>
      <c r="S223" s="535" t="s">
        <v>1291</v>
      </c>
      <c r="T223" s="535" t="s">
        <v>964</v>
      </c>
      <c r="U223" s="536">
        <v>40560</v>
      </c>
      <c r="V223" s="535" t="s">
        <v>1220</v>
      </c>
      <c r="X223" s="369">
        <f>IF(OR(T223="125-65-654-50110",T223="125-65-652-50110",T223="125-65-656-50110"),"N/A",COUNTIF('Prop Budget Calc'!A:A,'Base Pay Report'!A223))</f>
        <v>0</v>
      </c>
    </row>
    <row r="224" spans="1:24">
      <c r="A224" s="535" t="s">
        <v>1657</v>
      </c>
      <c r="B224" s="456" t="s">
        <v>2992</v>
      </c>
      <c r="C224" s="456" t="s">
        <v>2993</v>
      </c>
      <c r="D224" s="456" t="s">
        <v>2994</v>
      </c>
      <c r="E224" s="456" t="str">
        <f t="shared" si="4"/>
        <v>First Name Last Name</v>
      </c>
      <c r="F224" s="535" t="s">
        <v>1214</v>
      </c>
      <c r="G224" s="535" t="s">
        <v>1361</v>
      </c>
      <c r="H224" s="536">
        <v>2344.5700000000002</v>
      </c>
      <c r="I224" s="537">
        <v>80</v>
      </c>
      <c r="J224" s="538">
        <v>44599</v>
      </c>
      <c r="K224" s="535" t="s">
        <v>170</v>
      </c>
      <c r="L224" s="535" t="s">
        <v>170</v>
      </c>
      <c r="M224" s="535" t="s">
        <v>1658</v>
      </c>
      <c r="N224" s="535" t="s">
        <v>1952</v>
      </c>
      <c r="O224" s="535" t="s">
        <v>1230</v>
      </c>
      <c r="P224" s="535" t="s">
        <v>1218</v>
      </c>
      <c r="Q224" s="535" t="s">
        <v>1231</v>
      </c>
      <c r="R224" s="538" t="s">
        <v>170</v>
      </c>
      <c r="S224" s="535" t="s">
        <v>1241</v>
      </c>
      <c r="T224" s="535" t="s">
        <v>1453</v>
      </c>
      <c r="U224" s="536">
        <v>60958.82</v>
      </c>
      <c r="V224" s="535" t="s">
        <v>1220</v>
      </c>
      <c r="X224" s="369">
        <f>IF(OR(T224="125-65-654-50110",T224="125-65-652-50110",T224="125-65-656-50110"),"N/A",COUNTIF('Prop Budget Calc'!A:A,'Base Pay Report'!A224))</f>
        <v>0</v>
      </c>
    </row>
    <row r="225" spans="1:24">
      <c r="A225" s="535" t="s">
        <v>1659</v>
      </c>
      <c r="B225" s="456" t="s">
        <v>2992</v>
      </c>
      <c r="C225" s="456" t="s">
        <v>2993</v>
      </c>
      <c r="D225" s="456" t="s">
        <v>2994</v>
      </c>
      <c r="E225" s="456" t="str">
        <f t="shared" si="4"/>
        <v>First Name Last Name</v>
      </c>
      <c r="F225" s="535" t="s">
        <v>1214</v>
      </c>
      <c r="G225" s="535" t="s">
        <v>170</v>
      </c>
      <c r="H225" s="536">
        <v>20.86</v>
      </c>
      <c r="I225" s="537" t="s">
        <v>170</v>
      </c>
      <c r="J225" s="538">
        <v>44599</v>
      </c>
      <c r="K225" s="535" t="s">
        <v>170</v>
      </c>
      <c r="L225" s="535" t="s">
        <v>170</v>
      </c>
      <c r="M225" s="535" t="s">
        <v>1574</v>
      </c>
      <c r="N225" s="535" t="s">
        <v>1575</v>
      </c>
      <c r="O225" s="535" t="s">
        <v>1290</v>
      </c>
      <c r="P225" s="535" t="s">
        <v>1218</v>
      </c>
      <c r="Q225" s="535" t="s">
        <v>492</v>
      </c>
      <c r="R225" s="538" t="s">
        <v>170</v>
      </c>
      <c r="S225" s="535" t="s">
        <v>1291</v>
      </c>
      <c r="T225" s="535" t="s">
        <v>965</v>
      </c>
      <c r="U225" s="536">
        <v>43388.800000000003</v>
      </c>
      <c r="V225" s="535" t="s">
        <v>1220</v>
      </c>
      <c r="X225" s="369">
        <f>IF(OR(T225="125-65-654-50110",T225="125-65-652-50110",T225="125-65-656-50110"),"N/A",COUNTIF('Prop Budget Calc'!A:A,'Base Pay Report'!A225))</f>
        <v>1</v>
      </c>
    </row>
    <row r="226" spans="1:24">
      <c r="A226" s="535" t="s">
        <v>1660</v>
      </c>
      <c r="B226" s="456" t="s">
        <v>2992</v>
      </c>
      <c r="C226" s="456" t="s">
        <v>2993</v>
      </c>
      <c r="D226" s="456" t="s">
        <v>2994</v>
      </c>
      <c r="E226" s="456" t="str">
        <f t="shared" si="4"/>
        <v>First Name Last Name</v>
      </c>
      <c r="F226" s="535" t="s">
        <v>1214</v>
      </c>
      <c r="G226" s="535" t="s">
        <v>170</v>
      </c>
      <c r="H226" s="536">
        <v>21.67</v>
      </c>
      <c r="I226" s="537" t="s">
        <v>170</v>
      </c>
      <c r="J226" s="538">
        <v>44599</v>
      </c>
      <c r="K226" s="535" t="s">
        <v>170</v>
      </c>
      <c r="L226" s="535" t="s">
        <v>170</v>
      </c>
      <c r="M226" s="535" t="s">
        <v>1755</v>
      </c>
      <c r="N226" s="535" t="s">
        <v>1958</v>
      </c>
      <c r="O226" s="535" t="s">
        <v>1338</v>
      </c>
      <c r="P226" s="535" t="s">
        <v>1218</v>
      </c>
      <c r="Q226" s="535" t="s">
        <v>492</v>
      </c>
      <c r="R226" s="538" t="s">
        <v>170</v>
      </c>
      <c r="S226" s="535" t="s">
        <v>1291</v>
      </c>
      <c r="T226" s="535" t="s">
        <v>1411</v>
      </c>
      <c r="U226" s="536">
        <v>45073.599999999999</v>
      </c>
      <c r="V226" s="535" t="s">
        <v>1220</v>
      </c>
      <c r="X226" s="369">
        <f>IF(OR(T226="125-65-654-50110",T226="125-65-652-50110",T226="125-65-656-50110"),"N/A",COUNTIF('Prop Budget Calc'!A:A,'Base Pay Report'!A226))</f>
        <v>0</v>
      </c>
    </row>
    <row r="227" spans="1:24">
      <c r="A227" s="535" t="s">
        <v>1661</v>
      </c>
      <c r="B227" s="456" t="s">
        <v>2992</v>
      </c>
      <c r="C227" s="456" t="s">
        <v>2993</v>
      </c>
      <c r="D227" s="456" t="s">
        <v>2994</v>
      </c>
      <c r="E227" s="456" t="str">
        <f t="shared" si="4"/>
        <v>First Name Last Name</v>
      </c>
      <c r="F227" s="535" t="s">
        <v>1214</v>
      </c>
      <c r="G227" s="535" t="s">
        <v>1309</v>
      </c>
      <c r="H227" s="536">
        <v>19.5</v>
      </c>
      <c r="I227" s="537" t="s">
        <v>170</v>
      </c>
      <c r="J227" s="538">
        <v>44599</v>
      </c>
      <c r="K227" s="535" t="s">
        <v>170</v>
      </c>
      <c r="L227" s="535" t="s">
        <v>170</v>
      </c>
      <c r="M227" s="535" t="s">
        <v>1655</v>
      </c>
      <c r="N227" s="535" t="s">
        <v>1656</v>
      </c>
      <c r="O227" s="535" t="s">
        <v>1325</v>
      </c>
      <c r="P227" s="535" t="s">
        <v>1218</v>
      </c>
      <c r="Q227" s="535" t="s">
        <v>492</v>
      </c>
      <c r="R227" s="538" t="s">
        <v>170</v>
      </c>
      <c r="S227" s="535" t="s">
        <v>1291</v>
      </c>
      <c r="T227" s="535" t="s">
        <v>964</v>
      </c>
      <c r="U227" s="536">
        <v>40560</v>
      </c>
      <c r="V227" s="535" t="s">
        <v>1220</v>
      </c>
      <c r="X227" s="369">
        <f>IF(OR(T227="125-65-654-50110",T227="125-65-652-50110",T227="125-65-656-50110"),"N/A",COUNTIF('Prop Budget Calc'!A:A,'Base Pay Report'!A227))</f>
        <v>0</v>
      </c>
    </row>
    <row r="228" spans="1:24">
      <c r="A228" s="535" t="s">
        <v>1662</v>
      </c>
      <c r="B228" s="456" t="s">
        <v>2992</v>
      </c>
      <c r="C228" s="456" t="s">
        <v>2993</v>
      </c>
      <c r="D228" s="456" t="s">
        <v>2994</v>
      </c>
      <c r="E228" s="456" t="str">
        <f t="shared" si="4"/>
        <v>First Name Last Name</v>
      </c>
      <c r="F228" s="535" t="s">
        <v>1214</v>
      </c>
      <c r="G228" s="535" t="s">
        <v>1309</v>
      </c>
      <c r="H228" s="536">
        <v>19.13</v>
      </c>
      <c r="I228" s="537" t="s">
        <v>170</v>
      </c>
      <c r="J228" s="538">
        <v>44606</v>
      </c>
      <c r="K228" s="535" t="s">
        <v>170</v>
      </c>
      <c r="L228" s="535" t="s">
        <v>170</v>
      </c>
      <c r="M228" s="535" t="s">
        <v>1335</v>
      </c>
      <c r="N228" s="535" t="s">
        <v>2535</v>
      </c>
      <c r="O228" s="535" t="s">
        <v>1230</v>
      </c>
      <c r="P228" s="535" t="s">
        <v>1218</v>
      </c>
      <c r="Q228" s="535" t="s">
        <v>492</v>
      </c>
      <c r="R228" s="538" t="s">
        <v>170</v>
      </c>
      <c r="S228" s="535" t="s">
        <v>1259</v>
      </c>
      <c r="T228" s="535" t="s">
        <v>1962</v>
      </c>
      <c r="U228" s="536">
        <v>39790.400000000001</v>
      </c>
      <c r="V228" s="535" t="s">
        <v>1220</v>
      </c>
      <c r="X228" s="369">
        <f>IF(OR(T228="125-65-654-50110",T228="125-65-652-50110",T228="125-65-656-50110"),"N/A",COUNTIF('Prop Budget Calc'!A:A,'Base Pay Report'!A228))</f>
        <v>0</v>
      </c>
    </row>
    <row r="229" spans="1:24">
      <c r="A229" s="535" t="s">
        <v>1663</v>
      </c>
      <c r="B229" s="456" t="s">
        <v>2992</v>
      </c>
      <c r="C229" s="456" t="s">
        <v>2993</v>
      </c>
      <c r="D229" s="456" t="s">
        <v>2994</v>
      </c>
      <c r="E229" s="456" t="str">
        <f t="shared" si="4"/>
        <v>First Name Last Name</v>
      </c>
      <c r="F229" s="535" t="s">
        <v>1214</v>
      </c>
      <c r="G229" s="535" t="s">
        <v>1256</v>
      </c>
      <c r="H229" s="536">
        <v>18.39</v>
      </c>
      <c r="I229" s="537" t="s">
        <v>170</v>
      </c>
      <c r="J229" s="538">
        <v>44608</v>
      </c>
      <c r="K229" s="535" t="s">
        <v>170</v>
      </c>
      <c r="L229" s="535" t="s">
        <v>170</v>
      </c>
      <c r="M229" s="535" t="s">
        <v>1664</v>
      </c>
      <c r="N229" s="535" t="s">
        <v>1021</v>
      </c>
      <c r="O229" s="535" t="s">
        <v>1230</v>
      </c>
      <c r="P229" s="535" t="s">
        <v>1218</v>
      </c>
      <c r="Q229" s="535" t="s">
        <v>492</v>
      </c>
      <c r="R229" s="538" t="s">
        <v>170</v>
      </c>
      <c r="S229" s="535" t="s">
        <v>1291</v>
      </c>
      <c r="T229" s="535" t="s">
        <v>1443</v>
      </c>
      <c r="U229" s="536">
        <v>38251.199999999997</v>
      </c>
      <c r="V229" s="535" t="s">
        <v>1220</v>
      </c>
      <c r="X229" s="369">
        <f>IF(OR(T229="125-65-654-50110",T229="125-65-652-50110",T229="125-65-656-50110"),"N/A",COUNTIF('Prop Budget Calc'!A:A,'Base Pay Report'!A229))</f>
        <v>1</v>
      </c>
    </row>
    <row r="230" spans="1:24">
      <c r="A230" s="535" t="s">
        <v>1665</v>
      </c>
      <c r="B230" s="456" t="s">
        <v>2992</v>
      </c>
      <c r="C230" s="456" t="s">
        <v>2993</v>
      </c>
      <c r="D230" s="456" t="s">
        <v>2994</v>
      </c>
      <c r="E230" s="456" t="str">
        <f t="shared" si="4"/>
        <v>First Name Last Name</v>
      </c>
      <c r="F230" s="535" t="s">
        <v>1214</v>
      </c>
      <c r="G230" s="535" t="s">
        <v>170</v>
      </c>
      <c r="H230" s="536">
        <v>20.86</v>
      </c>
      <c r="I230" s="537" t="s">
        <v>170</v>
      </c>
      <c r="J230" s="538">
        <v>44608</v>
      </c>
      <c r="K230" s="535" t="s">
        <v>170</v>
      </c>
      <c r="L230" s="535" t="s">
        <v>170</v>
      </c>
      <c r="M230" s="535" t="s">
        <v>1574</v>
      </c>
      <c r="N230" s="535" t="s">
        <v>1575</v>
      </c>
      <c r="O230" s="535" t="s">
        <v>1290</v>
      </c>
      <c r="P230" s="535" t="s">
        <v>1218</v>
      </c>
      <c r="Q230" s="535" t="s">
        <v>492</v>
      </c>
      <c r="R230" s="538" t="s">
        <v>170</v>
      </c>
      <c r="S230" s="535" t="s">
        <v>1291</v>
      </c>
      <c r="T230" s="535" t="s">
        <v>968</v>
      </c>
      <c r="U230" s="536">
        <v>43388.800000000003</v>
      </c>
      <c r="V230" s="535" t="s">
        <v>1220</v>
      </c>
      <c r="X230" s="369">
        <f>IF(OR(T230="125-65-654-50110",T230="125-65-652-50110",T230="125-65-656-50110"),"N/A",COUNTIF('Prop Budget Calc'!A:A,'Base Pay Report'!A230))</f>
        <v>0</v>
      </c>
    </row>
    <row r="231" spans="1:24">
      <c r="A231" s="535" t="s">
        <v>1666</v>
      </c>
      <c r="B231" s="456" t="s">
        <v>2992</v>
      </c>
      <c r="C231" s="456" t="s">
        <v>2993</v>
      </c>
      <c r="D231" s="456" t="s">
        <v>2994</v>
      </c>
      <c r="E231" s="456" t="str">
        <f t="shared" si="4"/>
        <v>First Name Last Name</v>
      </c>
      <c r="F231" s="535" t="s">
        <v>1214</v>
      </c>
      <c r="G231" s="535" t="s">
        <v>1256</v>
      </c>
      <c r="H231" s="536">
        <v>19.39</v>
      </c>
      <c r="I231" s="537" t="s">
        <v>170</v>
      </c>
      <c r="J231" s="538">
        <v>44620</v>
      </c>
      <c r="K231" s="535" t="s">
        <v>170</v>
      </c>
      <c r="L231" s="535" t="s">
        <v>170</v>
      </c>
      <c r="M231" s="535" t="s">
        <v>1611</v>
      </c>
      <c r="N231" s="535" t="s">
        <v>1013</v>
      </c>
      <c r="O231" s="535" t="s">
        <v>1230</v>
      </c>
      <c r="P231" s="535" t="s">
        <v>1218</v>
      </c>
      <c r="Q231" s="535" t="s">
        <v>492</v>
      </c>
      <c r="R231" s="538" t="s">
        <v>170</v>
      </c>
      <c r="S231" s="535" t="s">
        <v>1259</v>
      </c>
      <c r="T231" s="535" t="s">
        <v>1612</v>
      </c>
      <c r="U231" s="536">
        <v>40331.199999999997</v>
      </c>
      <c r="V231" s="535" t="s">
        <v>1220</v>
      </c>
      <c r="X231" s="369">
        <f>IF(OR(T231="125-65-654-50110",T231="125-65-652-50110",T231="125-65-656-50110"),"N/A",COUNTIF('Prop Budget Calc'!A:A,'Base Pay Report'!A231))</f>
        <v>0</v>
      </c>
    </row>
    <row r="232" spans="1:24">
      <c r="A232" s="535" t="s">
        <v>1667</v>
      </c>
      <c r="B232" s="456" t="s">
        <v>2992</v>
      </c>
      <c r="C232" s="456" t="s">
        <v>2993</v>
      </c>
      <c r="D232" s="456" t="s">
        <v>2994</v>
      </c>
      <c r="E232" s="456" t="str">
        <f t="shared" si="4"/>
        <v>First Name Last Name</v>
      </c>
      <c r="F232" s="535" t="s">
        <v>1214</v>
      </c>
      <c r="G232" s="535" t="s">
        <v>170</v>
      </c>
      <c r="H232" s="536">
        <v>30.37</v>
      </c>
      <c r="I232" s="537" t="s">
        <v>170</v>
      </c>
      <c r="J232" s="538">
        <v>42738</v>
      </c>
      <c r="K232" s="535" t="s">
        <v>170</v>
      </c>
      <c r="L232" s="535" t="s">
        <v>170</v>
      </c>
      <c r="M232" s="535" t="s">
        <v>1354</v>
      </c>
      <c r="N232" s="535" t="s">
        <v>134</v>
      </c>
      <c r="O232" s="535" t="s">
        <v>1217</v>
      </c>
      <c r="P232" s="535" t="s">
        <v>1218</v>
      </c>
      <c r="Q232" s="535" t="s">
        <v>492</v>
      </c>
      <c r="R232" s="538">
        <v>43367</v>
      </c>
      <c r="S232" s="535" t="s">
        <v>1219</v>
      </c>
      <c r="T232" s="535" t="s">
        <v>959</v>
      </c>
      <c r="U232" s="536">
        <v>63169.599999999999</v>
      </c>
      <c r="V232" s="535" t="s">
        <v>1220</v>
      </c>
      <c r="X232" s="369">
        <f>IF(OR(T232="125-65-654-50110",T232="125-65-652-50110",T232="125-65-656-50110"),"N/A",COUNTIF('Prop Budget Calc'!A:A,'Base Pay Report'!A232))</f>
        <v>0</v>
      </c>
    </row>
    <row r="233" spans="1:24">
      <c r="A233" s="535" t="s">
        <v>1668</v>
      </c>
      <c r="B233" s="456" t="s">
        <v>2992</v>
      </c>
      <c r="C233" s="456" t="s">
        <v>2993</v>
      </c>
      <c r="D233" s="456" t="s">
        <v>2994</v>
      </c>
      <c r="E233" s="456" t="str">
        <f t="shared" si="4"/>
        <v>First Name Last Name</v>
      </c>
      <c r="F233" s="535" t="s">
        <v>1214</v>
      </c>
      <c r="G233" s="535" t="s">
        <v>1233</v>
      </c>
      <c r="H233" s="536">
        <v>2170.6999999999998</v>
      </c>
      <c r="I233" s="537">
        <v>80</v>
      </c>
      <c r="J233" s="538">
        <v>44622</v>
      </c>
      <c r="K233" s="535" t="s">
        <v>170</v>
      </c>
      <c r="L233" s="535" t="s">
        <v>170</v>
      </c>
      <c r="M233" s="535" t="s">
        <v>1429</v>
      </c>
      <c r="N233" s="535" t="s">
        <v>114</v>
      </c>
      <c r="O233" s="535" t="s">
        <v>1230</v>
      </c>
      <c r="P233" s="535" t="s">
        <v>1218</v>
      </c>
      <c r="Q233" s="535" t="s">
        <v>1231</v>
      </c>
      <c r="R233" s="538" t="s">
        <v>170</v>
      </c>
      <c r="S233" s="535" t="s">
        <v>1241</v>
      </c>
      <c r="T233" s="535" t="s">
        <v>1341</v>
      </c>
      <c r="U233" s="536">
        <v>56438.2</v>
      </c>
      <c r="V233" s="535" t="s">
        <v>1220</v>
      </c>
      <c r="X233" s="369">
        <f>IF(OR(T233="125-65-654-50110",T233="125-65-652-50110",T233="125-65-656-50110"),"N/A",COUNTIF('Prop Budget Calc'!A:A,'Base Pay Report'!A233))</f>
        <v>0</v>
      </c>
    </row>
    <row r="234" spans="1:24">
      <c r="A234" s="535" t="s">
        <v>1670</v>
      </c>
      <c r="B234" s="456" t="s">
        <v>2992</v>
      </c>
      <c r="C234" s="456" t="s">
        <v>2993</v>
      </c>
      <c r="D234" s="456" t="s">
        <v>2994</v>
      </c>
      <c r="E234" s="456" t="str">
        <f t="shared" si="4"/>
        <v>First Name Last Name</v>
      </c>
      <c r="F234" s="535" t="s">
        <v>1214</v>
      </c>
      <c r="G234" s="535" t="s">
        <v>1238</v>
      </c>
      <c r="H234" s="536">
        <v>6592.02</v>
      </c>
      <c r="I234" s="537">
        <v>80</v>
      </c>
      <c r="J234" s="538">
        <v>42709</v>
      </c>
      <c r="K234" s="535" t="s">
        <v>170</v>
      </c>
      <c r="L234" s="535" t="s">
        <v>170</v>
      </c>
      <c r="M234" s="535" t="s">
        <v>1671</v>
      </c>
      <c r="N234" s="535" t="s">
        <v>580</v>
      </c>
      <c r="O234" s="535" t="s">
        <v>1230</v>
      </c>
      <c r="P234" s="535" t="s">
        <v>1218</v>
      </c>
      <c r="Q234" s="535" t="s">
        <v>1231</v>
      </c>
      <c r="R234" s="538" t="s">
        <v>170</v>
      </c>
      <c r="S234" s="535" t="s">
        <v>1241</v>
      </c>
      <c r="T234" s="535" t="s">
        <v>1672</v>
      </c>
      <c r="U234" s="536">
        <v>171392.52</v>
      </c>
      <c r="V234" s="535" t="s">
        <v>1220</v>
      </c>
      <c r="X234" s="369">
        <f>IF(OR(T234="125-65-654-50110",T234="125-65-652-50110",T234="125-65-656-50110"),"N/A",COUNTIF('Prop Budget Calc'!A:A,'Base Pay Report'!A234))</f>
        <v>0</v>
      </c>
    </row>
    <row r="235" spans="1:24">
      <c r="A235" s="535" t="s">
        <v>1673</v>
      </c>
      <c r="B235" s="456" t="s">
        <v>2992</v>
      </c>
      <c r="C235" s="456" t="s">
        <v>2993</v>
      </c>
      <c r="D235" s="456" t="s">
        <v>2994</v>
      </c>
      <c r="E235" s="456" t="str">
        <f t="shared" si="4"/>
        <v>First Name Last Name</v>
      </c>
      <c r="F235" s="535" t="s">
        <v>1214</v>
      </c>
      <c r="G235" s="535" t="s">
        <v>1486</v>
      </c>
      <c r="H235" s="536">
        <v>15.61</v>
      </c>
      <c r="I235" s="537" t="s">
        <v>170</v>
      </c>
      <c r="J235" s="538">
        <v>44634</v>
      </c>
      <c r="K235" s="535" t="s">
        <v>170</v>
      </c>
      <c r="L235" s="535" t="s">
        <v>170</v>
      </c>
      <c r="M235" s="535" t="s">
        <v>1491</v>
      </c>
      <c r="N235" s="535" t="s">
        <v>1008</v>
      </c>
      <c r="O235" s="535" t="s">
        <v>1230</v>
      </c>
      <c r="P235" s="535" t="s">
        <v>1218</v>
      </c>
      <c r="Q235" s="535" t="s">
        <v>492</v>
      </c>
      <c r="R235" s="538" t="s">
        <v>170</v>
      </c>
      <c r="S235" s="535" t="s">
        <v>1305</v>
      </c>
      <c r="T235" s="535" t="s">
        <v>1493</v>
      </c>
      <c r="U235" s="536">
        <v>32468.799999999999</v>
      </c>
      <c r="V235" s="535" t="s">
        <v>1307</v>
      </c>
      <c r="X235" s="369" t="str">
        <f>IF(OR(T235="125-65-654-50110",T235="125-65-652-50110",T235="125-65-656-50110"),"N/A",COUNTIF('Prop Budget Calc'!A:A,'Base Pay Report'!A235))</f>
        <v>N/A</v>
      </c>
    </row>
    <row r="236" spans="1:24">
      <c r="A236" s="535" t="s">
        <v>1674</v>
      </c>
      <c r="B236" s="456" t="s">
        <v>2992</v>
      </c>
      <c r="C236" s="456" t="s">
        <v>2993</v>
      </c>
      <c r="D236" s="456" t="s">
        <v>2994</v>
      </c>
      <c r="E236" s="456" t="str">
        <f t="shared" si="4"/>
        <v>First Name Last Name</v>
      </c>
      <c r="F236" s="535" t="s">
        <v>1214</v>
      </c>
      <c r="G236" s="535" t="s">
        <v>1324</v>
      </c>
      <c r="H236" s="536">
        <v>14.05</v>
      </c>
      <c r="I236" s="537" t="s">
        <v>170</v>
      </c>
      <c r="J236" s="538">
        <v>44653</v>
      </c>
      <c r="K236" s="535" t="s">
        <v>170</v>
      </c>
      <c r="L236" s="535" t="s">
        <v>170</v>
      </c>
      <c r="M236" s="535" t="s">
        <v>1543</v>
      </c>
      <c r="N236" s="535" t="s">
        <v>1018</v>
      </c>
      <c r="O236" s="535" t="s">
        <v>1230</v>
      </c>
      <c r="P236" s="535" t="s">
        <v>1218</v>
      </c>
      <c r="Q236" s="535" t="s">
        <v>492</v>
      </c>
      <c r="R236" s="538" t="s">
        <v>170</v>
      </c>
      <c r="S236" s="535" t="s">
        <v>1305</v>
      </c>
      <c r="T236" s="535" t="s">
        <v>1493</v>
      </c>
      <c r="U236" s="536">
        <v>29224</v>
      </c>
      <c r="V236" s="535" t="s">
        <v>1307</v>
      </c>
      <c r="X236" s="369" t="str">
        <f>IF(OR(T236="125-65-654-50110",T236="125-65-652-50110",T236="125-65-656-50110"),"N/A",COUNTIF('Prop Budget Calc'!A:A,'Base Pay Report'!A236))</f>
        <v>N/A</v>
      </c>
    </row>
    <row r="237" spans="1:24">
      <c r="A237" s="535" t="s">
        <v>1675</v>
      </c>
      <c r="B237" s="456" t="s">
        <v>2992</v>
      </c>
      <c r="C237" s="456" t="s">
        <v>2993</v>
      </c>
      <c r="D237" s="456" t="s">
        <v>2994</v>
      </c>
      <c r="E237" s="456" t="str">
        <f t="shared" si="4"/>
        <v>First Name Last Name</v>
      </c>
      <c r="F237" s="535" t="s">
        <v>1214</v>
      </c>
      <c r="G237" s="535" t="s">
        <v>1268</v>
      </c>
      <c r="H237" s="536">
        <v>23.96</v>
      </c>
      <c r="I237" s="537" t="s">
        <v>170</v>
      </c>
      <c r="J237" s="538">
        <v>44655</v>
      </c>
      <c r="K237" s="535" t="s">
        <v>170</v>
      </c>
      <c r="L237" s="535" t="s">
        <v>170</v>
      </c>
      <c r="M237" s="535" t="s">
        <v>1269</v>
      </c>
      <c r="N237" s="535" t="s">
        <v>1270</v>
      </c>
      <c r="O237" s="535" t="s">
        <v>1217</v>
      </c>
      <c r="P237" s="535" t="s">
        <v>1218</v>
      </c>
      <c r="Q237" s="535" t="s">
        <v>492</v>
      </c>
      <c r="R237" s="538" t="s">
        <v>170</v>
      </c>
      <c r="S237" s="535" t="s">
        <v>1219</v>
      </c>
      <c r="T237" s="535" t="s">
        <v>959</v>
      </c>
      <c r="U237" s="536">
        <v>49836.800000000003</v>
      </c>
      <c r="V237" s="535" t="s">
        <v>1220</v>
      </c>
      <c r="X237" s="369">
        <f>IF(OR(T237="125-65-654-50110",T237="125-65-652-50110",T237="125-65-656-50110"),"N/A",COUNTIF('Prop Budget Calc'!A:A,'Base Pay Report'!A237))</f>
        <v>0</v>
      </c>
    </row>
    <row r="238" spans="1:24">
      <c r="A238" s="535" t="s">
        <v>2482</v>
      </c>
      <c r="B238" s="456" t="s">
        <v>2992</v>
      </c>
      <c r="C238" s="456" t="s">
        <v>2993</v>
      </c>
      <c r="D238" s="456" t="s">
        <v>2994</v>
      </c>
      <c r="E238" s="456" t="str">
        <f t="shared" si="4"/>
        <v>First Name Last Name</v>
      </c>
      <c r="F238" s="535" t="s">
        <v>1214</v>
      </c>
      <c r="G238" s="535" t="s">
        <v>1309</v>
      </c>
      <c r="H238" s="536">
        <v>19.89</v>
      </c>
      <c r="I238" s="537" t="s">
        <v>170</v>
      </c>
      <c r="J238" s="538">
        <v>42738</v>
      </c>
      <c r="K238" s="535" t="s">
        <v>170</v>
      </c>
      <c r="L238" s="535" t="s">
        <v>170</v>
      </c>
      <c r="M238" s="535" t="s">
        <v>1392</v>
      </c>
      <c r="N238" s="535" t="s">
        <v>998</v>
      </c>
      <c r="O238" s="535" t="s">
        <v>1290</v>
      </c>
      <c r="P238" s="535" t="s">
        <v>1218</v>
      </c>
      <c r="Q238" s="535" t="s">
        <v>492</v>
      </c>
      <c r="R238" s="538">
        <v>45154</v>
      </c>
      <c r="S238" s="535" t="s">
        <v>1259</v>
      </c>
      <c r="T238" s="535" t="s">
        <v>962</v>
      </c>
      <c r="U238" s="536">
        <v>41371.199999999997</v>
      </c>
      <c r="V238" s="535" t="s">
        <v>1220</v>
      </c>
      <c r="X238" s="369">
        <f>IF(OR(T238="125-65-654-50110",T238="125-65-652-50110",T238="125-65-656-50110"),"N/A",COUNTIF('Prop Budget Calc'!A:A,'Base Pay Report'!A238))</f>
        <v>0</v>
      </c>
    </row>
    <row r="239" spans="1:24">
      <c r="A239" s="535" t="s">
        <v>1678</v>
      </c>
      <c r="B239" s="456" t="s">
        <v>2992</v>
      </c>
      <c r="C239" s="456" t="s">
        <v>2993</v>
      </c>
      <c r="D239" s="456" t="s">
        <v>2994</v>
      </c>
      <c r="E239" s="456" t="str">
        <f t="shared" si="4"/>
        <v>First Name Last Name</v>
      </c>
      <c r="F239" s="535" t="s">
        <v>1214</v>
      </c>
      <c r="G239" s="535" t="s">
        <v>1324</v>
      </c>
      <c r="H239" s="536">
        <v>14.05</v>
      </c>
      <c r="I239" s="537" t="s">
        <v>170</v>
      </c>
      <c r="J239" s="538">
        <v>44681</v>
      </c>
      <c r="K239" s="535" t="s">
        <v>170</v>
      </c>
      <c r="L239" s="535" t="s">
        <v>170</v>
      </c>
      <c r="M239" s="535" t="s">
        <v>1543</v>
      </c>
      <c r="N239" s="535" t="s">
        <v>1018</v>
      </c>
      <c r="O239" s="535" t="s">
        <v>1230</v>
      </c>
      <c r="P239" s="535" t="s">
        <v>1218</v>
      </c>
      <c r="Q239" s="535" t="s">
        <v>492</v>
      </c>
      <c r="R239" s="538" t="s">
        <v>170</v>
      </c>
      <c r="S239" s="535" t="s">
        <v>1305</v>
      </c>
      <c r="T239" s="535" t="s">
        <v>1493</v>
      </c>
      <c r="U239" s="536">
        <v>29224</v>
      </c>
      <c r="V239" s="535" t="s">
        <v>1307</v>
      </c>
      <c r="X239" s="369" t="str">
        <f>IF(OR(T239="125-65-654-50110",T239="125-65-652-50110",T239="125-65-656-50110"),"N/A",COUNTIF('Prop Budget Calc'!A:A,'Base Pay Report'!A239))</f>
        <v>N/A</v>
      </c>
    </row>
    <row r="240" spans="1:24">
      <c r="A240" s="535" t="s">
        <v>1679</v>
      </c>
      <c r="B240" s="456" t="s">
        <v>2992</v>
      </c>
      <c r="C240" s="456" t="s">
        <v>2993</v>
      </c>
      <c r="D240" s="456" t="s">
        <v>2994</v>
      </c>
      <c r="E240" s="456" t="str">
        <f t="shared" si="4"/>
        <v>First Name Last Name</v>
      </c>
      <c r="F240" s="535" t="s">
        <v>1214</v>
      </c>
      <c r="G240" s="535" t="s">
        <v>1563</v>
      </c>
      <c r="H240" s="536">
        <v>15.09</v>
      </c>
      <c r="I240" s="537" t="s">
        <v>170</v>
      </c>
      <c r="J240" s="538">
        <v>44695</v>
      </c>
      <c r="K240" s="535" t="s">
        <v>170</v>
      </c>
      <c r="L240" s="535" t="s">
        <v>170</v>
      </c>
      <c r="M240" s="535" t="s">
        <v>1564</v>
      </c>
      <c r="N240" s="535" t="s">
        <v>539</v>
      </c>
      <c r="O240" s="535" t="s">
        <v>1325</v>
      </c>
      <c r="P240" s="535" t="s">
        <v>1218</v>
      </c>
      <c r="Q240" s="535" t="s">
        <v>492</v>
      </c>
      <c r="R240" s="538" t="s">
        <v>170</v>
      </c>
      <c r="S240" s="535" t="s">
        <v>1305</v>
      </c>
      <c r="T240" s="535" t="s">
        <v>1565</v>
      </c>
      <c r="U240" s="536">
        <v>31387.200000000001</v>
      </c>
      <c r="V240" s="535" t="s">
        <v>1307</v>
      </c>
      <c r="X240" s="369" t="str">
        <f>IF(OR(T240="125-65-654-50110",T240="125-65-652-50110",T240="125-65-656-50110"),"N/A",COUNTIF('Prop Budget Calc'!A:A,'Base Pay Report'!A240))</f>
        <v>N/A</v>
      </c>
    </row>
    <row r="241" spans="1:24">
      <c r="A241" s="535" t="s">
        <v>1680</v>
      </c>
      <c r="B241" s="456" t="s">
        <v>2992</v>
      </c>
      <c r="C241" s="456" t="s">
        <v>2993</v>
      </c>
      <c r="D241" s="456" t="s">
        <v>2994</v>
      </c>
      <c r="E241" s="456" t="str">
        <f t="shared" si="4"/>
        <v>First Name Last Name</v>
      </c>
      <c r="F241" s="535" t="s">
        <v>1214</v>
      </c>
      <c r="G241" s="535" t="s">
        <v>1324</v>
      </c>
      <c r="H241" s="536">
        <v>14.05</v>
      </c>
      <c r="I241" s="537" t="s">
        <v>170</v>
      </c>
      <c r="J241" s="538">
        <v>44695</v>
      </c>
      <c r="K241" s="535" t="s">
        <v>170</v>
      </c>
      <c r="L241" s="535" t="s">
        <v>170</v>
      </c>
      <c r="M241" s="535" t="s">
        <v>1543</v>
      </c>
      <c r="N241" s="535" t="s">
        <v>1018</v>
      </c>
      <c r="O241" s="535" t="s">
        <v>1230</v>
      </c>
      <c r="P241" s="535" t="s">
        <v>1218</v>
      </c>
      <c r="Q241" s="535" t="s">
        <v>492</v>
      </c>
      <c r="R241" s="538" t="s">
        <v>170</v>
      </c>
      <c r="S241" s="535" t="s">
        <v>1305</v>
      </c>
      <c r="T241" s="535" t="s">
        <v>1493</v>
      </c>
      <c r="U241" s="536">
        <v>29224</v>
      </c>
      <c r="V241" s="535" t="s">
        <v>1307</v>
      </c>
      <c r="X241" s="369" t="str">
        <f>IF(OR(T241="125-65-654-50110",T241="125-65-652-50110",T241="125-65-656-50110"),"N/A",COUNTIF('Prop Budget Calc'!A:A,'Base Pay Report'!A241))</f>
        <v>N/A</v>
      </c>
    </row>
    <row r="242" spans="1:24">
      <c r="A242" s="535" t="s">
        <v>1681</v>
      </c>
      <c r="B242" s="456" t="s">
        <v>2992</v>
      </c>
      <c r="C242" s="456" t="s">
        <v>2993</v>
      </c>
      <c r="D242" s="456" t="s">
        <v>2994</v>
      </c>
      <c r="E242" s="456" t="str">
        <f t="shared" si="4"/>
        <v>First Name Last Name</v>
      </c>
      <c r="F242" s="535" t="s">
        <v>1214</v>
      </c>
      <c r="G242" s="535" t="s">
        <v>1302</v>
      </c>
      <c r="H242" s="536">
        <v>18.420000000000002</v>
      </c>
      <c r="I242" s="537" t="s">
        <v>170</v>
      </c>
      <c r="J242" s="538">
        <v>42793</v>
      </c>
      <c r="K242" s="535" t="s">
        <v>170</v>
      </c>
      <c r="L242" s="535" t="s">
        <v>170</v>
      </c>
      <c r="M242" s="535" t="s">
        <v>1303</v>
      </c>
      <c r="N242" s="535" t="s">
        <v>993</v>
      </c>
      <c r="O242" s="535" t="s">
        <v>1304</v>
      </c>
      <c r="P242" s="535" t="s">
        <v>1218</v>
      </c>
      <c r="Q242" s="535" t="s">
        <v>492</v>
      </c>
      <c r="R242" s="538" t="s">
        <v>170</v>
      </c>
      <c r="S242" s="535" t="s">
        <v>1305</v>
      </c>
      <c r="T242" s="535" t="s">
        <v>1306</v>
      </c>
      <c r="U242" s="536">
        <v>38313.599999999999</v>
      </c>
      <c r="V242" s="535" t="s">
        <v>1307</v>
      </c>
      <c r="X242" s="369">
        <f>IF(OR(T242="125-65-654-50110",T242="125-65-652-50110",T242="125-65-656-50110"),"N/A",COUNTIF('Prop Budget Calc'!A:A,'Base Pay Report'!A242))</f>
        <v>0</v>
      </c>
    </row>
    <row r="243" spans="1:24">
      <c r="A243" s="535" t="s">
        <v>1682</v>
      </c>
      <c r="B243" s="456" t="s">
        <v>2992</v>
      </c>
      <c r="C243" s="456" t="s">
        <v>2993</v>
      </c>
      <c r="D243" s="456" t="s">
        <v>2994</v>
      </c>
      <c r="E243" s="456" t="str">
        <f t="shared" si="4"/>
        <v>First Name Last Name</v>
      </c>
      <c r="F243" s="535" t="s">
        <v>1214</v>
      </c>
      <c r="G243" s="535" t="s">
        <v>1486</v>
      </c>
      <c r="H243" s="536">
        <v>15.61</v>
      </c>
      <c r="I243" s="537" t="s">
        <v>170</v>
      </c>
      <c r="J243" s="538">
        <v>44695</v>
      </c>
      <c r="K243" s="535" t="s">
        <v>170</v>
      </c>
      <c r="L243" s="535" t="s">
        <v>170</v>
      </c>
      <c r="M243" s="535" t="s">
        <v>1491</v>
      </c>
      <c r="N243" s="535" t="s">
        <v>1008</v>
      </c>
      <c r="O243" s="535" t="s">
        <v>1230</v>
      </c>
      <c r="P243" s="535" t="s">
        <v>1218</v>
      </c>
      <c r="Q243" s="535" t="s">
        <v>492</v>
      </c>
      <c r="R243" s="538" t="s">
        <v>170</v>
      </c>
      <c r="S243" s="535" t="s">
        <v>1305</v>
      </c>
      <c r="T243" s="535" t="s">
        <v>1493</v>
      </c>
      <c r="U243" s="536">
        <v>32468.799999999999</v>
      </c>
      <c r="V243" s="535" t="s">
        <v>1307</v>
      </c>
      <c r="X243" s="369" t="str">
        <f>IF(OR(T243="125-65-654-50110",T243="125-65-652-50110",T243="125-65-656-50110"),"N/A",COUNTIF('Prop Budget Calc'!A:A,'Base Pay Report'!A243))</f>
        <v>N/A</v>
      </c>
    </row>
    <row r="244" spans="1:24">
      <c r="A244" s="535" t="s">
        <v>1683</v>
      </c>
      <c r="B244" s="456" t="s">
        <v>2992</v>
      </c>
      <c r="C244" s="456" t="s">
        <v>2993</v>
      </c>
      <c r="D244" s="456" t="s">
        <v>2994</v>
      </c>
      <c r="E244" s="456" t="str">
        <f t="shared" si="4"/>
        <v>First Name Last Name</v>
      </c>
      <c r="F244" s="535" t="s">
        <v>1214</v>
      </c>
      <c r="G244" s="535" t="s">
        <v>1486</v>
      </c>
      <c r="H244" s="536">
        <v>15.61</v>
      </c>
      <c r="I244" s="537" t="s">
        <v>170</v>
      </c>
      <c r="J244" s="538">
        <v>44681</v>
      </c>
      <c r="K244" s="535" t="s">
        <v>170</v>
      </c>
      <c r="L244" s="535" t="s">
        <v>170</v>
      </c>
      <c r="M244" s="535" t="s">
        <v>1491</v>
      </c>
      <c r="N244" s="535" t="s">
        <v>1008</v>
      </c>
      <c r="O244" s="535" t="s">
        <v>1230</v>
      </c>
      <c r="P244" s="535" t="s">
        <v>1218</v>
      </c>
      <c r="Q244" s="535" t="s">
        <v>492</v>
      </c>
      <c r="R244" s="538" t="s">
        <v>170</v>
      </c>
      <c r="S244" s="535" t="s">
        <v>1305</v>
      </c>
      <c r="T244" s="535" t="s">
        <v>1493</v>
      </c>
      <c r="U244" s="536">
        <v>32468.799999999999</v>
      </c>
      <c r="V244" s="535" t="s">
        <v>1307</v>
      </c>
      <c r="X244" s="369" t="str">
        <f>IF(OR(T244="125-65-654-50110",T244="125-65-652-50110",T244="125-65-656-50110"),"N/A",COUNTIF('Prop Budget Calc'!A:A,'Base Pay Report'!A244))</f>
        <v>N/A</v>
      </c>
    </row>
    <row r="245" spans="1:24">
      <c r="A245" s="535" t="s">
        <v>1684</v>
      </c>
      <c r="B245" s="456" t="s">
        <v>2992</v>
      </c>
      <c r="C245" s="456" t="s">
        <v>2993</v>
      </c>
      <c r="D245" s="456" t="s">
        <v>2994</v>
      </c>
      <c r="E245" s="456" t="str">
        <f t="shared" si="4"/>
        <v>First Name Last Name</v>
      </c>
      <c r="F245" s="535" t="s">
        <v>1214</v>
      </c>
      <c r="G245" s="535" t="s">
        <v>1227</v>
      </c>
      <c r="H245" s="536">
        <v>2425.19</v>
      </c>
      <c r="I245" s="537">
        <v>80</v>
      </c>
      <c r="J245" s="538">
        <v>44697</v>
      </c>
      <c r="K245" s="535" t="s">
        <v>170</v>
      </c>
      <c r="L245" s="535" t="s">
        <v>170</v>
      </c>
      <c r="M245" s="535" t="s">
        <v>1523</v>
      </c>
      <c r="N245" s="535" t="s">
        <v>142</v>
      </c>
      <c r="O245" s="535" t="s">
        <v>1304</v>
      </c>
      <c r="P245" s="535" t="s">
        <v>1218</v>
      </c>
      <c r="Q245" s="535" t="s">
        <v>1231</v>
      </c>
      <c r="R245" s="538" t="s">
        <v>170</v>
      </c>
      <c r="S245" s="535" t="s">
        <v>1241</v>
      </c>
      <c r="T245" s="535" t="s">
        <v>1329</v>
      </c>
      <c r="U245" s="536">
        <v>63054.94</v>
      </c>
      <c r="V245" s="535" t="s">
        <v>1220</v>
      </c>
      <c r="X245" s="369">
        <f>IF(OR(T245="125-65-654-50110",T245="125-65-652-50110",T245="125-65-656-50110"),"N/A",COUNTIF('Prop Budget Calc'!A:A,'Base Pay Report'!A245))</f>
        <v>0</v>
      </c>
    </row>
    <row r="246" spans="1:24">
      <c r="A246" s="535" t="s">
        <v>1685</v>
      </c>
      <c r="B246" s="456" t="s">
        <v>2992</v>
      </c>
      <c r="C246" s="456" t="s">
        <v>2993</v>
      </c>
      <c r="D246" s="456" t="s">
        <v>2994</v>
      </c>
      <c r="E246" s="456" t="str">
        <f t="shared" si="4"/>
        <v>First Name Last Name</v>
      </c>
      <c r="F246" s="535" t="s">
        <v>1214</v>
      </c>
      <c r="G246" s="535" t="s">
        <v>1486</v>
      </c>
      <c r="H246" s="536">
        <v>14.05</v>
      </c>
      <c r="I246" s="537" t="s">
        <v>170</v>
      </c>
      <c r="J246" s="538">
        <v>44681</v>
      </c>
      <c r="K246" s="535" t="s">
        <v>170</v>
      </c>
      <c r="L246" s="535" t="s">
        <v>170</v>
      </c>
      <c r="M246" s="535" t="s">
        <v>1487</v>
      </c>
      <c r="N246" s="535" t="s">
        <v>1488</v>
      </c>
      <c r="O246" s="535" t="s">
        <v>1325</v>
      </c>
      <c r="P246" s="535" t="s">
        <v>1218</v>
      </c>
      <c r="Q246" s="535" t="s">
        <v>492</v>
      </c>
      <c r="R246" s="538" t="s">
        <v>170</v>
      </c>
      <c r="S246" s="535" t="s">
        <v>1305</v>
      </c>
      <c r="T246" s="535" t="s">
        <v>1326</v>
      </c>
      <c r="U246" s="536">
        <v>29224</v>
      </c>
      <c r="V246" s="535" t="s">
        <v>1307</v>
      </c>
      <c r="X246" s="369" t="str">
        <f>IF(OR(T246="125-65-654-50110",T246="125-65-652-50110",T246="125-65-656-50110"),"N/A",COUNTIF('Prop Budget Calc'!A:A,'Base Pay Report'!A246))</f>
        <v>N/A</v>
      </c>
    </row>
    <row r="247" spans="1:24">
      <c r="A247" s="535" t="s">
        <v>1686</v>
      </c>
      <c r="B247" s="456" t="s">
        <v>2992</v>
      </c>
      <c r="C247" s="456" t="s">
        <v>2993</v>
      </c>
      <c r="D247" s="456" t="s">
        <v>2994</v>
      </c>
      <c r="E247" s="456" t="str">
        <f t="shared" si="4"/>
        <v>First Name Last Name</v>
      </c>
      <c r="F247" s="535" t="s">
        <v>1214</v>
      </c>
      <c r="G247" s="535" t="s">
        <v>1324</v>
      </c>
      <c r="H247" s="536">
        <v>14.05</v>
      </c>
      <c r="I247" s="537" t="s">
        <v>170</v>
      </c>
      <c r="J247" s="538">
        <v>44695</v>
      </c>
      <c r="K247" s="535" t="s">
        <v>170</v>
      </c>
      <c r="L247" s="535" t="s">
        <v>170</v>
      </c>
      <c r="M247" s="535" t="s">
        <v>1543</v>
      </c>
      <c r="N247" s="535" t="s">
        <v>1018</v>
      </c>
      <c r="O247" s="535" t="s">
        <v>1230</v>
      </c>
      <c r="P247" s="535" t="s">
        <v>1218</v>
      </c>
      <c r="Q247" s="535" t="s">
        <v>492</v>
      </c>
      <c r="R247" s="538" t="s">
        <v>170</v>
      </c>
      <c r="S247" s="535" t="s">
        <v>1305</v>
      </c>
      <c r="T247" s="535" t="s">
        <v>1493</v>
      </c>
      <c r="U247" s="536">
        <v>29224</v>
      </c>
      <c r="V247" s="535" t="s">
        <v>1307</v>
      </c>
      <c r="X247" s="369" t="str">
        <f>IF(OR(T247="125-65-654-50110",T247="125-65-652-50110",T247="125-65-656-50110"),"N/A",COUNTIF('Prop Budget Calc'!A:A,'Base Pay Report'!A247))</f>
        <v>N/A</v>
      </c>
    </row>
    <row r="248" spans="1:24">
      <c r="A248" s="535" t="s">
        <v>1687</v>
      </c>
      <c r="B248" s="456" t="s">
        <v>2992</v>
      </c>
      <c r="C248" s="456" t="s">
        <v>2993</v>
      </c>
      <c r="D248" s="456" t="s">
        <v>2994</v>
      </c>
      <c r="E248" s="456" t="str">
        <f t="shared" si="4"/>
        <v>First Name Last Name</v>
      </c>
      <c r="F248" s="535" t="s">
        <v>1214</v>
      </c>
      <c r="G248" s="535" t="s">
        <v>1563</v>
      </c>
      <c r="H248" s="536">
        <v>15.09</v>
      </c>
      <c r="I248" s="537" t="s">
        <v>170</v>
      </c>
      <c r="J248" s="538">
        <v>44695</v>
      </c>
      <c r="K248" s="535" t="s">
        <v>170</v>
      </c>
      <c r="L248" s="535" t="s">
        <v>170</v>
      </c>
      <c r="M248" s="535" t="s">
        <v>1564</v>
      </c>
      <c r="N248" s="535" t="s">
        <v>539</v>
      </c>
      <c r="O248" s="535" t="s">
        <v>1325</v>
      </c>
      <c r="P248" s="535" t="s">
        <v>1218</v>
      </c>
      <c r="Q248" s="535" t="s">
        <v>492</v>
      </c>
      <c r="R248" s="538" t="s">
        <v>170</v>
      </c>
      <c r="S248" s="535" t="s">
        <v>1305</v>
      </c>
      <c r="T248" s="535" t="s">
        <v>1565</v>
      </c>
      <c r="U248" s="536">
        <v>31387.200000000001</v>
      </c>
      <c r="V248" s="535" t="s">
        <v>1307</v>
      </c>
      <c r="X248" s="369" t="str">
        <f>IF(OR(T248="125-65-654-50110",T248="125-65-652-50110",T248="125-65-656-50110"),"N/A",COUNTIF('Prop Budget Calc'!A:A,'Base Pay Report'!A248))</f>
        <v>N/A</v>
      </c>
    </row>
    <row r="249" spans="1:24">
      <c r="A249" s="535" t="s">
        <v>1688</v>
      </c>
      <c r="B249" s="456" t="s">
        <v>2992</v>
      </c>
      <c r="C249" s="456" t="s">
        <v>2993</v>
      </c>
      <c r="D249" s="456" t="s">
        <v>2994</v>
      </c>
      <c r="E249" s="456" t="str">
        <f t="shared" si="4"/>
        <v>First Name Last Name</v>
      </c>
      <c r="F249" s="535" t="s">
        <v>1214</v>
      </c>
      <c r="G249" s="535" t="s">
        <v>170</v>
      </c>
      <c r="H249" s="536">
        <v>20.77</v>
      </c>
      <c r="I249" s="537" t="s">
        <v>170</v>
      </c>
      <c r="J249" s="538">
        <v>43822</v>
      </c>
      <c r="K249" s="535" t="s">
        <v>170</v>
      </c>
      <c r="L249" s="535" t="s">
        <v>170</v>
      </c>
      <c r="M249" s="535" t="s">
        <v>2536</v>
      </c>
      <c r="N249" s="535" t="s">
        <v>2537</v>
      </c>
      <c r="O249" s="535" t="s">
        <v>1230</v>
      </c>
      <c r="P249" s="535" t="s">
        <v>1218</v>
      </c>
      <c r="Q249" s="535" t="s">
        <v>492</v>
      </c>
      <c r="R249" s="538" t="s">
        <v>170</v>
      </c>
      <c r="S249" s="535" t="s">
        <v>1259</v>
      </c>
      <c r="T249" s="535" t="s">
        <v>1635</v>
      </c>
      <c r="U249" s="536">
        <v>43201.599999999999</v>
      </c>
      <c r="V249" s="535" t="s">
        <v>1220</v>
      </c>
      <c r="X249" s="369">
        <f>IF(OR(T249="125-65-654-50110",T249="125-65-652-50110",T249="125-65-656-50110"),"N/A",COUNTIF('Prop Budget Calc'!A:A,'Base Pay Report'!A249))</f>
        <v>0</v>
      </c>
    </row>
    <row r="250" spans="1:24">
      <c r="A250" s="535" t="s">
        <v>1689</v>
      </c>
      <c r="B250" s="456" t="s">
        <v>2992</v>
      </c>
      <c r="C250" s="456" t="s">
        <v>2993</v>
      </c>
      <c r="D250" s="456" t="s">
        <v>2994</v>
      </c>
      <c r="E250" s="456" t="str">
        <f t="shared" si="4"/>
        <v>First Name Last Name</v>
      </c>
      <c r="F250" s="535" t="s">
        <v>1214</v>
      </c>
      <c r="G250" s="535" t="s">
        <v>170</v>
      </c>
      <c r="H250" s="536">
        <v>23.96</v>
      </c>
      <c r="I250" s="537" t="s">
        <v>170</v>
      </c>
      <c r="J250" s="538">
        <v>44699</v>
      </c>
      <c r="K250" s="535" t="s">
        <v>170</v>
      </c>
      <c r="L250" s="535" t="s">
        <v>170</v>
      </c>
      <c r="M250" s="535" t="s">
        <v>1269</v>
      </c>
      <c r="N250" s="535" t="s">
        <v>1270</v>
      </c>
      <c r="O250" s="535" t="s">
        <v>1217</v>
      </c>
      <c r="P250" s="535" t="s">
        <v>1218</v>
      </c>
      <c r="Q250" s="535" t="s">
        <v>492</v>
      </c>
      <c r="R250" s="538" t="s">
        <v>170</v>
      </c>
      <c r="S250" s="535" t="s">
        <v>1219</v>
      </c>
      <c r="T250" s="535" t="s">
        <v>959</v>
      </c>
      <c r="U250" s="536">
        <v>49836.800000000003</v>
      </c>
      <c r="V250" s="535" t="s">
        <v>1220</v>
      </c>
      <c r="X250" s="369">
        <f>IF(OR(T250="125-65-654-50110",T250="125-65-652-50110",T250="125-65-656-50110"),"N/A",COUNTIF('Prop Budget Calc'!A:A,'Base Pay Report'!A250))</f>
        <v>0</v>
      </c>
    </row>
    <row r="251" spans="1:24">
      <c r="A251" s="535" t="s">
        <v>1690</v>
      </c>
      <c r="B251" s="456" t="s">
        <v>2992</v>
      </c>
      <c r="C251" s="456" t="s">
        <v>2993</v>
      </c>
      <c r="D251" s="456" t="s">
        <v>2994</v>
      </c>
      <c r="E251" s="456" t="str">
        <f t="shared" si="4"/>
        <v>First Name Last Name</v>
      </c>
      <c r="F251" s="535" t="s">
        <v>1214</v>
      </c>
      <c r="G251" s="535" t="s">
        <v>1238</v>
      </c>
      <c r="H251" s="536">
        <v>4570.47</v>
      </c>
      <c r="I251" s="537">
        <v>80</v>
      </c>
      <c r="J251" s="538">
        <v>42849</v>
      </c>
      <c r="K251" s="535" t="s">
        <v>170</v>
      </c>
      <c r="L251" s="535" t="s">
        <v>170</v>
      </c>
      <c r="M251" s="535" t="s">
        <v>1691</v>
      </c>
      <c r="N251" s="535" t="s">
        <v>1022</v>
      </c>
      <c r="O251" s="535" t="s">
        <v>1230</v>
      </c>
      <c r="P251" s="535" t="s">
        <v>1218</v>
      </c>
      <c r="Q251" s="535" t="s">
        <v>1231</v>
      </c>
      <c r="R251" s="538" t="s">
        <v>170</v>
      </c>
      <c r="S251" s="535" t="s">
        <v>1241</v>
      </c>
      <c r="T251" s="535" t="s">
        <v>1553</v>
      </c>
      <c r="U251" s="536">
        <v>118832.22</v>
      </c>
      <c r="V251" s="535" t="s">
        <v>1220</v>
      </c>
      <c r="X251" s="369">
        <f>IF(OR(T251="125-65-654-50110",T251="125-65-652-50110",T251="125-65-656-50110"),"N/A",COUNTIF('Prop Budget Calc'!A:A,'Base Pay Report'!A251))</f>
        <v>0</v>
      </c>
    </row>
    <row r="252" spans="1:24">
      <c r="A252" s="535" t="s">
        <v>1692</v>
      </c>
      <c r="B252" s="456" t="s">
        <v>2992</v>
      </c>
      <c r="C252" s="456" t="s">
        <v>2993</v>
      </c>
      <c r="D252" s="456" t="s">
        <v>2994</v>
      </c>
      <c r="E252" s="456" t="str">
        <f t="shared" si="4"/>
        <v>First Name Last Name</v>
      </c>
      <c r="F252" s="535" t="s">
        <v>1214</v>
      </c>
      <c r="G252" s="535" t="s">
        <v>1324</v>
      </c>
      <c r="H252" s="536">
        <v>14.05</v>
      </c>
      <c r="I252" s="537" t="s">
        <v>170</v>
      </c>
      <c r="J252" s="538">
        <v>44695</v>
      </c>
      <c r="K252" s="535" t="s">
        <v>170</v>
      </c>
      <c r="L252" s="535" t="s">
        <v>170</v>
      </c>
      <c r="M252" s="535" t="s">
        <v>1543</v>
      </c>
      <c r="N252" s="535" t="s">
        <v>1018</v>
      </c>
      <c r="O252" s="535" t="s">
        <v>1230</v>
      </c>
      <c r="P252" s="535" t="s">
        <v>1218</v>
      </c>
      <c r="Q252" s="535" t="s">
        <v>492</v>
      </c>
      <c r="R252" s="538" t="s">
        <v>170</v>
      </c>
      <c r="S252" s="535" t="s">
        <v>1305</v>
      </c>
      <c r="T252" s="535" t="s">
        <v>1493</v>
      </c>
      <c r="U252" s="536">
        <v>29224</v>
      </c>
      <c r="V252" s="535" t="s">
        <v>1307</v>
      </c>
      <c r="X252" s="369" t="str">
        <f>IF(OR(T252="125-65-654-50110",T252="125-65-652-50110",T252="125-65-656-50110"),"N/A",COUNTIF('Prop Budget Calc'!A:A,'Base Pay Report'!A252))</f>
        <v>N/A</v>
      </c>
    </row>
    <row r="253" spans="1:24">
      <c r="A253" s="535" t="s">
        <v>1696</v>
      </c>
      <c r="B253" s="456" t="s">
        <v>2992</v>
      </c>
      <c r="C253" s="456" t="s">
        <v>2993</v>
      </c>
      <c r="D253" s="456" t="s">
        <v>2994</v>
      </c>
      <c r="E253" s="456" t="str">
        <f t="shared" si="4"/>
        <v>First Name Last Name</v>
      </c>
      <c r="F253" s="535" t="s">
        <v>1214</v>
      </c>
      <c r="G253" s="535" t="s">
        <v>1579</v>
      </c>
      <c r="H253" s="536">
        <v>11.96</v>
      </c>
      <c r="I253" s="537" t="s">
        <v>170</v>
      </c>
      <c r="J253" s="538">
        <v>44695</v>
      </c>
      <c r="K253" s="535" t="s">
        <v>170</v>
      </c>
      <c r="L253" s="535" t="s">
        <v>170</v>
      </c>
      <c r="M253" s="535" t="s">
        <v>1580</v>
      </c>
      <c r="N253" s="535" t="s">
        <v>1007</v>
      </c>
      <c r="O253" s="535" t="s">
        <v>1325</v>
      </c>
      <c r="P253" s="535" t="s">
        <v>1218</v>
      </c>
      <c r="Q253" s="535" t="s">
        <v>492</v>
      </c>
      <c r="R253" s="538" t="s">
        <v>170</v>
      </c>
      <c r="S253" s="535" t="s">
        <v>1305</v>
      </c>
      <c r="T253" s="535" t="s">
        <v>1565</v>
      </c>
      <c r="U253" s="536">
        <v>24876.799999999999</v>
      </c>
      <c r="V253" s="535" t="s">
        <v>1307</v>
      </c>
      <c r="X253" s="369" t="str">
        <f>IF(OR(T253="125-65-654-50110",T253="125-65-652-50110",T253="125-65-656-50110"),"N/A",COUNTIF('Prop Budget Calc'!A:A,'Base Pay Report'!A253))</f>
        <v>N/A</v>
      </c>
    </row>
    <row r="254" spans="1:24">
      <c r="A254" s="535" t="s">
        <v>1697</v>
      </c>
      <c r="B254" s="456" t="s">
        <v>2992</v>
      </c>
      <c r="C254" s="456" t="s">
        <v>2993</v>
      </c>
      <c r="D254" s="456" t="s">
        <v>2994</v>
      </c>
      <c r="E254" s="456" t="str">
        <f t="shared" si="4"/>
        <v>First Name Last Name</v>
      </c>
      <c r="F254" s="535" t="s">
        <v>1214</v>
      </c>
      <c r="G254" s="535" t="s">
        <v>1486</v>
      </c>
      <c r="H254" s="536">
        <v>13.77</v>
      </c>
      <c r="I254" s="537" t="s">
        <v>170</v>
      </c>
      <c r="J254" s="538">
        <v>44695</v>
      </c>
      <c r="K254" s="535" t="s">
        <v>170</v>
      </c>
      <c r="L254" s="535" t="s">
        <v>170</v>
      </c>
      <c r="M254" s="535" t="s">
        <v>1487</v>
      </c>
      <c r="N254" s="535" t="s">
        <v>1488</v>
      </c>
      <c r="O254" s="535" t="s">
        <v>1325</v>
      </c>
      <c r="P254" s="535" t="s">
        <v>1218</v>
      </c>
      <c r="Q254" s="535" t="s">
        <v>492</v>
      </c>
      <c r="R254" s="538">
        <v>45255</v>
      </c>
      <c r="S254" s="535" t="s">
        <v>1305</v>
      </c>
      <c r="T254" s="535" t="s">
        <v>1326</v>
      </c>
      <c r="U254" s="536">
        <v>28641.599999999999</v>
      </c>
      <c r="V254" s="535" t="s">
        <v>1307</v>
      </c>
      <c r="X254" s="369" t="str">
        <f>IF(OR(T254="125-65-654-50110",T254="125-65-652-50110",T254="125-65-656-50110"),"N/A",COUNTIF('Prop Budget Calc'!A:A,'Base Pay Report'!A254))</f>
        <v>N/A</v>
      </c>
    </row>
    <row r="255" spans="1:24">
      <c r="A255" s="535" t="s">
        <v>1698</v>
      </c>
      <c r="B255" s="456" t="s">
        <v>2992</v>
      </c>
      <c r="C255" s="456" t="s">
        <v>2993</v>
      </c>
      <c r="D255" s="456" t="s">
        <v>2994</v>
      </c>
      <c r="E255" s="456" t="str">
        <f t="shared" si="4"/>
        <v>First Name Last Name</v>
      </c>
      <c r="F255" s="535" t="s">
        <v>1214</v>
      </c>
      <c r="G255" s="535" t="s">
        <v>1309</v>
      </c>
      <c r="H255" s="536">
        <v>23.83</v>
      </c>
      <c r="I255" s="537" t="s">
        <v>170</v>
      </c>
      <c r="J255" s="538">
        <v>42845</v>
      </c>
      <c r="K255" s="535" t="s">
        <v>170</v>
      </c>
      <c r="L255" s="535" t="s">
        <v>170</v>
      </c>
      <c r="M255" s="535" t="s">
        <v>1699</v>
      </c>
      <c r="N255" s="535" t="s">
        <v>1700</v>
      </c>
      <c r="O255" s="535" t="s">
        <v>1230</v>
      </c>
      <c r="P255" s="535" t="s">
        <v>1218</v>
      </c>
      <c r="Q255" s="535" t="s">
        <v>492</v>
      </c>
      <c r="R255" s="538" t="s">
        <v>170</v>
      </c>
      <c r="S255" s="535" t="s">
        <v>1259</v>
      </c>
      <c r="T255" s="535" t="s">
        <v>1585</v>
      </c>
      <c r="U255" s="536">
        <v>49566.400000000001</v>
      </c>
      <c r="V255" s="535" t="s">
        <v>1220</v>
      </c>
      <c r="X255" s="369">
        <f>IF(OR(T255="125-65-654-50110",T255="125-65-652-50110",T255="125-65-656-50110"),"N/A",COUNTIF('Prop Budget Calc'!A:A,'Base Pay Report'!A255))</f>
        <v>0</v>
      </c>
    </row>
    <row r="256" spans="1:24">
      <c r="A256" s="535" t="s">
        <v>1701</v>
      </c>
      <c r="B256" s="456" t="s">
        <v>2992</v>
      </c>
      <c r="C256" s="456" t="s">
        <v>2993</v>
      </c>
      <c r="D256" s="456" t="s">
        <v>2994</v>
      </c>
      <c r="E256" s="456" t="str">
        <f t="shared" si="4"/>
        <v>First Name Last Name</v>
      </c>
      <c r="F256" s="535" t="s">
        <v>1214</v>
      </c>
      <c r="G256" s="535" t="s">
        <v>1233</v>
      </c>
      <c r="H256" s="536">
        <v>2223.5500000000002</v>
      </c>
      <c r="I256" s="537">
        <v>80</v>
      </c>
      <c r="J256" s="538">
        <v>44718</v>
      </c>
      <c r="K256" s="535" t="s">
        <v>170</v>
      </c>
      <c r="L256" s="535" t="s">
        <v>170</v>
      </c>
      <c r="M256" s="535" t="s">
        <v>1702</v>
      </c>
      <c r="N256" s="535" t="s">
        <v>1703</v>
      </c>
      <c r="O256" s="535" t="s">
        <v>1230</v>
      </c>
      <c r="P256" s="535" t="s">
        <v>1218</v>
      </c>
      <c r="Q256" s="535" t="s">
        <v>1231</v>
      </c>
      <c r="R256" s="538" t="s">
        <v>170</v>
      </c>
      <c r="S256" s="535" t="s">
        <v>1241</v>
      </c>
      <c r="T256" s="535" t="s">
        <v>1341</v>
      </c>
      <c r="U256" s="536">
        <v>57812.3</v>
      </c>
      <c r="V256" s="535" t="s">
        <v>1220</v>
      </c>
      <c r="X256" s="369">
        <f>IF(OR(T256="125-65-654-50110",T256="125-65-652-50110",T256="125-65-656-50110"),"N/A",COUNTIF('Prop Budget Calc'!A:A,'Base Pay Report'!A256))</f>
        <v>0</v>
      </c>
    </row>
    <row r="257" spans="1:24">
      <c r="A257" s="535" t="s">
        <v>1704</v>
      </c>
      <c r="B257" s="456" t="s">
        <v>2992</v>
      </c>
      <c r="C257" s="456" t="s">
        <v>2993</v>
      </c>
      <c r="D257" s="456" t="s">
        <v>2994</v>
      </c>
      <c r="E257" s="456" t="str">
        <f t="shared" si="4"/>
        <v>First Name Last Name</v>
      </c>
      <c r="F257" s="535" t="s">
        <v>1214</v>
      </c>
      <c r="G257" s="535" t="s">
        <v>1602</v>
      </c>
      <c r="H257" s="536">
        <v>10.4</v>
      </c>
      <c r="I257" s="537" t="s">
        <v>170</v>
      </c>
      <c r="J257" s="538">
        <v>44709</v>
      </c>
      <c r="K257" s="535" t="s">
        <v>170</v>
      </c>
      <c r="L257" s="535" t="s">
        <v>170</v>
      </c>
      <c r="M257" s="535" t="s">
        <v>1603</v>
      </c>
      <c r="N257" s="535" t="s">
        <v>1010</v>
      </c>
      <c r="O257" s="535" t="s">
        <v>1325</v>
      </c>
      <c r="P257" s="535" t="s">
        <v>1218</v>
      </c>
      <c r="Q257" s="535" t="s">
        <v>492</v>
      </c>
      <c r="R257" s="538" t="s">
        <v>170</v>
      </c>
      <c r="S257" s="535" t="s">
        <v>1305</v>
      </c>
      <c r="T257" s="535" t="s">
        <v>1326</v>
      </c>
      <c r="U257" s="536">
        <v>21632</v>
      </c>
      <c r="V257" s="535" t="s">
        <v>1307</v>
      </c>
      <c r="X257" s="369" t="str">
        <f>IF(OR(T257="125-65-654-50110",T257="125-65-652-50110",T257="125-65-656-50110"),"N/A",COUNTIF('Prop Budget Calc'!A:A,'Base Pay Report'!A257))</f>
        <v>N/A</v>
      </c>
    </row>
    <row r="258" spans="1:24">
      <c r="A258" s="535" t="s">
        <v>1705</v>
      </c>
      <c r="B258" s="456" t="s">
        <v>2992</v>
      </c>
      <c r="C258" s="456" t="s">
        <v>2993</v>
      </c>
      <c r="D258" s="456" t="s">
        <v>2994</v>
      </c>
      <c r="E258" s="456" t="str">
        <f t="shared" si="4"/>
        <v>First Name Last Name</v>
      </c>
      <c r="F258" s="535" t="s">
        <v>1214</v>
      </c>
      <c r="G258" s="535" t="s">
        <v>1579</v>
      </c>
      <c r="H258" s="536">
        <v>11.96</v>
      </c>
      <c r="I258" s="537" t="s">
        <v>170</v>
      </c>
      <c r="J258" s="538">
        <v>44716</v>
      </c>
      <c r="K258" s="535" t="s">
        <v>170</v>
      </c>
      <c r="L258" s="535" t="s">
        <v>170</v>
      </c>
      <c r="M258" s="535" t="s">
        <v>1580</v>
      </c>
      <c r="N258" s="535" t="s">
        <v>1007</v>
      </c>
      <c r="O258" s="535" t="s">
        <v>1325</v>
      </c>
      <c r="P258" s="535" t="s">
        <v>1218</v>
      </c>
      <c r="Q258" s="535" t="s">
        <v>492</v>
      </c>
      <c r="R258" s="538" t="s">
        <v>170</v>
      </c>
      <c r="S258" s="535" t="s">
        <v>1305</v>
      </c>
      <c r="T258" s="535" t="s">
        <v>1565</v>
      </c>
      <c r="U258" s="536">
        <v>24876.799999999999</v>
      </c>
      <c r="V258" s="535" t="s">
        <v>1307</v>
      </c>
      <c r="X258" s="369" t="str">
        <f>IF(OR(T258="125-65-654-50110",T258="125-65-652-50110",T258="125-65-656-50110"),"N/A",COUNTIF('Prop Budget Calc'!A:A,'Base Pay Report'!A258))</f>
        <v>N/A</v>
      </c>
    </row>
    <row r="259" spans="1:24">
      <c r="A259" s="535" t="s">
        <v>1706</v>
      </c>
      <c r="B259" s="456" t="s">
        <v>2992</v>
      </c>
      <c r="C259" s="456" t="s">
        <v>2993</v>
      </c>
      <c r="D259" s="456" t="s">
        <v>2994</v>
      </c>
      <c r="E259" s="456" t="str">
        <f t="shared" si="4"/>
        <v>First Name Last Name</v>
      </c>
      <c r="F259" s="535" t="s">
        <v>1214</v>
      </c>
      <c r="G259" s="535" t="s">
        <v>170</v>
      </c>
      <c r="H259" s="536">
        <v>11.96</v>
      </c>
      <c r="I259" s="537" t="s">
        <v>170</v>
      </c>
      <c r="J259" s="538">
        <v>44737</v>
      </c>
      <c r="K259" s="535" t="s">
        <v>170</v>
      </c>
      <c r="L259" s="535" t="s">
        <v>170</v>
      </c>
      <c r="M259" s="535" t="s">
        <v>1580</v>
      </c>
      <c r="N259" s="535" t="s">
        <v>1007</v>
      </c>
      <c r="O259" s="535" t="s">
        <v>1325</v>
      </c>
      <c r="P259" s="535" t="s">
        <v>1218</v>
      </c>
      <c r="Q259" s="535" t="s">
        <v>492</v>
      </c>
      <c r="R259" s="538" t="s">
        <v>170</v>
      </c>
      <c r="S259" s="535" t="s">
        <v>1305</v>
      </c>
      <c r="T259" s="535" t="s">
        <v>1565</v>
      </c>
      <c r="U259" s="536">
        <v>24876.799999999999</v>
      </c>
      <c r="V259" s="535" t="s">
        <v>1307</v>
      </c>
      <c r="X259" s="369" t="str">
        <f>IF(OR(T259="125-65-654-50110",T259="125-65-652-50110",T259="125-65-656-50110"),"N/A",COUNTIF('Prop Budget Calc'!A:A,'Base Pay Report'!A259))</f>
        <v>N/A</v>
      </c>
    </row>
    <row r="260" spans="1:24">
      <c r="A260" s="535" t="s">
        <v>1707</v>
      </c>
      <c r="B260" s="456" t="s">
        <v>2992</v>
      </c>
      <c r="C260" s="456" t="s">
        <v>2993</v>
      </c>
      <c r="D260" s="456" t="s">
        <v>2994</v>
      </c>
      <c r="E260" s="456" t="str">
        <f t="shared" ref="E260:E323" si="5">B260&amp;" "&amp;D260</f>
        <v>First Name Last Name</v>
      </c>
      <c r="F260" s="535" t="s">
        <v>1214</v>
      </c>
      <c r="G260" s="535" t="s">
        <v>1324</v>
      </c>
      <c r="H260" s="536">
        <v>14.05</v>
      </c>
      <c r="I260" s="537" t="s">
        <v>170</v>
      </c>
      <c r="J260" s="538">
        <v>44723</v>
      </c>
      <c r="K260" s="535" t="s">
        <v>170</v>
      </c>
      <c r="L260" s="535" t="s">
        <v>170</v>
      </c>
      <c r="M260" s="535" t="s">
        <v>1543</v>
      </c>
      <c r="N260" s="535" t="s">
        <v>1018</v>
      </c>
      <c r="O260" s="535" t="s">
        <v>1230</v>
      </c>
      <c r="P260" s="535" t="s">
        <v>1218</v>
      </c>
      <c r="Q260" s="535" t="s">
        <v>492</v>
      </c>
      <c r="R260" s="538" t="s">
        <v>170</v>
      </c>
      <c r="S260" s="535" t="s">
        <v>1305</v>
      </c>
      <c r="T260" s="535" t="s">
        <v>1493</v>
      </c>
      <c r="U260" s="536">
        <v>29224</v>
      </c>
      <c r="V260" s="535" t="s">
        <v>1307</v>
      </c>
      <c r="X260" s="369" t="str">
        <f>IF(OR(T260="125-65-654-50110",T260="125-65-652-50110",T260="125-65-656-50110"),"N/A",COUNTIF('Prop Budget Calc'!A:A,'Base Pay Report'!A260))</f>
        <v>N/A</v>
      </c>
    </row>
    <row r="261" spans="1:24">
      <c r="A261" s="535" t="s">
        <v>2424</v>
      </c>
      <c r="B261" s="456" t="s">
        <v>2992</v>
      </c>
      <c r="C261" s="456" t="s">
        <v>2993</v>
      </c>
      <c r="D261" s="456" t="s">
        <v>2994</v>
      </c>
      <c r="E261" s="456" t="str">
        <f t="shared" si="5"/>
        <v>First Name Last Name</v>
      </c>
      <c r="F261" s="535" t="s">
        <v>1214</v>
      </c>
      <c r="G261" s="535" t="s">
        <v>1579</v>
      </c>
      <c r="H261" s="536">
        <v>11.96</v>
      </c>
      <c r="I261" s="537" t="s">
        <v>170</v>
      </c>
      <c r="J261" s="538">
        <v>44723</v>
      </c>
      <c r="K261" s="535" t="s">
        <v>170</v>
      </c>
      <c r="L261" s="535" t="s">
        <v>170</v>
      </c>
      <c r="M261" s="535" t="s">
        <v>1580</v>
      </c>
      <c r="N261" s="535" t="s">
        <v>1007</v>
      </c>
      <c r="O261" s="535" t="s">
        <v>1325</v>
      </c>
      <c r="P261" s="535" t="s">
        <v>1218</v>
      </c>
      <c r="Q261" s="535" t="s">
        <v>492</v>
      </c>
      <c r="R261" s="538">
        <v>45066</v>
      </c>
      <c r="S261" s="535" t="s">
        <v>1305</v>
      </c>
      <c r="T261" s="535" t="s">
        <v>1565</v>
      </c>
      <c r="U261" s="536">
        <v>24876.799999999999</v>
      </c>
      <c r="V261" s="535" t="s">
        <v>1307</v>
      </c>
      <c r="X261" s="369" t="str">
        <f>IF(OR(T261="125-65-654-50110",T261="125-65-652-50110",T261="125-65-656-50110"),"N/A",COUNTIF('Prop Budget Calc'!A:A,'Base Pay Report'!A261))</f>
        <v>N/A</v>
      </c>
    </row>
    <row r="262" spans="1:24">
      <c r="A262" s="535" t="s">
        <v>1708</v>
      </c>
      <c r="B262" s="456" t="s">
        <v>2992</v>
      </c>
      <c r="C262" s="456" t="s">
        <v>2993</v>
      </c>
      <c r="D262" s="456" t="s">
        <v>2994</v>
      </c>
      <c r="E262" s="456" t="str">
        <f t="shared" si="5"/>
        <v>First Name Last Name</v>
      </c>
      <c r="F262" s="535" t="s">
        <v>1214</v>
      </c>
      <c r="G262" s="535" t="s">
        <v>1247</v>
      </c>
      <c r="H262" s="536">
        <v>33.630000000000003</v>
      </c>
      <c r="I262" s="537" t="s">
        <v>170</v>
      </c>
      <c r="J262" s="538">
        <v>44732</v>
      </c>
      <c r="K262" s="535" t="s">
        <v>170</v>
      </c>
      <c r="L262" s="535" t="s">
        <v>170</v>
      </c>
      <c r="M262" s="535" t="s">
        <v>1248</v>
      </c>
      <c r="N262" s="535" t="s">
        <v>116</v>
      </c>
      <c r="O262" s="535" t="s">
        <v>1224</v>
      </c>
      <c r="P262" s="535" t="s">
        <v>1218</v>
      </c>
      <c r="Q262" s="535" t="s">
        <v>492</v>
      </c>
      <c r="R262" s="538" t="s">
        <v>170</v>
      </c>
      <c r="S262" s="535" t="s">
        <v>1225</v>
      </c>
      <c r="T262" s="535" t="s">
        <v>955</v>
      </c>
      <c r="U262" s="536">
        <v>69950.399999999994</v>
      </c>
      <c r="V262" s="535" t="s">
        <v>1220</v>
      </c>
      <c r="X262" s="369">
        <f>IF(OR(T262="125-65-654-50110",T262="125-65-652-50110",T262="125-65-656-50110"),"N/A",COUNTIF('Prop Budget Calc'!A:A,'Base Pay Report'!A262))</f>
        <v>0</v>
      </c>
    </row>
    <row r="263" spans="1:24">
      <c r="A263" s="535" t="s">
        <v>1709</v>
      </c>
      <c r="B263" s="456" t="s">
        <v>2992</v>
      </c>
      <c r="C263" s="456" t="s">
        <v>2993</v>
      </c>
      <c r="D263" s="456" t="s">
        <v>2994</v>
      </c>
      <c r="E263" s="456" t="str">
        <f t="shared" si="5"/>
        <v>First Name Last Name</v>
      </c>
      <c r="F263" s="535" t="s">
        <v>1214</v>
      </c>
      <c r="G263" s="535" t="s">
        <v>1247</v>
      </c>
      <c r="H263" s="536">
        <v>33.630000000000003</v>
      </c>
      <c r="I263" s="537" t="s">
        <v>170</v>
      </c>
      <c r="J263" s="538">
        <v>44734</v>
      </c>
      <c r="K263" s="535" t="s">
        <v>170</v>
      </c>
      <c r="L263" s="535" t="s">
        <v>170</v>
      </c>
      <c r="M263" s="535" t="s">
        <v>1248</v>
      </c>
      <c r="N263" s="535" t="s">
        <v>116</v>
      </c>
      <c r="O263" s="535" t="s">
        <v>1224</v>
      </c>
      <c r="P263" s="535" t="s">
        <v>1218</v>
      </c>
      <c r="Q263" s="535" t="s">
        <v>492</v>
      </c>
      <c r="R263" s="538" t="s">
        <v>170</v>
      </c>
      <c r="S263" s="535" t="s">
        <v>1225</v>
      </c>
      <c r="T263" s="535" t="s">
        <v>955</v>
      </c>
      <c r="U263" s="536">
        <v>69950.399999999994</v>
      </c>
      <c r="V263" s="535" t="s">
        <v>1220</v>
      </c>
      <c r="X263" s="369">
        <f>IF(OR(T263="125-65-654-50110",T263="125-65-652-50110",T263="125-65-656-50110"),"N/A",COUNTIF('Prop Budget Calc'!A:A,'Base Pay Report'!A263))</f>
        <v>0</v>
      </c>
    </row>
    <row r="264" spans="1:24">
      <c r="A264" s="535" t="s">
        <v>1710</v>
      </c>
      <c r="B264" s="456" t="s">
        <v>2992</v>
      </c>
      <c r="C264" s="456" t="s">
        <v>2993</v>
      </c>
      <c r="D264" s="456" t="s">
        <v>2994</v>
      </c>
      <c r="E264" s="456" t="str">
        <f t="shared" si="5"/>
        <v>First Name Last Name</v>
      </c>
      <c r="F264" s="535" t="s">
        <v>1214</v>
      </c>
      <c r="G264" s="535" t="s">
        <v>1486</v>
      </c>
      <c r="H264" s="536">
        <v>14.05</v>
      </c>
      <c r="I264" s="537" t="s">
        <v>170</v>
      </c>
      <c r="J264" s="538">
        <v>44737</v>
      </c>
      <c r="K264" s="535" t="s">
        <v>170</v>
      </c>
      <c r="L264" s="535" t="s">
        <v>170</v>
      </c>
      <c r="M264" s="535" t="s">
        <v>1487</v>
      </c>
      <c r="N264" s="535" t="s">
        <v>1488</v>
      </c>
      <c r="O264" s="535" t="s">
        <v>1325</v>
      </c>
      <c r="P264" s="535" t="s">
        <v>1218</v>
      </c>
      <c r="Q264" s="535" t="s">
        <v>492</v>
      </c>
      <c r="R264" s="538" t="s">
        <v>170</v>
      </c>
      <c r="S264" s="535" t="s">
        <v>1305</v>
      </c>
      <c r="T264" s="535" t="s">
        <v>1326</v>
      </c>
      <c r="U264" s="536">
        <v>29224</v>
      </c>
      <c r="V264" s="535" t="s">
        <v>1307</v>
      </c>
      <c r="X264" s="369" t="str">
        <f>IF(OR(T264="125-65-654-50110",T264="125-65-652-50110",T264="125-65-656-50110"),"N/A",COUNTIF('Prop Budget Calc'!A:A,'Base Pay Report'!A264))</f>
        <v>N/A</v>
      </c>
    </row>
    <row r="265" spans="1:24">
      <c r="A265" s="535" t="s">
        <v>1711</v>
      </c>
      <c r="B265" s="456" t="s">
        <v>2992</v>
      </c>
      <c r="C265" s="456" t="s">
        <v>2993</v>
      </c>
      <c r="D265" s="456" t="s">
        <v>2994</v>
      </c>
      <c r="E265" s="456" t="str">
        <f t="shared" si="5"/>
        <v>First Name Last Name</v>
      </c>
      <c r="F265" s="535" t="s">
        <v>1214</v>
      </c>
      <c r="G265" s="535" t="s">
        <v>170</v>
      </c>
      <c r="H265" s="536">
        <v>20.69</v>
      </c>
      <c r="I265" s="537" t="s">
        <v>170</v>
      </c>
      <c r="J265" s="538">
        <v>44734</v>
      </c>
      <c r="K265" s="535" t="s">
        <v>170</v>
      </c>
      <c r="L265" s="535" t="s">
        <v>170</v>
      </c>
      <c r="M265" s="535" t="s">
        <v>1398</v>
      </c>
      <c r="N265" s="535" t="s">
        <v>126</v>
      </c>
      <c r="O265" s="535" t="s">
        <v>1224</v>
      </c>
      <c r="P265" s="535" t="s">
        <v>1218</v>
      </c>
      <c r="Q265" s="535" t="s">
        <v>492</v>
      </c>
      <c r="R265" s="538" t="s">
        <v>170</v>
      </c>
      <c r="S265" s="535" t="s">
        <v>1283</v>
      </c>
      <c r="T265" s="535" t="s">
        <v>957</v>
      </c>
      <c r="U265" s="536">
        <v>43035.199999999997</v>
      </c>
      <c r="V265" s="535" t="s">
        <v>1220</v>
      </c>
      <c r="X265" s="369">
        <f>IF(OR(T265="125-65-654-50110",T265="125-65-652-50110",T265="125-65-656-50110"),"N/A",COUNTIF('Prop Budget Calc'!A:A,'Base Pay Report'!A265))</f>
        <v>0</v>
      </c>
    </row>
    <row r="266" spans="1:24">
      <c r="A266" s="535" t="s">
        <v>1712</v>
      </c>
      <c r="B266" s="456" t="s">
        <v>2992</v>
      </c>
      <c r="C266" s="456" t="s">
        <v>2993</v>
      </c>
      <c r="D266" s="456" t="s">
        <v>2994</v>
      </c>
      <c r="E266" s="456" t="str">
        <f t="shared" si="5"/>
        <v>First Name Last Name</v>
      </c>
      <c r="F266" s="535" t="s">
        <v>1214</v>
      </c>
      <c r="G266" s="535" t="s">
        <v>170</v>
      </c>
      <c r="H266" s="536">
        <v>14.05</v>
      </c>
      <c r="I266" s="537" t="s">
        <v>170</v>
      </c>
      <c r="J266" s="538">
        <v>44737</v>
      </c>
      <c r="K266" s="535" t="s">
        <v>170</v>
      </c>
      <c r="L266" s="535" t="s">
        <v>170</v>
      </c>
      <c r="M266" s="535" t="s">
        <v>1543</v>
      </c>
      <c r="N266" s="535" t="s">
        <v>1018</v>
      </c>
      <c r="O266" s="535" t="s">
        <v>1325</v>
      </c>
      <c r="P266" s="535" t="s">
        <v>1218</v>
      </c>
      <c r="Q266" s="535" t="s">
        <v>492</v>
      </c>
      <c r="R266" s="538" t="s">
        <v>170</v>
      </c>
      <c r="S266" s="535" t="s">
        <v>1305</v>
      </c>
      <c r="T266" s="535" t="s">
        <v>1493</v>
      </c>
      <c r="U266" s="536">
        <v>29224</v>
      </c>
      <c r="V266" s="535" t="s">
        <v>1307</v>
      </c>
      <c r="X266" s="369" t="str">
        <f>IF(OR(T266="125-65-654-50110",T266="125-65-652-50110",T266="125-65-656-50110"),"N/A",COUNTIF('Prop Budget Calc'!A:A,'Base Pay Report'!A266))</f>
        <v>N/A</v>
      </c>
    </row>
    <row r="267" spans="1:24">
      <c r="A267" s="535" t="s">
        <v>1713</v>
      </c>
      <c r="B267" s="456" t="s">
        <v>2992</v>
      </c>
      <c r="C267" s="456" t="s">
        <v>2993</v>
      </c>
      <c r="D267" s="456" t="s">
        <v>2994</v>
      </c>
      <c r="E267" s="456" t="str">
        <f t="shared" si="5"/>
        <v>First Name Last Name</v>
      </c>
      <c r="F267" s="535" t="s">
        <v>1214</v>
      </c>
      <c r="G267" s="535" t="s">
        <v>1602</v>
      </c>
      <c r="H267" s="536">
        <v>10.4</v>
      </c>
      <c r="I267" s="537" t="s">
        <v>170</v>
      </c>
      <c r="J267" s="538">
        <v>44744</v>
      </c>
      <c r="K267" s="535" t="s">
        <v>170</v>
      </c>
      <c r="L267" s="535" t="s">
        <v>170</v>
      </c>
      <c r="M267" s="535" t="s">
        <v>1603</v>
      </c>
      <c r="N267" s="535" t="s">
        <v>1010</v>
      </c>
      <c r="O267" s="535" t="s">
        <v>1325</v>
      </c>
      <c r="P267" s="535" t="s">
        <v>1218</v>
      </c>
      <c r="Q267" s="535" t="s">
        <v>492</v>
      </c>
      <c r="R267" s="538" t="s">
        <v>170</v>
      </c>
      <c r="S267" s="535" t="s">
        <v>1305</v>
      </c>
      <c r="T267" s="535" t="s">
        <v>1326</v>
      </c>
      <c r="U267" s="536">
        <v>21632</v>
      </c>
      <c r="V267" s="535" t="s">
        <v>1307</v>
      </c>
      <c r="X267" s="369" t="str">
        <f>IF(OR(T267="125-65-654-50110",T267="125-65-652-50110",T267="125-65-656-50110"),"N/A",COUNTIF('Prop Budget Calc'!A:A,'Base Pay Report'!A267))</f>
        <v>N/A</v>
      </c>
    </row>
    <row r="268" spans="1:24">
      <c r="A268" s="535" t="s">
        <v>2893</v>
      </c>
      <c r="B268" s="456" t="s">
        <v>2992</v>
      </c>
      <c r="C268" s="456" t="s">
        <v>2993</v>
      </c>
      <c r="D268" s="456" t="s">
        <v>2994</v>
      </c>
      <c r="E268" s="456" t="str">
        <f t="shared" si="5"/>
        <v>First Name Last Name</v>
      </c>
      <c r="F268" s="535" t="s">
        <v>1214</v>
      </c>
      <c r="G268" s="535" t="s">
        <v>170</v>
      </c>
      <c r="H268" s="536">
        <v>13.77</v>
      </c>
      <c r="I268" s="537" t="s">
        <v>170</v>
      </c>
      <c r="J268" s="538">
        <v>44744</v>
      </c>
      <c r="K268" s="535" t="s">
        <v>170</v>
      </c>
      <c r="L268" s="535" t="s">
        <v>170</v>
      </c>
      <c r="M268" s="535" t="s">
        <v>2927</v>
      </c>
      <c r="N268" s="535" t="s">
        <v>2928</v>
      </c>
      <c r="O268" s="535" t="s">
        <v>1325</v>
      </c>
      <c r="P268" s="535" t="s">
        <v>1218</v>
      </c>
      <c r="Q268" s="535" t="s">
        <v>492</v>
      </c>
      <c r="R268" s="538">
        <v>45409</v>
      </c>
      <c r="S268" s="535" t="s">
        <v>1305</v>
      </c>
      <c r="T268" s="535" t="s">
        <v>1326</v>
      </c>
      <c r="U268" s="536">
        <v>28641.599999999999</v>
      </c>
      <c r="V268" s="535" t="s">
        <v>1307</v>
      </c>
      <c r="X268" s="369" t="str">
        <f>IF(OR(T268="125-65-654-50110",T268="125-65-652-50110",T268="125-65-656-50110"),"N/A",COUNTIF('Prop Budget Calc'!A:A,'Base Pay Report'!A268))</f>
        <v>N/A</v>
      </c>
    </row>
    <row r="269" spans="1:24">
      <c r="A269" s="535" t="s">
        <v>1714</v>
      </c>
      <c r="B269" s="456" t="s">
        <v>2992</v>
      </c>
      <c r="C269" s="456" t="s">
        <v>2993</v>
      </c>
      <c r="D269" s="456" t="s">
        <v>2994</v>
      </c>
      <c r="E269" s="456" t="str">
        <f t="shared" si="5"/>
        <v>First Name Last Name</v>
      </c>
      <c r="F269" s="535" t="s">
        <v>1214</v>
      </c>
      <c r="G269" s="535" t="s">
        <v>1386</v>
      </c>
      <c r="H269" s="536">
        <v>23.52</v>
      </c>
      <c r="I269" s="537" t="s">
        <v>170</v>
      </c>
      <c r="J269" s="538">
        <v>44753</v>
      </c>
      <c r="K269" s="535" t="s">
        <v>170</v>
      </c>
      <c r="L269" s="535" t="s">
        <v>170</v>
      </c>
      <c r="M269" s="535" t="s">
        <v>1387</v>
      </c>
      <c r="N269" s="535" t="s">
        <v>997</v>
      </c>
      <c r="O269" s="535" t="s">
        <v>1338</v>
      </c>
      <c r="P269" s="535" t="s">
        <v>1218</v>
      </c>
      <c r="Q269" s="535" t="s">
        <v>492</v>
      </c>
      <c r="R269" s="538" t="s">
        <v>170</v>
      </c>
      <c r="S269" s="535" t="s">
        <v>1291</v>
      </c>
      <c r="T269" s="535" t="s">
        <v>1411</v>
      </c>
      <c r="U269" s="536">
        <v>48921.599999999999</v>
      </c>
      <c r="V269" s="535" t="s">
        <v>1220</v>
      </c>
      <c r="X269" s="369">
        <f>IF(OR(T269="125-65-654-50110",T269="125-65-652-50110",T269="125-65-656-50110"),"N/A",COUNTIF('Prop Budget Calc'!A:A,'Base Pay Report'!A269))</f>
        <v>0</v>
      </c>
    </row>
    <row r="270" spans="1:24">
      <c r="A270" s="535" t="s">
        <v>1715</v>
      </c>
      <c r="B270" s="456" t="s">
        <v>2992</v>
      </c>
      <c r="C270" s="456" t="s">
        <v>2993</v>
      </c>
      <c r="D270" s="456" t="s">
        <v>2994</v>
      </c>
      <c r="E270" s="456" t="str">
        <f t="shared" si="5"/>
        <v>First Name Last Name</v>
      </c>
      <c r="F270" s="535" t="s">
        <v>1214</v>
      </c>
      <c r="G270" s="535" t="s">
        <v>1579</v>
      </c>
      <c r="H270" s="536">
        <v>11.96</v>
      </c>
      <c r="I270" s="537" t="s">
        <v>170</v>
      </c>
      <c r="J270" s="538">
        <v>44751</v>
      </c>
      <c r="K270" s="535" t="s">
        <v>170</v>
      </c>
      <c r="L270" s="535" t="s">
        <v>170</v>
      </c>
      <c r="M270" s="535" t="s">
        <v>1580</v>
      </c>
      <c r="N270" s="535" t="s">
        <v>1007</v>
      </c>
      <c r="O270" s="535" t="s">
        <v>1325</v>
      </c>
      <c r="P270" s="535" t="s">
        <v>1218</v>
      </c>
      <c r="Q270" s="535" t="s">
        <v>492</v>
      </c>
      <c r="R270" s="538" t="s">
        <v>170</v>
      </c>
      <c r="S270" s="535" t="s">
        <v>1305</v>
      </c>
      <c r="T270" s="535" t="s">
        <v>1565</v>
      </c>
      <c r="U270" s="536">
        <v>24876.799999999999</v>
      </c>
      <c r="V270" s="535" t="s">
        <v>1307</v>
      </c>
      <c r="X270" s="369" t="str">
        <f>IF(OR(T270="125-65-654-50110",T270="125-65-652-50110",T270="125-65-656-50110"),"N/A",COUNTIF('Prop Budget Calc'!A:A,'Base Pay Report'!A270))</f>
        <v>N/A</v>
      </c>
    </row>
    <row r="271" spans="1:24">
      <c r="A271" s="535" t="s">
        <v>1716</v>
      </c>
      <c r="B271" s="456" t="s">
        <v>2992</v>
      </c>
      <c r="C271" s="456" t="s">
        <v>2993</v>
      </c>
      <c r="D271" s="456" t="s">
        <v>2994</v>
      </c>
      <c r="E271" s="456" t="str">
        <f t="shared" si="5"/>
        <v>First Name Last Name</v>
      </c>
      <c r="F271" s="535" t="s">
        <v>1214</v>
      </c>
      <c r="G271" s="535" t="s">
        <v>1324</v>
      </c>
      <c r="H271" s="536">
        <v>14.05</v>
      </c>
      <c r="I271" s="537" t="s">
        <v>170</v>
      </c>
      <c r="J271" s="538">
        <v>44751</v>
      </c>
      <c r="K271" s="535" t="s">
        <v>170</v>
      </c>
      <c r="L271" s="535" t="s">
        <v>170</v>
      </c>
      <c r="M271" s="535" t="s">
        <v>1543</v>
      </c>
      <c r="N271" s="535" t="s">
        <v>1018</v>
      </c>
      <c r="O271" s="535" t="s">
        <v>1325</v>
      </c>
      <c r="P271" s="535" t="s">
        <v>1218</v>
      </c>
      <c r="Q271" s="535" t="s">
        <v>492</v>
      </c>
      <c r="R271" s="538" t="s">
        <v>170</v>
      </c>
      <c r="S271" s="535" t="s">
        <v>1305</v>
      </c>
      <c r="T271" s="535" t="s">
        <v>1493</v>
      </c>
      <c r="U271" s="536">
        <v>29224</v>
      </c>
      <c r="V271" s="535" t="s">
        <v>1307</v>
      </c>
      <c r="X271" s="369" t="str">
        <f>IF(OR(T271="125-65-654-50110",T271="125-65-652-50110",T271="125-65-656-50110"),"N/A",COUNTIF('Prop Budget Calc'!A:A,'Base Pay Report'!A271))</f>
        <v>N/A</v>
      </c>
    </row>
    <row r="272" spans="1:24">
      <c r="A272" s="535" t="s">
        <v>1717</v>
      </c>
      <c r="B272" s="456" t="s">
        <v>2992</v>
      </c>
      <c r="C272" s="456" t="s">
        <v>2993</v>
      </c>
      <c r="D272" s="456" t="s">
        <v>2994</v>
      </c>
      <c r="E272" s="456" t="str">
        <f t="shared" si="5"/>
        <v>First Name Last Name</v>
      </c>
      <c r="F272" s="535" t="s">
        <v>1214</v>
      </c>
      <c r="G272" s="535" t="s">
        <v>1579</v>
      </c>
      <c r="H272" s="536">
        <v>11.96</v>
      </c>
      <c r="I272" s="537" t="s">
        <v>170</v>
      </c>
      <c r="J272" s="538">
        <v>44772</v>
      </c>
      <c r="K272" s="535" t="s">
        <v>170</v>
      </c>
      <c r="L272" s="535" t="s">
        <v>170</v>
      </c>
      <c r="M272" s="535" t="s">
        <v>1580</v>
      </c>
      <c r="N272" s="535" t="s">
        <v>1007</v>
      </c>
      <c r="O272" s="535" t="s">
        <v>1325</v>
      </c>
      <c r="P272" s="535" t="s">
        <v>1218</v>
      </c>
      <c r="Q272" s="535" t="s">
        <v>492</v>
      </c>
      <c r="R272" s="538" t="s">
        <v>170</v>
      </c>
      <c r="S272" s="535" t="s">
        <v>1305</v>
      </c>
      <c r="T272" s="535" t="s">
        <v>1565</v>
      </c>
      <c r="U272" s="536">
        <v>24876.799999999999</v>
      </c>
      <c r="V272" s="535" t="s">
        <v>1307</v>
      </c>
      <c r="X272" s="369" t="str">
        <f>IF(OR(T272="125-65-654-50110",T272="125-65-652-50110",T272="125-65-656-50110"),"N/A",COUNTIF('Prop Budget Calc'!A:A,'Base Pay Report'!A272))</f>
        <v>N/A</v>
      </c>
    </row>
    <row r="273" spans="1:24">
      <c r="A273" s="535" t="s">
        <v>1718</v>
      </c>
      <c r="B273" s="456" t="s">
        <v>2992</v>
      </c>
      <c r="C273" s="456" t="s">
        <v>2993</v>
      </c>
      <c r="D273" s="456" t="s">
        <v>2994</v>
      </c>
      <c r="E273" s="456" t="str">
        <f t="shared" si="5"/>
        <v>First Name Last Name</v>
      </c>
      <c r="F273" s="535" t="s">
        <v>1214</v>
      </c>
      <c r="G273" s="535" t="s">
        <v>1361</v>
      </c>
      <c r="H273" s="536">
        <v>2255.36</v>
      </c>
      <c r="I273" s="537">
        <v>80</v>
      </c>
      <c r="J273" s="538">
        <v>44788</v>
      </c>
      <c r="K273" s="535" t="s">
        <v>170</v>
      </c>
      <c r="L273" s="535" t="s">
        <v>170</v>
      </c>
      <c r="M273" s="535" t="s">
        <v>1658</v>
      </c>
      <c r="N273" s="535" t="s">
        <v>1952</v>
      </c>
      <c r="O273" s="535" t="s">
        <v>1230</v>
      </c>
      <c r="P273" s="535" t="s">
        <v>1218</v>
      </c>
      <c r="Q273" s="535" t="s">
        <v>1231</v>
      </c>
      <c r="R273" s="538" t="s">
        <v>170</v>
      </c>
      <c r="S273" s="535" t="s">
        <v>1241</v>
      </c>
      <c r="T273" s="535" t="s">
        <v>1453</v>
      </c>
      <c r="U273" s="536">
        <v>58639.360000000001</v>
      </c>
      <c r="V273" s="535" t="s">
        <v>1220</v>
      </c>
      <c r="X273" s="369">
        <f>IF(OR(T273="125-65-654-50110",T273="125-65-652-50110",T273="125-65-656-50110"),"N/A",COUNTIF('Prop Budget Calc'!A:A,'Base Pay Report'!A273))</f>
        <v>0</v>
      </c>
    </row>
    <row r="274" spans="1:24">
      <c r="A274" s="535" t="s">
        <v>1719</v>
      </c>
      <c r="B274" s="456" t="s">
        <v>2992</v>
      </c>
      <c r="C274" s="456" t="s">
        <v>2993</v>
      </c>
      <c r="D274" s="456" t="s">
        <v>2994</v>
      </c>
      <c r="E274" s="456" t="str">
        <f t="shared" si="5"/>
        <v>First Name Last Name</v>
      </c>
      <c r="F274" s="535" t="s">
        <v>1214</v>
      </c>
      <c r="G274" s="535" t="s">
        <v>1397</v>
      </c>
      <c r="H274" s="536">
        <v>20.69</v>
      </c>
      <c r="I274" s="537" t="s">
        <v>170</v>
      </c>
      <c r="J274" s="538">
        <v>44788</v>
      </c>
      <c r="K274" s="535" t="s">
        <v>170</v>
      </c>
      <c r="L274" s="535" t="s">
        <v>170</v>
      </c>
      <c r="M274" s="535" t="s">
        <v>1398</v>
      </c>
      <c r="N274" s="535" t="s">
        <v>126</v>
      </c>
      <c r="O274" s="535" t="s">
        <v>1224</v>
      </c>
      <c r="P274" s="535" t="s">
        <v>1218</v>
      </c>
      <c r="Q274" s="535" t="s">
        <v>492</v>
      </c>
      <c r="R274" s="538" t="s">
        <v>170</v>
      </c>
      <c r="S274" s="535" t="s">
        <v>1283</v>
      </c>
      <c r="T274" s="535" t="s">
        <v>957</v>
      </c>
      <c r="U274" s="536">
        <v>43035.199999999997</v>
      </c>
      <c r="V274" s="535" t="s">
        <v>1220</v>
      </c>
      <c r="X274" s="369">
        <f>IF(OR(T274="125-65-654-50110",T274="125-65-652-50110",T274="125-65-656-50110"),"N/A",COUNTIF('Prop Budget Calc'!A:A,'Base Pay Report'!A274))</f>
        <v>0</v>
      </c>
    </row>
    <row r="275" spans="1:24">
      <c r="A275" s="535" t="s">
        <v>1720</v>
      </c>
      <c r="B275" s="456" t="s">
        <v>2992</v>
      </c>
      <c r="C275" s="456" t="s">
        <v>2993</v>
      </c>
      <c r="D275" s="456" t="s">
        <v>2994</v>
      </c>
      <c r="E275" s="456" t="str">
        <f t="shared" si="5"/>
        <v>First Name Last Name</v>
      </c>
      <c r="F275" s="535" t="s">
        <v>1214</v>
      </c>
      <c r="G275" s="535" t="s">
        <v>1256</v>
      </c>
      <c r="H275" s="536">
        <v>22.84</v>
      </c>
      <c r="I275" s="537" t="s">
        <v>170</v>
      </c>
      <c r="J275" s="538">
        <v>44781</v>
      </c>
      <c r="K275" s="535" t="s">
        <v>170</v>
      </c>
      <c r="L275" s="535" t="s">
        <v>170</v>
      </c>
      <c r="M275" s="535" t="s">
        <v>1721</v>
      </c>
      <c r="N275" s="535" t="s">
        <v>373</v>
      </c>
      <c r="O275" s="535" t="s">
        <v>1265</v>
      </c>
      <c r="P275" s="535" t="s">
        <v>1218</v>
      </c>
      <c r="Q275" s="535" t="s">
        <v>492</v>
      </c>
      <c r="R275" s="538" t="s">
        <v>170</v>
      </c>
      <c r="S275" s="535" t="s">
        <v>1259</v>
      </c>
      <c r="T275" s="535" t="s">
        <v>1585</v>
      </c>
      <c r="U275" s="536">
        <v>47507.199999999997</v>
      </c>
      <c r="V275" s="535" t="s">
        <v>1220</v>
      </c>
      <c r="X275" s="369">
        <f>IF(OR(T275="125-65-654-50110",T275="125-65-652-50110",T275="125-65-656-50110"),"N/A",COUNTIF('Prop Budget Calc'!A:A,'Base Pay Report'!A275))</f>
        <v>0</v>
      </c>
    </row>
    <row r="276" spans="1:24">
      <c r="A276" s="535" t="s">
        <v>1723</v>
      </c>
      <c r="B276" s="456" t="s">
        <v>2992</v>
      </c>
      <c r="C276" s="456" t="s">
        <v>2993</v>
      </c>
      <c r="D276" s="456" t="s">
        <v>2994</v>
      </c>
      <c r="E276" s="456" t="str">
        <f t="shared" si="5"/>
        <v>First Name Last Name</v>
      </c>
      <c r="F276" s="535" t="s">
        <v>1214</v>
      </c>
      <c r="G276" s="535" t="s">
        <v>170</v>
      </c>
      <c r="H276" s="536">
        <v>20.28</v>
      </c>
      <c r="I276" s="537" t="s">
        <v>170</v>
      </c>
      <c r="J276" s="538">
        <v>44781</v>
      </c>
      <c r="K276" s="535" t="s">
        <v>170</v>
      </c>
      <c r="L276" s="535" t="s">
        <v>170</v>
      </c>
      <c r="M276" s="535" t="s">
        <v>1574</v>
      </c>
      <c r="N276" s="535" t="s">
        <v>1575</v>
      </c>
      <c r="O276" s="535" t="s">
        <v>1290</v>
      </c>
      <c r="P276" s="535" t="s">
        <v>1218</v>
      </c>
      <c r="Q276" s="535" t="s">
        <v>492</v>
      </c>
      <c r="R276" s="538" t="s">
        <v>170</v>
      </c>
      <c r="S276" s="535" t="s">
        <v>1291</v>
      </c>
      <c r="T276" s="535" t="s">
        <v>965</v>
      </c>
      <c r="U276" s="536">
        <v>42182.400000000001</v>
      </c>
      <c r="V276" s="535" t="s">
        <v>1220</v>
      </c>
      <c r="X276" s="369">
        <f>IF(OR(T276="125-65-654-50110",T276="125-65-652-50110",T276="125-65-656-50110"),"N/A",COUNTIF('Prop Budget Calc'!A:A,'Base Pay Report'!A276))</f>
        <v>0</v>
      </c>
    </row>
    <row r="277" spans="1:24">
      <c r="A277" s="535" t="s">
        <v>1724</v>
      </c>
      <c r="B277" s="456" t="s">
        <v>2992</v>
      </c>
      <c r="C277" s="456" t="s">
        <v>2993</v>
      </c>
      <c r="D277" s="456" t="s">
        <v>2994</v>
      </c>
      <c r="E277" s="456" t="str">
        <f t="shared" si="5"/>
        <v>First Name Last Name</v>
      </c>
      <c r="F277" s="535" t="s">
        <v>1214</v>
      </c>
      <c r="G277" s="535" t="s">
        <v>1256</v>
      </c>
      <c r="H277" s="536">
        <v>17.05</v>
      </c>
      <c r="I277" s="537" t="s">
        <v>170</v>
      </c>
      <c r="J277" s="538">
        <v>44788</v>
      </c>
      <c r="K277" s="535" t="s">
        <v>170</v>
      </c>
      <c r="L277" s="535" t="s">
        <v>170</v>
      </c>
      <c r="M277" s="535" t="s">
        <v>1539</v>
      </c>
      <c r="N277" s="535" t="s">
        <v>140</v>
      </c>
      <c r="O277" s="535" t="s">
        <v>1304</v>
      </c>
      <c r="P277" s="535" t="s">
        <v>1218</v>
      </c>
      <c r="Q277" s="535" t="s">
        <v>492</v>
      </c>
      <c r="R277" s="538" t="s">
        <v>170</v>
      </c>
      <c r="S277" s="535" t="s">
        <v>1259</v>
      </c>
      <c r="T277" s="535" t="s">
        <v>1391</v>
      </c>
      <c r="U277" s="536">
        <v>35464</v>
      </c>
      <c r="V277" s="535" t="s">
        <v>1220</v>
      </c>
      <c r="X277" s="369">
        <f>IF(OR(T277="125-65-654-50110",T277="125-65-652-50110",T277="125-65-656-50110"),"N/A",COUNTIF('Prop Budget Calc'!A:A,'Base Pay Report'!A277))</f>
        <v>0</v>
      </c>
    </row>
    <row r="278" spans="1:24">
      <c r="A278" s="535" t="s">
        <v>1727</v>
      </c>
      <c r="B278" s="456" t="s">
        <v>2992</v>
      </c>
      <c r="C278" s="456" t="s">
        <v>2993</v>
      </c>
      <c r="D278" s="456" t="s">
        <v>2994</v>
      </c>
      <c r="E278" s="456" t="str">
        <f t="shared" si="5"/>
        <v>First Name Last Name</v>
      </c>
      <c r="F278" s="535" t="s">
        <v>1214</v>
      </c>
      <c r="G278" s="535" t="s">
        <v>1486</v>
      </c>
      <c r="H278" s="536">
        <v>14.05</v>
      </c>
      <c r="I278" s="537" t="s">
        <v>170</v>
      </c>
      <c r="J278" s="538">
        <v>44821</v>
      </c>
      <c r="K278" s="535" t="s">
        <v>170</v>
      </c>
      <c r="L278" s="535" t="s">
        <v>170</v>
      </c>
      <c r="M278" s="535" t="s">
        <v>1487</v>
      </c>
      <c r="N278" s="535" t="s">
        <v>1488</v>
      </c>
      <c r="O278" s="535" t="s">
        <v>1325</v>
      </c>
      <c r="P278" s="535" t="s">
        <v>1218</v>
      </c>
      <c r="Q278" s="535" t="s">
        <v>492</v>
      </c>
      <c r="R278" s="538" t="s">
        <v>170</v>
      </c>
      <c r="S278" s="535" t="s">
        <v>1305</v>
      </c>
      <c r="T278" s="535" t="s">
        <v>1326</v>
      </c>
      <c r="U278" s="536">
        <v>29224</v>
      </c>
      <c r="V278" s="535" t="s">
        <v>1307</v>
      </c>
      <c r="X278" s="369" t="str">
        <f>IF(OR(T278="125-65-654-50110",T278="125-65-652-50110",T278="125-65-656-50110"),"N/A",COUNTIF('Prop Budget Calc'!A:A,'Base Pay Report'!A278))</f>
        <v>N/A</v>
      </c>
    </row>
    <row r="279" spans="1:24">
      <c r="A279" s="535" t="s">
        <v>1728</v>
      </c>
      <c r="B279" s="456" t="s">
        <v>2992</v>
      </c>
      <c r="C279" s="456" t="s">
        <v>2993</v>
      </c>
      <c r="D279" s="456" t="s">
        <v>2994</v>
      </c>
      <c r="E279" s="456" t="str">
        <f t="shared" si="5"/>
        <v>First Name Last Name</v>
      </c>
      <c r="F279" s="535" t="s">
        <v>1214</v>
      </c>
      <c r="G279" s="535" t="s">
        <v>170</v>
      </c>
      <c r="H279" s="536">
        <v>23.96</v>
      </c>
      <c r="I279" s="537" t="s">
        <v>170</v>
      </c>
      <c r="J279" s="538">
        <v>44844</v>
      </c>
      <c r="K279" s="535" t="s">
        <v>170</v>
      </c>
      <c r="L279" s="535" t="s">
        <v>170</v>
      </c>
      <c r="M279" s="535" t="s">
        <v>1269</v>
      </c>
      <c r="N279" s="535" t="s">
        <v>1270</v>
      </c>
      <c r="O279" s="535" t="s">
        <v>1217</v>
      </c>
      <c r="P279" s="535" t="s">
        <v>1218</v>
      </c>
      <c r="Q279" s="535" t="s">
        <v>492</v>
      </c>
      <c r="R279" s="538" t="s">
        <v>170</v>
      </c>
      <c r="S279" s="535" t="s">
        <v>1219</v>
      </c>
      <c r="T279" s="535" t="s">
        <v>959</v>
      </c>
      <c r="U279" s="536">
        <v>49836.800000000003</v>
      </c>
      <c r="V279" s="535" t="s">
        <v>1220</v>
      </c>
      <c r="X279" s="369">
        <f>IF(OR(T279="125-65-654-50110",T279="125-65-652-50110",T279="125-65-656-50110"),"N/A",COUNTIF('Prop Budget Calc'!A:A,'Base Pay Report'!A279))</f>
        <v>0</v>
      </c>
    </row>
    <row r="280" spans="1:24">
      <c r="A280" s="535" t="s">
        <v>1729</v>
      </c>
      <c r="B280" s="456" t="s">
        <v>2992</v>
      </c>
      <c r="C280" s="456" t="s">
        <v>2993</v>
      </c>
      <c r="D280" s="456" t="s">
        <v>2994</v>
      </c>
      <c r="E280" s="456" t="str">
        <f t="shared" si="5"/>
        <v>First Name Last Name</v>
      </c>
      <c r="F280" s="535" t="s">
        <v>1214</v>
      </c>
      <c r="G280" s="535" t="s">
        <v>1343</v>
      </c>
      <c r="H280" s="536">
        <v>6122.36</v>
      </c>
      <c r="I280" s="537">
        <v>80</v>
      </c>
      <c r="J280" s="538">
        <v>44852</v>
      </c>
      <c r="K280" s="535" t="s">
        <v>170</v>
      </c>
      <c r="L280" s="535" t="s">
        <v>170</v>
      </c>
      <c r="M280" s="535" t="s">
        <v>1730</v>
      </c>
      <c r="N280" s="535" t="s">
        <v>129</v>
      </c>
      <c r="O280" s="535" t="s">
        <v>1217</v>
      </c>
      <c r="P280" s="535" t="s">
        <v>1218</v>
      </c>
      <c r="Q280" s="535" t="s">
        <v>1231</v>
      </c>
      <c r="R280" s="538" t="s">
        <v>170</v>
      </c>
      <c r="S280" s="535" t="s">
        <v>1219</v>
      </c>
      <c r="T280" s="535" t="s">
        <v>1345</v>
      </c>
      <c r="U280" s="536">
        <v>159181.35999999999</v>
      </c>
      <c r="V280" s="535" t="s">
        <v>1220</v>
      </c>
      <c r="X280" s="369">
        <f>IF(OR(T280="125-65-654-50110",T280="125-65-652-50110",T280="125-65-656-50110"),"N/A",COUNTIF('Prop Budget Calc'!A:A,'Base Pay Report'!A280))</f>
        <v>0</v>
      </c>
    </row>
    <row r="281" spans="1:24">
      <c r="A281" s="535" t="s">
        <v>1733</v>
      </c>
      <c r="B281" s="456" t="s">
        <v>2992</v>
      </c>
      <c r="C281" s="456" t="s">
        <v>2993</v>
      </c>
      <c r="D281" s="456" t="s">
        <v>2994</v>
      </c>
      <c r="E281" s="456" t="str">
        <f t="shared" si="5"/>
        <v>First Name Last Name</v>
      </c>
      <c r="F281" s="535" t="s">
        <v>1214</v>
      </c>
      <c r="G281" s="535" t="s">
        <v>1247</v>
      </c>
      <c r="H281" s="536">
        <v>33.630000000000003</v>
      </c>
      <c r="I281" s="537" t="s">
        <v>170</v>
      </c>
      <c r="J281" s="538">
        <v>44845</v>
      </c>
      <c r="K281" s="535" t="s">
        <v>170</v>
      </c>
      <c r="L281" s="535" t="s">
        <v>170</v>
      </c>
      <c r="M281" s="535" t="s">
        <v>1248</v>
      </c>
      <c r="N281" s="535" t="s">
        <v>116</v>
      </c>
      <c r="O281" s="535" t="s">
        <v>1224</v>
      </c>
      <c r="P281" s="535" t="s">
        <v>1218</v>
      </c>
      <c r="Q281" s="535" t="s">
        <v>492</v>
      </c>
      <c r="R281" s="538" t="s">
        <v>170</v>
      </c>
      <c r="S281" s="535" t="s">
        <v>1283</v>
      </c>
      <c r="T281" s="535" t="s">
        <v>955</v>
      </c>
      <c r="U281" s="536">
        <v>69950.399999999994</v>
      </c>
      <c r="V281" s="535" t="s">
        <v>1220</v>
      </c>
      <c r="X281" s="369">
        <f>IF(OR(T281="125-65-654-50110",T281="125-65-652-50110",T281="125-65-656-50110"),"N/A",COUNTIF('Prop Budget Calc'!A:A,'Base Pay Report'!A281))</f>
        <v>0</v>
      </c>
    </row>
    <row r="282" spans="1:24">
      <c r="A282" s="535" t="s">
        <v>2425</v>
      </c>
      <c r="B282" s="456" t="s">
        <v>2992</v>
      </c>
      <c r="C282" s="456" t="s">
        <v>2993</v>
      </c>
      <c r="D282" s="456" t="s">
        <v>2994</v>
      </c>
      <c r="E282" s="456" t="str">
        <f t="shared" si="5"/>
        <v>First Name Last Name</v>
      </c>
      <c r="F282" s="535" t="s">
        <v>1214</v>
      </c>
      <c r="G282" s="535" t="s">
        <v>1233</v>
      </c>
      <c r="H282" s="536">
        <v>20.170000000000002</v>
      </c>
      <c r="I282" s="537" t="s">
        <v>170</v>
      </c>
      <c r="J282" s="538">
        <v>44867</v>
      </c>
      <c r="K282" s="535" t="s">
        <v>170</v>
      </c>
      <c r="L282" s="535" t="s">
        <v>170</v>
      </c>
      <c r="M282" s="535" t="s">
        <v>2468</v>
      </c>
      <c r="N282" s="535" t="s">
        <v>2469</v>
      </c>
      <c r="O282" s="535" t="s">
        <v>1230</v>
      </c>
      <c r="P282" s="535" t="s">
        <v>1218</v>
      </c>
      <c r="Q282" s="535" t="s">
        <v>492</v>
      </c>
      <c r="R282" s="538">
        <v>45096</v>
      </c>
      <c r="S282" s="535" t="s">
        <v>1259</v>
      </c>
      <c r="T282" s="535" t="s">
        <v>2470</v>
      </c>
      <c r="U282" s="536">
        <v>41953.599999999999</v>
      </c>
      <c r="V282" s="535" t="s">
        <v>1220</v>
      </c>
      <c r="X282" s="369">
        <f>IF(OR(T282="125-65-654-50110",T282="125-65-652-50110",T282="125-65-656-50110"),"N/A",COUNTIF('Prop Budget Calc'!A:A,'Base Pay Report'!A282))</f>
        <v>1</v>
      </c>
    </row>
    <row r="283" spans="1:24">
      <c r="A283" s="535" t="s">
        <v>1736</v>
      </c>
      <c r="B283" s="456" t="s">
        <v>2992</v>
      </c>
      <c r="C283" s="456" t="s">
        <v>2993</v>
      </c>
      <c r="D283" s="456" t="s">
        <v>2994</v>
      </c>
      <c r="E283" s="456" t="str">
        <f t="shared" si="5"/>
        <v>First Name Last Name</v>
      </c>
      <c r="F283" s="535" t="s">
        <v>1214</v>
      </c>
      <c r="G283" s="535" t="s">
        <v>1397</v>
      </c>
      <c r="H283" s="536">
        <v>20.69</v>
      </c>
      <c r="I283" s="537" t="s">
        <v>170</v>
      </c>
      <c r="J283" s="538">
        <v>44867</v>
      </c>
      <c r="K283" s="535" t="s">
        <v>170</v>
      </c>
      <c r="L283" s="535" t="s">
        <v>170</v>
      </c>
      <c r="M283" s="535" t="s">
        <v>1398</v>
      </c>
      <c r="N283" s="535" t="s">
        <v>126</v>
      </c>
      <c r="O283" s="535" t="s">
        <v>1224</v>
      </c>
      <c r="P283" s="535" t="s">
        <v>1218</v>
      </c>
      <c r="Q283" s="535" t="s">
        <v>492</v>
      </c>
      <c r="R283" s="538" t="s">
        <v>170</v>
      </c>
      <c r="S283" s="535" t="s">
        <v>1283</v>
      </c>
      <c r="T283" s="535" t="s">
        <v>957</v>
      </c>
      <c r="U283" s="536">
        <v>43035.199999999997</v>
      </c>
      <c r="V283" s="535" t="s">
        <v>1220</v>
      </c>
      <c r="X283" s="369">
        <f>IF(OR(T283="125-65-654-50110",T283="125-65-652-50110",T283="125-65-656-50110"),"N/A",COUNTIF('Prop Budget Calc'!A:A,'Base Pay Report'!A283))</f>
        <v>0</v>
      </c>
    </row>
    <row r="284" spans="1:24">
      <c r="A284" s="535" t="s">
        <v>1737</v>
      </c>
      <c r="B284" s="456" t="s">
        <v>2992</v>
      </c>
      <c r="C284" s="456" t="s">
        <v>2993</v>
      </c>
      <c r="D284" s="456" t="s">
        <v>2994</v>
      </c>
      <c r="E284" s="456" t="str">
        <f t="shared" si="5"/>
        <v>First Name Last Name</v>
      </c>
      <c r="F284" s="535" t="s">
        <v>1214</v>
      </c>
      <c r="G284" s="535" t="s">
        <v>1233</v>
      </c>
      <c r="H284" s="536">
        <v>2170.5</v>
      </c>
      <c r="I284" s="537">
        <v>80</v>
      </c>
      <c r="J284" s="538">
        <v>44870</v>
      </c>
      <c r="K284" s="535" t="s">
        <v>170</v>
      </c>
      <c r="L284" s="535" t="s">
        <v>170</v>
      </c>
      <c r="M284" s="535" t="s">
        <v>1642</v>
      </c>
      <c r="N284" s="535" t="s">
        <v>1005</v>
      </c>
      <c r="O284" s="535" t="s">
        <v>1230</v>
      </c>
      <c r="P284" s="535" t="s">
        <v>1218</v>
      </c>
      <c r="Q284" s="535" t="s">
        <v>1231</v>
      </c>
      <c r="R284" s="538" t="s">
        <v>170</v>
      </c>
      <c r="S284" s="535" t="s">
        <v>1241</v>
      </c>
      <c r="T284" s="535" t="s">
        <v>1360</v>
      </c>
      <c r="U284" s="536">
        <v>56433</v>
      </c>
      <c r="V284" s="535" t="s">
        <v>1220</v>
      </c>
      <c r="X284" s="369">
        <f>IF(OR(T284="125-65-654-50110",T284="125-65-652-50110",T284="125-65-656-50110"),"N/A",COUNTIF('Prop Budget Calc'!A:A,'Base Pay Report'!A284))</f>
        <v>0</v>
      </c>
    </row>
    <row r="285" spans="1:24">
      <c r="A285" s="535" t="s">
        <v>1741</v>
      </c>
      <c r="B285" s="456" t="s">
        <v>2992</v>
      </c>
      <c r="C285" s="456" t="s">
        <v>2993</v>
      </c>
      <c r="D285" s="456" t="s">
        <v>2994</v>
      </c>
      <c r="E285" s="456" t="str">
        <f t="shared" si="5"/>
        <v>First Name Last Name</v>
      </c>
      <c r="F285" s="535" t="s">
        <v>1214</v>
      </c>
      <c r="G285" s="535" t="s">
        <v>1247</v>
      </c>
      <c r="H285" s="536">
        <v>33.630000000000003</v>
      </c>
      <c r="I285" s="537" t="s">
        <v>170</v>
      </c>
      <c r="J285" s="538">
        <v>44880</v>
      </c>
      <c r="K285" s="535" t="s">
        <v>170</v>
      </c>
      <c r="L285" s="535" t="s">
        <v>170</v>
      </c>
      <c r="M285" s="535" t="s">
        <v>1248</v>
      </c>
      <c r="N285" s="535" t="s">
        <v>116</v>
      </c>
      <c r="O285" s="535" t="s">
        <v>1224</v>
      </c>
      <c r="P285" s="535" t="s">
        <v>1218</v>
      </c>
      <c r="Q285" s="535" t="s">
        <v>492</v>
      </c>
      <c r="R285" s="538" t="s">
        <v>170</v>
      </c>
      <c r="S285" s="535" t="s">
        <v>1225</v>
      </c>
      <c r="T285" s="535" t="s">
        <v>955</v>
      </c>
      <c r="U285" s="536">
        <v>69950.399999999994</v>
      </c>
      <c r="V285" s="535" t="s">
        <v>1220</v>
      </c>
      <c r="X285" s="369">
        <f>IF(OR(T285="125-65-654-50110",T285="125-65-652-50110",T285="125-65-656-50110"),"N/A",COUNTIF('Prop Budget Calc'!A:A,'Base Pay Report'!A285))</f>
        <v>0</v>
      </c>
    </row>
    <row r="286" spans="1:24">
      <c r="A286" s="535" t="s">
        <v>1742</v>
      </c>
      <c r="B286" s="456" t="s">
        <v>2992</v>
      </c>
      <c r="C286" s="456" t="s">
        <v>2993</v>
      </c>
      <c r="D286" s="456" t="s">
        <v>2994</v>
      </c>
      <c r="E286" s="456" t="str">
        <f t="shared" si="5"/>
        <v>First Name Last Name</v>
      </c>
      <c r="F286" s="535" t="s">
        <v>1214</v>
      </c>
      <c r="G286" s="535" t="s">
        <v>1397</v>
      </c>
      <c r="H286" s="536">
        <v>20.69</v>
      </c>
      <c r="I286" s="537" t="s">
        <v>170</v>
      </c>
      <c r="J286" s="538">
        <v>44880</v>
      </c>
      <c r="K286" s="535" t="s">
        <v>170</v>
      </c>
      <c r="L286" s="535" t="s">
        <v>170</v>
      </c>
      <c r="M286" s="535" t="s">
        <v>1398</v>
      </c>
      <c r="N286" s="535" t="s">
        <v>126</v>
      </c>
      <c r="O286" s="535" t="s">
        <v>1224</v>
      </c>
      <c r="P286" s="535" t="s">
        <v>1218</v>
      </c>
      <c r="Q286" s="535" t="s">
        <v>492</v>
      </c>
      <c r="R286" s="538" t="s">
        <v>170</v>
      </c>
      <c r="S286" s="535" t="s">
        <v>1283</v>
      </c>
      <c r="T286" s="535" t="s">
        <v>957</v>
      </c>
      <c r="U286" s="536">
        <v>43035.199999999997</v>
      </c>
      <c r="V286" s="535" t="s">
        <v>1220</v>
      </c>
      <c r="X286" s="369">
        <f>IF(OR(T286="125-65-654-50110",T286="125-65-652-50110",T286="125-65-656-50110"),"N/A",COUNTIF('Prop Budget Calc'!A:A,'Base Pay Report'!A286))</f>
        <v>0</v>
      </c>
    </row>
    <row r="287" spans="1:24">
      <c r="A287" s="535" t="s">
        <v>1743</v>
      </c>
      <c r="B287" s="456" t="s">
        <v>2992</v>
      </c>
      <c r="C287" s="456" t="s">
        <v>2993</v>
      </c>
      <c r="D287" s="456" t="s">
        <v>2994</v>
      </c>
      <c r="E287" s="456" t="str">
        <f t="shared" si="5"/>
        <v>First Name Last Name</v>
      </c>
      <c r="F287" s="535" t="s">
        <v>1214</v>
      </c>
      <c r="G287" s="535" t="s">
        <v>1563</v>
      </c>
      <c r="H287" s="536">
        <v>15.09</v>
      </c>
      <c r="I287" s="537" t="s">
        <v>170</v>
      </c>
      <c r="J287" s="538">
        <v>44877</v>
      </c>
      <c r="K287" s="535" t="s">
        <v>170</v>
      </c>
      <c r="L287" s="535" t="s">
        <v>170</v>
      </c>
      <c r="M287" s="535" t="s">
        <v>1564</v>
      </c>
      <c r="N287" s="535" t="s">
        <v>539</v>
      </c>
      <c r="O287" s="535" t="s">
        <v>1325</v>
      </c>
      <c r="P287" s="535" t="s">
        <v>1218</v>
      </c>
      <c r="Q287" s="535" t="s">
        <v>492</v>
      </c>
      <c r="R287" s="538" t="s">
        <v>170</v>
      </c>
      <c r="S287" s="535" t="s">
        <v>1305</v>
      </c>
      <c r="T287" s="535" t="s">
        <v>1565</v>
      </c>
      <c r="U287" s="536">
        <v>31387.200000000001</v>
      </c>
      <c r="V287" s="535" t="s">
        <v>1307</v>
      </c>
      <c r="X287" s="369" t="str">
        <f>IF(OR(T287="125-65-654-50110",T287="125-65-652-50110",T287="125-65-656-50110"),"N/A",COUNTIF('Prop Budget Calc'!A:A,'Base Pay Report'!A287))</f>
        <v>N/A</v>
      </c>
    </row>
    <row r="288" spans="1:24">
      <c r="A288" s="535" t="s">
        <v>1744</v>
      </c>
      <c r="B288" s="456" t="s">
        <v>2992</v>
      </c>
      <c r="C288" s="456" t="s">
        <v>2993</v>
      </c>
      <c r="D288" s="456" t="s">
        <v>2994</v>
      </c>
      <c r="E288" s="456" t="str">
        <f t="shared" si="5"/>
        <v>First Name Last Name</v>
      </c>
      <c r="F288" s="535" t="s">
        <v>1214</v>
      </c>
      <c r="G288" s="535" t="s">
        <v>1486</v>
      </c>
      <c r="H288" s="536">
        <v>15.61</v>
      </c>
      <c r="I288" s="537" t="s">
        <v>170</v>
      </c>
      <c r="J288" s="538">
        <v>44898</v>
      </c>
      <c r="K288" s="535" t="s">
        <v>170</v>
      </c>
      <c r="L288" s="535" t="s">
        <v>170</v>
      </c>
      <c r="M288" s="535" t="s">
        <v>1491</v>
      </c>
      <c r="N288" s="535" t="s">
        <v>1008</v>
      </c>
      <c r="O288" s="535" t="s">
        <v>1325</v>
      </c>
      <c r="P288" s="535" t="s">
        <v>1218</v>
      </c>
      <c r="Q288" s="535" t="s">
        <v>492</v>
      </c>
      <c r="R288" s="538" t="s">
        <v>170</v>
      </c>
      <c r="S288" s="535" t="s">
        <v>1305</v>
      </c>
      <c r="T288" s="535" t="s">
        <v>1493</v>
      </c>
      <c r="U288" s="536">
        <v>32468.799999999999</v>
      </c>
      <c r="V288" s="535" t="s">
        <v>1307</v>
      </c>
      <c r="X288" s="369" t="str">
        <f>IF(OR(T288="125-65-654-50110",T288="125-65-652-50110",T288="125-65-656-50110"),"N/A",COUNTIF('Prop Budget Calc'!A:A,'Base Pay Report'!A288))</f>
        <v>N/A</v>
      </c>
    </row>
    <row r="289" spans="1:24">
      <c r="A289" s="535" t="s">
        <v>1745</v>
      </c>
      <c r="B289" s="456" t="s">
        <v>2992</v>
      </c>
      <c r="C289" s="456" t="s">
        <v>2993</v>
      </c>
      <c r="D289" s="456" t="s">
        <v>2994</v>
      </c>
      <c r="E289" s="456" t="str">
        <f t="shared" si="5"/>
        <v>First Name Last Name</v>
      </c>
      <c r="F289" s="535" t="s">
        <v>1214</v>
      </c>
      <c r="G289" s="535" t="s">
        <v>1602</v>
      </c>
      <c r="H289" s="536">
        <v>10.4</v>
      </c>
      <c r="I289" s="537" t="s">
        <v>170</v>
      </c>
      <c r="J289" s="538">
        <v>44905</v>
      </c>
      <c r="K289" s="535" t="s">
        <v>170</v>
      </c>
      <c r="L289" s="535" t="s">
        <v>170</v>
      </c>
      <c r="M289" s="535" t="s">
        <v>1734</v>
      </c>
      <c r="N289" s="535" t="s">
        <v>1735</v>
      </c>
      <c r="O289" s="535" t="s">
        <v>1325</v>
      </c>
      <c r="P289" s="535" t="s">
        <v>1218</v>
      </c>
      <c r="Q289" s="535" t="s">
        <v>492</v>
      </c>
      <c r="R289" s="538" t="s">
        <v>170</v>
      </c>
      <c r="S289" s="535" t="s">
        <v>1305</v>
      </c>
      <c r="T289" s="535" t="s">
        <v>1493</v>
      </c>
      <c r="U289" s="536">
        <v>21632</v>
      </c>
      <c r="V289" s="535" t="s">
        <v>1307</v>
      </c>
      <c r="X289" s="369" t="str">
        <f>IF(OR(T289="125-65-654-50110",T289="125-65-652-50110",T289="125-65-656-50110"),"N/A",COUNTIF('Prop Budget Calc'!A:A,'Base Pay Report'!A289))</f>
        <v>N/A</v>
      </c>
    </row>
    <row r="290" spans="1:24">
      <c r="A290" s="535" t="s">
        <v>1746</v>
      </c>
      <c r="B290" s="456" t="s">
        <v>2992</v>
      </c>
      <c r="C290" s="456" t="s">
        <v>2993</v>
      </c>
      <c r="D290" s="456" t="s">
        <v>2994</v>
      </c>
      <c r="E290" s="456" t="str">
        <f t="shared" si="5"/>
        <v>First Name Last Name</v>
      </c>
      <c r="F290" s="535" t="s">
        <v>1214</v>
      </c>
      <c r="G290" s="535" t="s">
        <v>1324</v>
      </c>
      <c r="H290" s="536">
        <v>14.05</v>
      </c>
      <c r="I290" s="537" t="s">
        <v>170</v>
      </c>
      <c r="J290" s="538">
        <v>44905</v>
      </c>
      <c r="K290" s="535" t="s">
        <v>170</v>
      </c>
      <c r="L290" s="535" t="s">
        <v>170</v>
      </c>
      <c r="M290" s="535" t="s">
        <v>1543</v>
      </c>
      <c r="N290" s="535" t="s">
        <v>1018</v>
      </c>
      <c r="O290" s="535" t="s">
        <v>1325</v>
      </c>
      <c r="P290" s="535" t="s">
        <v>1218</v>
      </c>
      <c r="Q290" s="535" t="s">
        <v>492</v>
      </c>
      <c r="R290" s="538" t="s">
        <v>170</v>
      </c>
      <c r="S290" s="535" t="s">
        <v>1305</v>
      </c>
      <c r="T290" s="535" t="s">
        <v>1493</v>
      </c>
      <c r="U290" s="536">
        <v>29224</v>
      </c>
      <c r="V290" s="535" t="s">
        <v>1307</v>
      </c>
      <c r="X290" s="369" t="str">
        <f>IF(OR(T290="125-65-654-50110",T290="125-65-652-50110",T290="125-65-656-50110"),"N/A",COUNTIF('Prop Budget Calc'!A:A,'Base Pay Report'!A290))</f>
        <v>N/A</v>
      </c>
    </row>
    <row r="291" spans="1:24">
      <c r="A291" s="535" t="s">
        <v>1748</v>
      </c>
      <c r="B291" s="456" t="s">
        <v>2992</v>
      </c>
      <c r="C291" s="456" t="s">
        <v>2993</v>
      </c>
      <c r="D291" s="456" t="s">
        <v>2994</v>
      </c>
      <c r="E291" s="456" t="str">
        <f t="shared" si="5"/>
        <v>First Name Last Name</v>
      </c>
      <c r="F291" s="535" t="s">
        <v>1214</v>
      </c>
      <c r="G291" s="535" t="s">
        <v>1579</v>
      </c>
      <c r="H291" s="536">
        <v>11.96</v>
      </c>
      <c r="I291" s="537" t="s">
        <v>170</v>
      </c>
      <c r="J291" s="538">
        <v>44940</v>
      </c>
      <c r="K291" s="535" t="s">
        <v>170</v>
      </c>
      <c r="L291" s="535" t="s">
        <v>170</v>
      </c>
      <c r="M291" s="535" t="s">
        <v>1580</v>
      </c>
      <c r="N291" s="535" t="s">
        <v>1007</v>
      </c>
      <c r="O291" s="535" t="s">
        <v>1325</v>
      </c>
      <c r="P291" s="535" t="s">
        <v>1218</v>
      </c>
      <c r="Q291" s="535" t="s">
        <v>492</v>
      </c>
      <c r="R291" s="538" t="s">
        <v>170</v>
      </c>
      <c r="S291" s="535" t="s">
        <v>1305</v>
      </c>
      <c r="T291" s="535" t="s">
        <v>1565</v>
      </c>
      <c r="U291" s="536">
        <v>24876.799999999999</v>
      </c>
      <c r="V291" s="535" t="s">
        <v>1307</v>
      </c>
      <c r="X291" s="369" t="str">
        <f>IF(OR(T291="125-65-654-50110",T291="125-65-652-50110",T291="125-65-656-50110"),"N/A",COUNTIF('Prop Budget Calc'!A:A,'Base Pay Report'!A291))</f>
        <v>N/A</v>
      </c>
    </row>
    <row r="292" spans="1:24">
      <c r="A292" s="535" t="s">
        <v>1749</v>
      </c>
      <c r="B292" s="456" t="s">
        <v>2992</v>
      </c>
      <c r="C292" s="456" t="s">
        <v>2993</v>
      </c>
      <c r="D292" s="456" t="s">
        <v>2994</v>
      </c>
      <c r="E292" s="456" t="str">
        <f t="shared" si="5"/>
        <v>First Name Last Name</v>
      </c>
      <c r="F292" s="535" t="s">
        <v>1214</v>
      </c>
      <c r="G292" s="535" t="s">
        <v>1397</v>
      </c>
      <c r="H292" s="536">
        <v>21.1</v>
      </c>
      <c r="I292" s="537" t="s">
        <v>170</v>
      </c>
      <c r="J292" s="538">
        <v>44942</v>
      </c>
      <c r="K292" s="535" t="s">
        <v>170</v>
      </c>
      <c r="L292" s="535" t="s">
        <v>170</v>
      </c>
      <c r="M292" s="535" t="s">
        <v>1398</v>
      </c>
      <c r="N292" s="535" t="s">
        <v>126</v>
      </c>
      <c r="O292" s="535" t="s">
        <v>1224</v>
      </c>
      <c r="P292" s="535" t="s">
        <v>1218</v>
      </c>
      <c r="Q292" s="535" t="s">
        <v>492</v>
      </c>
      <c r="R292" s="538" t="s">
        <v>170</v>
      </c>
      <c r="S292" s="535" t="s">
        <v>1283</v>
      </c>
      <c r="T292" s="535" t="s">
        <v>957</v>
      </c>
      <c r="U292" s="536">
        <v>43888</v>
      </c>
      <c r="V292" s="535" t="s">
        <v>1220</v>
      </c>
      <c r="X292" s="369">
        <f>IF(OR(T292="125-65-654-50110",T292="125-65-652-50110",T292="125-65-656-50110"),"N/A",COUNTIF('Prop Budget Calc'!A:A,'Base Pay Report'!A292))</f>
        <v>0</v>
      </c>
    </row>
    <row r="293" spans="1:24">
      <c r="A293" s="535" t="s">
        <v>1750</v>
      </c>
      <c r="B293" s="456" t="s">
        <v>2992</v>
      </c>
      <c r="C293" s="456" t="s">
        <v>2993</v>
      </c>
      <c r="D293" s="456" t="s">
        <v>2994</v>
      </c>
      <c r="E293" s="456" t="str">
        <f t="shared" si="5"/>
        <v>First Name Last Name</v>
      </c>
      <c r="F293" s="535" t="s">
        <v>1214</v>
      </c>
      <c r="G293" s="535" t="s">
        <v>1309</v>
      </c>
      <c r="H293" s="536">
        <v>20.77</v>
      </c>
      <c r="I293" s="537" t="s">
        <v>170</v>
      </c>
      <c r="J293" s="538">
        <v>44959</v>
      </c>
      <c r="K293" s="535" t="s">
        <v>170</v>
      </c>
      <c r="L293" s="535" t="s">
        <v>170</v>
      </c>
      <c r="M293" s="535" t="s">
        <v>1751</v>
      </c>
      <c r="N293" s="535" t="s">
        <v>1752</v>
      </c>
      <c r="O293" s="535" t="s">
        <v>1230</v>
      </c>
      <c r="P293" s="535" t="s">
        <v>1218</v>
      </c>
      <c r="Q293" s="535" t="s">
        <v>492</v>
      </c>
      <c r="R293" s="538" t="s">
        <v>170</v>
      </c>
      <c r="S293" s="535" t="s">
        <v>1259</v>
      </c>
      <c r="T293" s="535" t="s">
        <v>1635</v>
      </c>
      <c r="U293" s="536">
        <v>43201.599999999999</v>
      </c>
      <c r="V293" s="535" t="s">
        <v>1220</v>
      </c>
      <c r="X293" s="369">
        <f>IF(OR(T293="125-65-654-50110",T293="125-65-652-50110",T293="125-65-656-50110"),"N/A",COUNTIF('Prop Budget Calc'!A:A,'Base Pay Report'!A293))</f>
        <v>0</v>
      </c>
    </row>
    <row r="294" spans="1:24">
      <c r="A294" s="535" t="s">
        <v>1753</v>
      </c>
      <c r="B294" s="456" t="s">
        <v>2992</v>
      </c>
      <c r="C294" s="456" t="s">
        <v>2993</v>
      </c>
      <c r="D294" s="456" t="s">
        <v>2994</v>
      </c>
      <c r="E294" s="456" t="str">
        <f t="shared" si="5"/>
        <v>First Name Last Name</v>
      </c>
      <c r="F294" s="535" t="s">
        <v>1214</v>
      </c>
      <c r="G294" s="535" t="s">
        <v>1563</v>
      </c>
      <c r="H294" s="536">
        <v>15.09</v>
      </c>
      <c r="I294" s="537" t="s">
        <v>170</v>
      </c>
      <c r="J294" s="538">
        <v>44947</v>
      </c>
      <c r="K294" s="535" t="s">
        <v>170</v>
      </c>
      <c r="L294" s="535" t="s">
        <v>170</v>
      </c>
      <c r="M294" s="535" t="s">
        <v>1564</v>
      </c>
      <c r="N294" s="535" t="s">
        <v>539</v>
      </c>
      <c r="O294" s="535" t="s">
        <v>1325</v>
      </c>
      <c r="P294" s="535" t="s">
        <v>1218</v>
      </c>
      <c r="Q294" s="535" t="s">
        <v>492</v>
      </c>
      <c r="R294" s="538" t="s">
        <v>170</v>
      </c>
      <c r="S294" s="535" t="s">
        <v>1305</v>
      </c>
      <c r="T294" s="535" t="s">
        <v>1565</v>
      </c>
      <c r="U294" s="536">
        <v>31387.200000000001</v>
      </c>
      <c r="V294" s="535" t="s">
        <v>1307</v>
      </c>
      <c r="X294" s="369" t="str">
        <f>IF(OR(T294="125-65-654-50110",T294="125-65-652-50110",T294="125-65-656-50110"),"N/A",COUNTIF('Prop Budget Calc'!A:A,'Base Pay Report'!A294))</f>
        <v>N/A</v>
      </c>
    </row>
    <row r="295" spans="1:24">
      <c r="A295" s="535" t="s">
        <v>1756</v>
      </c>
      <c r="B295" s="456" t="s">
        <v>2992</v>
      </c>
      <c r="C295" s="456" t="s">
        <v>2993</v>
      </c>
      <c r="D295" s="456" t="s">
        <v>2994</v>
      </c>
      <c r="E295" s="456" t="str">
        <f t="shared" si="5"/>
        <v>First Name Last Name</v>
      </c>
      <c r="F295" s="535" t="s">
        <v>1214</v>
      </c>
      <c r="G295" s="535" t="s">
        <v>170</v>
      </c>
      <c r="H295" s="536">
        <v>20.28</v>
      </c>
      <c r="I295" s="537" t="s">
        <v>170</v>
      </c>
      <c r="J295" s="538">
        <v>44963</v>
      </c>
      <c r="K295" s="535" t="s">
        <v>170</v>
      </c>
      <c r="L295" s="535" t="s">
        <v>170</v>
      </c>
      <c r="M295" s="535" t="s">
        <v>1755</v>
      </c>
      <c r="N295" s="535" t="s">
        <v>1958</v>
      </c>
      <c r="O295" s="535" t="s">
        <v>1338</v>
      </c>
      <c r="P295" s="535" t="s">
        <v>1218</v>
      </c>
      <c r="Q295" s="535" t="s">
        <v>492</v>
      </c>
      <c r="R295" s="538" t="s">
        <v>170</v>
      </c>
      <c r="S295" s="535" t="s">
        <v>1291</v>
      </c>
      <c r="T295" s="535" t="s">
        <v>1411</v>
      </c>
      <c r="U295" s="536">
        <v>42182.400000000001</v>
      </c>
      <c r="V295" s="535" t="s">
        <v>1220</v>
      </c>
      <c r="X295" s="369">
        <f>IF(OR(T295="125-65-654-50110",T295="125-65-652-50110",T295="125-65-656-50110"),"N/A",COUNTIF('Prop Budget Calc'!A:A,'Base Pay Report'!A295))</f>
        <v>0</v>
      </c>
    </row>
    <row r="296" spans="1:24">
      <c r="A296" s="535" t="s">
        <v>1757</v>
      </c>
      <c r="B296" s="456" t="s">
        <v>2992</v>
      </c>
      <c r="C296" s="456" t="s">
        <v>2993</v>
      </c>
      <c r="D296" s="456" t="s">
        <v>2994</v>
      </c>
      <c r="E296" s="456" t="str">
        <f t="shared" si="5"/>
        <v>First Name Last Name</v>
      </c>
      <c r="F296" s="535" t="s">
        <v>1214</v>
      </c>
      <c r="G296" s="535" t="s">
        <v>170</v>
      </c>
      <c r="H296" s="536">
        <v>20.28</v>
      </c>
      <c r="I296" s="537" t="s">
        <v>170</v>
      </c>
      <c r="J296" s="538">
        <v>44775</v>
      </c>
      <c r="K296" s="535" t="s">
        <v>170</v>
      </c>
      <c r="L296" s="535" t="s">
        <v>170</v>
      </c>
      <c r="M296" s="535" t="s">
        <v>1755</v>
      </c>
      <c r="N296" s="535" t="s">
        <v>1958</v>
      </c>
      <c r="O296" s="535" t="s">
        <v>1338</v>
      </c>
      <c r="P296" s="535" t="s">
        <v>1218</v>
      </c>
      <c r="Q296" s="535" t="s">
        <v>492</v>
      </c>
      <c r="R296" s="538" t="s">
        <v>170</v>
      </c>
      <c r="S296" s="535" t="s">
        <v>1291</v>
      </c>
      <c r="T296" s="535" t="s">
        <v>1388</v>
      </c>
      <c r="U296" s="536">
        <v>42182.400000000001</v>
      </c>
      <c r="V296" s="535" t="s">
        <v>1220</v>
      </c>
      <c r="X296" s="369">
        <f>IF(OR(T296="125-65-654-50110",T296="125-65-652-50110",T296="125-65-656-50110"),"N/A",COUNTIF('Prop Budget Calc'!A:A,'Base Pay Report'!A296))</f>
        <v>0</v>
      </c>
    </row>
    <row r="297" spans="1:24">
      <c r="A297" s="535" t="s">
        <v>1760</v>
      </c>
      <c r="B297" s="456" t="s">
        <v>2992</v>
      </c>
      <c r="C297" s="456" t="s">
        <v>2993</v>
      </c>
      <c r="D297" s="456" t="s">
        <v>2994</v>
      </c>
      <c r="E297" s="456" t="str">
        <f t="shared" si="5"/>
        <v>First Name Last Name</v>
      </c>
      <c r="F297" s="535" t="s">
        <v>1214</v>
      </c>
      <c r="G297" s="535" t="s">
        <v>1247</v>
      </c>
      <c r="H297" s="536">
        <v>33.630000000000003</v>
      </c>
      <c r="I297" s="537" t="s">
        <v>170</v>
      </c>
      <c r="J297" s="538">
        <v>44977</v>
      </c>
      <c r="K297" s="535" t="s">
        <v>170</v>
      </c>
      <c r="L297" s="535" t="s">
        <v>170</v>
      </c>
      <c r="M297" s="535" t="s">
        <v>1248</v>
      </c>
      <c r="N297" s="535" t="s">
        <v>116</v>
      </c>
      <c r="O297" s="535" t="s">
        <v>1224</v>
      </c>
      <c r="P297" s="535" t="s">
        <v>1218</v>
      </c>
      <c r="Q297" s="535" t="s">
        <v>492</v>
      </c>
      <c r="R297" s="538" t="s">
        <v>170</v>
      </c>
      <c r="S297" s="535" t="s">
        <v>1283</v>
      </c>
      <c r="T297" s="535" t="s">
        <v>955</v>
      </c>
      <c r="U297" s="536">
        <v>69950.399999999994</v>
      </c>
      <c r="V297" s="535" t="s">
        <v>1220</v>
      </c>
      <c r="X297" s="369">
        <f>IF(OR(T297="125-65-654-50110",T297="125-65-652-50110",T297="125-65-656-50110"),"N/A",COUNTIF('Prop Budget Calc'!A:A,'Base Pay Report'!A297))</f>
        <v>0</v>
      </c>
    </row>
    <row r="298" spans="1:24">
      <c r="A298" s="535" t="s">
        <v>1761</v>
      </c>
      <c r="B298" s="456" t="s">
        <v>2992</v>
      </c>
      <c r="C298" s="456" t="s">
        <v>2993</v>
      </c>
      <c r="D298" s="456" t="s">
        <v>2994</v>
      </c>
      <c r="E298" s="456" t="str">
        <f t="shared" si="5"/>
        <v>First Name Last Name</v>
      </c>
      <c r="F298" s="535" t="s">
        <v>1214</v>
      </c>
      <c r="G298" s="535" t="s">
        <v>1247</v>
      </c>
      <c r="H298" s="536">
        <v>33.630000000000003</v>
      </c>
      <c r="I298" s="537" t="s">
        <v>170</v>
      </c>
      <c r="J298" s="538">
        <v>44977</v>
      </c>
      <c r="K298" s="535" t="s">
        <v>170</v>
      </c>
      <c r="L298" s="535" t="s">
        <v>170</v>
      </c>
      <c r="M298" s="535" t="s">
        <v>1248</v>
      </c>
      <c r="N298" s="535" t="s">
        <v>116</v>
      </c>
      <c r="O298" s="535" t="s">
        <v>1224</v>
      </c>
      <c r="P298" s="535" t="s">
        <v>1218</v>
      </c>
      <c r="Q298" s="535" t="s">
        <v>492</v>
      </c>
      <c r="R298" s="538" t="s">
        <v>170</v>
      </c>
      <c r="S298" s="535" t="s">
        <v>1283</v>
      </c>
      <c r="T298" s="535" t="s">
        <v>955</v>
      </c>
      <c r="U298" s="536">
        <v>69950.399999999994</v>
      </c>
      <c r="V298" s="535" t="s">
        <v>1220</v>
      </c>
      <c r="X298" s="369">
        <f>IF(OR(T298="125-65-654-50110",T298="125-65-652-50110",T298="125-65-656-50110"),"N/A",COUNTIF('Prop Budget Calc'!A:A,'Base Pay Report'!A298))</f>
        <v>1</v>
      </c>
    </row>
    <row r="299" spans="1:24">
      <c r="A299" s="535" t="s">
        <v>1762</v>
      </c>
      <c r="B299" s="456" t="s">
        <v>2992</v>
      </c>
      <c r="C299" s="456" t="s">
        <v>2993</v>
      </c>
      <c r="D299" s="456" t="s">
        <v>2994</v>
      </c>
      <c r="E299" s="456" t="str">
        <f t="shared" si="5"/>
        <v>First Name Last Name</v>
      </c>
      <c r="F299" s="535" t="s">
        <v>1214</v>
      </c>
      <c r="G299" s="535" t="s">
        <v>1386</v>
      </c>
      <c r="H299" s="536">
        <v>18.64</v>
      </c>
      <c r="I299" s="537" t="s">
        <v>170</v>
      </c>
      <c r="J299" s="538">
        <v>44979</v>
      </c>
      <c r="K299" s="535" t="s">
        <v>170</v>
      </c>
      <c r="L299" s="535" t="s">
        <v>170</v>
      </c>
      <c r="M299" s="535" t="s">
        <v>1640</v>
      </c>
      <c r="N299" s="535" t="s">
        <v>1012</v>
      </c>
      <c r="O299" s="535" t="s">
        <v>1304</v>
      </c>
      <c r="P299" s="535" t="s">
        <v>1218</v>
      </c>
      <c r="Q299" s="535" t="s">
        <v>492</v>
      </c>
      <c r="R299" s="538" t="s">
        <v>170</v>
      </c>
      <c r="S299" s="535" t="s">
        <v>1305</v>
      </c>
      <c r="T299" s="535" t="s">
        <v>1306</v>
      </c>
      <c r="U299" s="536">
        <v>38771.199999999997</v>
      </c>
      <c r="V299" s="535" t="s">
        <v>1307</v>
      </c>
      <c r="X299" s="369">
        <f>IF(OR(T299="125-65-654-50110",T299="125-65-652-50110",T299="125-65-656-50110"),"N/A",COUNTIF('Prop Budget Calc'!A:A,'Base Pay Report'!A299))</f>
        <v>0</v>
      </c>
    </row>
    <row r="300" spans="1:24">
      <c r="A300" s="535" t="s">
        <v>2894</v>
      </c>
      <c r="B300" s="456" t="s">
        <v>2992</v>
      </c>
      <c r="C300" s="456" t="s">
        <v>2993</v>
      </c>
      <c r="D300" s="456" t="s">
        <v>2994</v>
      </c>
      <c r="E300" s="456" t="str">
        <f t="shared" si="5"/>
        <v>First Name Last Name</v>
      </c>
      <c r="F300" s="535" t="s">
        <v>1214</v>
      </c>
      <c r="G300" s="535" t="s">
        <v>170</v>
      </c>
      <c r="H300" s="536">
        <v>13.77</v>
      </c>
      <c r="I300" s="537" t="s">
        <v>170</v>
      </c>
      <c r="J300" s="538">
        <v>44975</v>
      </c>
      <c r="K300" s="535" t="s">
        <v>170</v>
      </c>
      <c r="L300" s="535" t="s">
        <v>170</v>
      </c>
      <c r="M300" s="535" t="s">
        <v>2927</v>
      </c>
      <c r="N300" s="535" t="s">
        <v>2928</v>
      </c>
      <c r="O300" s="535" t="s">
        <v>1325</v>
      </c>
      <c r="P300" s="535" t="s">
        <v>1218</v>
      </c>
      <c r="Q300" s="535" t="s">
        <v>492</v>
      </c>
      <c r="R300" s="538">
        <v>45409</v>
      </c>
      <c r="S300" s="535" t="s">
        <v>1305</v>
      </c>
      <c r="T300" s="535" t="s">
        <v>1326</v>
      </c>
      <c r="U300" s="536">
        <v>28641.599999999999</v>
      </c>
      <c r="V300" s="535" t="s">
        <v>1307</v>
      </c>
      <c r="X300" s="369" t="str">
        <f>IF(OR(T300="125-65-654-50110",T300="125-65-652-50110",T300="125-65-656-50110"),"N/A",COUNTIF('Prop Budget Calc'!A:A,'Base Pay Report'!A300))</f>
        <v>N/A</v>
      </c>
    </row>
    <row r="301" spans="1:24">
      <c r="A301" s="535" t="s">
        <v>1763</v>
      </c>
      <c r="B301" s="456" t="s">
        <v>2992</v>
      </c>
      <c r="C301" s="456" t="s">
        <v>2993</v>
      </c>
      <c r="D301" s="456" t="s">
        <v>2994</v>
      </c>
      <c r="E301" s="456" t="str">
        <f t="shared" si="5"/>
        <v>First Name Last Name</v>
      </c>
      <c r="F301" s="535" t="s">
        <v>1214</v>
      </c>
      <c r="G301" s="535" t="s">
        <v>1421</v>
      </c>
      <c r="H301" s="536">
        <v>43.52</v>
      </c>
      <c r="I301" s="537" t="s">
        <v>170</v>
      </c>
      <c r="J301" s="538">
        <v>42898</v>
      </c>
      <c r="K301" s="535" t="s">
        <v>170</v>
      </c>
      <c r="L301" s="535" t="s">
        <v>170</v>
      </c>
      <c r="M301" s="535" t="s">
        <v>1422</v>
      </c>
      <c r="N301" s="535" t="s">
        <v>118</v>
      </c>
      <c r="O301" s="535" t="s">
        <v>1224</v>
      </c>
      <c r="P301" s="535" t="s">
        <v>1218</v>
      </c>
      <c r="Q301" s="535" t="s">
        <v>492</v>
      </c>
      <c r="R301" s="538" t="s">
        <v>170</v>
      </c>
      <c r="S301" s="535" t="s">
        <v>1283</v>
      </c>
      <c r="T301" s="535" t="s">
        <v>955</v>
      </c>
      <c r="U301" s="536">
        <v>90521.600000000006</v>
      </c>
      <c r="V301" s="535" t="s">
        <v>1220</v>
      </c>
      <c r="X301" s="369">
        <f>IF(OR(T301="125-65-654-50110",T301="125-65-652-50110",T301="125-65-656-50110"),"N/A",COUNTIF('Prop Budget Calc'!A:A,'Base Pay Report'!A301))</f>
        <v>0</v>
      </c>
    </row>
    <row r="302" spans="1:24">
      <c r="A302" s="535" t="s">
        <v>1764</v>
      </c>
      <c r="B302" s="456" t="s">
        <v>2992</v>
      </c>
      <c r="C302" s="456" t="s">
        <v>2993</v>
      </c>
      <c r="D302" s="456" t="s">
        <v>2994</v>
      </c>
      <c r="E302" s="456" t="str">
        <f t="shared" si="5"/>
        <v>First Name Last Name</v>
      </c>
      <c r="F302" s="535" t="s">
        <v>1214</v>
      </c>
      <c r="G302" s="535" t="s">
        <v>1579</v>
      </c>
      <c r="H302" s="536">
        <v>11.73</v>
      </c>
      <c r="I302" s="537" t="s">
        <v>170</v>
      </c>
      <c r="J302" s="538">
        <v>44989</v>
      </c>
      <c r="K302" s="535" t="s">
        <v>170</v>
      </c>
      <c r="L302" s="535" t="s">
        <v>170</v>
      </c>
      <c r="M302" s="535" t="s">
        <v>1580</v>
      </c>
      <c r="N302" s="535" t="s">
        <v>1007</v>
      </c>
      <c r="O302" s="535" t="s">
        <v>1325</v>
      </c>
      <c r="P302" s="535" t="s">
        <v>1218</v>
      </c>
      <c r="Q302" s="535" t="s">
        <v>492</v>
      </c>
      <c r="R302" s="538" t="s">
        <v>170</v>
      </c>
      <c r="S302" s="535" t="s">
        <v>1305</v>
      </c>
      <c r="T302" s="535" t="s">
        <v>1565</v>
      </c>
      <c r="U302" s="536">
        <v>24398.400000000001</v>
      </c>
      <c r="V302" s="535" t="s">
        <v>1307</v>
      </c>
      <c r="X302" s="369" t="str">
        <f>IF(OR(T302="125-65-654-50110",T302="125-65-652-50110",T302="125-65-656-50110"),"N/A",COUNTIF('Prop Budget Calc'!A:A,'Base Pay Report'!A302))</f>
        <v>N/A</v>
      </c>
    </row>
    <row r="303" spans="1:24">
      <c r="A303" s="535" t="s">
        <v>1765</v>
      </c>
      <c r="B303" s="456" t="s">
        <v>2992</v>
      </c>
      <c r="C303" s="456" t="s">
        <v>2993</v>
      </c>
      <c r="D303" s="456" t="s">
        <v>2994</v>
      </c>
      <c r="E303" s="456" t="str">
        <f t="shared" si="5"/>
        <v>First Name Last Name</v>
      </c>
      <c r="F303" s="535" t="s">
        <v>1214</v>
      </c>
      <c r="G303" s="535" t="s">
        <v>1563</v>
      </c>
      <c r="H303" s="536">
        <v>15.09</v>
      </c>
      <c r="I303" s="537" t="s">
        <v>170</v>
      </c>
      <c r="J303" s="538">
        <v>44982</v>
      </c>
      <c r="K303" s="535" t="s">
        <v>170</v>
      </c>
      <c r="L303" s="535" t="s">
        <v>170</v>
      </c>
      <c r="M303" s="535" t="s">
        <v>1564</v>
      </c>
      <c r="N303" s="535" t="s">
        <v>539</v>
      </c>
      <c r="O303" s="535" t="s">
        <v>1325</v>
      </c>
      <c r="P303" s="535" t="s">
        <v>1218</v>
      </c>
      <c r="Q303" s="535" t="s">
        <v>492</v>
      </c>
      <c r="R303" s="538" t="s">
        <v>170</v>
      </c>
      <c r="S303" s="535" t="s">
        <v>1305</v>
      </c>
      <c r="T303" s="535" t="s">
        <v>1565</v>
      </c>
      <c r="U303" s="536">
        <v>31387.200000000001</v>
      </c>
      <c r="V303" s="535" t="s">
        <v>1307</v>
      </c>
      <c r="X303" s="369" t="str">
        <f>IF(OR(T303="125-65-654-50110",T303="125-65-652-50110",T303="125-65-656-50110"),"N/A",COUNTIF('Prop Budget Calc'!A:A,'Base Pay Report'!A303))</f>
        <v>N/A</v>
      </c>
    </row>
    <row r="304" spans="1:24">
      <c r="A304" s="535" t="s">
        <v>1766</v>
      </c>
      <c r="B304" s="456" t="s">
        <v>2992</v>
      </c>
      <c r="C304" s="456" t="s">
        <v>2993</v>
      </c>
      <c r="D304" s="456" t="s">
        <v>2994</v>
      </c>
      <c r="E304" s="456" t="str">
        <f t="shared" si="5"/>
        <v>First Name Last Name</v>
      </c>
      <c r="F304" s="535" t="s">
        <v>1214</v>
      </c>
      <c r="G304" s="535" t="s">
        <v>1579</v>
      </c>
      <c r="H304" s="536">
        <v>11.73</v>
      </c>
      <c r="I304" s="537" t="s">
        <v>170</v>
      </c>
      <c r="J304" s="538">
        <v>44989</v>
      </c>
      <c r="K304" s="535" t="s">
        <v>170</v>
      </c>
      <c r="L304" s="535" t="s">
        <v>170</v>
      </c>
      <c r="M304" s="535" t="s">
        <v>1580</v>
      </c>
      <c r="N304" s="535" t="s">
        <v>1007</v>
      </c>
      <c r="O304" s="535" t="s">
        <v>1325</v>
      </c>
      <c r="P304" s="535" t="s">
        <v>1218</v>
      </c>
      <c r="Q304" s="535" t="s">
        <v>492</v>
      </c>
      <c r="R304" s="538" t="s">
        <v>170</v>
      </c>
      <c r="S304" s="535" t="s">
        <v>1305</v>
      </c>
      <c r="T304" s="535" t="s">
        <v>1565</v>
      </c>
      <c r="U304" s="536">
        <v>24398.400000000001</v>
      </c>
      <c r="V304" s="535" t="s">
        <v>1307</v>
      </c>
      <c r="X304" s="369" t="str">
        <f>IF(OR(T304="125-65-654-50110",T304="125-65-652-50110",T304="125-65-656-50110"),"N/A",COUNTIF('Prop Budget Calc'!A:A,'Base Pay Report'!A304))</f>
        <v>N/A</v>
      </c>
    </row>
    <row r="305" spans="1:24">
      <c r="A305" s="535" t="s">
        <v>1767</v>
      </c>
      <c r="B305" s="456" t="s">
        <v>2992</v>
      </c>
      <c r="C305" s="456" t="s">
        <v>2993</v>
      </c>
      <c r="D305" s="456" t="s">
        <v>2994</v>
      </c>
      <c r="E305" s="456" t="str">
        <f t="shared" si="5"/>
        <v>First Name Last Name</v>
      </c>
      <c r="F305" s="535" t="s">
        <v>1214</v>
      </c>
      <c r="G305" s="535" t="s">
        <v>1579</v>
      </c>
      <c r="H305" s="536">
        <v>11.73</v>
      </c>
      <c r="I305" s="537" t="s">
        <v>170</v>
      </c>
      <c r="J305" s="538">
        <v>44989</v>
      </c>
      <c r="K305" s="535" t="s">
        <v>170</v>
      </c>
      <c r="L305" s="535" t="s">
        <v>170</v>
      </c>
      <c r="M305" s="535" t="s">
        <v>1580</v>
      </c>
      <c r="N305" s="535" t="s">
        <v>1007</v>
      </c>
      <c r="O305" s="535" t="s">
        <v>1325</v>
      </c>
      <c r="P305" s="535" t="s">
        <v>1218</v>
      </c>
      <c r="Q305" s="535" t="s">
        <v>492</v>
      </c>
      <c r="R305" s="538" t="s">
        <v>170</v>
      </c>
      <c r="S305" s="535" t="s">
        <v>1305</v>
      </c>
      <c r="T305" s="535" t="s">
        <v>1565</v>
      </c>
      <c r="U305" s="536">
        <v>24398.400000000001</v>
      </c>
      <c r="V305" s="535" t="s">
        <v>1307</v>
      </c>
      <c r="X305" s="369" t="str">
        <f>IF(OR(T305="125-65-654-50110",T305="125-65-652-50110",T305="125-65-656-50110"),"N/A",COUNTIF('Prop Budget Calc'!A:A,'Base Pay Report'!A305))</f>
        <v>N/A</v>
      </c>
    </row>
    <row r="306" spans="1:24">
      <c r="A306" s="535" t="s">
        <v>1768</v>
      </c>
      <c r="B306" s="456" t="s">
        <v>2992</v>
      </c>
      <c r="C306" s="456" t="s">
        <v>2993</v>
      </c>
      <c r="D306" s="456" t="s">
        <v>2994</v>
      </c>
      <c r="E306" s="456" t="str">
        <f t="shared" si="5"/>
        <v>First Name Last Name</v>
      </c>
      <c r="F306" s="535" t="s">
        <v>1214</v>
      </c>
      <c r="G306" s="535" t="s">
        <v>1256</v>
      </c>
      <c r="H306" s="536">
        <v>16.45</v>
      </c>
      <c r="I306" s="537" t="s">
        <v>170</v>
      </c>
      <c r="J306" s="538">
        <v>45000</v>
      </c>
      <c r="K306" s="535" t="s">
        <v>170</v>
      </c>
      <c r="L306" s="535" t="s">
        <v>170</v>
      </c>
      <c r="M306" s="535" t="s">
        <v>1257</v>
      </c>
      <c r="N306" s="535" t="s">
        <v>2538</v>
      </c>
      <c r="O306" s="535" t="s">
        <v>1258</v>
      </c>
      <c r="P306" s="535" t="s">
        <v>1218</v>
      </c>
      <c r="Q306" s="535" t="s">
        <v>492</v>
      </c>
      <c r="R306" s="538" t="s">
        <v>170</v>
      </c>
      <c r="S306" s="535" t="s">
        <v>1259</v>
      </c>
      <c r="T306" s="535" t="s">
        <v>1260</v>
      </c>
      <c r="U306" s="536">
        <v>34216</v>
      </c>
      <c r="V306" s="535" t="s">
        <v>1220</v>
      </c>
      <c r="X306" s="369">
        <f>IF(OR(T306="125-65-654-50110",T306="125-65-652-50110",T306="125-65-656-50110"),"N/A",COUNTIF('Prop Budget Calc'!A:A,'Base Pay Report'!A306))</f>
        <v>0</v>
      </c>
    </row>
    <row r="307" spans="1:24">
      <c r="A307" s="535" t="s">
        <v>1769</v>
      </c>
      <c r="B307" s="456" t="s">
        <v>2992</v>
      </c>
      <c r="C307" s="456" t="s">
        <v>2993</v>
      </c>
      <c r="D307" s="456" t="s">
        <v>2994</v>
      </c>
      <c r="E307" s="456" t="str">
        <f t="shared" si="5"/>
        <v>First Name Last Name</v>
      </c>
      <c r="F307" s="535" t="s">
        <v>1214</v>
      </c>
      <c r="G307" s="535" t="s">
        <v>1324</v>
      </c>
      <c r="H307" s="536">
        <v>13.77</v>
      </c>
      <c r="I307" s="537" t="s">
        <v>170</v>
      </c>
      <c r="J307" s="538">
        <v>45003</v>
      </c>
      <c r="K307" s="535" t="s">
        <v>170</v>
      </c>
      <c r="L307" s="535" t="s">
        <v>170</v>
      </c>
      <c r="M307" s="535" t="s">
        <v>1543</v>
      </c>
      <c r="N307" s="535" t="s">
        <v>1018</v>
      </c>
      <c r="O307" s="535" t="s">
        <v>1325</v>
      </c>
      <c r="P307" s="535" t="s">
        <v>1218</v>
      </c>
      <c r="Q307" s="535" t="s">
        <v>492</v>
      </c>
      <c r="R307" s="538" t="s">
        <v>170</v>
      </c>
      <c r="S307" s="535" t="s">
        <v>1305</v>
      </c>
      <c r="T307" s="535" t="s">
        <v>1493</v>
      </c>
      <c r="U307" s="536">
        <v>28641.599999999999</v>
      </c>
      <c r="V307" s="535" t="s">
        <v>1307</v>
      </c>
      <c r="X307" s="369" t="str">
        <f>IF(OR(T307="125-65-654-50110",T307="125-65-652-50110",T307="125-65-656-50110"),"N/A",COUNTIF('Prop Budget Calc'!A:A,'Base Pay Report'!A307))</f>
        <v>N/A</v>
      </c>
    </row>
    <row r="308" spans="1:24">
      <c r="A308" s="535" t="s">
        <v>1924</v>
      </c>
      <c r="B308" s="456" t="s">
        <v>2992</v>
      </c>
      <c r="C308" s="456" t="s">
        <v>2993</v>
      </c>
      <c r="D308" s="456" t="s">
        <v>2994</v>
      </c>
      <c r="E308" s="456" t="str">
        <f t="shared" si="5"/>
        <v>First Name Last Name</v>
      </c>
      <c r="F308" s="535" t="s">
        <v>1214</v>
      </c>
      <c r="G308" s="535" t="s">
        <v>1274</v>
      </c>
      <c r="H308" s="536">
        <v>21.88</v>
      </c>
      <c r="I308" s="537" t="s">
        <v>170</v>
      </c>
      <c r="J308" s="538">
        <v>45019</v>
      </c>
      <c r="K308" s="535" t="s">
        <v>170</v>
      </c>
      <c r="L308" s="535" t="s">
        <v>170</v>
      </c>
      <c r="M308" s="535" t="s">
        <v>1521</v>
      </c>
      <c r="N308" s="535" t="s">
        <v>1009</v>
      </c>
      <c r="O308" s="535" t="s">
        <v>1217</v>
      </c>
      <c r="P308" s="535" t="s">
        <v>1218</v>
      </c>
      <c r="Q308" s="535" t="s">
        <v>492</v>
      </c>
      <c r="R308" s="538" t="s">
        <v>170</v>
      </c>
      <c r="S308" s="535" t="s">
        <v>1219</v>
      </c>
      <c r="T308" s="535" t="s">
        <v>959</v>
      </c>
      <c r="U308" s="536">
        <v>45510.400000000001</v>
      </c>
      <c r="V308" s="535" t="s">
        <v>1220</v>
      </c>
      <c r="X308" s="369">
        <f>IF(OR(T308="125-65-654-50110",T308="125-65-652-50110",T308="125-65-656-50110"),"N/A",COUNTIF('Prop Budget Calc'!A:A,'Base Pay Report'!A308))</f>
        <v>1</v>
      </c>
    </row>
    <row r="309" spans="1:24">
      <c r="A309" s="535" t="s">
        <v>1925</v>
      </c>
      <c r="B309" s="456" t="s">
        <v>2992</v>
      </c>
      <c r="C309" s="456" t="s">
        <v>2993</v>
      </c>
      <c r="D309" s="456" t="s">
        <v>2994</v>
      </c>
      <c r="E309" s="456" t="str">
        <f t="shared" si="5"/>
        <v>First Name Last Name</v>
      </c>
      <c r="F309" s="535" t="s">
        <v>1214</v>
      </c>
      <c r="G309" s="535" t="s">
        <v>1268</v>
      </c>
      <c r="H309" s="536">
        <v>23.49</v>
      </c>
      <c r="I309" s="537" t="s">
        <v>170</v>
      </c>
      <c r="J309" s="538">
        <v>45019</v>
      </c>
      <c r="K309" s="535" t="s">
        <v>170</v>
      </c>
      <c r="L309" s="535" t="s">
        <v>170</v>
      </c>
      <c r="M309" s="535" t="s">
        <v>1269</v>
      </c>
      <c r="N309" s="535" t="s">
        <v>1270</v>
      </c>
      <c r="O309" s="535" t="s">
        <v>1217</v>
      </c>
      <c r="P309" s="535" t="s">
        <v>1218</v>
      </c>
      <c r="Q309" s="535" t="s">
        <v>492</v>
      </c>
      <c r="R309" s="538" t="s">
        <v>170</v>
      </c>
      <c r="S309" s="535" t="s">
        <v>1219</v>
      </c>
      <c r="T309" s="535" t="s">
        <v>959</v>
      </c>
      <c r="U309" s="536">
        <v>48859.199999999997</v>
      </c>
      <c r="V309" s="535" t="s">
        <v>1220</v>
      </c>
      <c r="X309" s="369">
        <f>IF(OR(T309="125-65-654-50110",T309="125-65-652-50110",T309="125-65-656-50110"),"N/A",COUNTIF('Prop Budget Calc'!A:A,'Base Pay Report'!A309))</f>
        <v>0</v>
      </c>
    </row>
    <row r="310" spans="1:24">
      <c r="A310" s="535" t="s">
        <v>1770</v>
      </c>
      <c r="B310" s="456" t="s">
        <v>2992</v>
      </c>
      <c r="C310" s="456" t="s">
        <v>2993</v>
      </c>
      <c r="D310" s="456" t="s">
        <v>2994</v>
      </c>
      <c r="E310" s="456" t="str">
        <f t="shared" si="5"/>
        <v>First Name Last Name</v>
      </c>
      <c r="F310" s="535" t="s">
        <v>1214</v>
      </c>
      <c r="G310" s="535" t="s">
        <v>1579</v>
      </c>
      <c r="H310" s="536">
        <v>11.73</v>
      </c>
      <c r="I310" s="537" t="s">
        <v>170</v>
      </c>
      <c r="J310" s="538">
        <v>45003</v>
      </c>
      <c r="K310" s="535" t="s">
        <v>170</v>
      </c>
      <c r="L310" s="535" t="s">
        <v>170</v>
      </c>
      <c r="M310" s="535" t="s">
        <v>1580</v>
      </c>
      <c r="N310" s="535" t="s">
        <v>1007</v>
      </c>
      <c r="O310" s="535" t="s">
        <v>1325</v>
      </c>
      <c r="P310" s="535" t="s">
        <v>1218</v>
      </c>
      <c r="Q310" s="535" t="s">
        <v>492</v>
      </c>
      <c r="R310" s="538" t="s">
        <v>170</v>
      </c>
      <c r="S310" s="535" t="s">
        <v>1305</v>
      </c>
      <c r="T310" s="535" t="s">
        <v>1565</v>
      </c>
      <c r="U310" s="536">
        <v>24398.400000000001</v>
      </c>
      <c r="V310" s="535" t="s">
        <v>1307</v>
      </c>
      <c r="X310" s="369" t="str">
        <f>IF(OR(T310="125-65-654-50110",T310="125-65-652-50110",T310="125-65-656-50110"),"N/A",COUNTIF('Prop Budget Calc'!A:A,'Base Pay Report'!A310))</f>
        <v>N/A</v>
      </c>
    </row>
    <row r="311" spans="1:24">
      <c r="A311" s="535" t="s">
        <v>1771</v>
      </c>
      <c r="B311" s="456" t="s">
        <v>2992</v>
      </c>
      <c r="C311" s="456" t="s">
        <v>2993</v>
      </c>
      <c r="D311" s="456" t="s">
        <v>2994</v>
      </c>
      <c r="E311" s="456" t="str">
        <f t="shared" si="5"/>
        <v>First Name Last Name</v>
      </c>
      <c r="F311" s="535" t="s">
        <v>1214</v>
      </c>
      <c r="G311" s="535" t="s">
        <v>1579</v>
      </c>
      <c r="H311" s="536">
        <v>11.73</v>
      </c>
      <c r="I311" s="537" t="s">
        <v>170</v>
      </c>
      <c r="J311" s="538">
        <v>45003</v>
      </c>
      <c r="K311" s="535" t="s">
        <v>170</v>
      </c>
      <c r="L311" s="535" t="s">
        <v>170</v>
      </c>
      <c r="M311" s="535" t="s">
        <v>1580</v>
      </c>
      <c r="N311" s="535" t="s">
        <v>1007</v>
      </c>
      <c r="O311" s="535" t="s">
        <v>1325</v>
      </c>
      <c r="P311" s="535" t="s">
        <v>1218</v>
      </c>
      <c r="Q311" s="535" t="s">
        <v>492</v>
      </c>
      <c r="R311" s="538" t="s">
        <v>170</v>
      </c>
      <c r="S311" s="535" t="s">
        <v>1305</v>
      </c>
      <c r="T311" s="535" t="s">
        <v>1565</v>
      </c>
      <c r="U311" s="536">
        <v>24398.400000000001</v>
      </c>
      <c r="V311" s="535" t="s">
        <v>1307</v>
      </c>
      <c r="X311" s="369" t="str">
        <f>IF(OR(T311="125-65-654-50110",T311="125-65-652-50110",T311="125-65-656-50110"),"N/A",COUNTIF('Prop Budget Calc'!A:A,'Base Pay Report'!A311))</f>
        <v>N/A</v>
      </c>
    </row>
    <row r="312" spans="1:24">
      <c r="A312" s="535" t="s">
        <v>1926</v>
      </c>
      <c r="B312" s="456" t="s">
        <v>2992</v>
      </c>
      <c r="C312" s="456" t="s">
        <v>2993</v>
      </c>
      <c r="D312" s="456" t="s">
        <v>2994</v>
      </c>
      <c r="E312" s="456" t="str">
        <f t="shared" si="5"/>
        <v>First Name Last Name</v>
      </c>
      <c r="F312" s="535" t="s">
        <v>1214</v>
      </c>
      <c r="G312" s="535" t="s">
        <v>1579</v>
      </c>
      <c r="H312" s="536">
        <v>11.73</v>
      </c>
      <c r="I312" s="537" t="s">
        <v>170</v>
      </c>
      <c r="J312" s="538">
        <v>45010</v>
      </c>
      <c r="K312" s="535" t="s">
        <v>170</v>
      </c>
      <c r="L312" s="535" t="s">
        <v>170</v>
      </c>
      <c r="M312" s="535" t="s">
        <v>1580</v>
      </c>
      <c r="N312" s="535" t="s">
        <v>1007</v>
      </c>
      <c r="O312" s="535" t="s">
        <v>1325</v>
      </c>
      <c r="P312" s="535" t="s">
        <v>1218</v>
      </c>
      <c r="Q312" s="535" t="s">
        <v>492</v>
      </c>
      <c r="R312" s="538" t="s">
        <v>170</v>
      </c>
      <c r="S312" s="535" t="s">
        <v>1305</v>
      </c>
      <c r="T312" s="535" t="s">
        <v>1565</v>
      </c>
      <c r="U312" s="536">
        <v>24398.400000000001</v>
      </c>
      <c r="V312" s="535" t="s">
        <v>1307</v>
      </c>
      <c r="X312" s="369" t="str">
        <f>IF(OR(T312="125-65-654-50110",T312="125-65-652-50110",T312="125-65-656-50110"),"N/A",COUNTIF('Prop Budget Calc'!A:A,'Base Pay Report'!A312))</f>
        <v>N/A</v>
      </c>
    </row>
    <row r="313" spans="1:24">
      <c r="A313" s="535" t="s">
        <v>1772</v>
      </c>
      <c r="B313" s="456" t="s">
        <v>2992</v>
      </c>
      <c r="C313" s="456" t="s">
        <v>2993</v>
      </c>
      <c r="D313" s="456" t="s">
        <v>2994</v>
      </c>
      <c r="E313" s="456" t="str">
        <f t="shared" si="5"/>
        <v>First Name Last Name</v>
      </c>
      <c r="F313" s="535" t="s">
        <v>1214</v>
      </c>
      <c r="G313" s="535" t="s">
        <v>1486</v>
      </c>
      <c r="H313" s="536">
        <v>15.3</v>
      </c>
      <c r="I313" s="537" t="s">
        <v>170</v>
      </c>
      <c r="J313" s="538">
        <v>45010</v>
      </c>
      <c r="K313" s="535" t="s">
        <v>170</v>
      </c>
      <c r="L313" s="535" t="s">
        <v>170</v>
      </c>
      <c r="M313" s="535" t="s">
        <v>1491</v>
      </c>
      <c r="N313" s="535" t="s">
        <v>1008</v>
      </c>
      <c r="O313" s="535" t="s">
        <v>1325</v>
      </c>
      <c r="P313" s="535" t="s">
        <v>1218</v>
      </c>
      <c r="Q313" s="535" t="s">
        <v>492</v>
      </c>
      <c r="R313" s="538" t="s">
        <v>170</v>
      </c>
      <c r="S313" s="535" t="s">
        <v>1305</v>
      </c>
      <c r="T313" s="535" t="s">
        <v>1493</v>
      </c>
      <c r="U313" s="536">
        <v>31824</v>
      </c>
      <c r="V313" s="535" t="s">
        <v>1307</v>
      </c>
      <c r="X313" s="369" t="str">
        <f>IF(OR(T313="125-65-654-50110",T313="125-65-652-50110",T313="125-65-656-50110"),"N/A",COUNTIF('Prop Budget Calc'!A:A,'Base Pay Report'!A313))</f>
        <v>N/A</v>
      </c>
    </row>
    <row r="314" spans="1:24">
      <c r="A314" s="535" t="s">
        <v>1927</v>
      </c>
      <c r="B314" s="456" t="s">
        <v>2992</v>
      </c>
      <c r="C314" s="456" t="s">
        <v>2993</v>
      </c>
      <c r="D314" s="456" t="s">
        <v>2994</v>
      </c>
      <c r="E314" s="456" t="str">
        <f t="shared" si="5"/>
        <v>First Name Last Name</v>
      </c>
      <c r="F314" s="535" t="s">
        <v>1214</v>
      </c>
      <c r="G314" s="535" t="s">
        <v>1579</v>
      </c>
      <c r="H314" s="536">
        <v>11.73</v>
      </c>
      <c r="I314" s="537" t="s">
        <v>170</v>
      </c>
      <c r="J314" s="538">
        <v>45017</v>
      </c>
      <c r="K314" s="535" t="s">
        <v>170</v>
      </c>
      <c r="L314" s="535" t="s">
        <v>170</v>
      </c>
      <c r="M314" s="535" t="s">
        <v>1580</v>
      </c>
      <c r="N314" s="535" t="s">
        <v>1007</v>
      </c>
      <c r="O314" s="535" t="s">
        <v>1325</v>
      </c>
      <c r="P314" s="535" t="s">
        <v>1218</v>
      </c>
      <c r="Q314" s="535" t="s">
        <v>492</v>
      </c>
      <c r="R314" s="538" t="s">
        <v>170</v>
      </c>
      <c r="S314" s="535" t="s">
        <v>1305</v>
      </c>
      <c r="T314" s="535" t="s">
        <v>1565</v>
      </c>
      <c r="U314" s="536">
        <v>24398.400000000001</v>
      </c>
      <c r="V314" s="535" t="s">
        <v>1307</v>
      </c>
      <c r="X314" s="369" t="str">
        <f>IF(OR(T314="125-65-654-50110",T314="125-65-652-50110",T314="125-65-656-50110"),"N/A",COUNTIF('Prop Budget Calc'!A:A,'Base Pay Report'!A314))</f>
        <v>N/A</v>
      </c>
    </row>
    <row r="315" spans="1:24">
      <c r="A315" s="535" t="s">
        <v>1928</v>
      </c>
      <c r="B315" s="456" t="s">
        <v>2992</v>
      </c>
      <c r="C315" s="456" t="s">
        <v>2993</v>
      </c>
      <c r="D315" s="456" t="s">
        <v>2994</v>
      </c>
      <c r="E315" s="456" t="str">
        <f t="shared" si="5"/>
        <v>First Name Last Name</v>
      </c>
      <c r="F315" s="535" t="s">
        <v>1214</v>
      </c>
      <c r="G315" s="535" t="s">
        <v>1579</v>
      </c>
      <c r="H315" s="536">
        <v>11.73</v>
      </c>
      <c r="I315" s="537" t="s">
        <v>170</v>
      </c>
      <c r="J315" s="538">
        <v>45017</v>
      </c>
      <c r="K315" s="535" t="s">
        <v>170</v>
      </c>
      <c r="L315" s="535" t="s">
        <v>170</v>
      </c>
      <c r="M315" s="535" t="s">
        <v>1580</v>
      </c>
      <c r="N315" s="535" t="s">
        <v>1007</v>
      </c>
      <c r="O315" s="535" t="s">
        <v>1325</v>
      </c>
      <c r="P315" s="535" t="s">
        <v>1218</v>
      </c>
      <c r="Q315" s="535" t="s">
        <v>492</v>
      </c>
      <c r="R315" s="538" t="s">
        <v>170</v>
      </c>
      <c r="S315" s="535" t="s">
        <v>1305</v>
      </c>
      <c r="T315" s="535" t="s">
        <v>1565</v>
      </c>
      <c r="U315" s="536">
        <v>24398.400000000001</v>
      </c>
      <c r="V315" s="535" t="s">
        <v>1307</v>
      </c>
      <c r="X315" s="369" t="str">
        <f>IF(OR(T315="125-65-654-50110",T315="125-65-652-50110",T315="125-65-656-50110"),"N/A",COUNTIF('Prop Budget Calc'!A:A,'Base Pay Report'!A315))</f>
        <v>N/A</v>
      </c>
    </row>
    <row r="316" spans="1:24">
      <c r="A316" s="535" t="s">
        <v>1929</v>
      </c>
      <c r="B316" s="456" t="s">
        <v>2992</v>
      </c>
      <c r="C316" s="456" t="s">
        <v>2993</v>
      </c>
      <c r="D316" s="456" t="s">
        <v>2994</v>
      </c>
      <c r="E316" s="456" t="str">
        <f t="shared" si="5"/>
        <v>First Name Last Name</v>
      </c>
      <c r="F316" s="535" t="s">
        <v>1214</v>
      </c>
      <c r="G316" s="535" t="s">
        <v>1579</v>
      </c>
      <c r="H316" s="536">
        <v>11.73</v>
      </c>
      <c r="I316" s="537" t="s">
        <v>170</v>
      </c>
      <c r="J316" s="538">
        <v>45017</v>
      </c>
      <c r="K316" s="535" t="s">
        <v>170</v>
      </c>
      <c r="L316" s="535" t="s">
        <v>170</v>
      </c>
      <c r="M316" s="535" t="s">
        <v>1580</v>
      </c>
      <c r="N316" s="535" t="s">
        <v>1007</v>
      </c>
      <c r="O316" s="535" t="s">
        <v>1325</v>
      </c>
      <c r="P316" s="535" t="s">
        <v>1218</v>
      </c>
      <c r="Q316" s="535" t="s">
        <v>492</v>
      </c>
      <c r="R316" s="538" t="s">
        <v>170</v>
      </c>
      <c r="S316" s="535" t="s">
        <v>1305</v>
      </c>
      <c r="T316" s="535" t="s">
        <v>1565</v>
      </c>
      <c r="U316" s="536">
        <v>24398.400000000001</v>
      </c>
      <c r="V316" s="535" t="s">
        <v>1307</v>
      </c>
      <c r="X316" s="369" t="str">
        <f>IF(OR(T316="125-65-654-50110",T316="125-65-652-50110",T316="125-65-656-50110"),"N/A",COUNTIF('Prop Budget Calc'!A:A,'Base Pay Report'!A316))</f>
        <v>N/A</v>
      </c>
    </row>
    <row r="317" spans="1:24">
      <c r="A317" s="535" t="s">
        <v>1930</v>
      </c>
      <c r="B317" s="456" t="s">
        <v>2992</v>
      </c>
      <c r="C317" s="456" t="s">
        <v>2993</v>
      </c>
      <c r="D317" s="456" t="s">
        <v>2994</v>
      </c>
      <c r="E317" s="456" t="str">
        <f t="shared" si="5"/>
        <v>First Name Last Name</v>
      </c>
      <c r="F317" s="535" t="s">
        <v>1214</v>
      </c>
      <c r="G317" s="535" t="s">
        <v>1579</v>
      </c>
      <c r="H317" s="536">
        <v>11.73</v>
      </c>
      <c r="I317" s="537" t="s">
        <v>170</v>
      </c>
      <c r="J317" s="538">
        <v>45031</v>
      </c>
      <c r="K317" s="535" t="s">
        <v>170</v>
      </c>
      <c r="L317" s="535" t="s">
        <v>170</v>
      </c>
      <c r="M317" s="535" t="s">
        <v>1580</v>
      </c>
      <c r="N317" s="535" t="s">
        <v>1007</v>
      </c>
      <c r="O317" s="535" t="s">
        <v>1325</v>
      </c>
      <c r="P317" s="535" t="s">
        <v>1218</v>
      </c>
      <c r="Q317" s="535" t="s">
        <v>492</v>
      </c>
      <c r="R317" s="538" t="s">
        <v>170</v>
      </c>
      <c r="S317" s="535" t="s">
        <v>1305</v>
      </c>
      <c r="T317" s="535" t="s">
        <v>1565</v>
      </c>
      <c r="U317" s="536">
        <v>24398.400000000001</v>
      </c>
      <c r="V317" s="535" t="s">
        <v>1307</v>
      </c>
      <c r="X317" s="369" t="str">
        <f>IF(OR(T317="125-65-654-50110",T317="125-65-652-50110",T317="125-65-656-50110"),"N/A",COUNTIF('Prop Budget Calc'!A:A,'Base Pay Report'!A317))</f>
        <v>N/A</v>
      </c>
    </row>
    <row r="318" spans="1:24">
      <c r="A318" s="535" t="s">
        <v>1931</v>
      </c>
      <c r="B318" s="456" t="s">
        <v>2992</v>
      </c>
      <c r="C318" s="456" t="s">
        <v>2993</v>
      </c>
      <c r="D318" s="456" t="s">
        <v>2994</v>
      </c>
      <c r="E318" s="456" t="str">
        <f t="shared" si="5"/>
        <v>First Name Last Name</v>
      </c>
      <c r="F318" s="535" t="s">
        <v>1214</v>
      </c>
      <c r="G318" s="535" t="s">
        <v>1268</v>
      </c>
      <c r="H318" s="536">
        <v>23.49</v>
      </c>
      <c r="I318" s="537" t="s">
        <v>170</v>
      </c>
      <c r="J318" s="538">
        <v>45040</v>
      </c>
      <c r="K318" s="535" t="s">
        <v>170</v>
      </c>
      <c r="L318" s="535" t="s">
        <v>170</v>
      </c>
      <c r="M318" s="535" t="s">
        <v>1269</v>
      </c>
      <c r="N318" s="535" t="s">
        <v>1270</v>
      </c>
      <c r="O318" s="535" t="s">
        <v>1217</v>
      </c>
      <c r="P318" s="535" t="s">
        <v>1218</v>
      </c>
      <c r="Q318" s="535" t="s">
        <v>492</v>
      </c>
      <c r="R318" s="538" t="s">
        <v>170</v>
      </c>
      <c r="S318" s="535" t="s">
        <v>1219</v>
      </c>
      <c r="T318" s="535" t="s">
        <v>959</v>
      </c>
      <c r="U318" s="536">
        <v>48859.199999999997</v>
      </c>
      <c r="V318" s="535" t="s">
        <v>1220</v>
      </c>
      <c r="X318" s="369">
        <f>IF(OR(T318="125-65-654-50110",T318="125-65-652-50110",T318="125-65-656-50110"),"N/A",COUNTIF('Prop Budget Calc'!A:A,'Base Pay Report'!A318))</f>
        <v>0</v>
      </c>
    </row>
    <row r="319" spans="1:24">
      <c r="A319" s="535" t="s">
        <v>1932</v>
      </c>
      <c r="B319" s="456" t="s">
        <v>2992</v>
      </c>
      <c r="C319" s="456" t="s">
        <v>2993</v>
      </c>
      <c r="D319" s="456" t="s">
        <v>2994</v>
      </c>
      <c r="E319" s="456" t="str">
        <f t="shared" si="5"/>
        <v>First Name Last Name</v>
      </c>
      <c r="F319" s="535" t="s">
        <v>1214</v>
      </c>
      <c r="G319" s="535" t="s">
        <v>1256</v>
      </c>
      <c r="H319" s="536">
        <v>16.45</v>
      </c>
      <c r="I319" s="537" t="s">
        <v>170</v>
      </c>
      <c r="J319" s="538">
        <v>45035</v>
      </c>
      <c r="K319" s="535" t="s">
        <v>170</v>
      </c>
      <c r="L319" s="535" t="s">
        <v>170</v>
      </c>
      <c r="M319" s="535" t="s">
        <v>1956</v>
      </c>
      <c r="N319" s="535" t="s">
        <v>1957</v>
      </c>
      <c r="O319" s="535" t="s">
        <v>1230</v>
      </c>
      <c r="P319" s="535" t="s">
        <v>1218</v>
      </c>
      <c r="Q319" s="535" t="s">
        <v>492</v>
      </c>
      <c r="R319" s="538" t="s">
        <v>170</v>
      </c>
      <c r="S319" s="535" t="s">
        <v>1235</v>
      </c>
      <c r="T319" s="535" t="s">
        <v>1615</v>
      </c>
      <c r="U319" s="536">
        <v>34216</v>
      </c>
      <c r="V319" s="535" t="s">
        <v>1220</v>
      </c>
      <c r="X319" s="369">
        <f>IF(OR(T319="125-65-654-50110",T319="125-65-652-50110",T319="125-65-656-50110"),"N/A",COUNTIF('Prop Budget Calc'!A:A,'Base Pay Report'!A319))</f>
        <v>0</v>
      </c>
    </row>
    <row r="320" spans="1:24">
      <c r="A320" s="535" t="s">
        <v>1933</v>
      </c>
      <c r="B320" s="456" t="s">
        <v>2992</v>
      </c>
      <c r="C320" s="456" t="s">
        <v>2993</v>
      </c>
      <c r="D320" s="456" t="s">
        <v>2994</v>
      </c>
      <c r="E320" s="456" t="str">
        <f t="shared" si="5"/>
        <v>First Name Last Name</v>
      </c>
      <c r="F320" s="535" t="s">
        <v>1214</v>
      </c>
      <c r="G320" s="535" t="s">
        <v>1324</v>
      </c>
      <c r="H320" s="536">
        <v>13.77</v>
      </c>
      <c r="I320" s="537" t="s">
        <v>170</v>
      </c>
      <c r="J320" s="538">
        <v>45045</v>
      </c>
      <c r="K320" s="535" t="s">
        <v>170</v>
      </c>
      <c r="L320" s="535" t="s">
        <v>170</v>
      </c>
      <c r="M320" s="535" t="s">
        <v>1543</v>
      </c>
      <c r="N320" s="535" t="s">
        <v>1018</v>
      </c>
      <c r="O320" s="535" t="s">
        <v>1325</v>
      </c>
      <c r="P320" s="535" t="s">
        <v>1218</v>
      </c>
      <c r="Q320" s="535" t="s">
        <v>492</v>
      </c>
      <c r="R320" s="538" t="s">
        <v>170</v>
      </c>
      <c r="S320" s="535" t="s">
        <v>1305</v>
      </c>
      <c r="T320" s="535" t="s">
        <v>1493</v>
      </c>
      <c r="U320" s="536">
        <v>28641.599999999999</v>
      </c>
      <c r="V320" s="535" t="s">
        <v>1307</v>
      </c>
      <c r="X320" s="369" t="str">
        <f>IF(OR(T320="125-65-654-50110",T320="125-65-652-50110",T320="125-65-656-50110"),"N/A",COUNTIF('Prop Budget Calc'!A:A,'Base Pay Report'!A320))</f>
        <v>N/A</v>
      </c>
    </row>
    <row r="321" spans="1:24">
      <c r="A321" s="535" t="s">
        <v>1934</v>
      </c>
      <c r="B321" s="456" t="s">
        <v>2992</v>
      </c>
      <c r="C321" s="456" t="s">
        <v>2993</v>
      </c>
      <c r="D321" s="456" t="s">
        <v>2994</v>
      </c>
      <c r="E321" s="456" t="str">
        <f t="shared" si="5"/>
        <v>First Name Last Name</v>
      </c>
      <c r="F321" s="535" t="s">
        <v>1214</v>
      </c>
      <c r="G321" s="535" t="s">
        <v>1324</v>
      </c>
      <c r="H321" s="536">
        <v>13.77</v>
      </c>
      <c r="I321" s="537" t="s">
        <v>170</v>
      </c>
      <c r="J321" s="538">
        <v>45045</v>
      </c>
      <c r="K321" s="535" t="s">
        <v>170</v>
      </c>
      <c r="L321" s="535" t="s">
        <v>170</v>
      </c>
      <c r="M321" s="535" t="s">
        <v>1543</v>
      </c>
      <c r="N321" s="535" t="s">
        <v>1018</v>
      </c>
      <c r="O321" s="535" t="s">
        <v>1325</v>
      </c>
      <c r="P321" s="535" t="s">
        <v>1218</v>
      </c>
      <c r="Q321" s="535" t="s">
        <v>492</v>
      </c>
      <c r="R321" s="538" t="s">
        <v>170</v>
      </c>
      <c r="S321" s="535" t="s">
        <v>1305</v>
      </c>
      <c r="T321" s="535" t="s">
        <v>1493</v>
      </c>
      <c r="U321" s="536">
        <v>28641.599999999999</v>
      </c>
      <c r="V321" s="535" t="s">
        <v>1307</v>
      </c>
      <c r="X321" s="369" t="str">
        <f>IF(OR(T321="125-65-654-50110",T321="125-65-652-50110",T321="125-65-656-50110"),"N/A",COUNTIF('Prop Budget Calc'!A:A,'Base Pay Report'!A321))</f>
        <v>N/A</v>
      </c>
    </row>
    <row r="322" spans="1:24">
      <c r="A322" s="535" t="s">
        <v>1935</v>
      </c>
      <c r="B322" s="456" t="s">
        <v>2992</v>
      </c>
      <c r="C322" s="456" t="s">
        <v>2993</v>
      </c>
      <c r="D322" s="456" t="s">
        <v>2994</v>
      </c>
      <c r="E322" s="456" t="str">
        <f t="shared" si="5"/>
        <v>First Name Last Name</v>
      </c>
      <c r="F322" s="535" t="s">
        <v>1214</v>
      </c>
      <c r="G322" s="535" t="s">
        <v>1579</v>
      </c>
      <c r="H322" s="536">
        <v>11.73</v>
      </c>
      <c r="I322" s="537" t="s">
        <v>170</v>
      </c>
      <c r="J322" s="538">
        <v>45045</v>
      </c>
      <c r="K322" s="535" t="s">
        <v>170</v>
      </c>
      <c r="L322" s="535" t="s">
        <v>170</v>
      </c>
      <c r="M322" s="535" t="s">
        <v>1580</v>
      </c>
      <c r="N322" s="535" t="s">
        <v>1007</v>
      </c>
      <c r="O322" s="535" t="s">
        <v>1325</v>
      </c>
      <c r="P322" s="535" t="s">
        <v>1218</v>
      </c>
      <c r="Q322" s="535" t="s">
        <v>492</v>
      </c>
      <c r="R322" s="538" t="s">
        <v>170</v>
      </c>
      <c r="S322" s="535" t="s">
        <v>1305</v>
      </c>
      <c r="T322" s="535" t="s">
        <v>1565</v>
      </c>
      <c r="U322" s="536">
        <v>24398.400000000001</v>
      </c>
      <c r="V322" s="535" t="s">
        <v>1307</v>
      </c>
      <c r="X322" s="369" t="str">
        <f>IF(OR(T322="125-65-654-50110",T322="125-65-652-50110",T322="125-65-656-50110"),"N/A",COUNTIF('Prop Budget Calc'!A:A,'Base Pay Report'!A322))</f>
        <v>N/A</v>
      </c>
    </row>
    <row r="323" spans="1:24">
      <c r="A323" s="535" t="s">
        <v>1936</v>
      </c>
      <c r="B323" s="456" t="s">
        <v>2992</v>
      </c>
      <c r="C323" s="456" t="s">
        <v>2993</v>
      </c>
      <c r="D323" s="456" t="s">
        <v>2994</v>
      </c>
      <c r="E323" s="456" t="str">
        <f t="shared" si="5"/>
        <v>First Name Last Name</v>
      </c>
      <c r="F323" s="535" t="s">
        <v>1214</v>
      </c>
      <c r="G323" s="535" t="s">
        <v>1324</v>
      </c>
      <c r="H323" s="536">
        <v>13.77</v>
      </c>
      <c r="I323" s="537" t="s">
        <v>170</v>
      </c>
      <c r="J323" s="538">
        <v>45045</v>
      </c>
      <c r="K323" s="535" t="s">
        <v>170</v>
      </c>
      <c r="L323" s="535" t="s">
        <v>170</v>
      </c>
      <c r="M323" s="535" t="s">
        <v>1543</v>
      </c>
      <c r="N323" s="535" t="s">
        <v>1018</v>
      </c>
      <c r="O323" s="535" t="s">
        <v>1325</v>
      </c>
      <c r="P323" s="535" t="s">
        <v>1218</v>
      </c>
      <c r="Q323" s="535" t="s">
        <v>492</v>
      </c>
      <c r="R323" s="538" t="s">
        <v>170</v>
      </c>
      <c r="S323" s="535" t="s">
        <v>1305</v>
      </c>
      <c r="T323" s="535" t="s">
        <v>1493</v>
      </c>
      <c r="U323" s="536">
        <v>28641.599999999999</v>
      </c>
      <c r="V323" s="535" t="s">
        <v>1307</v>
      </c>
      <c r="X323" s="369" t="str">
        <f>IF(OR(T323="125-65-654-50110",T323="125-65-652-50110",T323="125-65-656-50110"),"N/A",COUNTIF('Prop Budget Calc'!A:A,'Base Pay Report'!A323))</f>
        <v>N/A</v>
      </c>
    </row>
    <row r="324" spans="1:24">
      <c r="A324" s="535" t="s">
        <v>1937</v>
      </c>
      <c r="B324" s="456" t="s">
        <v>2992</v>
      </c>
      <c r="C324" s="456" t="s">
        <v>2993</v>
      </c>
      <c r="D324" s="456" t="s">
        <v>2994</v>
      </c>
      <c r="E324" s="456" t="str">
        <f t="shared" ref="E324:E387" si="6">B324&amp;" "&amp;D324</f>
        <v>First Name Last Name</v>
      </c>
      <c r="F324" s="535" t="s">
        <v>1214</v>
      </c>
      <c r="G324" s="535" t="s">
        <v>1309</v>
      </c>
      <c r="H324" s="536">
        <v>20.399999999999999</v>
      </c>
      <c r="I324" s="537" t="s">
        <v>170</v>
      </c>
      <c r="J324" s="538">
        <v>45049</v>
      </c>
      <c r="K324" s="535" t="s">
        <v>170</v>
      </c>
      <c r="L324" s="535" t="s">
        <v>170</v>
      </c>
      <c r="M324" s="535" t="s">
        <v>1755</v>
      </c>
      <c r="N324" s="535" t="s">
        <v>1958</v>
      </c>
      <c r="O324" s="535" t="s">
        <v>1338</v>
      </c>
      <c r="P324" s="535" t="s">
        <v>1218</v>
      </c>
      <c r="Q324" s="535" t="s">
        <v>492</v>
      </c>
      <c r="R324" s="538" t="s">
        <v>170</v>
      </c>
      <c r="S324" s="535" t="s">
        <v>1291</v>
      </c>
      <c r="T324" s="535" t="s">
        <v>1388</v>
      </c>
      <c r="U324" s="536">
        <v>42432</v>
      </c>
      <c r="V324" s="535" t="s">
        <v>1220</v>
      </c>
      <c r="X324" s="369">
        <f>IF(OR(T324="125-65-654-50110",T324="125-65-652-50110",T324="125-65-656-50110"),"N/A",COUNTIF('Prop Budget Calc'!A:A,'Base Pay Report'!A324))</f>
        <v>1</v>
      </c>
    </row>
    <row r="325" spans="1:24">
      <c r="A325" s="535" t="s">
        <v>1938</v>
      </c>
      <c r="B325" s="456" t="s">
        <v>2992</v>
      </c>
      <c r="C325" s="456" t="s">
        <v>2993</v>
      </c>
      <c r="D325" s="456" t="s">
        <v>2994</v>
      </c>
      <c r="E325" s="456" t="str">
        <f t="shared" si="6"/>
        <v>First Name Last Name</v>
      </c>
      <c r="F325" s="535" t="s">
        <v>1214</v>
      </c>
      <c r="G325" s="535" t="s">
        <v>1256</v>
      </c>
      <c r="H325" s="536">
        <v>2663.22</v>
      </c>
      <c r="I325" s="537">
        <v>80</v>
      </c>
      <c r="J325" s="538">
        <v>45048</v>
      </c>
      <c r="K325" s="535" t="s">
        <v>170</v>
      </c>
      <c r="L325" s="535" t="s">
        <v>170</v>
      </c>
      <c r="M325" s="535" t="s">
        <v>1328</v>
      </c>
      <c r="N325" s="535" t="s">
        <v>141</v>
      </c>
      <c r="O325" s="535" t="s">
        <v>1304</v>
      </c>
      <c r="P325" s="535" t="s">
        <v>1218</v>
      </c>
      <c r="Q325" s="535" t="s">
        <v>1231</v>
      </c>
      <c r="R325" s="538" t="s">
        <v>170</v>
      </c>
      <c r="S325" s="535" t="s">
        <v>1241</v>
      </c>
      <c r="T325" s="535" t="s">
        <v>1329</v>
      </c>
      <c r="U325" s="536">
        <v>69243.72</v>
      </c>
      <c r="V325" s="535" t="s">
        <v>1220</v>
      </c>
      <c r="X325" s="369">
        <f>IF(OR(T325="125-65-654-50110",T325="125-65-652-50110",T325="125-65-656-50110"),"N/A",COUNTIF('Prop Budget Calc'!A:A,'Base Pay Report'!A325))</f>
        <v>1</v>
      </c>
    </row>
    <row r="326" spans="1:24">
      <c r="A326" s="535" t="s">
        <v>1939</v>
      </c>
      <c r="B326" s="456" t="s">
        <v>2992</v>
      </c>
      <c r="C326" s="456" t="s">
        <v>2993</v>
      </c>
      <c r="D326" s="456" t="s">
        <v>2994</v>
      </c>
      <c r="E326" s="456" t="str">
        <f t="shared" si="6"/>
        <v>First Name Last Name</v>
      </c>
      <c r="F326" s="535" t="s">
        <v>1214</v>
      </c>
      <c r="G326" s="535" t="s">
        <v>1602</v>
      </c>
      <c r="H326" s="536">
        <v>10.199999999999999</v>
      </c>
      <c r="I326" s="537" t="s">
        <v>170</v>
      </c>
      <c r="J326" s="538">
        <v>45045</v>
      </c>
      <c r="K326" s="535" t="s">
        <v>170</v>
      </c>
      <c r="L326" s="535" t="s">
        <v>170</v>
      </c>
      <c r="M326" s="535" t="s">
        <v>1603</v>
      </c>
      <c r="N326" s="535" t="s">
        <v>1010</v>
      </c>
      <c r="O326" s="535" t="s">
        <v>1325</v>
      </c>
      <c r="P326" s="535" t="s">
        <v>1218</v>
      </c>
      <c r="Q326" s="535" t="s">
        <v>492</v>
      </c>
      <c r="R326" s="538" t="s">
        <v>170</v>
      </c>
      <c r="S326" s="535" t="s">
        <v>1305</v>
      </c>
      <c r="T326" s="535" t="s">
        <v>1326</v>
      </c>
      <c r="U326" s="536">
        <v>21216</v>
      </c>
      <c r="V326" s="535" t="s">
        <v>1307</v>
      </c>
      <c r="X326" s="369" t="str">
        <f>IF(OR(T326="125-65-654-50110",T326="125-65-652-50110",T326="125-65-656-50110"),"N/A",COUNTIF('Prop Budget Calc'!A:A,'Base Pay Report'!A326))</f>
        <v>N/A</v>
      </c>
    </row>
    <row r="327" spans="1:24">
      <c r="A327" s="535" t="s">
        <v>1940</v>
      </c>
      <c r="B327" s="456" t="s">
        <v>2992</v>
      </c>
      <c r="C327" s="456" t="s">
        <v>2993</v>
      </c>
      <c r="D327" s="456" t="s">
        <v>2994</v>
      </c>
      <c r="E327" s="456" t="str">
        <f t="shared" si="6"/>
        <v>First Name Last Name</v>
      </c>
      <c r="F327" s="535" t="s">
        <v>1214</v>
      </c>
      <c r="G327" s="535" t="s">
        <v>1324</v>
      </c>
      <c r="H327" s="536">
        <v>13.77</v>
      </c>
      <c r="I327" s="537" t="s">
        <v>170</v>
      </c>
      <c r="J327" s="538">
        <v>45045</v>
      </c>
      <c r="K327" s="535" t="s">
        <v>170</v>
      </c>
      <c r="L327" s="535" t="s">
        <v>170</v>
      </c>
      <c r="M327" s="535" t="s">
        <v>1543</v>
      </c>
      <c r="N327" s="535" t="s">
        <v>1018</v>
      </c>
      <c r="O327" s="535" t="s">
        <v>1325</v>
      </c>
      <c r="P327" s="535" t="s">
        <v>1218</v>
      </c>
      <c r="Q327" s="535" t="s">
        <v>492</v>
      </c>
      <c r="R327" s="538" t="s">
        <v>170</v>
      </c>
      <c r="S327" s="535" t="s">
        <v>1305</v>
      </c>
      <c r="T327" s="535" t="s">
        <v>1493</v>
      </c>
      <c r="U327" s="536">
        <v>28641.599999999999</v>
      </c>
      <c r="V327" s="535" t="s">
        <v>1307</v>
      </c>
      <c r="X327" s="369" t="str">
        <f>IF(OR(T327="125-65-654-50110",T327="125-65-652-50110",T327="125-65-656-50110"),"N/A",COUNTIF('Prop Budget Calc'!A:A,'Base Pay Report'!A327))</f>
        <v>N/A</v>
      </c>
    </row>
    <row r="328" spans="1:24">
      <c r="A328" s="535" t="s">
        <v>1941</v>
      </c>
      <c r="B328" s="456" t="s">
        <v>2992</v>
      </c>
      <c r="C328" s="456" t="s">
        <v>2993</v>
      </c>
      <c r="D328" s="456" t="s">
        <v>2994</v>
      </c>
      <c r="E328" s="456" t="str">
        <f t="shared" si="6"/>
        <v>First Name Last Name</v>
      </c>
      <c r="F328" s="535" t="s">
        <v>1214</v>
      </c>
      <c r="G328" s="535" t="s">
        <v>1486</v>
      </c>
      <c r="H328" s="536">
        <v>13.77</v>
      </c>
      <c r="I328" s="537" t="s">
        <v>170</v>
      </c>
      <c r="J328" s="538">
        <v>45045</v>
      </c>
      <c r="K328" s="535" t="s">
        <v>170</v>
      </c>
      <c r="L328" s="535" t="s">
        <v>170</v>
      </c>
      <c r="M328" s="535" t="s">
        <v>1487</v>
      </c>
      <c r="N328" s="535" t="s">
        <v>1488</v>
      </c>
      <c r="O328" s="535" t="s">
        <v>1325</v>
      </c>
      <c r="P328" s="535" t="s">
        <v>1218</v>
      </c>
      <c r="Q328" s="535" t="s">
        <v>492</v>
      </c>
      <c r="R328" s="538" t="s">
        <v>170</v>
      </c>
      <c r="S328" s="535" t="s">
        <v>1305</v>
      </c>
      <c r="T328" s="535" t="s">
        <v>1326</v>
      </c>
      <c r="U328" s="536">
        <v>28641.599999999999</v>
      </c>
      <c r="V328" s="535" t="s">
        <v>1307</v>
      </c>
      <c r="X328" s="369" t="str">
        <f>IF(OR(T328="125-65-654-50110",T328="125-65-652-50110",T328="125-65-656-50110"),"N/A",COUNTIF('Prop Budget Calc'!A:A,'Base Pay Report'!A328))</f>
        <v>N/A</v>
      </c>
    </row>
    <row r="329" spans="1:24">
      <c r="A329" s="535" t="s">
        <v>1942</v>
      </c>
      <c r="B329" s="456" t="s">
        <v>2992</v>
      </c>
      <c r="C329" s="456" t="s">
        <v>2993</v>
      </c>
      <c r="D329" s="456" t="s">
        <v>2994</v>
      </c>
      <c r="E329" s="456" t="str">
        <f t="shared" si="6"/>
        <v>First Name Last Name</v>
      </c>
      <c r="F329" s="535" t="s">
        <v>1214</v>
      </c>
      <c r="G329" s="535" t="s">
        <v>1579</v>
      </c>
      <c r="H329" s="536">
        <v>11.73</v>
      </c>
      <c r="I329" s="537" t="s">
        <v>170</v>
      </c>
      <c r="J329" s="538">
        <v>45045</v>
      </c>
      <c r="K329" s="535" t="s">
        <v>170</v>
      </c>
      <c r="L329" s="535" t="s">
        <v>170</v>
      </c>
      <c r="M329" s="535" t="s">
        <v>1580</v>
      </c>
      <c r="N329" s="535" t="s">
        <v>1007</v>
      </c>
      <c r="O329" s="535" t="s">
        <v>1325</v>
      </c>
      <c r="P329" s="535" t="s">
        <v>1218</v>
      </c>
      <c r="Q329" s="535" t="s">
        <v>492</v>
      </c>
      <c r="R329" s="538" t="s">
        <v>170</v>
      </c>
      <c r="S329" s="535" t="s">
        <v>1305</v>
      </c>
      <c r="T329" s="535" t="s">
        <v>1565</v>
      </c>
      <c r="U329" s="536">
        <v>24398.400000000001</v>
      </c>
      <c r="V329" s="535" t="s">
        <v>1307</v>
      </c>
      <c r="X329" s="369" t="str">
        <f>IF(OR(T329="125-65-654-50110",T329="125-65-652-50110",T329="125-65-656-50110"),"N/A",COUNTIF('Prop Budget Calc'!A:A,'Base Pay Report'!A329))</f>
        <v>N/A</v>
      </c>
    </row>
    <row r="330" spans="1:24">
      <c r="A330" s="535" t="s">
        <v>1943</v>
      </c>
      <c r="B330" s="456" t="s">
        <v>2992</v>
      </c>
      <c r="C330" s="456" t="s">
        <v>2993</v>
      </c>
      <c r="D330" s="456" t="s">
        <v>2994</v>
      </c>
      <c r="E330" s="456" t="str">
        <f t="shared" si="6"/>
        <v>First Name Last Name</v>
      </c>
      <c r="F330" s="535" t="s">
        <v>1214</v>
      </c>
      <c r="G330" s="535" t="s">
        <v>1579</v>
      </c>
      <c r="H330" s="536">
        <v>11.73</v>
      </c>
      <c r="I330" s="537" t="s">
        <v>170</v>
      </c>
      <c r="J330" s="538">
        <v>45045</v>
      </c>
      <c r="K330" s="535" t="s">
        <v>170</v>
      </c>
      <c r="L330" s="535" t="s">
        <v>170</v>
      </c>
      <c r="M330" s="535" t="s">
        <v>1580</v>
      </c>
      <c r="N330" s="535" t="s">
        <v>1007</v>
      </c>
      <c r="O330" s="535" t="s">
        <v>1325</v>
      </c>
      <c r="P330" s="535" t="s">
        <v>1218</v>
      </c>
      <c r="Q330" s="535" t="s">
        <v>492</v>
      </c>
      <c r="R330" s="538" t="s">
        <v>170</v>
      </c>
      <c r="S330" s="535" t="s">
        <v>1305</v>
      </c>
      <c r="T330" s="535" t="s">
        <v>1565</v>
      </c>
      <c r="U330" s="536">
        <v>24398.400000000001</v>
      </c>
      <c r="V330" s="535" t="s">
        <v>1307</v>
      </c>
      <c r="X330" s="369" t="str">
        <f>IF(OR(T330="125-65-654-50110",T330="125-65-652-50110",T330="125-65-656-50110"),"N/A",COUNTIF('Prop Budget Calc'!A:A,'Base Pay Report'!A330))</f>
        <v>N/A</v>
      </c>
    </row>
    <row r="331" spans="1:24">
      <c r="A331" s="535" t="s">
        <v>1944</v>
      </c>
      <c r="B331" s="456" t="s">
        <v>2992</v>
      </c>
      <c r="C331" s="456" t="s">
        <v>2993</v>
      </c>
      <c r="D331" s="456" t="s">
        <v>2994</v>
      </c>
      <c r="E331" s="456" t="str">
        <f t="shared" si="6"/>
        <v>First Name Last Name</v>
      </c>
      <c r="F331" s="535" t="s">
        <v>1214</v>
      </c>
      <c r="G331" s="535" t="s">
        <v>1486</v>
      </c>
      <c r="H331" s="536">
        <v>15.3</v>
      </c>
      <c r="I331" s="537" t="s">
        <v>170</v>
      </c>
      <c r="J331" s="538">
        <v>45045</v>
      </c>
      <c r="K331" s="535" t="s">
        <v>170</v>
      </c>
      <c r="L331" s="535" t="s">
        <v>170</v>
      </c>
      <c r="M331" s="535" t="s">
        <v>1491</v>
      </c>
      <c r="N331" s="535" t="s">
        <v>1008</v>
      </c>
      <c r="O331" s="535" t="s">
        <v>1325</v>
      </c>
      <c r="P331" s="535" t="s">
        <v>1218</v>
      </c>
      <c r="Q331" s="535" t="s">
        <v>492</v>
      </c>
      <c r="R331" s="538" t="s">
        <v>170</v>
      </c>
      <c r="S331" s="535" t="s">
        <v>1305</v>
      </c>
      <c r="T331" s="535" t="s">
        <v>1493</v>
      </c>
      <c r="U331" s="536">
        <v>31824</v>
      </c>
      <c r="V331" s="535" t="s">
        <v>1307</v>
      </c>
      <c r="X331" s="369" t="str">
        <f>IF(OR(T331="125-65-654-50110",T331="125-65-652-50110",T331="125-65-656-50110"),"N/A",COUNTIF('Prop Budget Calc'!A:A,'Base Pay Report'!A331))</f>
        <v>N/A</v>
      </c>
    </row>
    <row r="332" spans="1:24">
      <c r="A332" s="535" t="s">
        <v>1945</v>
      </c>
      <c r="B332" s="456" t="s">
        <v>2992</v>
      </c>
      <c r="C332" s="456" t="s">
        <v>2993</v>
      </c>
      <c r="D332" s="456" t="s">
        <v>2994</v>
      </c>
      <c r="E332" s="456" t="str">
        <f t="shared" si="6"/>
        <v>First Name Last Name</v>
      </c>
      <c r="F332" s="535" t="s">
        <v>1214</v>
      </c>
      <c r="G332" s="535" t="s">
        <v>1324</v>
      </c>
      <c r="H332" s="536">
        <v>13.77</v>
      </c>
      <c r="I332" s="537" t="s">
        <v>170</v>
      </c>
      <c r="J332" s="538">
        <v>45045</v>
      </c>
      <c r="K332" s="535" t="s">
        <v>170</v>
      </c>
      <c r="L332" s="535" t="s">
        <v>170</v>
      </c>
      <c r="M332" s="535" t="s">
        <v>1543</v>
      </c>
      <c r="N332" s="535" t="s">
        <v>1018</v>
      </c>
      <c r="O332" s="535" t="s">
        <v>1325</v>
      </c>
      <c r="P332" s="535" t="s">
        <v>1218</v>
      </c>
      <c r="Q332" s="535" t="s">
        <v>492</v>
      </c>
      <c r="R332" s="538" t="s">
        <v>170</v>
      </c>
      <c r="S332" s="535" t="s">
        <v>1305</v>
      </c>
      <c r="T332" s="535" t="s">
        <v>1493</v>
      </c>
      <c r="U332" s="536">
        <v>28641.599999999999</v>
      </c>
      <c r="V332" s="535" t="s">
        <v>1307</v>
      </c>
      <c r="X332" s="369" t="str">
        <f>IF(OR(T332="125-65-654-50110",T332="125-65-652-50110",T332="125-65-656-50110"),"N/A",COUNTIF('Prop Budget Calc'!A:A,'Base Pay Report'!A332))</f>
        <v>N/A</v>
      </c>
    </row>
    <row r="333" spans="1:24">
      <c r="A333" s="535" t="s">
        <v>1946</v>
      </c>
      <c r="B333" s="456" t="s">
        <v>2992</v>
      </c>
      <c r="C333" s="456" t="s">
        <v>2993</v>
      </c>
      <c r="D333" s="456" t="s">
        <v>2994</v>
      </c>
      <c r="E333" s="456" t="str">
        <f t="shared" si="6"/>
        <v>First Name Last Name</v>
      </c>
      <c r="F333" s="535" t="s">
        <v>1214</v>
      </c>
      <c r="G333" s="535" t="s">
        <v>1602</v>
      </c>
      <c r="H333" s="536">
        <v>10.199999999999999</v>
      </c>
      <c r="I333" s="537" t="s">
        <v>170</v>
      </c>
      <c r="J333" s="538">
        <v>45052</v>
      </c>
      <c r="K333" s="535" t="s">
        <v>170</v>
      </c>
      <c r="L333" s="535" t="s">
        <v>170</v>
      </c>
      <c r="M333" s="535" t="s">
        <v>1603</v>
      </c>
      <c r="N333" s="535" t="s">
        <v>1010</v>
      </c>
      <c r="O333" s="535" t="s">
        <v>1325</v>
      </c>
      <c r="P333" s="535" t="s">
        <v>1218</v>
      </c>
      <c r="Q333" s="535" t="s">
        <v>492</v>
      </c>
      <c r="R333" s="538" t="s">
        <v>170</v>
      </c>
      <c r="S333" s="535" t="s">
        <v>1305</v>
      </c>
      <c r="T333" s="535" t="s">
        <v>1326</v>
      </c>
      <c r="U333" s="536">
        <v>21216</v>
      </c>
      <c r="V333" s="535" t="s">
        <v>1307</v>
      </c>
      <c r="X333" s="369" t="str">
        <f>IF(OR(T333="125-65-654-50110",T333="125-65-652-50110",T333="125-65-656-50110"),"N/A",COUNTIF('Prop Budget Calc'!A:A,'Base Pay Report'!A333))</f>
        <v>N/A</v>
      </c>
    </row>
    <row r="334" spans="1:24">
      <c r="A334" s="535" t="s">
        <v>2895</v>
      </c>
      <c r="B334" s="456" t="s">
        <v>2992</v>
      </c>
      <c r="C334" s="456" t="s">
        <v>2993</v>
      </c>
      <c r="D334" s="456" t="s">
        <v>2994</v>
      </c>
      <c r="E334" s="456" t="str">
        <f t="shared" si="6"/>
        <v>First Name Last Name</v>
      </c>
      <c r="F334" s="535" t="s">
        <v>1214</v>
      </c>
      <c r="G334" s="535" t="s">
        <v>1602</v>
      </c>
      <c r="H334" s="536">
        <v>13.77</v>
      </c>
      <c r="I334" s="537" t="s">
        <v>170</v>
      </c>
      <c r="J334" s="538">
        <v>45052</v>
      </c>
      <c r="K334" s="535" t="s">
        <v>170</v>
      </c>
      <c r="L334" s="535" t="s">
        <v>170</v>
      </c>
      <c r="M334" s="535" t="s">
        <v>2927</v>
      </c>
      <c r="N334" s="535" t="s">
        <v>2928</v>
      </c>
      <c r="O334" s="535" t="s">
        <v>1325</v>
      </c>
      <c r="P334" s="535" t="s">
        <v>1218</v>
      </c>
      <c r="Q334" s="535" t="s">
        <v>492</v>
      </c>
      <c r="R334" s="538">
        <v>45409</v>
      </c>
      <c r="S334" s="535" t="s">
        <v>1305</v>
      </c>
      <c r="T334" s="535" t="s">
        <v>1326</v>
      </c>
      <c r="U334" s="536">
        <v>28641.599999999999</v>
      </c>
      <c r="V334" s="535" t="s">
        <v>1307</v>
      </c>
      <c r="X334" s="369" t="str">
        <f>IF(OR(T334="125-65-654-50110",T334="125-65-652-50110",T334="125-65-656-50110"),"N/A",COUNTIF('Prop Budget Calc'!A:A,'Base Pay Report'!A334))</f>
        <v>N/A</v>
      </c>
    </row>
    <row r="335" spans="1:24">
      <c r="A335" s="535" t="s">
        <v>2426</v>
      </c>
      <c r="B335" s="456" t="s">
        <v>2992</v>
      </c>
      <c r="C335" s="456" t="s">
        <v>2993</v>
      </c>
      <c r="D335" s="456" t="s">
        <v>2994</v>
      </c>
      <c r="E335" s="456" t="str">
        <f t="shared" si="6"/>
        <v>First Name Last Name</v>
      </c>
      <c r="F335" s="535" t="s">
        <v>1214</v>
      </c>
      <c r="G335" s="535" t="s">
        <v>1579</v>
      </c>
      <c r="H335" s="536">
        <v>11.73</v>
      </c>
      <c r="I335" s="537" t="s">
        <v>170</v>
      </c>
      <c r="J335" s="538">
        <v>45059</v>
      </c>
      <c r="K335" s="535" t="s">
        <v>170</v>
      </c>
      <c r="L335" s="535" t="s">
        <v>170</v>
      </c>
      <c r="M335" s="535" t="s">
        <v>1580</v>
      </c>
      <c r="N335" s="535" t="s">
        <v>1007</v>
      </c>
      <c r="O335" s="535" t="s">
        <v>1325</v>
      </c>
      <c r="P335" s="535" t="s">
        <v>1218</v>
      </c>
      <c r="Q335" s="535" t="s">
        <v>492</v>
      </c>
      <c r="R335" s="538" t="s">
        <v>170</v>
      </c>
      <c r="S335" s="535" t="s">
        <v>1305</v>
      </c>
      <c r="T335" s="535" t="s">
        <v>1565</v>
      </c>
      <c r="U335" s="536">
        <v>24398.400000000001</v>
      </c>
      <c r="V335" s="535" t="s">
        <v>1307</v>
      </c>
      <c r="X335" s="369" t="str">
        <f>IF(OR(T335="125-65-654-50110",T335="125-65-652-50110",T335="125-65-656-50110"),"N/A",COUNTIF('Prop Budget Calc'!A:A,'Base Pay Report'!A335))</f>
        <v>N/A</v>
      </c>
    </row>
    <row r="336" spans="1:24">
      <c r="A336" s="535" t="s">
        <v>2427</v>
      </c>
      <c r="B336" s="456" t="s">
        <v>2992</v>
      </c>
      <c r="C336" s="456" t="s">
        <v>2993</v>
      </c>
      <c r="D336" s="456" t="s">
        <v>2994</v>
      </c>
      <c r="E336" s="456" t="str">
        <f t="shared" si="6"/>
        <v>First Name Last Name</v>
      </c>
      <c r="F336" s="535" t="s">
        <v>1214</v>
      </c>
      <c r="G336" s="535" t="s">
        <v>1579</v>
      </c>
      <c r="H336" s="536">
        <v>11.73</v>
      </c>
      <c r="I336" s="537" t="s">
        <v>170</v>
      </c>
      <c r="J336" s="538">
        <v>45066</v>
      </c>
      <c r="K336" s="535" t="s">
        <v>170</v>
      </c>
      <c r="L336" s="535" t="s">
        <v>170</v>
      </c>
      <c r="M336" s="535" t="s">
        <v>1580</v>
      </c>
      <c r="N336" s="535" t="s">
        <v>1007</v>
      </c>
      <c r="O336" s="535" t="s">
        <v>1325</v>
      </c>
      <c r="P336" s="535" t="s">
        <v>1218</v>
      </c>
      <c r="Q336" s="535" t="s">
        <v>492</v>
      </c>
      <c r="R336" s="538" t="s">
        <v>170</v>
      </c>
      <c r="S336" s="535" t="s">
        <v>1305</v>
      </c>
      <c r="T336" s="535" t="s">
        <v>1565</v>
      </c>
      <c r="U336" s="536">
        <v>24398.400000000001</v>
      </c>
      <c r="V336" s="535" t="s">
        <v>1307</v>
      </c>
      <c r="X336" s="369" t="str">
        <f>IF(OR(T336="125-65-654-50110",T336="125-65-652-50110",T336="125-65-656-50110"),"N/A",COUNTIF('Prop Budget Calc'!A:A,'Base Pay Report'!A336))</f>
        <v>N/A</v>
      </c>
    </row>
    <row r="337" spans="1:24">
      <c r="A337" s="535" t="s">
        <v>2428</v>
      </c>
      <c r="B337" s="456" t="s">
        <v>2992</v>
      </c>
      <c r="C337" s="456" t="s">
        <v>2993</v>
      </c>
      <c r="D337" s="456" t="s">
        <v>2994</v>
      </c>
      <c r="E337" s="456" t="str">
        <f t="shared" si="6"/>
        <v>First Name Last Name</v>
      </c>
      <c r="F337" s="535" t="s">
        <v>1214</v>
      </c>
      <c r="G337" s="535" t="s">
        <v>1579</v>
      </c>
      <c r="H337" s="536">
        <v>11.73</v>
      </c>
      <c r="I337" s="537" t="s">
        <v>170</v>
      </c>
      <c r="J337" s="538">
        <v>45066</v>
      </c>
      <c r="K337" s="535" t="s">
        <v>170</v>
      </c>
      <c r="L337" s="535" t="s">
        <v>170</v>
      </c>
      <c r="M337" s="535" t="s">
        <v>1580</v>
      </c>
      <c r="N337" s="535" t="s">
        <v>1007</v>
      </c>
      <c r="O337" s="535" t="s">
        <v>1325</v>
      </c>
      <c r="P337" s="535" t="s">
        <v>1218</v>
      </c>
      <c r="Q337" s="535" t="s">
        <v>492</v>
      </c>
      <c r="R337" s="538" t="s">
        <v>170</v>
      </c>
      <c r="S337" s="535" t="s">
        <v>1305</v>
      </c>
      <c r="T337" s="535" t="s">
        <v>1565</v>
      </c>
      <c r="U337" s="536">
        <v>24398.400000000001</v>
      </c>
      <c r="V337" s="535" t="s">
        <v>1307</v>
      </c>
      <c r="X337" s="369" t="str">
        <f>IF(OR(T337="125-65-654-50110",T337="125-65-652-50110",T337="125-65-656-50110"),"N/A",COUNTIF('Prop Budget Calc'!A:A,'Base Pay Report'!A337))</f>
        <v>N/A</v>
      </c>
    </row>
    <row r="338" spans="1:24">
      <c r="A338" s="535" t="s">
        <v>2429</v>
      </c>
      <c r="B338" s="456" t="s">
        <v>2992</v>
      </c>
      <c r="C338" s="456" t="s">
        <v>2993</v>
      </c>
      <c r="D338" s="456" t="s">
        <v>2994</v>
      </c>
      <c r="E338" s="456" t="str">
        <f t="shared" si="6"/>
        <v>First Name Last Name</v>
      </c>
      <c r="F338" s="535" t="s">
        <v>1214</v>
      </c>
      <c r="G338" s="535" t="s">
        <v>1579</v>
      </c>
      <c r="H338" s="536">
        <v>11.73</v>
      </c>
      <c r="I338" s="537" t="s">
        <v>170</v>
      </c>
      <c r="J338" s="538">
        <v>45066</v>
      </c>
      <c r="K338" s="535" t="s">
        <v>170</v>
      </c>
      <c r="L338" s="535" t="s">
        <v>170</v>
      </c>
      <c r="M338" s="535" t="s">
        <v>1580</v>
      </c>
      <c r="N338" s="535" t="s">
        <v>1007</v>
      </c>
      <c r="O338" s="535" t="s">
        <v>1325</v>
      </c>
      <c r="P338" s="535" t="s">
        <v>1218</v>
      </c>
      <c r="Q338" s="535" t="s">
        <v>492</v>
      </c>
      <c r="R338" s="538" t="s">
        <v>170</v>
      </c>
      <c r="S338" s="535" t="s">
        <v>1305</v>
      </c>
      <c r="T338" s="535" t="s">
        <v>1565</v>
      </c>
      <c r="U338" s="536">
        <v>24398.400000000001</v>
      </c>
      <c r="V338" s="535" t="s">
        <v>1307</v>
      </c>
      <c r="X338" s="369" t="str">
        <f>IF(OR(T338="125-65-654-50110",T338="125-65-652-50110",T338="125-65-656-50110"),"N/A",COUNTIF('Prop Budget Calc'!A:A,'Base Pay Report'!A338))</f>
        <v>N/A</v>
      </c>
    </row>
    <row r="339" spans="1:24">
      <c r="A339" s="535" t="s">
        <v>2430</v>
      </c>
      <c r="B339" s="456" t="s">
        <v>2992</v>
      </c>
      <c r="C339" s="456" t="s">
        <v>2993</v>
      </c>
      <c r="D339" s="456" t="s">
        <v>2994</v>
      </c>
      <c r="E339" s="456" t="str">
        <f t="shared" si="6"/>
        <v>First Name Last Name</v>
      </c>
      <c r="F339" s="535" t="s">
        <v>1214</v>
      </c>
      <c r="G339" s="535" t="s">
        <v>170</v>
      </c>
      <c r="H339" s="536">
        <v>13.77</v>
      </c>
      <c r="I339" s="537" t="s">
        <v>170</v>
      </c>
      <c r="J339" s="538">
        <v>45073</v>
      </c>
      <c r="K339" s="535" t="s">
        <v>170</v>
      </c>
      <c r="L339" s="535" t="s">
        <v>170</v>
      </c>
      <c r="M339" s="535" t="s">
        <v>1487</v>
      </c>
      <c r="N339" s="535" t="s">
        <v>1488</v>
      </c>
      <c r="O339" s="535" t="s">
        <v>1325</v>
      </c>
      <c r="P339" s="535" t="s">
        <v>1218</v>
      </c>
      <c r="Q339" s="535" t="s">
        <v>492</v>
      </c>
      <c r="R339" s="538">
        <v>45262</v>
      </c>
      <c r="S339" s="535" t="s">
        <v>1305</v>
      </c>
      <c r="T339" s="535" t="s">
        <v>1326</v>
      </c>
      <c r="U339" s="536">
        <v>28641.599999999999</v>
      </c>
      <c r="V339" s="535" t="s">
        <v>1307</v>
      </c>
      <c r="X339" s="369" t="str">
        <f>IF(OR(T339="125-65-654-50110",T339="125-65-652-50110",T339="125-65-656-50110"),"N/A",COUNTIF('Prop Budget Calc'!A:A,'Base Pay Report'!A339))</f>
        <v>N/A</v>
      </c>
    </row>
    <row r="340" spans="1:24">
      <c r="A340" s="535" t="s">
        <v>2431</v>
      </c>
      <c r="B340" s="456" t="s">
        <v>2992</v>
      </c>
      <c r="C340" s="456" t="s">
        <v>2993</v>
      </c>
      <c r="D340" s="456" t="s">
        <v>2994</v>
      </c>
      <c r="E340" s="456" t="str">
        <f t="shared" si="6"/>
        <v>First Name Last Name</v>
      </c>
      <c r="F340" s="535" t="s">
        <v>1214</v>
      </c>
      <c r="G340" s="535" t="s">
        <v>1579</v>
      </c>
      <c r="H340" s="536">
        <v>11.73</v>
      </c>
      <c r="I340" s="537" t="s">
        <v>170</v>
      </c>
      <c r="J340" s="538">
        <v>45073</v>
      </c>
      <c r="K340" s="535" t="s">
        <v>170</v>
      </c>
      <c r="L340" s="535" t="s">
        <v>170</v>
      </c>
      <c r="M340" s="535" t="s">
        <v>1580</v>
      </c>
      <c r="N340" s="535" t="s">
        <v>1007</v>
      </c>
      <c r="O340" s="535" t="s">
        <v>1325</v>
      </c>
      <c r="P340" s="535" t="s">
        <v>1218</v>
      </c>
      <c r="Q340" s="535" t="s">
        <v>492</v>
      </c>
      <c r="R340" s="538" t="s">
        <v>170</v>
      </c>
      <c r="S340" s="535" t="s">
        <v>1305</v>
      </c>
      <c r="T340" s="535" t="s">
        <v>1565</v>
      </c>
      <c r="U340" s="536">
        <v>24398.400000000001</v>
      </c>
      <c r="V340" s="535" t="s">
        <v>1307</v>
      </c>
      <c r="X340" s="369" t="str">
        <f>IF(OR(T340="125-65-654-50110",T340="125-65-652-50110",T340="125-65-656-50110"),"N/A",COUNTIF('Prop Budget Calc'!A:A,'Base Pay Report'!A340))</f>
        <v>N/A</v>
      </c>
    </row>
    <row r="341" spans="1:24">
      <c r="A341" s="535" t="s">
        <v>2432</v>
      </c>
      <c r="B341" s="456" t="s">
        <v>2992</v>
      </c>
      <c r="C341" s="456" t="s">
        <v>2993</v>
      </c>
      <c r="D341" s="456" t="s">
        <v>2994</v>
      </c>
      <c r="E341" s="456" t="str">
        <f t="shared" si="6"/>
        <v>First Name Last Name</v>
      </c>
      <c r="F341" s="535" t="s">
        <v>1214</v>
      </c>
      <c r="G341" s="535" t="s">
        <v>170</v>
      </c>
      <c r="H341" s="536">
        <v>15.3</v>
      </c>
      <c r="I341" s="537" t="s">
        <v>170</v>
      </c>
      <c r="J341" s="538">
        <v>45073</v>
      </c>
      <c r="K341" s="535" t="s">
        <v>170</v>
      </c>
      <c r="L341" s="535" t="s">
        <v>170</v>
      </c>
      <c r="M341" s="535" t="s">
        <v>2925</v>
      </c>
      <c r="N341" s="535" t="s">
        <v>2926</v>
      </c>
      <c r="O341" s="535" t="s">
        <v>1325</v>
      </c>
      <c r="P341" s="535" t="s">
        <v>1218</v>
      </c>
      <c r="Q341" s="535" t="s">
        <v>492</v>
      </c>
      <c r="R341" s="538" t="s">
        <v>170</v>
      </c>
      <c r="S341" s="535" t="s">
        <v>1305</v>
      </c>
      <c r="T341" s="535" t="s">
        <v>1326</v>
      </c>
      <c r="U341" s="536">
        <v>31824</v>
      </c>
      <c r="V341" s="535" t="s">
        <v>1307</v>
      </c>
      <c r="X341" s="369" t="str">
        <f>IF(OR(T341="125-65-654-50110",T341="125-65-652-50110",T341="125-65-656-50110"),"N/A",COUNTIF('Prop Budget Calc'!A:A,'Base Pay Report'!A341))</f>
        <v>N/A</v>
      </c>
    </row>
    <row r="342" spans="1:24">
      <c r="A342" s="535" t="s">
        <v>2433</v>
      </c>
      <c r="B342" s="456" t="s">
        <v>2992</v>
      </c>
      <c r="C342" s="456" t="s">
        <v>2993</v>
      </c>
      <c r="D342" s="456" t="s">
        <v>2994</v>
      </c>
      <c r="E342" s="456" t="str">
        <f t="shared" si="6"/>
        <v>First Name Last Name</v>
      </c>
      <c r="F342" s="535" t="s">
        <v>1214</v>
      </c>
      <c r="G342" s="535" t="s">
        <v>1579</v>
      </c>
      <c r="H342" s="536">
        <v>11.73</v>
      </c>
      <c r="I342" s="537" t="s">
        <v>170</v>
      </c>
      <c r="J342" s="538">
        <v>45073</v>
      </c>
      <c r="K342" s="535" t="s">
        <v>170</v>
      </c>
      <c r="L342" s="535" t="s">
        <v>170</v>
      </c>
      <c r="M342" s="535" t="s">
        <v>1580</v>
      </c>
      <c r="N342" s="535" t="s">
        <v>1007</v>
      </c>
      <c r="O342" s="535" t="s">
        <v>1325</v>
      </c>
      <c r="P342" s="535" t="s">
        <v>1218</v>
      </c>
      <c r="Q342" s="535" t="s">
        <v>492</v>
      </c>
      <c r="R342" s="538" t="s">
        <v>170</v>
      </c>
      <c r="S342" s="535" t="s">
        <v>1305</v>
      </c>
      <c r="T342" s="535" t="s">
        <v>1565</v>
      </c>
      <c r="U342" s="536">
        <v>24398.400000000001</v>
      </c>
      <c r="V342" s="535" t="s">
        <v>1307</v>
      </c>
      <c r="X342" s="369" t="str">
        <f>IF(OR(T342="125-65-654-50110",T342="125-65-652-50110",T342="125-65-656-50110"),"N/A",COUNTIF('Prop Budget Calc'!A:A,'Base Pay Report'!A342))</f>
        <v>N/A</v>
      </c>
    </row>
    <row r="343" spans="1:24">
      <c r="A343" s="535" t="s">
        <v>2434</v>
      </c>
      <c r="B343" s="456" t="s">
        <v>2992</v>
      </c>
      <c r="C343" s="456" t="s">
        <v>2993</v>
      </c>
      <c r="D343" s="456" t="s">
        <v>2994</v>
      </c>
      <c r="E343" s="456" t="str">
        <f t="shared" si="6"/>
        <v>First Name Last Name</v>
      </c>
      <c r="F343" s="535" t="s">
        <v>1214</v>
      </c>
      <c r="G343" s="535" t="s">
        <v>1288</v>
      </c>
      <c r="H343" s="536">
        <v>35.700000000000003</v>
      </c>
      <c r="I343" s="537" t="s">
        <v>170</v>
      </c>
      <c r="J343" s="538">
        <v>45089</v>
      </c>
      <c r="K343" s="535" t="s">
        <v>170</v>
      </c>
      <c r="L343" s="535" t="s">
        <v>170</v>
      </c>
      <c r="M343" s="535" t="s">
        <v>2471</v>
      </c>
      <c r="N343" s="535" t="s">
        <v>2539</v>
      </c>
      <c r="O343" s="535" t="s">
        <v>1338</v>
      </c>
      <c r="P343" s="535" t="s">
        <v>1218</v>
      </c>
      <c r="Q343" s="535" t="s">
        <v>492</v>
      </c>
      <c r="R343" s="538" t="s">
        <v>170</v>
      </c>
      <c r="S343" s="535" t="s">
        <v>1291</v>
      </c>
      <c r="T343" s="535" t="s">
        <v>1411</v>
      </c>
      <c r="U343" s="536">
        <v>74256</v>
      </c>
      <c r="V343" s="535" t="s">
        <v>1220</v>
      </c>
      <c r="X343" s="369">
        <f>IF(OR(T343="125-65-654-50110",T343="125-65-652-50110",T343="125-65-656-50110"),"N/A",COUNTIF('Prop Budget Calc'!A:A,'Base Pay Report'!A343))</f>
        <v>1</v>
      </c>
    </row>
    <row r="344" spans="1:24">
      <c r="A344" s="535" t="s">
        <v>2435</v>
      </c>
      <c r="B344" s="456" t="s">
        <v>2992</v>
      </c>
      <c r="C344" s="456" t="s">
        <v>2993</v>
      </c>
      <c r="D344" s="456" t="s">
        <v>2994</v>
      </c>
      <c r="E344" s="456" t="str">
        <f t="shared" si="6"/>
        <v>First Name Last Name</v>
      </c>
      <c r="F344" s="535" t="s">
        <v>1214</v>
      </c>
      <c r="G344" s="535" t="s">
        <v>1602</v>
      </c>
      <c r="H344" s="536">
        <v>10.199999999999999</v>
      </c>
      <c r="I344" s="537" t="s">
        <v>170</v>
      </c>
      <c r="J344" s="538">
        <v>45080</v>
      </c>
      <c r="K344" s="535" t="s">
        <v>170</v>
      </c>
      <c r="L344" s="535" t="s">
        <v>170</v>
      </c>
      <c r="M344" s="535" t="s">
        <v>1603</v>
      </c>
      <c r="N344" s="535" t="s">
        <v>1010</v>
      </c>
      <c r="O344" s="535" t="s">
        <v>1325</v>
      </c>
      <c r="P344" s="535" t="s">
        <v>1218</v>
      </c>
      <c r="Q344" s="535" t="s">
        <v>492</v>
      </c>
      <c r="R344" s="538" t="s">
        <v>170</v>
      </c>
      <c r="S344" s="535" t="s">
        <v>1305</v>
      </c>
      <c r="T344" s="535" t="s">
        <v>1326</v>
      </c>
      <c r="U344" s="536">
        <v>21216</v>
      </c>
      <c r="V344" s="535" t="s">
        <v>1307</v>
      </c>
      <c r="X344" s="369" t="str">
        <f>IF(OR(T344="125-65-654-50110",T344="125-65-652-50110",T344="125-65-656-50110"),"N/A",COUNTIF('Prop Budget Calc'!A:A,'Base Pay Report'!A344))</f>
        <v>N/A</v>
      </c>
    </row>
    <row r="345" spans="1:24">
      <c r="A345" s="535" t="s">
        <v>2436</v>
      </c>
      <c r="B345" s="456" t="s">
        <v>2992</v>
      </c>
      <c r="C345" s="456" t="s">
        <v>2993</v>
      </c>
      <c r="D345" s="456" t="s">
        <v>2994</v>
      </c>
      <c r="E345" s="456" t="str">
        <f t="shared" si="6"/>
        <v>First Name Last Name</v>
      </c>
      <c r="F345" s="535" t="s">
        <v>1214</v>
      </c>
      <c r="G345" s="535" t="s">
        <v>1247</v>
      </c>
      <c r="H345" s="536">
        <v>32.97</v>
      </c>
      <c r="I345" s="537" t="s">
        <v>170</v>
      </c>
      <c r="J345" s="538">
        <v>45092</v>
      </c>
      <c r="K345" s="535" t="s">
        <v>170</v>
      </c>
      <c r="L345" s="535" t="s">
        <v>170</v>
      </c>
      <c r="M345" s="535" t="s">
        <v>1248</v>
      </c>
      <c r="N345" s="535" t="s">
        <v>116</v>
      </c>
      <c r="O345" s="535" t="s">
        <v>1224</v>
      </c>
      <c r="P345" s="535" t="s">
        <v>1218</v>
      </c>
      <c r="Q345" s="535" t="s">
        <v>492</v>
      </c>
      <c r="R345" s="538" t="s">
        <v>170</v>
      </c>
      <c r="S345" s="535" t="s">
        <v>1225</v>
      </c>
      <c r="T345" s="535" t="s">
        <v>955</v>
      </c>
      <c r="U345" s="536">
        <v>68577.600000000006</v>
      </c>
      <c r="V345" s="535" t="s">
        <v>1220</v>
      </c>
      <c r="X345" s="369">
        <f>IF(OR(T345="125-65-654-50110",T345="125-65-652-50110",T345="125-65-656-50110"),"N/A",COUNTIF('Prop Budget Calc'!A:A,'Base Pay Report'!A345))</f>
        <v>0</v>
      </c>
    </row>
    <row r="346" spans="1:24">
      <c r="A346" s="535" t="s">
        <v>2437</v>
      </c>
      <c r="B346" s="456" t="s">
        <v>2992</v>
      </c>
      <c r="C346" s="456" t="s">
        <v>2993</v>
      </c>
      <c r="D346" s="456" t="s">
        <v>2994</v>
      </c>
      <c r="E346" s="456" t="str">
        <f t="shared" si="6"/>
        <v>First Name Last Name</v>
      </c>
      <c r="F346" s="535" t="s">
        <v>1214</v>
      </c>
      <c r="G346" s="535" t="s">
        <v>1247</v>
      </c>
      <c r="H346" s="536">
        <v>32.97</v>
      </c>
      <c r="I346" s="537" t="s">
        <v>170</v>
      </c>
      <c r="J346" s="538">
        <v>45092</v>
      </c>
      <c r="K346" s="535" t="s">
        <v>170</v>
      </c>
      <c r="L346" s="535" t="s">
        <v>170</v>
      </c>
      <c r="M346" s="535" t="s">
        <v>1248</v>
      </c>
      <c r="N346" s="535" t="s">
        <v>116</v>
      </c>
      <c r="O346" s="535" t="s">
        <v>1224</v>
      </c>
      <c r="P346" s="535" t="s">
        <v>1218</v>
      </c>
      <c r="Q346" s="535" t="s">
        <v>492</v>
      </c>
      <c r="R346" s="538" t="s">
        <v>170</v>
      </c>
      <c r="S346" s="535" t="s">
        <v>1225</v>
      </c>
      <c r="T346" s="535" t="s">
        <v>955</v>
      </c>
      <c r="U346" s="536">
        <v>68577.600000000006</v>
      </c>
      <c r="V346" s="535" t="s">
        <v>1220</v>
      </c>
      <c r="X346" s="369">
        <f>IF(OR(T346="125-65-654-50110",T346="125-65-652-50110",T346="125-65-656-50110"),"N/A",COUNTIF('Prop Budget Calc'!A:A,'Base Pay Report'!A346))</f>
        <v>1</v>
      </c>
    </row>
    <row r="347" spans="1:24">
      <c r="A347" s="535" t="s">
        <v>2896</v>
      </c>
      <c r="B347" s="456" t="s">
        <v>2992</v>
      </c>
      <c r="C347" s="456" t="s">
        <v>2993</v>
      </c>
      <c r="D347" s="456" t="s">
        <v>2994</v>
      </c>
      <c r="E347" s="456" t="str">
        <f t="shared" si="6"/>
        <v>First Name Last Name</v>
      </c>
      <c r="F347" s="535" t="s">
        <v>1214</v>
      </c>
      <c r="G347" s="535" t="s">
        <v>1602</v>
      </c>
      <c r="H347" s="536">
        <v>13.77</v>
      </c>
      <c r="I347" s="537" t="s">
        <v>170</v>
      </c>
      <c r="J347" s="538">
        <v>45087</v>
      </c>
      <c r="K347" s="535" t="s">
        <v>170</v>
      </c>
      <c r="L347" s="535" t="s">
        <v>170</v>
      </c>
      <c r="M347" s="535" t="s">
        <v>2927</v>
      </c>
      <c r="N347" s="535" t="s">
        <v>2928</v>
      </c>
      <c r="O347" s="535" t="s">
        <v>1325</v>
      </c>
      <c r="P347" s="535" t="s">
        <v>1218</v>
      </c>
      <c r="Q347" s="535" t="s">
        <v>492</v>
      </c>
      <c r="R347" s="538">
        <v>45409</v>
      </c>
      <c r="S347" s="535" t="s">
        <v>1305</v>
      </c>
      <c r="T347" s="535" t="s">
        <v>1326</v>
      </c>
      <c r="U347" s="536">
        <v>28641.599999999999</v>
      </c>
      <c r="V347" s="535" t="s">
        <v>1307</v>
      </c>
      <c r="X347" s="369" t="str">
        <f>IF(OR(T347="125-65-654-50110",T347="125-65-652-50110",T347="125-65-656-50110"),"N/A",COUNTIF('Prop Budget Calc'!A:A,'Base Pay Report'!A347))</f>
        <v>N/A</v>
      </c>
    </row>
    <row r="348" spans="1:24">
      <c r="A348" s="535" t="s">
        <v>2438</v>
      </c>
      <c r="B348" s="456" t="s">
        <v>2992</v>
      </c>
      <c r="C348" s="456" t="s">
        <v>2993</v>
      </c>
      <c r="D348" s="456" t="s">
        <v>2994</v>
      </c>
      <c r="E348" s="456" t="str">
        <f t="shared" si="6"/>
        <v>First Name Last Name</v>
      </c>
      <c r="F348" s="535" t="s">
        <v>1214</v>
      </c>
      <c r="G348" s="535" t="s">
        <v>1602</v>
      </c>
      <c r="H348" s="536">
        <v>10.199999999999999</v>
      </c>
      <c r="I348" s="537" t="s">
        <v>170</v>
      </c>
      <c r="J348" s="538">
        <v>45087</v>
      </c>
      <c r="K348" s="535" t="s">
        <v>170</v>
      </c>
      <c r="L348" s="535" t="s">
        <v>170</v>
      </c>
      <c r="M348" s="535" t="s">
        <v>1603</v>
      </c>
      <c r="N348" s="535" t="s">
        <v>1010</v>
      </c>
      <c r="O348" s="535" t="s">
        <v>1325</v>
      </c>
      <c r="P348" s="535" t="s">
        <v>1218</v>
      </c>
      <c r="Q348" s="535" t="s">
        <v>492</v>
      </c>
      <c r="R348" s="538" t="s">
        <v>170</v>
      </c>
      <c r="S348" s="535" t="s">
        <v>1305</v>
      </c>
      <c r="T348" s="535" t="s">
        <v>1326</v>
      </c>
      <c r="U348" s="536">
        <v>21216</v>
      </c>
      <c r="V348" s="535" t="s">
        <v>1307</v>
      </c>
      <c r="X348" s="369" t="str">
        <f>IF(OR(T348="125-65-654-50110",T348="125-65-652-50110",T348="125-65-656-50110"),"N/A",COUNTIF('Prop Budget Calc'!A:A,'Base Pay Report'!A348))</f>
        <v>N/A</v>
      </c>
    </row>
    <row r="349" spans="1:24">
      <c r="A349" s="535" t="s">
        <v>1773</v>
      </c>
      <c r="B349" s="456" t="s">
        <v>2992</v>
      </c>
      <c r="C349" s="456" t="s">
        <v>2993</v>
      </c>
      <c r="D349" s="456" t="s">
        <v>2994</v>
      </c>
      <c r="E349" s="456" t="str">
        <f t="shared" si="6"/>
        <v>First Name Last Name</v>
      </c>
      <c r="F349" s="535" t="s">
        <v>1214</v>
      </c>
      <c r="G349" s="535" t="s">
        <v>170</v>
      </c>
      <c r="H349" s="536">
        <v>27.03</v>
      </c>
      <c r="I349" s="537" t="s">
        <v>170</v>
      </c>
      <c r="J349" s="538">
        <v>42900</v>
      </c>
      <c r="K349" s="535" t="s">
        <v>170</v>
      </c>
      <c r="L349" s="535" t="s">
        <v>170</v>
      </c>
      <c r="M349" s="535" t="s">
        <v>2590</v>
      </c>
      <c r="N349" s="535" t="s">
        <v>2599</v>
      </c>
      <c r="O349" s="535" t="s">
        <v>1230</v>
      </c>
      <c r="P349" s="535" t="s">
        <v>1218</v>
      </c>
      <c r="Q349" s="535" t="s">
        <v>492</v>
      </c>
      <c r="R349" s="538" t="s">
        <v>170</v>
      </c>
      <c r="S349" s="535" t="s">
        <v>1294</v>
      </c>
      <c r="T349" s="535" t="s">
        <v>954</v>
      </c>
      <c r="U349" s="536">
        <v>56222.400000000001</v>
      </c>
      <c r="V349" s="535" t="s">
        <v>1220</v>
      </c>
      <c r="X349" s="369">
        <f>IF(OR(T349="125-65-654-50110",T349="125-65-652-50110",T349="125-65-656-50110"),"N/A",COUNTIF('Prop Budget Calc'!A:A,'Base Pay Report'!A349))</f>
        <v>0</v>
      </c>
    </row>
    <row r="350" spans="1:24">
      <c r="A350" s="535" t="s">
        <v>2439</v>
      </c>
      <c r="B350" s="456" t="s">
        <v>2992</v>
      </c>
      <c r="C350" s="456" t="s">
        <v>2993</v>
      </c>
      <c r="D350" s="456" t="s">
        <v>2994</v>
      </c>
      <c r="E350" s="456" t="str">
        <f t="shared" si="6"/>
        <v>First Name Last Name</v>
      </c>
      <c r="F350" s="535" t="s">
        <v>1214</v>
      </c>
      <c r="G350" s="535" t="s">
        <v>1579</v>
      </c>
      <c r="H350" s="536">
        <v>11.73</v>
      </c>
      <c r="I350" s="537" t="s">
        <v>170</v>
      </c>
      <c r="J350" s="538">
        <v>45087</v>
      </c>
      <c r="K350" s="535" t="s">
        <v>170</v>
      </c>
      <c r="L350" s="535" t="s">
        <v>170</v>
      </c>
      <c r="M350" s="535" t="s">
        <v>1580</v>
      </c>
      <c r="N350" s="535" t="s">
        <v>1007</v>
      </c>
      <c r="O350" s="535" t="s">
        <v>1325</v>
      </c>
      <c r="P350" s="535" t="s">
        <v>1218</v>
      </c>
      <c r="Q350" s="535" t="s">
        <v>492</v>
      </c>
      <c r="R350" s="538" t="s">
        <v>170</v>
      </c>
      <c r="S350" s="535" t="s">
        <v>1305</v>
      </c>
      <c r="T350" s="535" t="s">
        <v>1565</v>
      </c>
      <c r="U350" s="536">
        <v>24398.400000000001</v>
      </c>
      <c r="V350" s="535" t="s">
        <v>1307</v>
      </c>
      <c r="X350" s="369" t="str">
        <f>IF(OR(T350="125-65-654-50110",T350="125-65-652-50110",T350="125-65-656-50110"),"N/A",COUNTIF('Prop Budget Calc'!A:A,'Base Pay Report'!A350))</f>
        <v>N/A</v>
      </c>
    </row>
    <row r="351" spans="1:24">
      <c r="A351" s="535" t="s">
        <v>2440</v>
      </c>
      <c r="B351" s="456" t="s">
        <v>2992</v>
      </c>
      <c r="C351" s="456" t="s">
        <v>2993</v>
      </c>
      <c r="D351" s="456" t="s">
        <v>2994</v>
      </c>
      <c r="E351" s="456" t="str">
        <f t="shared" si="6"/>
        <v>First Name Last Name</v>
      </c>
      <c r="F351" s="535" t="s">
        <v>1214</v>
      </c>
      <c r="G351" s="535" t="s">
        <v>1579</v>
      </c>
      <c r="H351" s="536">
        <v>11.73</v>
      </c>
      <c r="I351" s="537" t="s">
        <v>170</v>
      </c>
      <c r="J351" s="538">
        <v>45087</v>
      </c>
      <c r="K351" s="535" t="s">
        <v>170</v>
      </c>
      <c r="L351" s="535" t="s">
        <v>170</v>
      </c>
      <c r="M351" s="535" t="s">
        <v>1580</v>
      </c>
      <c r="N351" s="535" t="s">
        <v>1007</v>
      </c>
      <c r="O351" s="535" t="s">
        <v>1325</v>
      </c>
      <c r="P351" s="535" t="s">
        <v>1218</v>
      </c>
      <c r="Q351" s="535" t="s">
        <v>492</v>
      </c>
      <c r="R351" s="538" t="s">
        <v>170</v>
      </c>
      <c r="S351" s="535" t="s">
        <v>1305</v>
      </c>
      <c r="T351" s="535" t="s">
        <v>1565</v>
      </c>
      <c r="U351" s="536">
        <v>24398.400000000001</v>
      </c>
      <c r="V351" s="535" t="s">
        <v>1307</v>
      </c>
      <c r="X351" s="369" t="str">
        <f>IF(OR(T351="125-65-654-50110",T351="125-65-652-50110",T351="125-65-656-50110"),"N/A",COUNTIF('Prop Budget Calc'!A:A,'Base Pay Report'!A351))</f>
        <v>N/A</v>
      </c>
    </row>
    <row r="352" spans="1:24">
      <c r="A352" s="535" t="s">
        <v>2441</v>
      </c>
      <c r="B352" s="456" t="s">
        <v>2992</v>
      </c>
      <c r="C352" s="456" t="s">
        <v>2993</v>
      </c>
      <c r="D352" s="456" t="s">
        <v>2994</v>
      </c>
      <c r="E352" s="456" t="str">
        <f t="shared" si="6"/>
        <v>First Name Last Name</v>
      </c>
      <c r="F352" s="535" t="s">
        <v>1214</v>
      </c>
      <c r="G352" s="535" t="s">
        <v>1602</v>
      </c>
      <c r="H352" s="536">
        <v>10.199999999999999</v>
      </c>
      <c r="I352" s="537" t="s">
        <v>170</v>
      </c>
      <c r="J352" s="538">
        <v>45087</v>
      </c>
      <c r="K352" s="535" t="s">
        <v>170</v>
      </c>
      <c r="L352" s="535" t="s">
        <v>170</v>
      </c>
      <c r="M352" s="535" t="s">
        <v>1603</v>
      </c>
      <c r="N352" s="535" t="s">
        <v>1010</v>
      </c>
      <c r="O352" s="535" t="s">
        <v>1325</v>
      </c>
      <c r="P352" s="535" t="s">
        <v>1218</v>
      </c>
      <c r="Q352" s="535" t="s">
        <v>492</v>
      </c>
      <c r="R352" s="538" t="s">
        <v>170</v>
      </c>
      <c r="S352" s="535" t="s">
        <v>1305</v>
      </c>
      <c r="T352" s="535" t="s">
        <v>1326</v>
      </c>
      <c r="U352" s="536">
        <v>21216</v>
      </c>
      <c r="V352" s="535" t="s">
        <v>1307</v>
      </c>
      <c r="X352" s="369" t="str">
        <f>IF(OR(T352="125-65-654-50110",T352="125-65-652-50110",T352="125-65-656-50110"),"N/A",COUNTIF('Prop Budget Calc'!A:A,'Base Pay Report'!A352))</f>
        <v>N/A</v>
      </c>
    </row>
    <row r="353" spans="1:24">
      <c r="A353" s="535" t="s">
        <v>2442</v>
      </c>
      <c r="B353" s="456" t="s">
        <v>2992</v>
      </c>
      <c r="C353" s="456" t="s">
        <v>2993</v>
      </c>
      <c r="D353" s="456" t="s">
        <v>2994</v>
      </c>
      <c r="E353" s="456" t="str">
        <f t="shared" si="6"/>
        <v>First Name Last Name</v>
      </c>
      <c r="F353" s="535" t="s">
        <v>1214</v>
      </c>
      <c r="G353" s="535" t="s">
        <v>1579</v>
      </c>
      <c r="H353" s="536">
        <v>11.73</v>
      </c>
      <c r="I353" s="537" t="s">
        <v>170</v>
      </c>
      <c r="J353" s="538">
        <v>45087</v>
      </c>
      <c r="K353" s="535" t="s">
        <v>170</v>
      </c>
      <c r="L353" s="535" t="s">
        <v>170</v>
      </c>
      <c r="M353" s="535" t="s">
        <v>1580</v>
      </c>
      <c r="N353" s="535" t="s">
        <v>1007</v>
      </c>
      <c r="O353" s="535" t="s">
        <v>1325</v>
      </c>
      <c r="P353" s="535" t="s">
        <v>1218</v>
      </c>
      <c r="Q353" s="535" t="s">
        <v>492</v>
      </c>
      <c r="R353" s="538" t="s">
        <v>170</v>
      </c>
      <c r="S353" s="535" t="s">
        <v>1305</v>
      </c>
      <c r="T353" s="535" t="s">
        <v>1565</v>
      </c>
      <c r="U353" s="536">
        <v>24398.400000000001</v>
      </c>
      <c r="V353" s="535" t="s">
        <v>1307</v>
      </c>
      <c r="X353" s="369" t="str">
        <f>IF(OR(T353="125-65-654-50110",T353="125-65-652-50110",T353="125-65-656-50110"),"N/A",COUNTIF('Prop Budget Calc'!A:A,'Base Pay Report'!A353))</f>
        <v>N/A</v>
      </c>
    </row>
    <row r="354" spans="1:24">
      <c r="A354" s="535" t="s">
        <v>2443</v>
      </c>
      <c r="B354" s="456" t="s">
        <v>2992</v>
      </c>
      <c r="C354" s="456" t="s">
        <v>2993</v>
      </c>
      <c r="D354" s="456" t="s">
        <v>2994</v>
      </c>
      <c r="E354" s="456" t="str">
        <f t="shared" si="6"/>
        <v>First Name Last Name</v>
      </c>
      <c r="F354" s="535" t="s">
        <v>1214</v>
      </c>
      <c r="G354" s="535" t="s">
        <v>1602</v>
      </c>
      <c r="H354" s="536">
        <v>10.199999999999999</v>
      </c>
      <c r="I354" s="537" t="s">
        <v>170</v>
      </c>
      <c r="J354" s="538">
        <v>45087</v>
      </c>
      <c r="K354" s="535" t="s">
        <v>170</v>
      </c>
      <c r="L354" s="535" t="s">
        <v>170</v>
      </c>
      <c r="M354" s="535" t="s">
        <v>1603</v>
      </c>
      <c r="N354" s="535" t="s">
        <v>1010</v>
      </c>
      <c r="O354" s="535" t="s">
        <v>1325</v>
      </c>
      <c r="P354" s="535" t="s">
        <v>1218</v>
      </c>
      <c r="Q354" s="535" t="s">
        <v>492</v>
      </c>
      <c r="R354" s="538" t="s">
        <v>170</v>
      </c>
      <c r="S354" s="535" t="s">
        <v>1305</v>
      </c>
      <c r="T354" s="535" t="s">
        <v>1326</v>
      </c>
      <c r="U354" s="536">
        <v>21216</v>
      </c>
      <c r="V354" s="535" t="s">
        <v>1307</v>
      </c>
      <c r="X354" s="369" t="str">
        <f>IF(OR(T354="125-65-654-50110",T354="125-65-652-50110",T354="125-65-656-50110"),"N/A",COUNTIF('Prop Budget Calc'!A:A,'Base Pay Report'!A354))</f>
        <v>N/A</v>
      </c>
    </row>
    <row r="355" spans="1:24">
      <c r="A355" s="535" t="s">
        <v>2444</v>
      </c>
      <c r="B355" s="456" t="s">
        <v>2992</v>
      </c>
      <c r="C355" s="456" t="s">
        <v>2993</v>
      </c>
      <c r="D355" s="456" t="s">
        <v>2994</v>
      </c>
      <c r="E355" s="456" t="str">
        <f t="shared" si="6"/>
        <v>First Name Last Name</v>
      </c>
      <c r="F355" s="535" t="s">
        <v>1214</v>
      </c>
      <c r="G355" s="535" t="s">
        <v>1579</v>
      </c>
      <c r="H355" s="536">
        <v>11.73</v>
      </c>
      <c r="I355" s="537" t="s">
        <v>170</v>
      </c>
      <c r="J355" s="538">
        <v>45094</v>
      </c>
      <c r="K355" s="535" t="s">
        <v>170</v>
      </c>
      <c r="L355" s="535" t="s">
        <v>170</v>
      </c>
      <c r="M355" s="535" t="s">
        <v>1580</v>
      </c>
      <c r="N355" s="535" t="s">
        <v>1007</v>
      </c>
      <c r="O355" s="535" t="s">
        <v>1325</v>
      </c>
      <c r="P355" s="535" t="s">
        <v>1218</v>
      </c>
      <c r="Q355" s="535" t="s">
        <v>492</v>
      </c>
      <c r="R355" s="538" t="s">
        <v>170</v>
      </c>
      <c r="S355" s="535" t="s">
        <v>1305</v>
      </c>
      <c r="T355" s="535" t="s">
        <v>1565</v>
      </c>
      <c r="U355" s="536">
        <v>24398.400000000001</v>
      </c>
      <c r="V355" s="535" t="s">
        <v>1307</v>
      </c>
      <c r="X355" s="369" t="str">
        <f>IF(OR(T355="125-65-654-50110",T355="125-65-652-50110",T355="125-65-656-50110"),"N/A",COUNTIF('Prop Budget Calc'!A:A,'Base Pay Report'!A355))</f>
        <v>N/A</v>
      </c>
    </row>
    <row r="356" spans="1:24">
      <c r="A356" s="535" t="s">
        <v>2445</v>
      </c>
      <c r="B356" s="456" t="s">
        <v>2992</v>
      </c>
      <c r="C356" s="456" t="s">
        <v>2993</v>
      </c>
      <c r="D356" s="456" t="s">
        <v>2994</v>
      </c>
      <c r="E356" s="456" t="str">
        <f t="shared" si="6"/>
        <v>First Name Last Name</v>
      </c>
      <c r="F356" s="535" t="s">
        <v>1214</v>
      </c>
      <c r="G356" s="535" t="s">
        <v>1602</v>
      </c>
      <c r="H356" s="536">
        <v>10.199999999999999</v>
      </c>
      <c r="I356" s="537" t="s">
        <v>170</v>
      </c>
      <c r="J356" s="538">
        <v>45101</v>
      </c>
      <c r="K356" s="535" t="s">
        <v>170</v>
      </c>
      <c r="L356" s="535" t="s">
        <v>170</v>
      </c>
      <c r="M356" s="535" t="s">
        <v>1603</v>
      </c>
      <c r="N356" s="535" t="s">
        <v>1010</v>
      </c>
      <c r="O356" s="535" t="s">
        <v>1325</v>
      </c>
      <c r="P356" s="535" t="s">
        <v>1218</v>
      </c>
      <c r="Q356" s="535" t="s">
        <v>492</v>
      </c>
      <c r="R356" s="538" t="s">
        <v>170</v>
      </c>
      <c r="S356" s="535" t="s">
        <v>1305</v>
      </c>
      <c r="T356" s="535" t="s">
        <v>1326</v>
      </c>
      <c r="U356" s="536">
        <v>21216</v>
      </c>
      <c r="V356" s="535" t="s">
        <v>1307</v>
      </c>
      <c r="X356" s="369" t="str">
        <f>IF(OR(T356="125-65-654-50110",T356="125-65-652-50110",T356="125-65-656-50110"),"N/A",COUNTIF('Prop Budget Calc'!A:A,'Base Pay Report'!A356))</f>
        <v>N/A</v>
      </c>
    </row>
    <row r="357" spans="1:24">
      <c r="A357" s="535" t="s">
        <v>2446</v>
      </c>
      <c r="B357" s="456" t="s">
        <v>2992</v>
      </c>
      <c r="C357" s="456" t="s">
        <v>2993</v>
      </c>
      <c r="D357" s="456" t="s">
        <v>2994</v>
      </c>
      <c r="E357" s="456" t="str">
        <f t="shared" si="6"/>
        <v>First Name Last Name</v>
      </c>
      <c r="F357" s="535" t="s">
        <v>1214</v>
      </c>
      <c r="G357" s="535" t="s">
        <v>1579</v>
      </c>
      <c r="H357" s="536">
        <v>11.73</v>
      </c>
      <c r="I357" s="537" t="s">
        <v>170</v>
      </c>
      <c r="J357" s="538">
        <v>45094</v>
      </c>
      <c r="K357" s="535" t="s">
        <v>170</v>
      </c>
      <c r="L357" s="535" t="s">
        <v>170</v>
      </c>
      <c r="M357" s="535" t="s">
        <v>1580</v>
      </c>
      <c r="N357" s="535" t="s">
        <v>1007</v>
      </c>
      <c r="O357" s="535" t="s">
        <v>1325</v>
      </c>
      <c r="P357" s="535" t="s">
        <v>1218</v>
      </c>
      <c r="Q357" s="535" t="s">
        <v>492</v>
      </c>
      <c r="R357" s="538" t="s">
        <v>170</v>
      </c>
      <c r="S357" s="535" t="s">
        <v>1305</v>
      </c>
      <c r="T357" s="535" t="s">
        <v>1565</v>
      </c>
      <c r="U357" s="536">
        <v>24398.400000000001</v>
      </c>
      <c r="V357" s="535" t="s">
        <v>1307</v>
      </c>
      <c r="X357" s="369" t="str">
        <f>IF(OR(T357="125-65-654-50110",T357="125-65-652-50110",T357="125-65-656-50110"),"N/A",COUNTIF('Prop Budget Calc'!A:A,'Base Pay Report'!A357))</f>
        <v>N/A</v>
      </c>
    </row>
    <row r="358" spans="1:24">
      <c r="A358" s="535" t="s">
        <v>2447</v>
      </c>
      <c r="B358" s="456" t="s">
        <v>2992</v>
      </c>
      <c r="C358" s="456" t="s">
        <v>2993</v>
      </c>
      <c r="D358" s="456" t="s">
        <v>2994</v>
      </c>
      <c r="E358" s="456" t="str">
        <f t="shared" si="6"/>
        <v>First Name Last Name</v>
      </c>
      <c r="F358" s="535" t="s">
        <v>1214</v>
      </c>
      <c r="G358" s="535" t="s">
        <v>1579</v>
      </c>
      <c r="H358" s="536">
        <v>11.73</v>
      </c>
      <c r="I358" s="537" t="s">
        <v>170</v>
      </c>
      <c r="J358" s="538">
        <v>45094</v>
      </c>
      <c r="K358" s="535" t="s">
        <v>170</v>
      </c>
      <c r="L358" s="535" t="s">
        <v>170</v>
      </c>
      <c r="M358" s="535" t="s">
        <v>1580</v>
      </c>
      <c r="N358" s="535" t="s">
        <v>1007</v>
      </c>
      <c r="O358" s="535" t="s">
        <v>1325</v>
      </c>
      <c r="P358" s="535" t="s">
        <v>1218</v>
      </c>
      <c r="Q358" s="535" t="s">
        <v>492</v>
      </c>
      <c r="R358" s="538" t="s">
        <v>170</v>
      </c>
      <c r="S358" s="535" t="s">
        <v>1305</v>
      </c>
      <c r="T358" s="535" t="s">
        <v>1565</v>
      </c>
      <c r="U358" s="536">
        <v>24398.400000000001</v>
      </c>
      <c r="V358" s="535" t="s">
        <v>1307</v>
      </c>
      <c r="X358" s="369" t="str">
        <f>IF(OR(T358="125-65-654-50110",T358="125-65-652-50110",T358="125-65-656-50110"),"N/A",COUNTIF('Prop Budget Calc'!A:A,'Base Pay Report'!A358))</f>
        <v>N/A</v>
      </c>
    </row>
    <row r="359" spans="1:24">
      <c r="A359" s="535" t="s">
        <v>2448</v>
      </c>
      <c r="B359" s="456" t="s">
        <v>2992</v>
      </c>
      <c r="C359" s="456" t="s">
        <v>2993</v>
      </c>
      <c r="D359" s="456" t="s">
        <v>2994</v>
      </c>
      <c r="E359" s="456" t="str">
        <f t="shared" si="6"/>
        <v>First Name Last Name</v>
      </c>
      <c r="F359" s="535" t="s">
        <v>1214</v>
      </c>
      <c r="G359" s="535" t="s">
        <v>1227</v>
      </c>
      <c r="H359" s="536">
        <v>2377.11</v>
      </c>
      <c r="I359" s="537">
        <v>80</v>
      </c>
      <c r="J359" s="538">
        <v>45112</v>
      </c>
      <c r="K359" s="535" t="s">
        <v>170</v>
      </c>
      <c r="L359" s="535" t="s">
        <v>170</v>
      </c>
      <c r="M359" s="535" t="s">
        <v>2472</v>
      </c>
      <c r="N359" s="535" t="s">
        <v>2473</v>
      </c>
      <c r="O359" s="535" t="s">
        <v>1240</v>
      </c>
      <c r="P359" s="535" t="s">
        <v>1218</v>
      </c>
      <c r="Q359" s="535" t="s">
        <v>1231</v>
      </c>
      <c r="R359" s="538" t="s">
        <v>170</v>
      </c>
      <c r="S359" s="535" t="s">
        <v>1241</v>
      </c>
      <c r="T359" s="535" t="s">
        <v>1382</v>
      </c>
      <c r="U359" s="536">
        <v>61804.86</v>
      </c>
      <c r="V359" s="535" t="s">
        <v>1220</v>
      </c>
      <c r="X359" s="369">
        <f>IF(OR(T359="125-65-654-50110",T359="125-65-652-50110",T359="125-65-656-50110"),"N/A",COUNTIF('Prop Budget Calc'!A:A,'Base Pay Report'!A359))</f>
        <v>0</v>
      </c>
    </row>
    <row r="360" spans="1:24">
      <c r="A360" s="535" t="s">
        <v>2449</v>
      </c>
      <c r="B360" s="456" t="s">
        <v>2992</v>
      </c>
      <c r="C360" s="456" t="s">
        <v>2993</v>
      </c>
      <c r="D360" s="456" t="s">
        <v>2994</v>
      </c>
      <c r="E360" s="456" t="str">
        <f t="shared" si="6"/>
        <v>First Name Last Name</v>
      </c>
      <c r="F360" s="535" t="s">
        <v>1214</v>
      </c>
      <c r="G360" s="535" t="s">
        <v>1579</v>
      </c>
      <c r="H360" s="536">
        <v>11.73</v>
      </c>
      <c r="I360" s="537" t="s">
        <v>170</v>
      </c>
      <c r="J360" s="538">
        <v>45101</v>
      </c>
      <c r="K360" s="535" t="s">
        <v>170</v>
      </c>
      <c r="L360" s="535" t="s">
        <v>170</v>
      </c>
      <c r="M360" s="535" t="s">
        <v>1580</v>
      </c>
      <c r="N360" s="535" t="s">
        <v>1007</v>
      </c>
      <c r="O360" s="535" t="s">
        <v>1325</v>
      </c>
      <c r="P360" s="535" t="s">
        <v>1218</v>
      </c>
      <c r="Q360" s="535" t="s">
        <v>492</v>
      </c>
      <c r="R360" s="538" t="s">
        <v>170</v>
      </c>
      <c r="S360" s="535" t="s">
        <v>1305</v>
      </c>
      <c r="T360" s="535" t="s">
        <v>1565</v>
      </c>
      <c r="U360" s="536">
        <v>24398.400000000001</v>
      </c>
      <c r="V360" s="535" t="s">
        <v>1307</v>
      </c>
      <c r="X360" s="369" t="str">
        <f>IF(OR(T360="125-65-654-50110",T360="125-65-652-50110",T360="125-65-656-50110"),"N/A",COUNTIF('Prop Budget Calc'!A:A,'Base Pay Report'!A360))</f>
        <v>N/A</v>
      </c>
    </row>
    <row r="361" spans="1:24">
      <c r="A361" s="535" t="s">
        <v>2450</v>
      </c>
      <c r="B361" s="456" t="s">
        <v>2992</v>
      </c>
      <c r="C361" s="456" t="s">
        <v>2993</v>
      </c>
      <c r="D361" s="456" t="s">
        <v>2994</v>
      </c>
      <c r="E361" s="456" t="str">
        <f t="shared" si="6"/>
        <v>First Name Last Name</v>
      </c>
      <c r="F361" s="535" t="s">
        <v>1214</v>
      </c>
      <c r="G361" s="535" t="s">
        <v>1256</v>
      </c>
      <c r="H361" s="536">
        <v>16.45</v>
      </c>
      <c r="I361" s="537" t="s">
        <v>170</v>
      </c>
      <c r="J361" s="538">
        <v>45117</v>
      </c>
      <c r="K361" s="535" t="s">
        <v>170</v>
      </c>
      <c r="L361" s="535" t="s">
        <v>170</v>
      </c>
      <c r="M361" s="535" t="s">
        <v>2474</v>
      </c>
      <c r="N361" s="535" t="s">
        <v>2475</v>
      </c>
      <c r="O361" s="535" t="s">
        <v>1290</v>
      </c>
      <c r="P361" s="535" t="s">
        <v>1218</v>
      </c>
      <c r="Q361" s="535" t="s">
        <v>492</v>
      </c>
      <c r="R361" s="538" t="s">
        <v>170</v>
      </c>
      <c r="S361" s="535" t="s">
        <v>1305</v>
      </c>
      <c r="T361" s="535" t="s">
        <v>1901</v>
      </c>
      <c r="U361" s="536">
        <v>34216</v>
      </c>
      <c r="V361" s="535" t="s">
        <v>1307</v>
      </c>
      <c r="X361" s="369">
        <f>IF(OR(T361="125-65-654-50110",T361="125-65-652-50110",T361="125-65-656-50110"),"N/A",COUNTIF('Prop Budget Calc'!A:A,'Base Pay Report'!A361))</f>
        <v>0</v>
      </c>
    </row>
    <row r="362" spans="1:24">
      <c r="A362" s="535" t="s">
        <v>2451</v>
      </c>
      <c r="B362" s="456" t="s">
        <v>2992</v>
      </c>
      <c r="C362" s="456" t="s">
        <v>2993</v>
      </c>
      <c r="D362" s="456" t="s">
        <v>2994</v>
      </c>
      <c r="E362" s="456" t="str">
        <f t="shared" si="6"/>
        <v>First Name Last Name</v>
      </c>
      <c r="F362" s="535" t="s">
        <v>1214</v>
      </c>
      <c r="G362" s="535" t="s">
        <v>1579</v>
      </c>
      <c r="H362" s="536">
        <v>11.73</v>
      </c>
      <c r="I362" s="537" t="s">
        <v>170</v>
      </c>
      <c r="J362" s="538">
        <v>45101</v>
      </c>
      <c r="K362" s="535" t="s">
        <v>170</v>
      </c>
      <c r="L362" s="535" t="s">
        <v>170</v>
      </c>
      <c r="M362" s="535" t="s">
        <v>1580</v>
      </c>
      <c r="N362" s="535" t="s">
        <v>1007</v>
      </c>
      <c r="O362" s="535" t="s">
        <v>1325</v>
      </c>
      <c r="P362" s="535" t="s">
        <v>1218</v>
      </c>
      <c r="Q362" s="535" t="s">
        <v>492</v>
      </c>
      <c r="R362" s="538" t="s">
        <v>170</v>
      </c>
      <c r="S362" s="535" t="s">
        <v>1305</v>
      </c>
      <c r="T362" s="535" t="s">
        <v>1565</v>
      </c>
      <c r="U362" s="536">
        <v>24398.400000000001</v>
      </c>
      <c r="V362" s="535" t="s">
        <v>1307</v>
      </c>
      <c r="X362" s="369" t="str">
        <f>IF(OR(T362="125-65-654-50110",T362="125-65-652-50110",T362="125-65-656-50110"),"N/A",COUNTIF('Prop Budget Calc'!A:A,'Base Pay Report'!A362))</f>
        <v>N/A</v>
      </c>
    </row>
    <row r="363" spans="1:24">
      <c r="A363" s="535" t="s">
        <v>2452</v>
      </c>
      <c r="B363" s="456" t="s">
        <v>2992</v>
      </c>
      <c r="C363" s="456" t="s">
        <v>2993</v>
      </c>
      <c r="D363" s="456" t="s">
        <v>2994</v>
      </c>
      <c r="E363" s="456" t="str">
        <f t="shared" si="6"/>
        <v>First Name Last Name</v>
      </c>
      <c r="F363" s="535" t="s">
        <v>1214</v>
      </c>
      <c r="G363" s="535" t="s">
        <v>1579</v>
      </c>
      <c r="H363" s="536">
        <v>11.73</v>
      </c>
      <c r="I363" s="537" t="s">
        <v>170</v>
      </c>
      <c r="J363" s="538">
        <v>45101</v>
      </c>
      <c r="K363" s="535" t="s">
        <v>170</v>
      </c>
      <c r="L363" s="535" t="s">
        <v>170</v>
      </c>
      <c r="M363" s="535" t="s">
        <v>1580</v>
      </c>
      <c r="N363" s="535" t="s">
        <v>1007</v>
      </c>
      <c r="O363" s="535" t="s">
        <v>1325</v>
      </c>
      <c r="P363" s="535" t="s">
        <v>1218</v>
      </c>
      <c r="Q363" s="535" t="s">
        <v>492</v>
      </c>
      <c r="R363" s="538" t="s">
        <v>170</v>
      </c>
      <c r="S363" s="535" t="s">
        <v>1305</v>
      </c>
      <c r="T363" s="535" t="s">
        <v>1565</v>
      </c>
      <c r="U363" s="536">
        <v>24398.400000000001</v>
      </c>
      <c r="V363" s="535" t="s">
        <v>1307</v>
      </c>
      <c r="X363" s="369" t="str">
        <f>IF(OR(T363="125-65-654-50110",T363="125-65-652-50110",T363="125-65-656-50110"),"N/A",COUNTIF('Prop Budget Calc'!A:A,'Base Pay Report'!A363))</f>
        <v>N/A</v>
      </c>
    </row>
    <row r="364" spans="1:24">
      <c r="A364" s="535" t="s">
        <v>2453</v>
      </c>
      <c r="B364" s="456" t="s">
        <v>2992</v>
      </c>
      <c r="C364" s="456" t="s">
        <v>2993</v>
      </c>
      <c r="D364" s="456" t="s">
        <v>2994</v>
      </c>
      <c r="E364" s="456" t="str">
        <f t="shared" si="6"/>
        <v>First Name Last Name</v>
      </c>
      <c r="F364" s="535" t="s">
        <v>1214</v>
      </c>
      <c r="G364" s="535" t="s">
        <v>1579</v>
      </c>
      <c r="H364" s="536">
        <v>11.73</v>
      </c>
      <c r="I364" s="537" t="s">
        <v>170</v>
      </c>
      <c r="J364" s="538">
        <v>45101</v>
      </c>
      <c r="K364" s="535" t="s">
        <v>170</v>
      </c>
      <c r="L364" s="535" t="s">
        <v>170</v>
      </c>
      <c r="M364" s="535" t="s">
        <v>1580</v>
      </c>
      <c r="N364" s="535" t="s">
        <v>1007</v>
      </c>
      <c r="O364" s="535" t="s">
        <v>1325</v>
      </c>
      <c r="P364" s="535" t="s">
        <v>1218</v>
      </c>
      <c r="Q364" s="535" t="s">
        <v>492</v>
      </c>
      <c r="R364" s="538" t="s">
        <v>170</v>
      </c>
      <c r="S364" s="535" t="s">
        <v>1305</v>
      </c>
      <c r="T364" s="535" t="s">
        <v>1565</v>
      </c>
      <c r="U364" s="536">
        <v>24398.400000000001</v>
      </c>
      <c r="V364" s="535" t="s">
        <v>1307</v>
      </c>
      <c r="X364" s="369" t="str">
        <f>IF(OR(T364="125-65-654-50110",T364="125-65-652-50110",T364="125-65-656-50110"),"N/A",COUNTIF('Prop Budget Calc'!A:A,'Base Pay Report'!A364))</f>
        <v>N/A</v>
      </c>
    </row>
    <row r="365" spans="1:24">
      <c r="A365" s="535" t="s">
        <v>2454</v>
      </c>
      <c r="B365" s="456" t="s">
        <v>2992</v>
      </c>
      <c r="C365" s="456" t="s">
        <v>2993</v>
      </c>
      <c r="D365" s="456" t="s">
        <v>2994</v>
      </c>
      <c r="E365" s="456" t="str">
        <f t="shared" si="6"/>
        <v>First Name Last Name</v>
      </c>
      <c r="F365" s="535" t="s">
        <v>1214</v>
      </c>
      <c r="G365" s="535" t="s">
        <v>1579</v>
      </c>
      <c r="H365" s="536">
        <v>11.73</v>
      </c>
      <c r="I365" s="537" t="s">
        <v>170</v>
      </c>
      <c r="J365" s="538">
        <v>45101</v>
      </c>
      <c r="K365" s="535" t="s">
        <v>170</v>
      </c>
      <c r="L365" s="535" t="s">
        <v>170</v>
      </c>
      <c r="M365" s="535" t="s">
        <v>1580</v>
      </c>
      <c r="N365" s="535" t="s">
        <v>1007</v>
      </c>
      <c r="O365" s="535" t="s">
        <v>1325</v>
      </c>
      <c r="P365" s="535" t="s">
        <v>1218</v>
      </c>
      <c r="Q365" s="535" t="s">
        <v>492</v>
      </c>
      <c r="R365" s="538" t="s">
        <v>170</v>
      </c>
      <c r="S365" s="535" t="s">
        <v>1305</v>
      </c>
      <c r="T365" s="535" t="s">
        <v>1565</v>
      </c>
      <c r="U365" s="536">
        <v>24398.400000000001</v>
      </c>
      <c r="V365" s="535" t="s">
        <v>1307</v>
      </c>
      <c r="X365" s="369" t="str">
        <f>IF(OR(T365="125-65-654-50110",T365="125-65-652-50110",T365="125-65-656-50110"),"N/A",COUNTIF('Prop Budget Calc'!A:A,'Base Pay Report'!A365))</f>
        <v>N/A</v>
      </c>
    </row>
    <row r="366" spans="1:24">
      <c r="A366" s="535" t="s">
        <v>2455</v>
      </c>
      <c r="B366" s="456" t="s">
        <v>2992</v>
      </c>
      <c r="C366" s="456" t="s">
        <v>2993</v>
      </c>
      <c r="D366" s="456" t="s">
        <v>2994</v>
      </c>
      <c r="E366" s="456" t="str">
        <f t="shared" si="6"/>
        <v>First Name Last Name</v>
      </c>
      <c r="F366" s="535" t="s">
        <v>1214</v>
      </c>
      <c r="G366" s="535" t="s">
        <v>1602</v>
      </c>
      <c r="H366" s="536">
        <v>10.199999999999999</v>
      </c>
      <c r="I366" s="537" t="s">
        <v>170</v>
      </c>
      <c r="J366" s="538">
        <v>45101</v>
      </c>
      <c r="K366" s="535" t="s">
        <v>170</v>
      </c>
      <c r="L366" s="535" t="s">
        <v>170</v>
      </c>
      <c r="M366" s="535" t="s">
        <v>1603</v>
      </c>
      <c r="N366" s="535" t="s">
        <v>1010</v>
      </c>
      <c r="O366" s="535" t="s">
        <v>1325</v>
      </c>
      <c r="P366" s="535" t="s">
        <v>1218</v>
      </c>
      <c r="Q366" s="535" t="s">
        <v>492</v>
      </c>
      <c r="R366" s="538" t="s">
        <v>170</v>
      </c>
      <c r="S366" s="535" t="s">
        <v>1305</v>
      </c>
      <c r="T366" s="535" t="s">
        <v>1326</v>
      </c>
      <c r="U366" s="536">
        <v>21216</v>
      </c>
      <c r="V366" s="535" t="s">
        <v>1307</v>
      </c>
      <c r="X366" s="369" t="str">
        <f>IF(OR(T366="125-65-654-50110",T366="125-65-652-50110",T366="125-65-656-50110"),"N/A",COUNTIF('Prop Budget Calc'!A:A,'Base Pay Report'!A366))</f>
        <v>N/A</v>
      </c>
    </row>
    <row r="367" spans="1:24">
      <c r="A367" s="535" t="s">
        <v>2456</v>
      </c>
      <c r="B367" s="456" t="s">
        <v>2992</v>
      </c>
      <c r="C367" s="456" t="s">
        <v>2993</v>
      </c>
      <c r="D367" s="456" t="s">
        <v>2994</v>
      </c>
      <c r="E367" s="456" t="str">
        <f t="shared" si="6"/>
        <v>First Name Last Name</v>
      </c>
      <c r="F367" s="535" t="s">
        <v>1214</v>
      </c>
      <c r="G367" s="535" t="s">
        <v>1251</v>
      </c>
      <c r="H367" s="536">
        <v>3766.16</v>
      </c>
      <c r="I367" s="537">
        <v>80</v>
      </c>
      <c r="J367" s="538">
        <v>45117</v>
      </c>
      <c r="K367" s="535" t="s">
        <v>170</v>
      </c>
      <c r="L367" s="535" t="s">
        <v>170</v>
      </c>
      <c r="M367" s="535" t="s">
        <v>1318</v>
      </c>
      <c r="N367" s="535" t="s">
        <v>1947</v>
      </c>
      <c r="O367" s="535" t="s">
        <v>1230</v>
      </c>
      <c r="P367" s="535" t="s">
        <v>1218</v>
      </c>
      <c r="Q367" s="535" t="s">
        <v>1231</v>
      </c>
      <c r="R367" s="538" t="s">
        <v>170</v>
      </c>
      <c r="S367" s="535" t="s">
        <v>1253</v>
      </c>
      <c r="T367" s="535" t="s">
        <v>1319</v>
      </c>
      <c r="U367" s="536">
        <v>97920.16</v>
      </c>
      <c r="V367" s="535" t="s">
        <v>1220</v>
      </c>
      <c r="X367" s="369">
        <f>IF(OR(T367="125-65-654-50110",T367="125-65-652-50110",T367="125-65-656-50110"),"N/A",COUNTIF('Prop Budget Calc'!A:A,'Base Pay Report'!A367))</f>
        <v>0</v>
      </c>
    </row>
    <row r="368" spans="1:24">
      <c r="A368" s="535" t="s">
        <v>2457</v>
      </c>
      <c r="B368" s="456" t="s">
        <v>2992</v>
      </c>
      <c r="C368" s="456" t="s">
        <v>2993</v>
      </c>
      <c r="D368" s="456" t="s">
        <v>2994</v>
      </c>
      <c r="E368" s="456" t="str">
        <f t="shared" si="6"/>
        <v>First Name Last Name</v>
      </c>
      <c r="F368" s="535" t="s">
        <v>1214</v>
      </c>
      <c r="G368" s="535" t="s">
        <v>1268</v>
      </c>
      <c r="H368" s="536">
        <v>23.49</v>
      </c>
      <c r="I368" s="537" t="s">
        <v>170</v>
      </c>
      <c r="J368" s="538">
        <v>45117</v>
      </c>
      <c r="K368" s="535" t="s">
        <v>170</v>
      </c>
      <c r="L368" s="535" t="s">
        <v>170</v>
      </c>
      <c r="M368" s="535" t="s">
        <v>1269</v>
      </c>
      <c r="N368" s="535" t="s">
        <v>1270</v>
      </c>
      <c r="O368" s="535" t="s">
        <v>1217</v>
      </c>
      <c r="P368" s="535" t="s">
        <v>1218</v>
      </c>
      <c r="Q368" s="535" t="s">
        <v>492</v>
      </c>
      <c r="R368" s="538" t="s">
        <v>170</v>
      </c>
      <c r="S368" s="535" t="s">
        <v>1219</v>
      </c>
      <c r="T368" s="535" t="s">
        <v>959</v>
      </c>
      <c r="U368" s="536">
        <v>48859.199999999997</v>
      </c>
      <c r="V368" s="535" t="s">
        <v>1220</v>
      </c>
      <c r="X368" s="369">
        <f>IF(OR(T368="125-65-654-50110",T368="125-65-652-50110",T368="125-65-656-50110"),"N/A",COUNTIF('Prop Budget Calc'!A:A,'Base Pay Report'!A368))</f>
        <v>0</v>
      </c>
    </row>
    <row r="369" spans="1:24">
      <c r="A369" s="535" t="s">
        <v>2458</v>
      </c>
      <c r="B369" s="456" t="s">
        <v>2992</v>
      </c>
      <c r="C369" s="456" t="s">
        <v>2993</v>
      </c>
      <c r="D369" s="456" t="s">
        <v>2994</v>
      </c>
      <c r="E369" s="456" t="str">
        <f t="shared" si="6"/>
        <v>First Name Last Name</v>
      </c>
      <c r="F369" s="535" t="s">
        <v>1214</v>
      </c>
      <c r="G369" s="535" t="s">
        <v>1268</v>
      </c>
      <c r="H369" s="536">
        <v>23.49</v>
      </c>
      <c r="I369" s="537" t="s">
        <v>170</v>
      </c>
      <c r="J369" s="538">
        <v>45117</v>
      </c>
      <c r="K369" s="535" t="s">
        <v>170</v>
      </c>
      <c r="L369" s="535" t="s">
        <v>170</v>
      </c>
      <c r="M369" s="535" t="s">
        <v>1269</v>
      </c>
      <c r="N369" s="535" t="s">
        <v>1270</v>
      </c>
      <c r="O369" s="535" t="s">
        <v>1217</v>
      </c>
      <c r="P369" s="535" t="s">
        <v>1218</v>
      </c>
      <c r="Q369" s="535" t="s">
        <v>492</v>
      </c>
      <c r="R369" s="538" t="s">
        <v>170</v>
      </c>
      <c r="S369" s="535" t="s">
        <v>1219</v>
      </c>
      <c r="T369" s="535" t="s">
        <v>959</v>
      </c>
      <c r="U369" s="536">
        <v>48859.199999999997</v>
      </c>
      <c r="V369" s="535" t="s">
        <v>1220</v>
      </c>
      <c r="X369" s="369">
        <f>IF(OR(T369="125-65-654-50110",T369="125-65-652-50110",T369="125-65-656-50110"),"N/A",COUNTIF('Prop Budget Calc'!A:A,'Base Pay Report'!A369))</f>
        <v>0</v>
      </c>
    </row>
    <row r="370" spans="1:24">
      <c r="A370" s="535" t="s">
        <v>2459</v>
      </c>
      <c r="B370" s="456" t="s">
        <v>2992</v>
      </c>
      <c r="C370" s="456" t="s">
        <v>2993</v>
      </c>
      <c r="D370" s="456" t="s">
        <v>2994</v>
      </c>
      <c r="E370" s="456" t="str">
        <f t="shared" si="6"/>
        <v>First Name Last Name</v>
      </c>
      <c r="F370" s="535" t="s">
        <v>1214</v>
      </c>
      <c r="G370" s="535" t="s">
        <v>1268</v>
      </c>
      <c r="H370" s="536">
        <v>23.49</v>
      </c>
      <c r="I370" s="537" t="s">
        <v>170</v>
      </c>
      <c r="J370" s="538">
        <v>45117</v>
      </c>
      <c r="K370" s="535" t="s">
        <v>170</v>
      </c>
      <c r="L370" s="535" t="s">
        <v>170</v>
      </c>
      <c r="M370" s="535" t="s">
        <v>1269</v>
      </c>
      <c r="N370" s="535" t="s">
        <v>1270</v>
      </c>
      <c r="O370" s="535" t="s">
        <v>1217</v>
      </c>
      <c r="P370" s="535" t="s">
        <v>1218</v>
      </c>
      <c r="Q370" s="535" t="s">
        <v>492</v>
      </c>
      <c r="R370" s="538" t="s">
        <v>170</v>
      </c>
      <c r="S370" s="535" t="s">
        <v>1219</v>
      </c>
      <c r="T370" s="535" t="s">
        <v>959</v>
      </c>
      <c r="U370" s="536">
        <v>48859.199999999997</v>
      </c>
      <c r="V370" s="535" t="s">
        <v>1220</v>
      </c>
      <c r="X370" s="369">
        <f>IF(OR(T370="125-65-654-50110",T370="125-65-652-50110",T370="125-65-656-50110"),"N/A",COUNTIF('Prop Budget Calc'!A:A,'Base Pay Report'!A370))</f>
        <v>0</v>
      </c>
    </row>
    <row r="371" spans="1:24">
      <c r="A371" s="535" t="s">
        <v>2460</v>
      </c>
      <c r="B371" s="456" t="s">
        <v>2992</v>
      </c>
      <c r="C371" s="456" t="s">
        <v>2993</v>
      </c>
      <c r="D371" s="456" t="s">
        <v>2994</v>
      </c>
      <c r="E371" s="456" t="str">
        <f t="shared" si="6"/>
        <v>First Name Last Name</v>
      </c>
      <c r="F371" s="535" t="s">
        <v>1214</v>
      </c>
      <c r="G371" s="535" t="s">
        <v>1309</v>
      </c>
      <c r="H371" s="536">
        <v>18.04</v>
      </c>
      <c r="I371" s="537" t="s">
        <v>170</v>
      </c>
      <c r="J371" s="538">
        <v>45117</v>
      </c>
      <c r="K371" s="535" t="s">
        <v>170</v>
      </c>
      <c r="L371" s="535" t="s">
        <v>170</v>
      </c>
      <c r="M371" s="535" t="s">
        <v>1584</v>
      </c>
      <c r="N371" s="535" t="s">
        <v>115</v>
      </c>
      <c r="O371" s="535" t="s">
        <v>1230</v>
      </c>
      <c r="P371" s="535" t="s">
        <v>1218</v>
      </c>
      <c r="Q371" s="535" t="s">
        <v>492</v>
      </c>
      <c r="R371" s="538" t="s">
        <v>170</v>
      </c>
      <c r="S371" s="535" t="s">
        <v>1259</v>
      </c>
      <c r="T371" s="535" t="s">
        <v>1585</v>
      </c>
      <c r="U371" s="536">
        <v>37523.199999999997</v>
      </c>
      <c r="V371" s="535" t="s">
        <v>1220</v>
      </c>
      <c r="X371" s="369">
        <f>IF(OR(T371="125-65-654-50110",T371="125-65-652-50110",T371="125-65-656-50110"),"N/A",COUNTIF('Prop Budget Calc'!A:A,'Base Pay Report'!A371))</f>
        <v>0</v>
      </c>
    </row>
    <row r="372" spans="1:24">
      <c r="A372" s="535" t="s">
        <v>2483</v>
      </c>
      <c r="B372" s="456" t="s">
        <v>2992</v>
      </c>
      <c r="C372" s="456" t="s">
        <v>2993</v>
      </c>
      <c r="D372" s="456" t="s">
        <v>2994</v>
      </c>
      <c r="E372" s="456" t="str">
        <f t="shared" si="6"/>
        <v>First Name Last Name</v>
      </c>
      <c r="F372" s="535" t="s">
        <v>1214</v>
      </c>
      <c r="G372" s="535" t="s">
        <v>1579</v>
      </c>
      <c r="H372" s="536">
        <v>11.73</v>
      </c>
      <c r="I372" s="537" t="s">
        <v>170</v>
      </c>
      <c r="J372" s="538">
        <v>45115</v>
      </c>
      <c r="K372" s="535" t="s">
        <v>170</v>
      </c>
      <c r="L372" s="535" t="s">
        <v>170</v>
      </c>
      <c r="M372" s="535" t="s">
        <v>1580</v>
      </c>
      <c r="N372" s="535" t="s">
        <v>1007</v>
      </c>
      <c r="O372" s="535" t="s">
        <v>1325</v>
      </c>
      <c r="P372" s="535" t="s">
        <v>1218</v>
      </c>
      <c r="Q372" s="535" t="s">
        <v>492</v>
      </c>
      <c r="R372" s="538" t="s">
        <v>170</v>
      </c>
      <c r="S372" s="535" t="s">
        <v>1305</v>
      </c>
      <c r="T372" s="535" t="s">
        <v>1565</v>
      </c>
      <c r="U372" s="536">
        <v>24398.400000000001</v>
      </c>
      <c r="V372" s="535" t="s">
        <v>1307</v>
      </c>
      <c r="X372" s="369" t="str">
        <f>IF(OR(T372="125-65-654-50110",T372="125-65-652-50110",T372="125-65-656-50110"),"N/A",COUNTIF('Prop Budget Calc'!A:A,'Base Pay Report'!A372))</f>
        <v>N/A</v>
      </c>
    </row>
    <row r="373" spans="1:24">
      <c r="A373" s="535" t="s">
        <v>2484</v>
      </c>
      <c r="B373" s="456" t="s">
        <v>2992</v>
      </c>
      <c r="C373" s="456" t="s">
        <v>2993</v>
      </c>
      <c r="D373" s="456" t="s">
        <v>2994</v>
      </c>
      <c r="E373" s="456" t="str">
        <f t="shared" si="6"/>
        <v>First Name Last Name</v>
      </c>
      <c r="F373" s="535" t="s">
        <v>1214</v>
      </c>
      <c r="G373" s="535" t="s">
        <v>1309</v>
      </c>
      <c r="H373" s="536">
        <v>18.04</v>
      </c>
      <c r="I373" s="537" t="s">
        <v>170</v>
      </c>
      <c r="J373" s="538">
        <v>45124</v>
      </c>
      <c r="K373" s="535" t="s">
        <v>170</v>
      </c>
      <c r="L373" s="535" t="s">
        <v>170</v>
      </c>
      <c r="M373" s="535" t="s">
        <v>1605</v>
      </c>
      <c r="N373" s="535" t="s">
        <v>125</v>
      </c>
      <c r="O373" s="535" t="s">
        <v>1527</v>
      </c>
      <c r="P373" s="535" t="s">
        <v>1218</v>
      </c>
      <c r="Q373" s="535" t="s">
        <v>492</v>
      </c>
      <c r="R373" s="538" t="s">
        <v>170</v>
      </c>
      <c r="S373" s="535" t="s">
        <v>1225</v>
      </c>
      <c r="T373" s="535" t="s">
        <v>1528</v>
      </c>
      <c r="U373" s="536">
        <v>37523.199999999997</v>
      </c>
      <c r="V373" s="535" t="s">
        <v>1220</v>
      </c>
      <c r="X373" s="369">
        <f>IF(OR(T373="125-65-654-50110",T373="125-65-652-50110",T373="125-65-656-50110"),"N/A",COUNTIF('Prop Budget Calc'!A:A,'Base Pay Report'!A373))</f>
        <v>1</v>
      </c>
    </row>
    <row r="374" spans="1:24">
      <c r="A374" s="535" t="s">
        <v>2485</v>
      </c>
      <c r="B374" s="456" t="s">
        <v>2992</v>
      </c>
      <c r="C374" s="456" t="s">
        <v>2993</v>
      </c>
      <c r="D374" s="456" t="s">
        <v>2994</v>
      </c>
      <c r="E374" s="456" t="str">
        <f t="shared" si="6"/>
        <v>First Name Last Name</v>
      </c>
      <c r="F374" s="535" t="s">
        <v>1214</v>
      </c>
      <c r="G374" s="535" t="s">
        <v>1579</v>
      </c>
      <c r="H374" s="536">
        <v>11.73</v>
      </c>
      <c r="I374" s="537" t="s">
        <v>170</v>
      </c>
      <c r="J374" s="538">
        <v>45122</v>
      </c>
      <c r="K374" s="535" t="s">
        <v>170</v>
      </c>
      <c r="L374" s="535" t="s">
        <v>170</v>
      </c>
      <c r="M374" s="535" t="s">
        <v>1580</v>
      </c>
      <c r="N374" s="535" t="s">
        <v>1007</v>
      </c>
      <c r="O374" s="535" t="s">
        <v>1325</v>
      </c>
      <c r="P374" s="535" t="s">
        <v>1218</v>
      </c>
      <c r="Q374" s="535" t="s">
        <v>492</v>
      </c>
      <c r="R374" s="538" t="s">
        <v>170</v>
      </c>
      <c r="S374" s="535" t="s">
        <v>1305</v>
      </c>
      <c r="T374" s="535" t="s">
        <v>1565</v>
      </c>
      <c r="U374" s="536">
        <v>24398.400000000001</v>
      </c>
      <c r="V374" s="535" t="s">
        <v>1307</v>
      </c>
      <c r="X374" s="369" t="str">
        <f>IF(OR(T374="125-65-654-50110",T374="125-65-652-50110",T374="125-65-656-50110"),"N/A",COUNTIF('Prop Budget Calc'!A:A,'Base Pay Report'!A374))</f>
        <v>N/A</v>
      </c>
    </row>
    <row r="375" spans="1:24">
      <c r="A375" s="535" t="s">
        <v>2486</v>
      </c>
      <c r="B375" s="456" t="s">
        <v>2992</v>
      </c>
      <c r="C375" s="456" t="s">
        <v>2993</v>
      </c>
      <c r="D375" s="456" t="s">
        <v>2994</v>
      </c>
      <c r="E375" s="456" t="str">
        <f t="shared" si="6"/>
        <v>First Name Last Name</v>
      </c>
      <c r="F375" s="535" t="s">
        <v>1214</v>
      </c>
      <c r="G375" s="535" t="s">
        <v>1579</v>
      </c>
      <c r="H375" s="536">
        <v>11.73</v>
      </c>
      <c r="I375" s="537" t="s">
        <v>170</v>
      </c>
      <c r="J375" s="538">
        <v>45150</v>
      </c>
      <c r="K375" s="535" t="s">
        <v>170</v>
      </c>
      <c r="L375" s="535" t="s">
        <v>170</v>
      </c>
      <c r="M375" s="535" t="s">
        <v>1580</v>
      </c>
      <c r="N375" s="535" t="s">
        <v>1007</v>
      </c>
      <c r="O375" s="535" t="s">
        <v>1325</v>
      </c>
      <c r="P375" s="535" t="s">
        <v>1218</v>
      </c>
      <c r="Q375" s="535" t="s">
        <v>492</v>
      </c>
      <c r="R375" s="538" t="s">
        <v>170</v>
      </c>
      <c r="S375" s="535" t="s">
        <v>1305</v>
      </c>
      <c r="T375" s="535" t="s">
        <v>1565</v>
      </c>
      <c r="U375" s="536">
        <v>24398.400000000001</v>
      </c>
      <c r="V375" s="535" t="s">
        <v>1307</v>
      </c>
      <c r="X375" s="369" t="str">
        <f>IF(OR(T375="125-65-654-50110",T375="125-65-652-50110",T375="125-65-656-50110"),"N/A",COUNTIF('Prop Budget Calc'!A:A,'Base Pay Report'!A375))</f>
        <v>N/A</v>
      </c>
    </row>
    <row r="376" spans="1:24">
      <c r="A376" s="535" t="s">
        <v>2487</v>
      </c>
      <c r="B376" s="456" t="s">
        <v>2992</v>
      </c>
      <c r="C376" s="456" t="s">
        <v>2993</v>
      </c>
      <c r="D376" s="456" t="s">
        <v>2994</v>
      </c>
      <c r="E376" s="456" t="str">
        <f t="shared" si="6"/>
        <v>First Name Last Name</v>
      </c>
      <c r="F376" s="535" t="s">
        <v>1214</v>
      </c>
      <c r="G376" s="535" t="s">
        <v>1579</v>
      </c>
      <c r="H376" s="536">
        <v>11.73</v>
      </c>
      <c r="I376" s="537" t="s">
        <v>170</v>
      </c>
      <c r="J376" s="538">
        <v>45150</v>
      </c>
      <c r="K376" s="535" t="s">
        <v>170</v>
      </c>
      <c r="L376" s="535" t="s">
        <v>170</v>
      </c>
      <c r="M376" s="535" t="s">
        <v>1580</v>
      </c>
      <c r="N376" s="535" t="s">
        <v>1007</v>
      </c>
      <c r="O376" s="535" t="s">
        <v>1325</v>
      </c>
      <c r="P376" s="535" t="s">
        <v>1218</v>
      </c>
      <c r="Q376" s="535" t="s">
        <v>492</v>
      </c>
      <c r="R376" s="538" t="s">
        <v>170</v>
      </c>
      <c r="S376" s="535" t="s">
        <v>1305</v>
      </c>
      <c r="T376" s="535" t="s">
        <v>1565</v>
      </c>
      <c r="U376" s="536">
        <v>24398.400000000001</v>
      </c>
      <c r="V376" s="535" t="s">
        <v>1307</v>
      </c>
      <c r="X376" s="369" t="str">
        <f>IF(OR(T376="125-65-654-50110",T376="125-65-652-50110",T376="125-65-656-50110"),"N/A",COUNTIF('Prop Budget Calc'!A:A,'Base Pay Report'!A376))</f>
        <v>N/A</v>
      </c>
    </row>
    <row r="377" spans="1:24">
      <c r="A377" s="535" t="s">
        <v>1774</v>
      </c>
      <c r="B377" s="456" t="s">
        <v>2992</v>
      </c>
      <c r="C377" s="456" t="s">
        <v>2993</v>
      </c>
      <c r="D377" s="456" t="s">
        <v>2994</v>
      </c>
      <c r="E377" s="456" t="str">
        <f t="shared" si="6"/>
        <v>First Name Last Name</v>
      </c>
      <c r="F377" s="535" t="s">
        <v>1214</v>
      </c>
      <c r="G377" s="535" t="s">
        <v>170</v>
      </c>
      <c r="H377" s="536">
        <v>20.14</v>
      </c>
      <c r="I377" s="537" t="s">
        <v>170</v>
      </c>
      <c r="J377" s="538">
        <v>38705</v>
      </c>
      <c r="K377" s="535" t="s">
        <v>170</v>
      </c>
      <c r="L377" s="535" t="s">
        <v>170</v>
      </c>
      <c r="M377" s="535" t="s">
        <v>1539</v>
      </c>
      <c r="N377" s="535" t="s">
        <v>140</v>
      </c>
      <c r="O377" s="535" t="s">
        <v>1304</v>
      </c>
      <c r="P377" s="535" t="s">
        <v>1218</v>
      </c>
      <c r="Q377" s="535" t="s">
        <v>492</v>
      </c>
      <c r="R377" s="538" t="s">
        <v>170</v>
      </c>
      <c r="S377" s="535" t="s">
        <v>1235</v>
      </c>
      <c r="T377" s="535" t="s">
        <v>1391</v>
      </c>
      <c r="U377" s="536">
        <v>41891.199999999997</v>
      </c>
      <c r="V377" s="535" t="s">
        <v>1220</v>
      </c>
      <c r="X377" s="369">
        <f>IF(OR(T377="125-65-654-50110",T377="125-65-652-50110",T377="125-65-656-50110"),"N/A",COUNTIF('Prop Budget Calc'!A:A,'Base Pay Report'!A377))</f>
        <v>0</v>
      </c>
    </row>
    <row r="378" spans="1:24">
      <c r="A378" s="535" t="s">
        <v>1775</v>
      </c>
      <c r="B378" s="456" t="s">
        <v>2992</v>
      </c>
      <c r="C378" s="456" t="s">
        <v>2993</v>
      </c>
      <c r="D378" s="456" t="s">
        <v>2994</v>
      </c>
      <c r="E378" s="456" t="str">
        <f t="shared" si="6"/>
        <v>First Name Last Name</v>
      </c>
      <c r="F378" s="535" t="s">
        <v>1214</v>
      </c>
      <c r="G378" s="535" t="s">
        <v>1309</v>
      </c>
      <c r="H378" s="536">
        <v>23.37</v>
      </c>
      <c r="I378" s="537" t="s">
        <v>170</v>
      </c>
      <c r="J378" s="538">
        <v>39160</v>
      </c>
      <c r="K378" s="535" t="s">
        <v>170</v>
      </c>
      <c r="L378" s="535" t="s">
        <v>170</v>
      </c>
      <c r="M378" s="535" t="s">
        <v>1310</v>
      </c>
      <c r="N378" s="535" t="s">
        <v>1311</v>
      </c>
      <c r="O378" s="535" t="s">
        <v>1325</v>
      </c>
      <c r="P378" s="535" t="s">
        <v>1218</v>
      </c>
      <c r="Q378" s="535" t="s">
        <v>492</v>
      </c>
      <c r="R378" s="538" t="s">
        <v>170</v>
      </c>
      <c r="S378" s="535" t="s">
        <v>1291</v>
      </c>
      <c r="T378" s="535" t="s">
        <v>964</v>
      </c>
      <c r="U378" s="536">
        <v>48609.599999999999</v>
      </c>
      <c r="V378" s="535" t="s">
        <v>1220</v>
      </c>
      <c r="X378" s="369">
        <f>IF(OR(T378="125-65-654-50110",T378="125-65-652-50110",T378="125-65-656-50110"),"N/A",COUNTIF('Prop Budget Calc'!A:A,'Base Pay Report'!A378))</f>
        <v>1</v>
      </c>
    </row>
    <row r="379" spans="1:24">
      <c r="A379" s="535" t="s">
        <v>1776</v>
      </c>
      <c r="B379" s="456" t="s">
        <v>2992</v>
      </c>
      <c r="C379" s="456" t="s">
        <v>2993</v>
      </c>
      <c r="D379" s="456" t="s">
        <v>2994</v>
      </c>
      <c r="E379" s="456" t="str">
        <f t="shared" si="6"/>
        <v>First Name Last Name</v>
      </c>
      <c r="F379" s="535" t="s">
        <v>1214</v>
      </c>
      <c r="G379" s="535" t="s">
        <v>170</v>
      </c>
      <c r="H379" s="536">
        <v>26.97</v>
      </c>
      <c r="I379" s="537" t="s">
        <v>170</v>
      </c>
      <c r="J379" s="538">
        <v>38943</v>
      </c>
      <c r="K379" s="535" t="s">
        <v>170</v>
      </c>
      <c r="L379" s="535" t="s">
        <v>170</v>
      </c>
      <c r="M379" s="535" t="s">
        <v>1380</v>
      </c>
      <c r="N379" s="535" t="s">
        <v>989</v>
      </c>
      <c r="O379" s="535" t="s">
        <v>1325</v>
      </c>
      <c r="P379" s="535" t="s">
        <v>1218</v>
      </c>
      <c r="Q379" s="535" t="s">
        <v>492</v>
      </c>
      <c r="R379" s="538" t="s">
        <v>170</v>
      </c>
      <c r="S379" s="535" t="s">
        <v>1291</v>
      </c>
      <c r="T379" s="535" t="s">
        <v>964</v>
      </c>
      <c r="U379" s="536">
        <v>56097.599999999999</v>
      </c>
      <c r="V379" s="535" t="s">
        <v>1220</v>
      </c>
      <c r="X379" s="369">
        <f>IF(OR(T379="125-65-654-50110",T379="125-65-652-50110",T379="125-65-656-50110"),"N/A",COUNTIF('Prop Budget Calc'!A:A,'Base Pay Report'!A379))</f>
        <v>0</v>
      </c>
    </row>
    <row r="380" spans="1:24">
      <c r="A380" s="535" t="s">
        <v>1777</v>
      </c>
      <c r="B380" s="456" t="s">
        <v>2992</v>
      </c>
      <c r="C380" s="456" t="s">
        <v>2993</v>
      </c>
      <c r="D380" s="456" t="s">
        <v>2994</v>
      </c>
      <c r="E380" s="456" t="str">
        <f t="shared" si="6"/>
        <v>First Name Last Name</v>
      </c>
      <c r="F380" s="535" t="s">
        <v>1214</v>
      </c>
      <c r="G380" s="535" t="s">
        <v>1309</v>
      </c>
      <c r="H380" s="536">
        <v>26</v>
      </c>
      <c r="I380" s="537" t="s">
        <v>170</v>
      </c>
      <c r="J380" s="538">
        <v>38075</v>
      </c>
      <c r="K380" s="535" t="s">
        <v>170</v>
      </c>
      <c r="L380" s="535" t="s">
        <v>170</v>
      </c>
      <c r="M380" s="535" t="s">
        <v>1655</v>
      </c>
      <c r="N380" s="535" t="s">
        <v>1656</v>
      </c>
      <c r="O380" s="535" t="s">
        <v>1325</v>
      </c>
      <c r="P380" s="535" t="s">
        <v>1218</v>
      </c>
      <c r="Q380" s="535" t="s">
        <v>492</v>
      </c>
      <c r="R380" s="538" t="s">
        <v>170</v>
      </c>
      <c r="S380" s="535" t="s">
        <v>1291</v>
      </c>
      <c r="T380" s="535" t="s">
        <v>964</v>
      </c>
      <c r="U380" s="536">
        <v>54080</v>
      </c>
      <c r="V380" s="535" t="s">
        <v>1220</v>
      </c>
      <c r="X380" s="369">
        <f>IF(OR(T380="125-65-654-50110",T380="125-65-652-50110",T380="125-65-656-50110"),"N/A",COUNTIF('Prop Budget Calc'!A:A,'Base Pay Report'!A380))</f>
        <v>0</v>
      </c>
    </row>
    <row r="381" spans="1:24">
      <c r="A381" s="535" t="s">
        <v>1778</v>
      </c>
      <c r="B381" s="456" t="s">
        <v>2992</v>
      </c>
      <c r="C381" s="456" t="s">
        <v>2993</v>
      </c>
      <c r="D381" s="456" t="s">
        <v>2994</v>
      </c>
      <c r="E381" s="456" t="str">
        <f t="shared" si="6"/>
        <v>First Name Last Name</v>
      </c>
      <c r="F381" s="535" t="s">
        <v>1214</v>
      </c>
      <c r="G381" s="535" t="s">
        <v>170</v>
      </c>
      <c r="H381" s="536">
        <v>42.45</v>
      </c>
      <c r="I381" s="537" t="s">
        <v>170</v>
      </c>
      <c r="J381" s="538">
        <v>34064</v>
      </c>
      <c r="K381" s="535" t="s">
        <v>170</v>
      </c>
      <c r="L381" s="535" t="s">
        <v>170</v>
      </c>
      <c r="M381" s="535" t="s">
        <v>1779</v>
      </c>
      <c r="N381" s="535" t="s">
        <v>990</v>
      </c>
      <c r="O381" s="535" t="s">
        <v>1325</v>
      </c>
      <c r="P381" s="535" t="s">
        <v>1218</v>
      </c>
      <c r="Q381" s="535" t="s">
        <v>492</v>
      </c>
      <c r="R381" s="538" t="s">
        <v>170</v>
      </c>
      <c r="S381" s="535" t="s">
        <v>1291</v>
      </c>
      <c r="T381" s="535" t="s">
        <v>964</v>
      </c>
      <c r="U381" s="536">
        <v>88296</v>
      </c>
      <c r="V381" s="535" t="s">
        <v>1220</v>
      </c>
      <c r="X381" s="369">
        <f>IF(OR(T381="125-65-654-50110",T381="125-65-652-50110",T381="125-65-656-50110"),"N/A",COUNTIF('Prop Budget Calc'!A:A,'Base Pay Report'!A381))</f>
        <v>0</v>
      </c>
    </row>
    <row r="382" spans="1:24">
      <c r="A382" s="535" t="s">
        <v>2488</v>
      </c>
      <c r="B382" s="456" t="s">
        <v>2992</v>
      </c>
      <c r="C382" s="456" t="s">
        <v>2993</v>
      </c>
      <c r="D382" s="456" t="s">
        <v>2994</v>
      </c>
      <c r="E382" s="456" t="str">
        <f t="shared" si="6"/>
        <v>First Name Last Name</v>
      </c>
      <c r="F382" s="535" t="s">
        <v>1214</v>
      </c>
      <c r="G382" s="535" t="s">
        <v>170</v>
      </c>
      <c r="H382" s="536">
        <v>32.97</v>
      </c>
      <c r="I382" s="537" t="s">
        <v>170</v>
      </c>
      <c r="J382" s="538">
        <v>45126</v>
      </c>
      <c r="K382" s="535" t="s">
        <v>170</v>
      </c>
      <c r="L382" s="535" t="s">
        <v>170</v>
      </c>
      <c r="M382" s="535" t="s">
        <v>1248</v>
      </c>
      <c r="N382" s="535" t="s">
        <v>116</v>
      </c>
      <c r="O382" s="535" t="s">
        <v>1224</v>
      </c>
      <c r="P382" s="535" t="s">
        <v>1218</v>
      </c>
      <c r="Q382" s="535" t="s">
        <v>492</v>
      </c>
      <c r="R382" s="538" t="s">
        <v>170</v>
      </c>
      <c r="S382" s="535" t="s">
        <v>1283</v>
      </c>
      <c r="T382" s="535" t="s">
        <v>955</v>
      </c>
      <c r="U382" s="536">
        <v>68577.600000000006</v>
      </c>
      <c r="V382" s="535" t="s">
        <v>1220</v>
      </c>
      <c r="X382" s="369">
        <f>IF(OR(T382="125-65-654-50110",T382="125-65-652-50110",T382="125-65-656-50110"),"N/A",COUNTIF('Prop Budget Calc'!A:A,'Base Pay Report'!A382))</f>
        <v>0</v>
      </c>
    </row>
    <row r="383" spans="1:24">
      <c r="A383" s="535" t="s">
        <v>2489</v>
      </c>
      <c r="B383" s="456" t="s">
        <v>2992</v>
      </c>
      <c r="C383" s="456" t="s">
        <v>2993</v>
      </c>
      <c r="D383" s="456" t="s">
        <v>2994</v>
      </c>
      <c r="E383" s="456" t="str">
        <f t="shared" si="6"/>
        <v>First Name Last Name</v>
      </c>
      <c r="F383" s="535" t="s">
        <v>1214</v>
      </c>
      <c r="G383" s="535" t="s">
        <v>1288</v>
      </c>
      <c r="H383" s="536">
        <v>35.700000000000003</v>
      </c>
      <c r="I383" s="537" t="s">
        <v>170</v>
      </c>
      <c r="J383" s="538">
        <v>45174</v>
      </c>
      <c r="K383" s="535" t="s">
        <v>170</v>
      </c>
      <c r="L383" s="535" t="s">
        <v>170</v>
      </c>
      <c r="M383" s="535" t="s">
        <v>2540</v>
      </c>
      <c r="N383" s="535" t="s">
        <v>2541</v>
      </c>
      <c r="O383" s="535" t="s">
        <v>1338</v>
      </c>
      <c r="P383" s="535" t="s">
        <v>1218</v>
      </c>
      <c r="Q383" s="535" t="s">
        <v>492</v>
      </c>
      <c r="R383" s="538" t="s">
        <v>170</v>
      </c>
      <c r="S383" s="535" t="s">
        <v>1291</v>
      </c>
      <c r="T383" s="535" t="s">
        <v>1388</v>
      </c>
      <c r="U383" s="536">
        <v>74256</v>
      </c>
      <c r="V383" s="535" t="s">
        <v>1220</v>
      </c>
      <c r="X383" s="369">
        <f>IF(OR(T383="125-65-654-50110",T383="125-65-652-50110",T383="125-65-656-50110"),"N/A",COUNTIF('Prop Budget Calc'!A:A,'Base Pay Report'!A383))</f>
        <v>0</v>
      </c>
    </row>
    <row r="384" spans="1:24">
      <c r="A384" s="535" t="s">
        <v>2490</v>
      </c>
      <c r="B384" s="456" t="s">
        <v>2992</v>
      </c>
      <c r="C384" s="456" t="s">
        <v>2993</v>
      </c>
      <c r="D384" s="456" t="s">
        <v>2994</v>
      </c>
      <c r="E384" s="456" t="str">
        <f t="shared" si="6"/>
        <v>First Name Last Name</v>
      </c>
      <c r="F384" s="535" t="s">
        <v>1214</v>
      </c>
      <c r="G384" s="535" t="s">
        <v>170</v>
      </c>
      <c r="H384" s="536">
        <v>34</v>
      </c>
      <c r="I384" s="537" t="s">
        <v>170</v>
      </c>
      <c r="J384" s="538">
        <v>45159</v>
      </c>
      <c r="K384" s="535" t="s">
        <v>170</v>
      </c>
      <c r="L384" s="535" t="s">
        <v>170</v>
      </c>
      <c r="M384" s="535" t="s">
        <v>2590</v>
      </c>
      <c r="N384" s="535" t="s">
        <v>2599</v>
      </c>
      <c r="O384" s="535" t="s">
        <v>1230</v>
      </c>
      <c r="P384" s="535" t="s">
        <v>1218</v>
      </c>
      <c r="Q384" s="535" t="s">
        <v>492</v>
      </c>
      <c r="R384" s="538" t="s">
        <v>170</v>
      </c>
      <c r="S384" s="535" t="s">
        <v>1305</v>
      </c>
      <c r="T384" s="535" t="s">
        <v>954</v>
      </c>
      <c r="U384" s="536">
        <v>70720</v>
      </c>
      <c r="V384" s="535" t="s">
        <v>1307</v>
      </c>
      <c r="X384" s="369">
        <f>IF(OR(T384="125-65-654-50110",T384="125-65-652-50110",T384="125-65-656-50110"),"N/A",COUNTIF('Prop Budget Calc'!A:A,'Base Pay Report'!A384))</f>
        <v>0</v>
      </c>
    </row>
    <row r="385" spans="1:24">
      <c r="A385" s="535" t="s">
        <v>2491</v>
      </c>
      <c r="B385" s="456" t="s">
        <v>2992</v>
      </c>
      <c r="C385" s="456" t="s">
        <v>2993</v>
      </c>
      <c r="D385" s="456" t="s">
        <v>2994</v>
      </c>
      <c r="E385" s="456" t="str">
        <f t="shared" si="6"/>
        <v>First Name Last Name</v>
      </c>
      <c r="F385" s="535" t="s">
        <v>1214</v>
      </c>
      <c r="G385" s="535" t="s">
        <v>170</v>
      </c>
      <c r="H385" s="536">
        <v>24.97</v>
      </c>
      <c r="I385" s="537" t="s">
        <v>170</v>
      </c>
      <c r="J385" s="538">
        <v>45174</v>
      </c>
      <c r="K385" s="535" t="s">
        <v>170</v>
      </c>
      <c r="L385" s="535" t="s">
        <v>170</v>
      </c>
      <c r="M385" s="535" t="s">
        <v>2590</v>
      </c>
      <c r="N385" s="535" t="s">
        <v>2599</v>
      </c>
      <c r="O385" s="535" t="s">
        <v>1230</v>
      </c>
      <c r="P385" s="535" t="s">
        <v>1218</v>
      </c>
      <c r="Q385" s="535" t="s">
        <v>492</v>
      </c>
      <c r="R385" s="538" t="s">
        <v>170</v>
      </c>
      <c r="S385" s="535" t="s">
        <v>1294</v>
      </c>
      <c r="T385" s="535" t="s">
        <v>954</v>
      </c>
      <c r="U385" s="536">
        <v>51937.599999999999</v>
      </c>
      <c r="V385" s="535" t="s">
        <v>1220</v>
      </c>
      <c r="X385" s="369">
        <f>IF(OR(T385="125-65-654-50110",T385="125-65-652-50110",T385="125-65-656-50110"),"N/A",COUNTIF('Prop Budget Calc'!A:A,'Base Pay Report'!A385))</f>
        <v>0</v>
      </c>
    </row>
    <row r="386" spans="1:24">
      <c r="A386" s="535" t="s">
        <v>2492</v>
      </c>
      <c r="B386" s="456" t="s">
        <v>2992</v>
      </c>
      <c r="C386" s="456" t="s">
        <v>2993</v>
      </c>
      <c r="D386" s="456" t="s">
        <v>2994</v>
      </c>
      <c r="E386" s="456" t="str">
        <f t="shared" si="6"/>
        <v>First Name Last Name</v>
      </c>
      <c r="F386" s="535" t="s">
        <v>1214</v>
      </c>
      <c r="G386" s="535" t="s">
        <v>1268</v>
      </c>
      <c r="H386" s="536">
        <v>23.49</v>
      </c>
      <c r="I386" s="537" t="s">
        <v>170</v>
      </c>
      <c r="J386" s="538">
        <v>45180</v>
      </c>
      <c r="K386" s="535" t="s">
        <v>170</v>
      </c>
      <c r="L386" s="535" t="s">
        <v>170</v>
      </c>
      <c r="M386" s="535" t="s">
        <v>1269</v>
      </c>
      <c r="N386" s="535" t="s">
        <v>1270</v>
      </c>
      <c r="O386" s="535" t="s">
        <v>1217</v>
      </c>
      <c r="P386" s="535" t="s">
        <v>1218</v>
      </c>
      <c r="Q386" s="535" t="s">
        <v>492</v>
      </c>
      <c r="R386" s="538" t="s">
        <v>170</v>
      </c>
      <c r="S386" s="535" t="s">
        <v>1219</v>
      </c>
      <c r="T386" s="535" t="s">
        <v>959</v>
      </c>
      <c r="U386" s="536">
        <v>48859.199999999997</v>
      </c>
      <c r="V386" s="535" t="s">
        <v>1220</v>
      </c>
      <c r="X386" s="369">
        <f>IF(OR(T386="125-65-654-50110",T386="125-65-652-50110",T386="125-65-656-50110"),"N/A",COUNTIF('Prop Budget Calc'!A:A,'Base Pay Report'!A386))</f>
        <v>0</v>
      </c>
    </row>
    <row r="387" spans="1:24">
      <c r="A387" s="535" t="s">
        <v>2493</v>
      </c>
      <c r="B387" s="456" t="s">
        <v>2992</v>
      </c>
      <c r="C387" s="456" t="s">
        <v>2993</v>
      </c>
      <c r="D387" s="456" t="s">
        <v>2994</v>
      </c>
      <c r="E387" s="456" t="str">
        <f t="shared" si="6"/>
        <v>First Name Last Name</v>
      </c>
      <c r="F387" s="535" t="s">
        <v>1214</v>
      </c>
      <c r="G387" s="535" t="s">
        <v>170</v>
      </c>
      <c r="H387" s="536">
        <v>24.97</v>
      </c>
      <c r="I387" s="537" t="s">
        <v>170</v>
      </c>
      <c r="J387" s="538">
        <v>45201</v>
      </c>
      <c r="K387" s="535" t="s">
        <v>170</v>
      </c>
      <c r="L387" s="535" t="s">
        <v>170</v>
      </c>
      <c r="M387" s="535" t="s">
        <v>2590</v>
      </c>
      <c r="N387" s="535" t="s">
        <v>2599</v>
      </c>
      <c r="O387" s="535" t="s">
        <v>1230</v>
      </c>
      <c r="P387" s="535" t="s">
        <v>1218</v>
      </c>
      <c r="Q387" s="535" t="s">
        <v>492</v>
      </c>
      <c r="R387" s="538" t="s">
        <v>170</v>
      </c>
      <c r="S387" s="535" t="s">
        <v>1294</v>
      </c>
      <c r="T387" s="535" t="s">
        <v>954</v>
      </c>
      <c r="U387" s="536">
        <v>51937.599999999999</v>
      </c>
      <c r="V387" s="535" t="s">
        <v>1220</v>
      </c>
      <c r="X387" s="369">
        <f>IF(OR(T387="125-65-654-50110",T387="125-65-652-50110",T387="125-65-656-50110"),"N/A",COUNTIF('Prop Budget Calc'!A:A,'Base Pay Report'!A387))</f>
        <v>1</v>
      </c>
    </row>
    <row r="388" spans="1:24">
      <c r="A388" s="535" t="s">
        <v>2494</v>
      </c>
      <c r="B388" s="456" t="s">
        <v>2992</v>
      </c>
      <c r="C388" s="456" t="s">
        <v>2993</v>
      </c>
      <c r="D388" s="456" t="s">
        <v>2994</v>
      </c>
      <c r="E388" s="456" t="str">
        <f t="shared" ref="E388:E451" si="7">B388&amp;" "&amp;D388</f>
        <v>First Name Last Name</v>
      </c>
      <c r="F388" s="535" t="s">
        <v>1214</v>
      </c>
      <c r="G388" s="535" t="s">
        <v>1247</v>
      </c>
      <c r="H388" s="536">
        <v>33.630000000000003</v>
      </c>
      <c r="I388" s="537" t="s">
        <v>170</v>
      </c>
      <c r="J388" s="538">
        <v>45201</v>
      </c>
      <c r="K388" s="535" t="s">
        <v>170</v>
      </c>
      <c r="L388" s="535" t="s">
        <v>170</v>
      </c>
      <c r="M388" s="535" t="s">
        <v>1248</v>
      </c>
      <c r="N388" s="535" t="s">
        <v>116</v>
      </c>
      <c r="O388" s="535" t="s">
        <v>1224</v>
      </c>
      <c r="P388" s="535" t="s">
        <v>1218</v>
      </c>
      <c r="Q388" s="535" t="s">
        <v>492</v>
      </c>
      <c r="R388" s="538" t="s">
        <v>170</v>
      </c>
      <c r="S388" s="535" t="s">
        <v>1283</v>
      </c>
      <c r="T388" s="535" t="s">
        <v>955</v>
      </c>
      <c r="U388" s="536">
        <v>69950.399999999994</v>
      </c>
      <c r="V388" s="535" t="s">
        <v>1220</v>
      </c>
      <c r="X388" s="369">
        <f>IF(OR(T388="125-65-654-50110",T388="125-65-652-50110",T388="125-65-656-50110"),"N/A",COUNTIF('Prop Budget Calc'!A:A,'Base Pay Report'!A388))</f>
        <v>0</v>
      </c>
    </row>
    <row r="389" spans="1:24">
      <c r="A389" s="535" t="s">
        <v>2495</v>
      </c>
      <c r="B389" s="456" t="s">
        <v>2992</v>
      </c>
      <c r="C389" s="456" t="s">
        <v>2993</v>
      </c>
      <c r="D389" s="456" t="s">
        <v>2994</v>
      </c>
      <c r="E389" s="456" t="str">
        <f t="shared" si="7"/>
        <v>First Name Last Name</v>
      </c>
      <c r="F389" s="535" t="s">
        <v>1214</v>
      </c>
      <c r="G389" s="535" t="s">
        <v>1397</v>
      </c>
      <c r="H389" s="536">
        <v>20.28</v>
      </c>
      <c r="I389" s="537" t="s">
        <v>170</v>
      </c>
      <c r="J389" s="538">
        <v>45201</v>
      </c>
      <c r="K389" s="535" t="s">
        <v>170</v>
      </c>
      <c r="L389" s="535" t="s">
        <v>170</v>
      </c>
      <c r="M389" s="535" t="s">
        <v>1398</v>
      </c>
      <c r="N389" s="535" t="s">
        <v>126</v>
      </c>
      <c r="O389" s="535" t="s">
        <v>1224</v>
      </c>
      <c r="P389" s="535" t="s">
        <v>1218</v>
      </c>
      <c r="Q389" s="535" t="s">
        <v>492</v>
      </c>
      <c r="R389" s="538" t="s">
        <v>170</v>
      </c>
      <c r="S389" s="535" t="s">
        <v>1283</v>
      </c>
      <c r="T389" s="535" t="s">
        <v>957</v>
      </c>
      <c r="U389" s="536">
        <v>42182.400000000001</v>
      </c>
      <c r="V389" s="535" t="s">
        <v>1220</v>
      </c>
      <c r="X389" s="369">
        <f>IF(OR(T389="125-65-654-50110",T389="125-65-652-50110",T389="125-65-656-50110"),"N/A",COUNTIF('Prop Budget Calc'!A:A,'Base Pay Report'!A389))</f>
        <v>1</v>
      </c>
    </row>
    <row r="390" spans="1:24">
      <c r="A390" s="535" t="s">
        <v>2496</v>
      </c>
      <c r="B390" s="456" t="s">
        <v>2992</v>
      </c>
      <c r="C390" s="456" t="s">
        <v>2993</v>
      </c>
      <c r="D390" s="456" t="s">
        <v>2994</v>
      </c>
      <c r="E390" s="456" t="str">
        <f t="shared" si="7"/>
        <v>First Name Last Name</v>
      </c>
      <c r="F390" s="535" t="s">
        <v>1214</v>
      </c>
      <c r="G390" s="535" t="s">
        <v>1579</v>
      </c>
      <c r="H390" s="536">
        <v>11.73</v>
      </c>
      <c r="I390" s="537" t="s">
        <v>170</v>
      </c>
      <c r="J390" s="538">
        <v>45200</v>
      </c>
      <c r="K390" s="535" t="s">
        <v>170</v>
      </c>
      <c r="L390" s="535" t="s">
        <v>170</v>
      </c>
      <c r="M390" s="535" t="s">
        <v>1580</v>
      </c>
      <c r="N390" s="535" t="s">
        <v>1007</v>
      </c>
      <c r="O390" s="535" t="s">
        <v>1325</v>
      </c>
      <c r="P390" s="535" t="s">
        <v>1218</v>
      </c>
      <c r="Q390" s="535" t="s">
        <v>492</v>
      </c>
      <c r="R390" s="538" t="s">
        <v>170</v>
      </c>
      <c r="S390" s="535" t="s">
        <v>1305</v>
      </c>
      <c r="T390" s="535" t="s">
        <v>1565</v>
      </c>
      <c r="U390" s="536">
        <v>24398.400000000001</v>
      </c>
      <c r="V390" s="535" t="s">
        <v>1307</v>
      </c>
      <c r="X390" s="369" t="str">
        <f>IF(OR(T390="125-65-654-50110",T390="125-65-652-50110",T390="125-65-656-50110"),"N/A",COUNTIF('Prop Budget Calc'!A:A,'Base Pay Report'!A390))</f>
        <v>N/A</v>
      </c>
    </row>
    <row r="391" spans="1:24">
      <c r="A391" s="535" t="s">
        <v>2497</v>
      </c>
      <c r="B391" s="456" t="s">
        <v>2992</v>
      </c>
      <c r="C391" s="456" t="s">
        <v>2993</v>
      </c>
      <c r="D391" s="456" t="s">
        <v>2994</v>
      </c>
      <c r="E391" s="456" t="str">
        <f t="shared" si="7"/>
        <v>First Name Last Name</v>
      </c>
      <c r="F391" s="535" t="s">
        <v>1214</v>
      </c>
      <c r="G391" s="535" t="s">
        <v>1227</v>
      </c>
      <c r="H391" s="536">
        <v>2461.54</v>
      </c>
      <c r="I391" s="537">
        <v>80</v>
      </c>
      <c r="J391" s="538">
        <v>45215</v>
      </c>
      <c r="K391" s="535" t="s">
        <v>170</v>
      </c>
      <c r="L391" s="535" t="s">
        <v>170</v>
      </c>
      <c r="M391" s="535" t="s">
        <v>2542</v>
      </c>
      <c r="N391" s="535" t="s">
        <v>2543</v>
      </c>
      <c r="O391" s="535" t="s">
        <v>1304</v>
      </c>
      <c r="P391" s="535" t="s">
        <v>1218</v>
      </c>
      <c r="Q391" s="535" t="s">
        <v>1231</v>
      </c>
      <c r="R391" s="538" t="s">
        <v>170</v>
      </c>
      <c r="S391" s="535" t="s">
        <v>1241</v>
      </c>
      <c r="T391" s="535" t="s">
        <v>1329</v>
      </c>
      <c r="U391" s="536">
        <v>64000.04</v>
      </c>
      <c r="V391" s="535" t="s">
        <v>1220</v>
      </c>
      <c r="X391" s="369">
        <f>IF(OR(T391="125-65-654-50110",T391="125-65-652-50110",T391="125-65-656-50110"),"N/A",COUNTIF('Prop Budget Calc'!A:A,'Base Pay Report'!A391))</f>
        <v>0</v>
      </c>
    </row>
    <row r="392" spans="1:24">
      <c r="A392" s="535" t="s">
        <v>2498</v>
      </c>
      <c r="B392" s="456" t="s">
        <v>2992</v>
      </c>
      <c r="C392" s="456" t="s">
        <v>2993</v>
      </c>
      <c r="D392" s="456" t="s">
        <v>2994</v>
      </c>
      <c r="E392" s="456" t="str">
        <f t="shared" si="7"/>
        <v>First Name Last Name</v>
      </c>
      <c r="F392" s="535" t="s">
        <v>1214</v>
      </c>
      <c r="G392" s="535" t="s">
        <v>1256</v>
      </c>
      <c r="H392" s="536">
        <v>18.28</v>
      </c>
      <c r="I392" s="537" t="s">
        <v>170</v>
      </c>
      <c r="J392" s="538">
        <v>45208</v>
      </c>
      <c r="K392" s="535" t="s">
        <v>170</v>
      </c>
      <c r="L392" s="535" t="s">
        <v>170</v>
      </c>
      <c r="M392" s="535" t="s">
        <v>1513</v>
      </c>
      <c r="N392" s="535" t="s">
        <v>1514</v>
      </c>
      <c r="O392" s="535" t="s">
        <v>1290</v>
      </c>
      <c r="P392" s="535" t="s">
        <v>1218</v>
      </c>
      <c r="Q392" s="535" t="s">
        <v>492</v>
      </c>
      <c r="R392" s="538" t="s">
        <v>170</v>
      </c>
      <c r="S392" s="535" t="s">
        <v>1291</v>
      </c>
      <c r="T392" s="535" t="s">
        <v>968</v>
      </c>
      <c r="U392" s="536">
        <v>38022.400000000001</v>
      </c>
      <c r="V392" s="535" t="s">
        <v>1220</v>
      </c>
      <c r="X392" s="369">
        <f>IF(OR(T392="125-65-654-50110",T392="125-65-652-50110",T392="125-65-656-50110"),"N/A",COUNTIF('Prop Budget Calc'!A:A,'Base Pay Report'!A392))</f>
        <v>0</v>
      </c>
    </row>
    <row r="393" spans="1:24">
      <c r="A393" s="535" t="s">
        <v>2499</v>
      </c>
      <c r="B393" s="456" t="s">
        <v>2992</v>
      </c>
      <c r="C393" s="456" t="s">
        <v>2993</v>
      </c>
      <c r="D393" s="456" t="s">
        <v>2994</v>
      </c>
      <c r="E393" s="456" t="str">
        <f t="shared" si="7"/>
        <v>First Name Last Name</v>
      </c>
      <c r="F393" s="535" t="s">
        <v>1214</v>
      </c>
      <c r="G393" s="535" t="s">
        <v>1309</v>
      </c>
      <c r="H393" s="536">
        <v>18.28</v>
      </c>
      <c r="I393" s="537" t="s">
        <v>170</v>
      </c>
      <c r="J393" s="538">
        <v>45215</v>
      </c>
      <c r="K393" s="535" t="s">
        <v>170</v>
      </c>
      <c r="L393" s="535" t="s">
        <v>170</v>
      </c>
      <c r="M393" s="535" t="s">
        <v>1655</v>
      </c>
      <c r="N393" s="535" t="s">
        <v>1656</v>
      </c>
      <c r="O393" s="535" t="s">
        <v>1325</v>
      </c>
      <c r="P393" s="535" t="s">
        <v>1218</v>
      </c>
      <c r="Q393" s="535" t="s">
        <v>492</v>
      </c>
      <c r="R393" s="538" t="s">
        <v>170</v>
      </c>
      <c r="S393" s="535" t="s">
        <v>1291</v>
      </c>
      <c r="T393" s="535" t="s">
        <v>964</v>
      </c>
      <c r="U393" s="536">
        <v>38022.400000000001</v>
      </c>
      <c r="V393" s="535" t="s">
        <v>1220</v>
      </c>
      <c r="X393" s="369">
        <f>IF(OR(T393="125-65-654-50110",T393="125-65-652-50110",T393="125-65-656-50110"),"N/A",COUNTIF('Prop Budget Calc'!A:A,'Base Pay Report'!A393))</f>
        <v>0</v>
      </c>
    </row>
    <row r="394" spans="1:24">
      <c r="A394" s="535" t="s">
        <v>2500</v>
      </c>
      <c r="B394" s="456" t="s">
        <v>2992</v>
      </c>
      <c r="C394" s="456" t="s">
        <v>2993</v>
      </c>
      <c r="D394" s="456" t="s">
        <v>2994</v>
      </c>
      <c r="E394" s="456" t="str">
        <f t="shared" si="7"/>
        <v>First Name Last Name</v>
      </c>
      <c r="F394" s="535" t="s">
        <v>1214</v>
      </c>
      <c r="G394" s="535" t="s">
        <v>1386</v>
      </c>
      <c r="H394" s="536">
        <v>20.16</v>
      </c>
      <c r="I394" s="537" t="s">
        <v>170</v>
      </c>
      <c r="J394" s="538">
        <v>45236</v>
      </c>
      <c r="K394" s="535" t="s">
        <v>170</v>
      </c>
      <c r="L394" s="535" t="s">
        <v>170</v>
      </c>
      <c r="M394" s="535" t="s">
        <v>1955</v>
      </c>
      <c r="N394" s="535" t="s">
        <v>382</v>
      </c>
      <c r="O394" s="535" t="s">
        <v>1230</v>
      </c>
      <c r="P394" s="535" t="s">
        <v>1218</v>
      </c>
      <c r="Q394" s="535" t="s">
        <v>492</v>
      </c>
      <c r="R394" s="538" t="s">
        <v>170</v>
      </c>
      <c r="S394" s="535" t="s">
        <v>1259</v>
      </c>
      <c r="T394" s="535" t="s">
        <v>1722</v>
      </c>
      <c r="U394" s="536">
        <v>41932.800000000003</v>
      </c>
      <c r="V394" s="535" t="s">
        <v>1220</v>
      </c>
      <c r="X394" s="369">
        <f>IF(OR(T394="125-65-654-50110",T394="125-65-652-50110",T394="125-65-656-50110"),"N/A",COUNTIF('Prop Budget Calc'!A:A,'Base Pay Report'!A394))</f>
        <v>1</v>
      </c>
    </row>
    <row r="395" spans="1:24">
      <c r="A395" s="535" t="s">
        <v>2501</v>
      </c>
      <c r="B395" s="456" t="s">
        <v>2992</v>
      </c>
      <c r="C395" s="456" t="s">
        <v>2993</v>
      </c>
      <c r="D395" s="456" t="s">
        <v>2994</v>
      </c>
      <c r="E395" s="456" t="str">
        <f t="shared" si="7"/>
        <v>First Name Last Name</v>
      </c>
      <c r="F395" s="535" t="s">
        <v>1214</v>
      </c>
      <c r="G395" s="535" t="s">
        <v>1309</v>
      </c>
      <c r="H395" s="536">
        <v>18.04</v>
      </c>
      <c r="I395" s="537" t="s">
        <v>170</v>
      </c>
      <c r="J395" s="538">
        <v>45232</v>
      </c>
      <c r="K395" s="535" t="s">
        <v>170</v>
      </c>
      <c r="L395" s="535" t="s">
        <v>170</v>
      </c>
      <c r="M395" s="535" t="s">
        <v>1605</v>
      </c>
      <c r="N395" s="535" t="s">
        <v>125</v>
      </c>
      <c r="O395" s="535" t="s">
        <v>1527</v>
      </c>
      <c r="P395" s="535" t="s">
        <v>1218</v>
      </c>
      <c r="Q395" s="535" t="s">
        <v>492</v>
      </c>
      <c r="R395" s="538" t="s">
        <v>170</v>
      </c>
      <c r="S395" s="535" t="s">
        <v>1235</v>
      </c>
      <c r="T395" s="535" t="s">
        <v>1528</v>
      </c>
      <c r="U395" s="536">
        <v>37523.199999999997</v>
      </c>
      <c r="V395" s="535" t="s">
        <v>1220</v>
      </c>
      <c r="X395" s="369">
        <f>IF(OR(T395="125-65-654-50110",T395="125-65-652-50110",T395="125-65-656-50110"),"N/A",COUNTIF('Prop Budget Calc'!A:A,'Base Pay Report'!A395))</f>
        <v>0</v>
      </c>
    </row>
    <row r="396" spans="1:24">
      <c r="A396" s="535" t="s">
        <v>2502</v>
      </c>
      <c r="B396" s="456" t="s">
        <v>2992</v>
      </c>
      <c r="C396" s="456" t="s">
        <v>2993</v>
      </c>
      <c r="D396" s="456" t="s">
        <v>2994</v>
      </c>
      <c r="E396" s="456" t="str">
        <f t="shared" si="7"/>
        <v>First Name Last Name</v>
      </c>
      <c r="F396" s="535" t="s">
        <v>1214</v>
      </c>
      <c r="G396" s="535" t="s">
        <v>170</v>
      </c>
      <c r="H396" s="536">
        <v>29</v>
      </c>
      <c r="I396" s="537" t="s">
        <v>170</v>
      </c>
      <c r="J396" s="538">
        <v>45236</v>
      </c>
      <c r="K396" s="535" t="s">
        <v>170</v>
      </c>
      <c r="L396" s="535" t="s">
        <v>170</v>
      </c>
      <c r="M396" s="535" t="s">
        <v>1408</v>
      </c>
      <c r="N396" s="535" t="s">
        <v>999</v>
      </c>
      <c r="O396" s="535" t="s">
        <v>1338</v>
      </c>
      <c r="P396" s="535" t="s">
        <v>1218</v>
      </c>
      <c r="Q396" s="535" t="s">
        <v>492</v>
      </c>
      <c r="R396" s="538" t="s">
        <v>170</v>
      </c>
      <c r="S396" s="535" t="s">
        <v>1291</v>
      </c>
      <c r="T396" s="535" t="s">
        <v>1411</v>
      </c>
      <c r="U396" s="536">
        <v>60320</v>
      </c>
      <c r="V396" s="535" t="s">
        <v>1220</v>
      </c>
      <c r="X396" s="369">
        <f>IF(OR(T396="125-65-654-50110",T396="125-65-652-50110",T396="125-65-656-50110"),"N/A",COUNTIF('Prop Budget Calc'!A:A,'Base Pay Report'!A396))</f>
        <v>0</v>
      </c>
    </row>
    <row r="397" spans="1:24">
      <c r="A397" s="535" t="s">
        <v>2507</v>
      </c>
      <c r="B397" s="456" t="s">
        <v>2992</v>
      </c>
      <c r="C397" s="456" t="s">
        <v>2993</v>
      </c>
      <c r="D397" s="456" t="s">
        <v>2994</v>
      </c>
      <c r="E397" s="456" t="str">
        <f t="shared" si="7"/>
        <v>First Name Last Name</v>
      </c>
      <c r="F397" s="535" t="s">
        <v>1214</v>
      </c>
      <c r="G397" s="535" t="s">
        <v>1263</v>
      </c>
      <c r="H397" s="536">
        <v>22.29</v>
      </c>
      <c r="I397" s="537" t="s">
        <v>170</v>
      </c>
      <c r="J397" s="538">
        <v>45243</v>
      </c>
      <c r="K397" s="535" t="s">
        <v>170</v>
      </c>
      <c r="L397" s="535" t="s">
        <v>170</v>
      </c>
      <c r="M397" s="535" t="s">
        <v>1694</v>
      </c>
      <c r="N397" s="535" t="s">
        <v>1695</v>
      </c>
      <c r="O397" s="535" t="s">
        <v>1290</v>
      </c>
      <c r="P397" s="535" t="s">
        <v>1218</v>
      </c>
      <c r="Q397" s="535" t="s">
        <v>492</v>
      </c>
      <c r="R397" s="538" t="s">
        <v>170</v>
      </c>
      <c r="S397" s="535" t="s">
        <v>1259</v>
      </c>
      <c r="T397" s="535" t="s">
        <v>1266</v>
      </c>
      <c r="U397" s="536">
        <v>46363.199999999997</v>
      </c>
      <c r="V397" s="535" t="s">
        <v>1220</v>
      </c>
      <c r="X397" s="369">
        <f>IF(OR(T397="125-65-654-50110",T397="125-65-652-50110",T397="125-65-656-50110"),"N/A",COUNTIF('Prop Budget Calc'!A:A,'Base Pay Report'!A397))</f>
        <v>1</v>
      </c>
    </row>
    <row r="398" spans="1:24">
      <c r="A398" s="535" t="s">
        <v>2508</v>
      </c>
      <c r="B398" s="456" t="s">
        <v>2992</v>
      </c>
      <c r="C398" s="456" t="s">
        <v>2993</v>
      </c>
      <c r="D398" s="456" t="s">
        <v>2994</v>
      </c>
      <c r="E398" s="456" t="str">
        <f t="shared" si="7"/>
        <v>First Name Last Name</v>
      </c>
      <c r="F398" s="535" t="s">
        <v>1214</v>
      </c>
      <c r="G398" s="535" t="s">
        <v>1486</v>
      </c>
      <c r="H398" s="536">
        <v>13.77</v>
      </c>
      <c r="I398" s="537" t="s">
        <v>170</v>
      </c>
      <c r="J398" s="538">
        <v>45241</v>
      </c>
      <c r="K398" s="535" t="s">
        <v>170</v>
      </c>
      <c r="L398" s="535" t="s">
        <v>170</v>
      </c>
      <c r="M398" s="535" t="s">
        <v>1487</v>
      </c>
      <c r="N398" s="535" t="s">
        <v>1488</v>
      </c>
      <c r="O398" s="535" t="s">
        <v>1325</v>
      </c>
      <c r="P398" s="535" t="s">
        <v>1218</v>
      </c>
      <c r="Q398" s="535" t="s">
        <v>492</v>
      </c>
      <c r="R398" s="538" t="s">
        <v>170</v>
      </c>
      <c r="S398" s="535" t="s">
        <v>1305</v>
      </c>
      <c r="T398" s="535" t="s">
        <v>1326</v>
      </c>
      <c r="U398" s="536">
        <v>28641.599999999999</v>
      </c>
      <c r="V398" s="535" t="s">
        <v>1307</v>
      </c>
      <c r="X398" s="369" t="str">
        <f>IF(OR(T398="125-65-654-50110",T398="125-65-652-50110",T398="125-65-656-50110"),"N/A",COUNTIF('Prop Budget Calc'!A:A,'Base Pay Report'!A398))</f>
        <v>N/A</v>
      </c>
    </row>
    <row r="399" spans="1:24">
      <c r="A399" s="535" t="s">
        <v>2509</v>
      </c>
      <c r="B399" s="456" t="s">
        <v>2992</v>
      </c>
      <c r="C399" s="456" t="s">
        <v>2993</v>
      </c>
      <c r="D399" s="456" t="s">
        <v>2994</v>
      </c>
      <c r="E399" s="456" t="str">
        <f t="shared" si="7"/>
        <v>First Name Last Name</v>
      </c>
      <c r="F399" s="535" t="s">
        <v>1214</v>
      </c>
      <c r="G399" s="535" t="s">
        <v>1486</v>
      </c>
      <c r="H399" s="536">
        <v>13.77</v>
      </c>
      <c r="I399" s="537" t="s">
        <v>170</v>
      </c>
      <c r="J399" s="538">
        <v>45241</v>
      </c>
      <c r="K399" s="535" t="s">
        <v>170</v>
      </c>
      <c r="L399" s="535" t="s">
        <v>170</v>
      </c>
      <c r="M399" s="535" t="s">
        <v>1487</v>
      </c>
      <c r="N399" s="535" t="s">
        <v>1488</v>
      </c>
      <c r="O399" s="535" t="s">
        <v>1325</v>
      </c>
      <c r="P399" s="535" t="s">
        <v>1218</v>
      </c>
      <c r="Q399" s="535" t="s">
        <v>492</v>
      </c>
      <c r="R399" s="538" t="s">
        <v>170</v>
      </c>
      <c r="S399" s="535" t="s">
        <v>1305</v>
      </c>
      <c r="T399" s="535" t="s">
        <v>1326</v>
      </c>
      <c r="U399" s="536">
        <v>28641.599999999999</v>
      </c>
      <c r="V399" s="535" t="s">
        <v>1307</v>
      </c>
      <c r="X399" s="369" t="str">
        <f>IF(OR(T399="125-65-654-50110",T399="125-65-652-50110",T399="125-65-656-50110"),"N/A",COUNTIF('Prop Budget Calc'!A:A,'Base Pay Report'!A399))</f>
        <v>N/A</v>
      </c>
    </row>
    <row r="400" spans="1:24">
      <c r="A400" s="535" t="s">
        <v>2510</v>
      </c>
      <c r="B400" s="456" t="s">
        <v>2992</v>
      </c>
      <c r="C400" s="456" t="s">
        <v>2993</v>
      </c>
      <c r="D400" s="456" t="s">
        <v>2994</v>
      </c>
      <c r="E400" s="456" t="str">
        <f t="shared" si="7"/>
        <v>First Name Last Name</v>
      </c>
      <c r="F400" s="535" t="s">
        <v>1214</v>
      </c>
      <c r="G400" s="535" t="s">
        <v>170</v>
      </c>
      <c r="H400" s="536">
        <v>24.97</v>
      </c>
      <c r="I400" s="537" t="s">
        <v>170</v>
      </c>
      <c r="J400" s="538">
        <v>45264</v>
      </c>
      <c r="K400" s="535" t="s">
        <v>170</v>
      </c>
      <c r="L400" s="535" t="s">
        <v>170</v>
      </c>
      <c r="M400" s="535" t="s">
        <v>2590</v>
      </c>
      <c r="N400" s="535" t="s">
        <v>2599</v>
      </c>
      <c r="O400" s="535" t="s">
        <v>1230</v>
      </c>
      <c r="P400" s="535" t="s">
        <v>1218</v>
      </c>
      <c r="Q400" s="535" t="s">
        <v>492</v>
      </c>
      <c r="R400" s="538" t="s">
        <v>170</v>
      </c>
      <c r="S400" s="535" t="s">
        <v>1294</v>
      </c>
      <c r="T400" s="535" t="s">
        <v>954</v>
      </c>
      <c r="U400" s="536">
        <v>51937.599999999999</v>
      </c>
      <c r="V400" s="535" t="s">
        <v>1220</v>
      </c>
      <c r="X400" s="369">
        <f>IF(OR(T400="125-65-654-50110",T400="125-65-652-50110",T400="125-65-656-50110"),"N/A",COUNTIF('Prop Budget Calc'!A:A,'Base Pay Report'!A400))</f>
        <v>0</v>
      </c>
    </row>
    <row r="401" spans="1:24">
      <c r="A401" s="535" t="s">
        <v>2511</v>
      </c>
      <c r="B401" s="456" t="s">
        <v>2992</v>
      </c>
      <c r="C401" s="456" t="s">
        <v>2993</v>
      </c>
      <c r="D401" s="456" t="s">
        <v>2994</v>
      </c>
      <c r="E401" s="456" t="str">
        <f t="shared" si="7"/>
        <v>First Name Last Name</v>
      </c>
      <c r="F401" s="535" t="s">
        <v>1214</v>
      </c>
      <c r="G401" s="535" t="s">
        <v>1302</v>
      </c>
      <c r="H401" s="536">
        <v>13.8</v>
      </c>
      <c r="I401" s="537" t="s">
        <v>170</v>
      </c>
      <c r="J401" s="538">
        <v>45259</v>
      </c>
      <c r="K401" s="535" t="s">
        <v>170</v>
      </c>
      <c r="L401" s="535" t="s">
        <v>170</v>
      </c>
      <c r="M401" s="535" t="s">
        <v>1303</v>
      </c>
      <c r="N401" s="535" t="s">
        <v>993</v>
      </c>
      <c r="O401" s="535" t="s">
        <v>1304</v>
      </c>
      <c r="P401" s="535" t="s">
        <v>1218</v>
      </c>
      <c r="Q401" s="535" t="s">
        <v>492</v>
      </c>
      <c r="R401" s="538" t="s">
        <v>170</v>
      </c>
      <c r="S401" s="535" t="s">
        <v>1305</v>
      </c>
      <c r="T401" s="535" t="s">
        <v>1306</v>
      </c>
      <c r="U401" s="536">
        <v>28704</v>
      </c>
      <c r="V401" s="535" t="s">
        <v>1307</v>
      </c>
      <c r="X401" s="369">
        <f>IF(OR(T401="125-65-654-50110",T401="125-65-652-50110",T401="125-65-656-50110"),"N/A",COUNTIF('Prop Budget Calc'!A:A,'Base Pay Report'!A401))</f>
        <v>0</v>
      </c>
    </row>
    <row r="402" spans="1:24">
      <c r="A402" s="535" t="s">
        <v>2512</v>
      </c>
      <c r="B402" s="456" t="s">
        <v>2992</v>
      </c>
      <c r="C402" s="456" t="s">
        <v>2993</v>
      </c>
      <c r="D402" s="456" t="s">
        <v>2994</v>
      </c>
      <c r="E402" s="456" t="str">
        <f t="shared" si="7"/>
        <v>First Name Last Name</v>
      </c>
      <c r="F402" s="535" t="s">
        <v>1214</v>
      </c>
      <c r="G402" s="535" t="s">
        <v>170</v>
      </c>
      <c r="H402" s="536">
        <v>10.199999999999999</v>
      </c>
      <c r="I402" s="537" t="s">
        <v>170</v>
      </c>
      <c r="J402" s="538">
        <v>45248</v>
      </c>
      <c r="K402" s="535" t="s">
        <v>170</v>
      </c>
      <c r="L402" s="535" t="s">
        <v>170</v>
      </c>
      <c r="M402" s="535" t="s">
        <v>1603</v>
      </c>
      <c r="N402" s="535" t="s">
        <v>1010</v>
      </c>
      <c r="O402" s="535" t="s">
        <v>1325</v>
      </c>
      <c r="P402" s="535" t="s">
        <v>1218</v>
      </c>
      <c r="Q402" s="535" t="s">
        <v>492</v>
      </c>
      <c r="R402" s="538" t="s">
        <v>170</v>
      </c>
      <c r="S402" s="535" t="s">
        <v>1305</v>
      </c>
      <c r="T402" s="535" t="s">
        <v>1326</v>
      </c>
      <c r="U402" s="536">
        <v>21216</v>
      </c>
      <c r="V402" s="535" t="s">
        <v>1307</v>
      </c>
      <c r="X402" s="369" t="str">
        <f>IF(OR(T402="125-65-654-50110",T402="125-65-652-50110",T402="125-65-656-50110"),"N/A",COUNTIF('Prop Budget Calc'!A:A,'Base Pay Report'!A402))</f>
        <v>N/A</v>
      </c>
    </row>
    <row r="403" spans="1:24">
      <c r="A403" s="535" t="s">
        <v>2513</v>
      </c>
      <c r="B403" s="456" t="s">
        <v>2992</v>
      </c>
      <c r="C403" s="456" t="s">
        <v>2993</v>
      </c>
      <c r="D403" s="456" t="s">
        <v>2994</v>
      </c>
      <c r="E403" s="456" t="str">
        <f t="shared" si="7"/>
        <v>First Name Last Name</v>
      </c>
      <c r="F403" s="535" t="s">
        <v>1214</v>
      </c>
      <c r="G403" s="535" t="s">
        <v>170</v>
      </c>
      <c r="H403" s="536">
        <v>2122.42</v>
      </c>
      <c r="I403" s="537">
        <v>80</v>
      </c>
      <c r="J403" s="538">
        <v>45264</v>
      </c>
      <c r="K403" s="535" t="s">
        <v>170</v>
      </c>
      <c r="L403" s="535" t="s">
        <v>170</v>
      </c>
      <c r="M403" s="535" t="s">
        <v>1726</v>
      </c>
      <c r="N403" s="535" t="s">
        <v>924</v>
      </c>
      <c r="O403" s="535" t="s">
        <v>1325</v>
      </c>
      <c r="P403" s="535" t="s">
        <v>1218</v>
      </c>
      <c r="Q403" s="535" t="s">
        <v>1231</v>
      </c>
      <c r="R403" s="538" t="s">
        <v>170</v>
      </c>
      <c r="S403" s="535" t="s">
        <v>1253</v>
      </c>
      <c r="T403" s="535" t="s">
        <v>1485</v>
      </c>
      <c r="U403" s="536">
        <v>55182.92</v>
      </c>
      <c r="V403" s="535" t="s">
        <v>1220</v>
      </c>
      <c r="X403" s="369">
        <f>IF(OR(T403="125-65-654-50110",T403="125-65-652-50110",T403="125-65-656-50110"),"N/A",COUNTIF('Prop Budget Calc'!A:A,'Base Pay Report'!A403))</f>
        <v>1</v>
      </c>
    </row>
    <row r="404" spans="1:24">
      <c r="A404" s="535" t="s">
        <v>2514</v>
      </c>
      <c r="B404" s="456" t="s">
        <v>2992</v>
      </c>
      <c r="C404" s="456" t="s">
        <v>2993</v>
      </c>
      <c r="D404" s="456" t="s">
        <v>2994</v>
      </c>
      <c r="E404" s="456" t="str">
        <f t="shared" si="7"/>
        <v>First Name Last Name</v>
      </c>
      <c r="F404" s="535" t="s">
        <v>1214</v>
      </c>
      <c r="G404" s="535" t="s">
        <v>1397</v>
      </c>
      <c r="H404" s="536">
        <v>20.28</v>
      </c>
      <c r="I404" s="537" t="s">
        <v>170</v>
      </c>
      <c r="J404" s="538">
        <v>45264</v>
      </c>
      <c r="K404" s="535" t="s">
        <v>170</v>
      </c>
      <c r="L404" s="535" t="s">
        <v>170</v>
      </c>
      <c r="M404" s="535" t="s">
        <v>1398</v>
      </c>
      <c r="N404" s="535" t="s">
        <v>126</v>
      </c>
      <c r="O404" s="535" t="s">
        <v>1224</v>
      </c>
      <c r="P404" s="535" t="s">
        <v>1218</v>
      </c>
      <c r="Q404" s="535" t="s">
        <v>492</v>
      </c>
      <c r="R404" s="538" t="s">
        <v>170</v>
      </c>
      <c r="S404" s="535" t="s">
        <v>1283</v>
      </c>
      <c r="T404" s="535" t="s">
        <v>957</v>
      </c>
      <c r="U404" s="536">
        <v>42182.400000000001</v>
      </c>
      <c r="V404" s="535" t="s">
        <v>1220</v>
      </c>
      <c r="X404" s="369">
        <f>IF(OR(T404="125-65-654-50110",T404="125-65-652-50110",T404="125-65-656-50110"),"N/A",COUNTIF('Prop Budget Calc'!A:A,'Base Pay Report'!A404))</f>
        <v>0</v>
      </c>
    </row>
    <row r="405" spans="1:24">
      <c r="A405" s="535" t="s">
        <v>2515</v>
      </c>
      <c r="B405" s="456" t="s">
        <v>2992</v>
      </c>
      <c r="C405" s="456" t="s">
        <v>2993</v>
      </c>
      <c r="D405" s="456" t="s">
        <v>2994</v>
      </c>
      <c r="E405" s="456" t="str">
        <f t="shared" si="7"/>
        <v>First Name Last Name</v>
      </c>
      <c r="F405" s="535" t="s">
        <v>1214</v>
      </c>
      <c r="G405" s="535" t="s">
        <v>1579</v>
      </c>
      <c r="H405" s="536">
        <v>11.73</v>
      </c>
      <c r="I405" s="537" t="s">
        <v>170</v>
      </c>
      <c r="J405" s="538">
        <v>45255</v>
      </c>
      <c r="K405" s="535" t="s">
        <v>170</v>
      </c>
      <c r="L405" s="535" t="s">
        <v>170</v>
      </c>
      <c r="M405" s="535" t="s">
        <v>1580</v>
      </c>
      <c r="N405" s="535" t="s">
        <v>1007</v>
      </c>
      <c r="O405" s="535" t="s">
        <v>1325</v>
      </c>
      <c r="P405" s="535" t="s">
        <v>1218</v>
      </c>
      <c r="Q405" s="535" t="s">
        <v>492</v>
      </c>
      <c r="R405" s="538" t="s">
        <v>170</v>
      </c>
      <c r="S405" s="535" t="s">
        <v>1305</v>
      </c>
      <c r="T405" s="535" t="s">
        <v>1565</v>
      </c>
      <c r="U405" s="536">
        <v>24398.400000000001</v>
      </c>
      <c r="V405" s="535" t="s">
        <v>1307</v>
      </c>
      <c r="X405" s="369" t="str">
        <f>IF(OR(T405="125-65-654-50110",T405="125-65-652-50110",T405="125-65-656-50110"),"N/A",COUNTIF('Prop Budget Calc'!A:A,'Base Pay Report'!A405))</f>
        <v>N/A</v>
      </c>
    </row>
    <row r="406" spans="1:24">
      <c r="A406" s="535" t="s">
        <v>2516</v>
      </c>
      <c r="B406" s="456" t="s">
        <v>2992</v>
      </c>
      <c r="C406" s="456" t="s">
        <v>2993</v>
      </c>
      <c r="D406" s="456" t="s">
        <v>2994</v>
      </c>
      <c r="E406" s="456" t="str">
        <f t="shared" si="7"/>
        <v>First Name Last Name</v>
      </c>
      <c r="F406" s="535" t="s">
        <v>1214</v>
      </c>
      <c r="G406" s="535" t="s">
        <v>1256</v>
      </c>
      <c r="H406" s="536">
        <v>16.45</v>
      </c>
      <c r="I406" s="537" t="s">
        <v>170</v>
      </c>
      <c r="J406" s="538">
        <v>45264</v>
      </c>
      <c r="K406" s="535" t="s">
        <v>170</v>
      </c>
      <c r="L406" s="535" t="s">
        <v>170</v>
      </c>
      <c r="M406" s="535" t="s">
        <v>1738</v>
      </c>
      <c r="N406" s="535" t="s">
        <v>1739</v>
      </c>
      <c r="O406" s="535" t="s">
        <v>1230</v>
      </c>
      <c r="P406" s="535" t="s">
        <v>1218</v>
      </c>
      <c r="Q406" s="535" t="s">
        <v>492</v>
      </c>
      <c r="R406" s="538" t="s">
        <v>170</v>
      </c>
      <c r="S406" s="535" t="s">
        <v>1305</v>
      </c>
      <c r="T406" s="535" t="s">
        <v>1740</v>
      </c>
      <c r="U406" s="536">
        <v>34216</v>
      </c>
      <c r="V406" s="535" t="s">
        <v>1307</v>
      </c>
      <c r="X406" s="369">
        <f>IF(OR(T406="125-65-654-50110",T406="125-65-652-50110",T406="125-65-656-50110"),"N/A",COUNTIF('Prop Budget Calc'!A:A,'Base Pay Report'!A406))</f>
        <v>0</v>
      </c>
    </row>
    <row r="407" spans="1:24">
      <c r="A407" s="535" t="s">
        <v>2553</v>
      </c>
      <c r="B407" s="456" t="s">
        <v>2992</v>
      </c>
      <c r="C407" s="456" t="s">
        <v>2993</v>
      </c>
      <c r="D407" s="456" t="s">
        <v>2994</v>
      </c>
      <c r="E407" s="456" t="str">
        <f t="shared" si="7"/>
        <v>First Name Last Name</v>
      </c>
      <c r="F407" s="535" t="s">
        <v>1214</v>
      </c>
      <c r="G407" s="535" t="s">
        <v>1403</v>
      </c>
      <c r="H407" s="536">
        <v>11.67</v>
      </c>
      <c r="I407" s="537" t="s">
        <v>170</v>
      </c>
      <c r="J407" s="538">
        <v>45299</v>
      </c>
      <c r="K407" s="535" t="s">
        <v>170</v>
      </c>
      <c r="L407" s="535" t="s">
        <v>170</v>
      </c>
      <c r="M407" s="535" t="s">
        <v>2592</v>
      </c>
      <c r="N407" s="535" t="s">
        <v>1113</v>
      </c>
      <c r="O407" s="535" t="s">
        <v>1230</v>
      </c>
      <c r="P407" s="535" t="s">
        <v>1218</v>
      </c>
      <c r="Q407" s="535" t="s">
        <v>492</v>
      </c>
      <c r="R407" s="538" t="s">
        <v>170</v>
      </c>
      <c r="S407" s="535" t="s">
        <v>1305</v>
      </c>
      <c r="T407" s="535" t="s">
        <v>1894</v>
      </c>
      <c r="U407" s="536">
        <v>24273.599999999999</v>
      </c>
      <c r="V407" s="535" t="s">
        <v>2593</v>
      </c>
      <c r="X407" s="369">
        <f>IF(OR(T407="125-65-654-50110",T407="125-65-652-50110",T407="125-65-656-50110"),"N/A",COUNTIF('Prop Budget Calc'!A:A,'Base Pay Report'!A407))</f>
        <v>1</v>
      </c>
    </row>
    <row r="408" spans="1:24">
      <c r="A408" s="535" t="s">
        <v>2554</v>
      </c>
      <c r="B408" s="456" t="s">
        <v>2992</v>
      </c>
      <c r="C408" s="456" t="s">
        <v>2993</v>
      </c>
      <c r="D408" s="456" t="s">
        <v>2994</v>
      </c>
      <c r="E408" s="456" t="str">
        <f t="shared" si="7"/>
        <v>First Name Last Name</v>
      </c>
      <c r="F408" s="535" t="s">
        <v>1214</v>
      </c>
      <c r="G408" s="535" t="s">
        <v>170</v>
      </c>
      <c r="H408" s="536">
        <v>5038.46</v>
      </c>
      <c r="I408" s="537">
        <v>80</v>
      </c>
      <c r="J408" s="538">
        <v>45320</v>
      </c>
      <c r="K408" s="535" t="s">
        <v>170</v>
      </c>
      <c r="L408" s="535" t="s">
        <v>170</v>
      </c>
      <c r="M408" s="535" t="s">
        <v>1390</v>
      </c>
      <c r="N408" s="535" t="s">
        <v>120</v>
      </c>
      <c r="O408" s="535" t="s">
        <v>1224</v>
      </c>
      <c r="P408" s="535" t="s">
        <v>1218</v>
      </c>
      <c r="Q408" s="535" t="s">
        <v>1231</v>
      </c>
      <c r="R408" s="538" t="s">
        <v>170</v>
      </c>
      <c r="S408" s="535" t="s">
        <v>1253</v>
      </c>
      <c r="T408" s="535" t="s">
        <v>2594</v>
      </c>
      <c r="U408" s="536">
        <v>130999.96</v>
      </c>
      <c r="V408" s="535" t="s">
        <v>1220</v>
      </c>
      <c r="X408" s="369">
        <f>IF(OR(T408="125-65-654-50110",T408="125-65-652-50110",T408="125-65-656-50110"),"N/A",COUNTIF('Prop Budget Calc'!A:A,'Base Pay Report'!A408))</f>
        <v>0</v>
      </c>
    </row>
    <row r="409" spans="1:24">
      <c r="A409" s="535" t="s">
        <v>2559</v>
      </c>
      <c r="B409" s="456" t="s">
        <v>2992</v>
      </c>
      <c r="C409" s="456" t="s">
        <v>2993</v>
      </c>
      <c r="D409" s="456" t="s">
        <v>2994</v>
      </c>
      <c r="E409" s="456" t="str">
        <f t="shared" si="7"/>
        <v>First Name Last Name</v>
      </c>
      <c r="F409" s="535" t="s">
        <v>1214</v>
      </c>
      <c r="G409" s="535" t="s">
        <v>1256</v>
      </c>
      <c r="H409" s="536">
        <v>19.28</v>
      </c>
      <c r="I409" s="537" t="s">
        <v>170</v>
      </c>
      <c r="J409" s="538">
        <v>45306</v>
      </c>
      <c r="K409" s="535" t="s">
        <v>170</v>
      </c>
      <c r="L409" s="535" t="s">
        <v>170</v>
      </c>
      <c r="M409" s="535" t="s">
        <v>2595</v>
      </c>
      <c r="N409" s="535" t="s">
        <v>2596</v>
      </c>
      <c r="O409" s="535" t="s">
        <v>1338</v>
      </c>
      <c r="P409" s="535" t="s">
        <v>1218</v>
      </c>
      <c r="Q409" s="535" t="s">
        <v>492</v>
      </c>
      <c r="R409" s="538" t="s">
        <v>170</v>
      </c>
      <c r="S409" s="535" t="s">
        <v>1291</v>
      </c>
      <c r="T409" s="535" t="s">
        <v>1411</v>
      </c>
      <c r="U409" s="536">
        <v>40102.400000000001</v>
      </c>
      <c r="V409" s="535" t="s">
        <v>1220</v>
      </c>
      <c r="X409" s="369">
        <f>IF(OR(T409="125-65-654-50110",T409="125-65-652-50110",T409="125-65-656-50110"),"N/A",COUNTIF('Prop Budget Calc'!A:A,'Base Pay Report'!A409))</f>
        <v>0</v>
      </c>
    </row>
    <row r="410" spans="1:24">
      <c r="A410" s="535" t="s">
        <v>2560</v>
      </c>
      <c r="B410" s="456" t="s">
        <v>2992</v>
      </c>
      <c r="C410" s="456" t="s">
        <v>2993</v>
      </c>
      <c r="D410" s="456" t="s">
        <v>2994</v>
      </c>
      <c r="E410" s="456" t="str">
        <f t="shared" si="7"/>
        <v>First Name Last Name</v>
      </c>
      <c r="F410" s="535" t="s">
        <v>1214</v>
      </c>
      <c r="G410" s="535" t="s">
        <v>1602</v>
      </c>
      <c r="H410" s="536">
        <v>10.199999999999999</v>
      </c>
      <c r="I410" s="537" t="s">
        <v>170</v>
      </c>
      <c r="J410" s="538">
        <v>45311</v>
      </c>
      <c r="K410" s="535" t="s">
        <v>170</v>
      </c>
      <c r="L410" s="535" t="s">
        <v>170</v>
      </c>
      <c r="M410" s="535" t="s">
        <v>1603</v>
      </c>
      <c r="N410" s="535" t="s">
        <v>1010</v>
      </c>
      <c r="O410" s="535" t="s">
        <v>1325</v>
      </c>
      <c r="P410" s="535" t="s">
        <v>1218</v>
      </c>
      <c r="Q410" s="535" t="s">
        <v>492</v>
      </c>
      <c r="R410" s="538" t="s">
        <v>170</v>
      </c>
      <c r="S410" s="535" t="s">
        <v>1305</v>
      </c>
      <c r="T410" s="535" t="s">
        <v>1326</v>
      </c>
      <c r="U410" s="536">
        <v>21216</v>
      </c>
      <c r="V410" s="535" t="s">
        <v>1307</v>
      </c>
      <c r="X410" s="369" t="str">
        <f>IF(OR(T410="125-65-654-50110",T410="125-65-652-50110",T410="125-65-656-50110"),"N/A",COUNTIF('Prop Budget Calc'!A:A,'Base Pay Report'!A410))</f>
        <v>N/A</v>
      </c>
    </row>
    <row r="411" spans="1:24">
      <c r="A411" s="535" t="s">
        <v>2568</v>
      </c>
      <c r="B411" s="456" t="s">
        <v>2992</v>
      </c>
      <c r="C411" s="456" t="s">
        <v>2993</v>
      </c>
      <c r="D411" s="456" t="s">
        <v>2994</v>
      </c>
      <c r="E411" s="456" t="str">
        <f t="shared" si="7"/>
        <v>First Name Last Name</v>
      </c>
      <c r="F411" s="535" t="s">
        <v>1214</v>
      </c>
      <c r="G411" s="535" t="s">
        <v>1256</v>
      </c>
      <c r="H411" s="536">
        <v>18.28</v>
      </c>
      <c r="I411" s="537" t="s">
        <v>170</v>
      </c>
      <c r="J411" s="538">
        <v>45327</v>
      </c>
      <c r="K411" s="535" t="s">
        <v>170</v>
      </c>
      <c r="L411" s="535" t="s">
        <v>170</v>
      </c>
      <c r="M411" s="535" t="s">
        <v>1513</v>
      </c>
      <c r="N411" s="535" t="s">
        <v>1514</v>
      </c>
      <c r="O411" s="535" t="s">
        <v>1290</v>
      </c>
      <c r="P411" s="535" t="s">
        <v>1218</v>
      </c>
      <c r="Q411" s="535" t="s">
        <v>492</v>
      </c>
      <c r="R411" s="538" t="s">
        <v>170</v>
      </c>
      <c r="S411" s="535" t="s">
        <v>1291</v>
      </c>
      <c r="T411" s="535" t="s">
        <v>968</v>
      </c>
      <c r="U411" s="536">
        <v>38022.400000000001</v>
      </c>
      <c r="V411" s="535" t="s">
        <v>1220</v>
      </c>
      <c r="X411" s="369">
        <f>IF(OR(T411="125-65-654-50110",T411="125-65-652-50110",T411="125-65-656-50110"),"N/A",COUNTIF('Prop Budget Calc'!A:A,'Base Pay Report'!A411))</f>
        <v>1</v>
      </c>
    </row>
    <row r="412" spans="1:24">
      <c r="A412" s="535" t="s">
        <v>2569</v>
      </c>
      <c r="B412" s="456" t="s">
        <v>2992</v>
      </c>
      <c r="C412" s="456" t="s">
        <v>2993</v>
      </c>
      <c r="D412" s="456" t="s">
        <v>2994</v>
      </c>
      <c r="E412" s="456" t="str">
        <f t="shared" si="7"/>
        <v>First Name Last Name</v>
      </c>
      <c r="F412" s="535" t="s">
        <v>1214</v>
      </c>
      <c r="G412" s="535" t="s">
        <v>1579</v>
      </c>
      <c r="H412" s="536">
        <v>11.73</v>
      </c>
      <c r="I412" s="537" t="s">
        <v>170</v>
      </c>
      <c r="J412" s="538">
        <v>45332</v>
      </c>
      <c r="K412" s="535" t="s">
        <v>170</v>
      </c>
      <c r="L412" s="535" t="s">
        <v>170</v>
      </c>
      <c r="M412" s="535" t="s">
        <v>1580</v>
      </c>
      <c r="N412" s="535" t="s">
        <v>1007</v>
      </c>
      <c r="O412" s="535" t="s">
        <v>1325</v>
      </c>
      <c r="P412" s="535" t="s">
        <v>1218</v>
      </c>
      <c r="Q412" s="535" t="s">
        <v>492</v>
      </c>
      <c r="R412" s="538" t="s">
        <v>170</v>
      </c>
      <c r="S412" s="535" t="s">
        <v>1305</v>
      </c>
      <c r="T412" s="535" t="s">
        <v>1565</v>
      </c>
      <c r="U412" s="536">
        <v>24398.400000000001</v>
      </c>
      <c r="V412" s="535" t="s">
        <v>1307</v>
      </c>
      <c r="X412" s="369" t="str">
        <f>IF(OR(T412="125-65-654-50110",T412="125-65-652-50110",T412="125-65-656-50110"),"N/A",COUNTIF('Prop Budget Calc'!A:A,'Base Pay Report'!A412))</f>
        <v>N/A</v>
      </c>
    </row>
    <row r="413" spans="1:24">
      <c r="A413" s="535" t="s">
        <v>2570</v>
      </c>
      <c r="B413" s="456" t="s">
        <v>2992</v>
      </c>
      <c r="C413" s="456" t="s">
        <v>2993</v>
      </c>
      <c r="D413" s="456" t="s">
        <v>2994</v>
      </c>
      <c r="E413" s="456" t="str">
        <f t="shared" si="7"/>
        <v>First Name Last Name</v>
      </c>
      <c r="F413" s="535" t="s">
        <v>1214</v>
      </c>
      <c r="G413" s="535" t="s">
        <v>170</v>
      </c>
      <c r="H413" s="536">
        <v>10.199999999999999</v>
      </c>
      <c r="I413" s="537" t="s">
        <v>170</v>
      </c>
      <c r="J413" s="538">
        <v>45332</v>
      </c>
      <c r="K413" s="535" t="s">
        <v>170</v>
      </c>
      <c r="L413" s="535" t="s">
        <v>170</v>
      </c>
      <c r="M413" s="535" t="s">
        <v>1603</v>
      </c>
      <c r="N413" s="535" t="s">
        <v>1010</v>
      </c>
      <c r="O413" s="535" t="s">
        <v>1325</v>
      </c>
      <c r="P413" s="535" t="s">
        <v>1218</v>
      </c>
      <c r="Q413" s="535" t="s">
        <v>492</v>
      </c>
      <c r="R413" s="538" t="s">
        <v>170</v>
      </c>
      <c r="S413" s="535" t="s">
        <v>1305</v>
      </c>
      <c r="T413" s="535" t="s">
        <v>1326</v>
      </c>
      <c r="U413" s="536">
        <v>21216</v>
      </c>
      <c r="V413" s="535" t="s">
        <v>1307</v>
      </c>
      <c r="X413" s="369" t="str">
        <f>IF(OR(T413="125-65-654-50110",T413="125-65-652-50110",T413="125-65-656-50110"),"N/A",COUNTIF('Prop Budget Calc'!A:A,'Base Pay Report'!A413))</f>
        <v>N/A</v>
      </c>
    </row>
    <row r="414" spans="1:24">
      <c r="A414" s="535" t="s">
        <v>2571</v>
      </c>
      <c r="B414" s="456" t="s">
        <v>2992</v>
      </c>
      <c r="C414" s="456" t="s">
        <v>2993</v>
      </c>
      <c r="D414" s="456" t="s">
        <v>2994</v>
      </c>
      <c r="E414" s="456" t="str">
        <f t="shared" si="7"/>
        <v>First Name Last Name</v>
      </c>
      <c r="F414" s="535" t="s">
        <v>1214</v>
      </c>
      <c r="G414" s="535" t="s">
        <v>1579</v>
      </c>
      <c r="H414" s="536">
        <v>11.73</v>
      </c>
      <c r="I414" s="537" t="s">
        <v>170</v>
      </c>
      <c r="J414" s="538">
        <v>45332</v>
      </c>
      <c r="K414" s="535" t="s">
        <v>170</v>
      </c>
      <c r="L414" s="535" t="s">
        <v>170</v>
      </c>
      <c r="M414" s="535" t="s">
        <v>1580</v>
      </c>
      <c r="N414" s="535" t="s">
        <v>1007</v>
      </c>
      <c r="O414" s="535" t="s">
        <v>1325</v>
      </c>
      <c r="P414" s="535" t="s">
        <v>1218</v>
      </c>
      <c r="Q414" s="535" t="s">
        <v>492</v>
      </c>
      <c r="R414" s="538" t="s">
        <v>170</v>
      </c>
      <c r="S414" s="535" t="s">
        <v>1305</v>
      </c>
      <c r="T414" s="535" t="s">
        <v>1565</v>
      </c>
      <c r="U414" s="536">
        <v>24398.400000000001</v>
      </c>
      <c r="V414" s="535" t="s">
        <v>1307</v>
      </c>
      <c r="X414" s="369" t="str">
        <f>IF(OR(T414="125-65-654-50110",T414="125-65-652-50110",T414="125-65-656-50110"),"N/A",COUNTIF('Prop Budget Calc'!A:A,'Base Pay Report'!A414))</f>
        <v>N/A</v>
      </c>
    </row>
    <row r="415" spans="1:24">
      <c r="A415" s="535" t="s">
        <v>2572</v>
      </c>
      <c r="B415" s="456" t="s">
        <v>2992</v>
      </c>
      <c r="C415" s="456" t="s">
        <v>2993</v>
      </c>
      <c r="D415" s="456" t="s">
        <v>2994</v>
      </c>
      <c r="E415" s="456" t="str">
        <f t="shared" si="7"/>
        <v>First Name Last Name</v>
      </c>
      <c r="F415" s="535" t="s">
        <v>1214</v>
      </c>
      <c r="G415" s="535" t="s">
        <v>170</v>
      </c>
      <c r="H415" s="536">
        <v>13.8</v>
      </c>
      <c r="I415" s="537" t="s">
        <v>170</v>
      </c>
      <c r="J415" s="538">
        <v>45336</v>
      </c>
      <c r="K415" s="535" t="s">
        <v>170</v>
      </c>
      <c r="L415" s="535" t="s">
        <v>170</v>
      </c>
      <c r="M415" s="535" t="s">
        <v>1303</v>
      </c>
      <c r="N415" s="535" t="s">
        <v>993</v>
      </c>
      <c r="O415" s="535" t="s">
        <v>1304</v>
      </c>
      <c r="P415" s="535" t="s">
        <v>1218</v>
      </c>
      <c r="Q415" s="535" t="s">
        <v>492</v>
      </c>
      <c r="R415" s="538" t="s">
        <v>170</v>
      </c>
      <c r="S415" s="535" t="s">
        <v>1305</v>
      </c>
      <c r="T415" s="535" t="s">
        <v>1306</v>
      </c>
      <c r="U415" s="536">
        <v>28704</v>
      </c>
      <c r="V415" s="535" t="s">
        <v>1307</v>
      </c>
      <c r="X415" s="369">
        <f>IF(OR(T415="125-65-654-50110",T415="125-65-652-50110",T415="125-65-656-50110"),"N/A",COUNTIF('Prop Budget Calc'!A:A,'Base Pay Report'!A415))</f>
        <v>0</v>
      </c>
    </row>
    <row r="416" spans="1:24">
      <c r="A416" s="535" t="s">
        <v>2573</v>
      </c>
      <c r="B416" s="456" t="s">
        <v>2992</v>
      </c>
      <c r="C416" s="456" t="s">
        <v>2993</v>
      </c>
      <c r="D416" s="456" t="s">
        <v>2994</v>
      </c>
      <c r="E416" s="456" t="str">
        <f t="shared" si="7"/>
        <v>First Name Last Name</v>
      </c>
      <c r="F416" s="535" t="s">
        <v>1214</v>
      </c>
      <c r="G416" s="535" t="s">
        <v>1579</v>
      </c>
      <c r="H416" s="536">
        <v>11.73</v>
      </c>
      <c r="I416" s="537" t="s">
        <v>170</v>
      </c>
      <c r="J416" s="538">
        <v>45336</v>
      </c>
      <c r="K416" s="535" t="s">
        <v>170</v>
      </c>
      <c r="L416" s="535" t="s">
        <v>170</v>
      </c>
      <c r="M416" s="535" t="s">
        <v>1580</v>
      </c>
      <c r="N416" s="535" t="s">
        <v>1007</v>
      </c>
      <c r="O416" s="535" t="s">
        <v>1325</v>
      </c>
      <c r="P416" s="535" t="s">
        <v>1218</v>
      </c>
      <c r="Q416" s="535" t="s">
        <v>492</v>
      </c>
      <c r="R416" s="538" t="s">
        <v>170</v>
      </c>
      <c r="S416" s="535" t="s">
        <v>1305</v>
      </c>
      <c r="T416" s="535" t="s">
        <v>1565</v>
      </c>
      <c r="U416" s="536">
        <v>24398.400000000001</v>
      </c>
      <c r="V416" s="535" t="s">
        <v>1307</v>
      </c>
      <c r="X416" s="369" t="str">
        <f>IF(OR(T416="125-65-654-50110",T416="125-65-652-50110",T416="125-65-656-50110"),"N/A",COUNTIF('Prop Budget Calc'!A:A,'Base Pay Report'!A416))</f>
        <v>N/A</v>
      </c>
    </row>
    <row r="417" spans="1:24">
      <c r="A417" s="535" t="s">
        <v>2574</v>
      </c>
      <c r="B417" s="456" t="s">
        <v>2992</v>
      </c>
      <c r="C417" s="456" t="s">
        <v>2993</v>
      </c>
      <c r="D417" s="456" t="s">
        <v>2994</v>
      </c>
      <c r="E417" s="456" t="str">
        <f t="shared" si="7"/>
        <v>First Name Last Name</v>
      </c>
      <c r="F417" s="535" t="s">
        <v>1214</v>
      </c>
      <c r="G417" s="535" t="s">
        <v>1486</v>
      </c>
      <c r="H417" s="536">
        <v>13.77</v>
      </c>
      <c r="I417" s="537" t="s">
        <v>170</v>
      </c>
      <c r="J417" s="538">
        <v>45353</v>
      </c>
      <c r="K417" s="535" t="s">
        <v>170</v>
      </c>
      <c r="L417" s="535" t="s">
        <v>170</v>
      </c>
      <c r="M417" s="535" t="s">
        <v>1487</v>
      </c>
      <c r="N417" s="535" t="s">
        <v>1488</v>
      </c>
      <c r="O417" s="535" t="s">
        <v>1325</v>
      </c>
      <c r="P417" s="535" t="s">
        <v>1218</v>
      </c>
      <c r="Q417" s="535" t="s">
        <v>492</v>
      </c>
      <c r="R417" s="538" t="s">
        <v>170</v>
      </c>
      <c r="S417" s="535" t="s">
        <v>1305</v>
      </c>
      <c r="T417" s="535" t="s">
        <v>1326</v>
      </c>
      <c r="U417" s="536">
        <v>28641.599999999999</v>
      </c>
      <c r="V417" s="535" t="s">
        <v>1307</v>
      </c>
      <c r="X417" s="369" t="str">
        <f>IF(OR(T417="125-65-654-50110",T417="125-65-652-50110",T417="125-65-656-50110"),"N/A",COUNTIF('Prop Budget Calc'!A:A,'Base Pay Report'!A417))</f>
        <v>N/A</v>
      </c>
    </row>
    <row r="418" spans="1:24">
      <c r="A418" s="535" t="s">
        <v>2575</v>
      </c>
      <c r="B418" s="456" t="s">
        <v>2992</v>
      </c>
      <c r="C418" s="456" t="s">
        <v>2993</v>
      </c>
      <c r="D418" s="456" t="s">
        <v>2994</v>
      </c>
      <c r="E418" s="456" t="str">
        <f t="shared" si="7"/>
        <v>First Name Last Name</v>
      </c>
      <c r="F418" s="535" t="s">
        <v>1214</v>
      </c>
      <c r="G418" s="535" t="s">
        <v>1486</v>
      </c>
      <c r="H418" s="536">
        <v>13.77</v>
      </c>
      <c r="I418" s="537" t="s">
        <v>170</v>
      </c>
      <c r="J418" s="538">
        <v>45353</v>
      </c>
      <c r="K418" s="535" t="s">
        <v>170</v>
      </c>
      <c r="L418" s="535" t="s">
        <v>170</v>
      </c>
      <c r="M418" s="535" t="s">
        <v>1487</v>
      </c>
      <c r="N418" s="535" t="s">
        <v>1488</v>
      </c>
      <c r="O418" s="535" t="s">
        <v>1325</v>
      </c>
      <c r="P418" s="535" t="s">
        <v>1218</v>
      </c>
      <c r="Q418" s="535" t="s">
        <v>492</v>
      </c>
      <c r="R418" s="538" t="s">
        <v>170</v>
      </c>
      <c r="S418" s="535" t="s">
        <v>1305</v>
      </c>
      <c r="T418" s="535" t="s">
        <v>1326</v>
      </c>
      <c r="U418" s="536">
        <v>28641.599999999999</v>
      </c>
      <c r="V418" s="535" t="s">
        <v>1307</v>
      </c>
      <c r="X418" s="369" t="str">
        <f>IF(OR(T418="125-65-654-50110",T418="125-65-652-50110",T418="125-65-656-50110"),"N/A",COUNTIF('Prop Budget Calc'!A:A,'Base Pay Report'!A418))</f>
        <v>N/A</v>
      </c>
    </row>
    <row r="419" spans="1:24">
      <c r="A419" s="535" t="s">
        <v>2576</v>
      </c>
      <c r="B419" s="456" t="s">
        <v>2992</v>
      </c>
      <c r="C419" s="456" t="s">
        <v>2993</v>
      </c>
      <c r="D419" s="456" t="s">
        <v>2994</v>
      </c>
      <c r="E419" s="456" t="str">
        <f t="shared" si="7"/>
        <v>First Name Last Name</v>
      </c>
      <c r="F419" s="535" t="s">
        <v>1214</v>
      </c>
      <c r="G419" s="535" t="s">
        <v>1579</v>
      </c>
      <c r="H419" s="536">
        <v>11.73</v>
      </c>
      <c r="I419" s="537" t="s">
        <v>170</v>
      </c>
      <c r="J419" s="538">
        <v>45353</v>
      </c>
      <c r="K419" s="535" t="s">
        <v>170</v>
      </c>
      <c r="L419" s="535" t="s">
        <v>170</v>
      </c>
      <c r="M419" s="535" t="s">
        <v>1580</v>
      </c>
      <c r="N419" s="535" t="s">
        <v>1007</v>
      </c>
      <c r="O419" s="535" t="s">
        <v>1325</v>
      </c>
      <c r="P419" s="535" t="s">
        <v>1218</v>
      </c>
      <c r="Q419" s="535" t="s">
        <v>492</v>
      </c>
      <c r="R419" s="538" t="s">
        <v>170</v>
      </c>
      <c r="S419" s="535" t="s">
        <v>1305</v>
      </c>
      <c r="T419" s="535" t="s">
        <v>1565</v>
      </c>
      <c r="U419" s="536">
        <v>24398.400000000001</v>
      </c>
      <c r="V419" s="535" t="s">
        <v>1307</v>
      </c>
      <c r="X419" s="369" t="str">
        <f>IF(OR(T419="125-65-654-50110",T419="125-65-652-50110",T419="125-65-656-50110"),"N/A",COUNTIF('Prop Budget Calc'!A:A,'Base Pay Report'!A419))</f>
        <v>N/A</v>
      </c>
    </row>
    <row r="420" spans="1:24">
      <c r="A420" s="535" t="s">
        <v>2577</v>
      </c>
      <c r="B420" s="456" t="s">
        <v>2992</v>
      </c>
      <c r="C420" s="456" t="s">
        <v>2993</v>
      </c>
      <c r="D420" s="456" t="s">
        <v>2994</v>
      </c>
      <c r="E420" s="456" t="str">
        <f t="shared" si="7"/>
        <v>First Name Last Name</v>
      </c>
      <c r="F420" s="535" t="s">
        <v>1214</v>
      </c>
      <c r="G420" s="535" t="s">
        <v>1386</v>
      </c>
      <c r="H420" s="536">
        <v>20.16</v>
      </c>
      <c r="I420" s="537" t="s">
        <v>170</v>
      </c>
      <c r="J420" s="538">
        <v>45364</v>
      </c>
      <c r="K420" s="535" t="s">
        <v>170</v>
      </c>
      <c r="L420" s="535" t="s">
        <v>170</v>
      </c>
      <c r="M420" s="535" t="s">
        <v>2522</v>
      </c>
      <c r="N420" s="535" t="s">
        <v>2523</v>
      </c>
      <c r="O420" s="535" t="s">
        <v>1230</v>
      </c>
      <c r="P420" s="535" t="s">
        <v>1218</v>
      </c>
      <c r="Q420" s="535" t="s">
        <v>492</v>
      </c>
      <c r="R420" s="538" t="s">
        <v>170</v>
      </c>
      <c r="S420" s="535" t="s">
        <v>1259</v>
      </c>
      <c r="T420" s="535" t="s">
        <v>1433</v>
      </c>
      <c r="U420" s="536">
        <v>41932.800000000003</v>
      </c>
      <c r="V420" s="535" t="s">
        <v>1220</v>
      </c>
      <c r="X420" s="369">
        <f>IF(OR(T420="125-65-654-50110",T420="125-65-652-50110",T420="125-65-656-50110"),"N/A",COUNTIF('Prop Budget Calc'!A:A,'Base Pay Report'!A420))</f>
        <v>1</v>
      </c>
    </row>
    <row r="421" spans="1:24">
      <c r="A421" s="535" t="s">
        <v>2578</v>
      </c>
      <c r="B421" s="456" t="s">
        <v>2992</v>
      </c>
      <c r="C421" s="456" t="s">
        <v>2993</v>
      </c>
      <c r="D421" s="456" t="s">
        <v>2994</v>
      </c>
      <c r="E421" s="456" t="str">
        <f t="shared" si="7"/>
        <v>First Name Last Name</v>
      </c>
      <c r="F421" s="535" t="s">
        <v>1214</v>
      </c>
      <c r="G421" s="535" t="s">
        <v>1579</v>
      </c>
      <c r="H421" s="536">
        <v>11.73</v>
      </c>
      <c r="I421" s="537" t="s">
        <v>170</v>
      </c>
      <c r="J421" s="538">
        <v>45353</v>
      </c>
      <c r="K421" s="535" t="s">
        <v>170</v>
      </c>
      <c r="L421" s="535" t="s">
        <v>170</v>
      </c>
      <c r="M421" s="535" t="s">
        <v>1580</v>
      </c>
      <c r="N421" s="535" t="s">
        <v>1007</v>
      </c>
      <c r="O421" s="535" t="s">
        <v>1325</v>
      </c>
      <c r="P421" s="535" t="s">
        <v>1218</v>
      </c>
      <c r="Q421" s="535" t="s">
        <v>492</v>
      </c>
      <c r="R421" s="538" t="s">
        <v>170</v>
      </c>
      <c r="S421" s="535" t="s">
        <v>1305</v>
      </c>
      <c r="T421" s="535" t="s">
        <v>1565</v>
      </c>
      <c r="U421" s="536">
        <v>24398.400000000001</v>
      </c>
      <c r="V421" s="535" t="s">
        <v>1307</v>
      </c>
      <c r="X421" s="369" t="str">
        <f>IF(OR(T421="125-65-654-50110",T421="125-65-652-50110",T421="125-65-656-50110"),"N/A",COUNTIF('Prop Budget Calc'!A:A,'Base Pay Report'!A421))</f>
        <v>N/A</v>
      </c>
    </row>
    <row r="422" spans="1:24">
      <c r="A422" s="535" t="s">
        <v>2579</v>
      </c>
      <c r="B422" s="456" t="s">
        <v>2992</v>
      </c>
      <c r="C422" s="456" t="s">
        <v>2993</v>
      </c>
      <c r="D422" s="456" t="s">
        <v>2994</v>
      </c>
      <c r="E422" s="456" t="str">
        <f t="shared" si="7"/>
        <v>First Name Last Name</v>
      </c>
      <c r="F422" s="535" t="s">
        <v>1214</v>
      </c>
      <c r="G422" s="535" t="s">
        <v>1579</v>
      </c>
      <c r="H422" s="536">
        <v>11.73</v>
      </c>
      <c r="I422" s="537" t="s">
        <v>170</v>
      </c>
      <c r="J422" s="538">
        <v>45367</v>
      </c>
      <c r="K422" s="535" t="s">
        <v>170</v>
      </c>
      <c r="L422" s="535" t="s">
        <v>170</v>
      </c>
      <c r="M422" s="535" t="s">
        <v>1580</v>
      </c>
      <c r="N422" s="535" t="s">
        <v>1007</v>
      </c>
      <c r="O422" s="535" t="s">
        <v>1325</v>
      </c>
      <c r="P422" s="535" t="s">
        <v>1218</v>
      </c>
      <c r="Q422" s="535" t="s">
        <v>492</v>
      </c>
      <c r="R422" s="538" t="s">
        <v>170</v>
      </c>
      <c r="S422" s="535" t="s">
        <v>1305</v>
      </c>
      <c r="T422" s="535" t="s">
        <v>1565</v>
      </c>
      <c r="U422" s="536">
        <v>24398.400000000001</v>
      </c>
      <c r="V422" s="535" t="s">
        <v>1307</v>
      </c>
      <c r="X422" s="369" t="str">
        <f>IF(OR(T422="125-65-654-50110",T422="125-65-652-50110",T422="125-65-656-50110"),"N/A",COUNTIF('Prop Budget Calc'!A:A,'Base Pay Report'!A422))</f>
        <v>N/A</v>
      </c>
    </row>
    <row r="423" spans="1:24">
      <c r="A423" s="535" t="s">
        <v>2580</v>
      </c>
      <c r="B423" s="456" t="s">
        <v>2992</v>
      </c>
      <c r="C423" s="456" t="s">
        <v>2993</v>
      </c>
      <c r="D423" s="456" t="s">
        <v>2994</v>
      </c>
      <c r="E423" s="456" t="str">
        <f t="shared" si="7"/>
        <v>First Name Last Name</v>
      </c>
      <c r="F423" s="535" t="s">
        <v>1214</v>
      </c>
      <c r="G423" s="535" t="s">
        <v>1579</v>
      </c>
      <c r="H423" s="536">
        <v>11.73</v>
      </c>
      <c r="I423" s="537" t="s">
        <v>170</v>
      </c>
      <c r="J423" s="538">
        <v>45353</v>
      </c>
      <c r="K423" s="535" t="s">
        <v>170</v>
      </c>
      <c r="L423" s="535" t="s">
        <v>170</v>
      </c>
      <c r="M423" s="535" t="s">
        <v>1580</v>
      </c>
      <c r="N423" s="535" t="s">
        <v>1007</v>
      </c>
      <c r="O423" s="535" t="s">
        <v>1325</v>
      </c>
      <c r="P423" s="535" t="s">
        <v>1218</v>
      </c>
      <c r="Q423" s="535" t="s">
        <v>492</v>
      </c>
      <c r="R423" s="538" t="s">
        <v>170</v>
      </c>
      <c r="S423" s="535" t="s">
        <v>1305</v>
      </c>
      <c r="T423" s="535" t="s">
        <v>1565</v>
      </c>
      <c r="U423" s="536">
        <v>24398.400000000001</v>
      </c>
      <c r="V423" s="535" t="s">
        <v>1307</v>
      </c>
      <c r="X423" s="369" t="str">
        <f>IF(OR(T423="125-65-654-50110",T423="125-65-652-50110",T423="125-65-656-50110"),"N/A",COUNTIF('Prop Budget Calc'!A:A,'Base Pay Report'!A423))</f>
        <v>N/A</v>
      </c>
    </row>
    <row r="424" spans="1:24">
      <c r="A424" s="535" t="s">
        <v>2581</v>
      </c>
      <c r="B424" s="456" t="s">
        <v>2992</v>
      </c>
      <c r="C424" s="456" t="s">
        <v>2993</v>
      </c>
      <c r="D424" s="456" t="s">
        <v>2994</v>
      </c>
      <c r="E424" s="456" t="str">
        <f t="shared" si="7"/>
        <v>First Name Last Name</v>
      </c>
      <c r="F424" s="535" t="s">
        <v>1214</v>
      </c>
      <c r="G424" s="535" t="s">
        <v>1579</v>
      </c>
      <c r="H424" s="536">
        <v>11.73</v>
      </c>
      <c r="I424" s="537" t="s">
        <v>170</v>
      </c>
      <c r="J424" s="538">
        <v>45353</v>
      </c>
      <c r="K424" s="535" t="s">
        <v>170</v>
      </c>
      <c r="L424" s="535" t="s">
        <v>170</v>
      </c>
      <c r="M424" s="535" t="s">
        <v>1580</v>
      </c>
      <c r="N424" s="535" t="s">
        <v>1007</v>
      </c>
      <c r="O424" s="535" t="s">
        <v>1325</v>
      </c>
      <c r="P424" s="535" t="s">
        <v>1218</v>
      </c>
      <c r="Q424" s="535" t="s">
        <v>492</v>
      </c>
      <c r="R424" s="538" t="s">
        <v>170</v>
      </c>
      <c r="S424" s="535" t="s">
        <v>1305</v>
      </c>
      <c r="T424" s="535" t="s">
        <v>1565</v>
      </c>
      <c r="U424" s="536">
        <v>24398.400000000001</v>
      </c>
      <c r="V424" s="535" t="s">
        <v>1307</v>
      </c>
      <c r="X424" s="369" t="str">
        <f>IF(OR(T424="125-65-654-50110",T424="125-65-652-50110",T424="125-65-656-50110"),"N/A",COUNTIF('Prop Budget Calc'!A:A,'Base Pay Report'!A424))</f>
        <v>N/A</v>
      </c>
    </row>
    <row r="425" spans="1:24">
      <c r="A425" s="535" t="s">
        <v>2582</v>
      </c>
      <c r="B425" s="456" t="s">
        <v>2992</v>
      </c>
      <c r="C425" s="456" t="s">
        <v>2993</v>
      </c>
      <c r="D425" s="456" t="s">
        <v>2994</v>
      </c>
      <c r="E425" s="456" t="str">
        <f t="shared" si="7"/>
        <v>First Name Last Name</v>
      </c>
      <c r="F425" s="535" t="s">
        <v>1214</v>
      </c>
      <c r="G425" s="535" t="s">
        <v>1579</v>
      </c>
      <c r="H425" s="536">
        <v>11.73</v>
      </c>
      <c r="I425" s="537" t="s">
        <v>170</v>
      </c>
      <c r="J425" s="538">
        <v>45353</v>
      </c>
      <c r="K425" s="535" t="s">
        <v>170</v>
      </c>
      <c r="L425" s="535" t="s">
        <v>170</v>
      </c>
      <c r="M425" s="535" t="s">
        <v>1580</v>
      </c>
      <c r="N425" s="535" t="s">
        <v>1007</v>
      </c>
      <c r="O425" s="535" t="s">
        <v>1325</v>
      </c>
      <c r="P425" s="535" t="s">
        <v>1218</v>
      </c>
      <c r="Q425" s="535" t="s">
        <v>492</v>
      </c>
      <c r="R425" s="538" t="s">
        <v>170</v>
      </c>
      <c r="S425" s="535" t="s">
        <v>1305</v>
      </c>
      <c r="T425" s="535" t="s">
        <v>1565</v>
      </c>
      <c r="U425" s="536">
        <v>24398.400000000001</v>
      </c>
      <c r="V425" s="535" t="s">
        <v>1307</v>
      </c>
      <c r="X425" s="369" t="str">
        <f>IF(OR(T425="125-65-654-50110",T425="125-65-652-50110",T425="125-65-656-50110"),"N/A",COUNTIF('Prop Budget Calc'!A:A,'Base Pay Report'!A425))</f>
        <v>N/A</v>
      </c>
    </row>
    <row r="426" spans="1:24">
      <c r="A426" s="535" t="s">
        <v>2897</v>
      </c>
      <c r="B426" s="456" t="s">
        <v>2992</v>
      </c>
      <c r="C426" s="456" t="s">
        <v>2993</v>
      </c>
      <c r="D426" s="456" t="s">
        <v>2994</v>
      </c>
      <c r="E426" s="456" t="str">
        <f t="shared" si="7"/>
        <v>First Name Last Name</v>
      </c>
      <c r="F426" s="535" t="s">
        <v>1214</v>
      </c>
      <c r="G426" s="535" t="s">
        <v>1602</v>
      </c>
      <c r="H426" s="536">
        <v>13.77</v>
      </c>
      <c r="I426" s="537" t="s">
        <v>170</v>
      </c>
      <c r="J426" s="538">
        <v>45409</v>
      </c>
      <c r="K426" s="535" t="s">
        <v>170</v>
      </c>
      <c r="L426" s="535" t="s">
        <v>170</v>
      </c>
      <c r="M426" s="535" t="s">
        <v>2927</v>
      </c>
      <c r="N426" s="535" t="s">
        <v>2928</v>
      </c>
      <c r="O426" s="535" t="s">
        <v>1325</v>
      </c>
      <c r="P426" s="535" t="s">
        <v>1218</v>
      </c>
      <c r="Q426" s="535" t="s">
        <v>492</v>
      </c>
      <c r="R426" s="538" t="s">
        <v>170</v>
      </c>
      <c r="S426" s="535" t="s">
        <v>1305</v>
      </c>
      <c r="T426" s="535" t="s">
        <v>1326</v>
      </c>
      <c r="U426" s="536">
        <v>28641.599999999999</v>
      </c>
      <c r="V426" s="535" t="s">
        <v>1307</v>
      </c>
      <c r="X426" s="369" t="str">
        <f>IF(OR(T426="125-65-654-50110",T426="125-65-652-50110",T426="125-65-656-50110"),"N/A",COUNTIF('Prop Budget Calc'!A:A,'Base Pay Report'!A426))</f>
        <v>N/A</v>
      </c>
    </row>
    <row r="427" spans="1:24">
      <c r="A427" s="535" t="s">
        <v>2583</v>
      </c>
      <c r="B427" s="456" t="s">
        <v>2992</v>
      </c>
      <c r="C427" s="456" t="s">
        <v>2993</v>
      </c>
      <c r="D427" s="456" t="s">
        <v>2994</v>
      </c>
      <c r="E427" s="456" t="str">
        <f t="shared" si="7"/>
        <v>First Name Last Name</v>
      </c>
      <c r="F427" s="535" t="s">
        <v>1214</v>
      </c>
      <c r="G427" s="535" t="s">
        <v>1579</v>
      </c>
      <c r="H427" s="536">
        <v>11.73</v>
      </c>
      <c r="I427" s="537" t="s">
        <v>170</v>
      </c>
      <c r="J427" s="538">
        <v>45353</v>
      </c>
      <c r="K427" s="535" t="s">
        <v>170</v>
      </c>
      <c r="L427" s="535" t="s">
        <v>170</v>
      </c>
      <c r="M427" s="535" t="s">
        <v>1580</v>
      </c>
      <c r="N427" s="535" t="s">
        <v>1007</v>
      </c>
      <c r="O427" s="535" t="s">
        <v>1325</v>
      </c>
      <c r="P427" s="535" t="s">
        <v>1218</v>
      </c>
      <c r="Q427" s="535" t="s">
        <v>492</v>
      </c>
      <c r="R427" s="538" t="s">
        <v>170</v>
      </c>
      <c r="S427" s="535" t="s">
        <v>1305</v>
      </c>
      <c r="T427" s="535" t="s">
        <v>1565</v>
      </c>
      <c r="U427" s="536">
        <v>24398.400000000001</v>
      </c>
      <c r="V427" s="535" t="s">
        <v>1307</v>
      </c>
      <c r="X427" s="369" t="str">
        <f>IF(OR(T427="125-65-654-50110",T427="125-65-652-50110",T427="125-65-656-50110"),"N/A",COUNTIF('Prop Budget Calc'!A:A,'Base Pay Report'!A427))</f>
        <v>N/A</v>
      </c>
    </row>
    <row r="428" spans="1:24">
      <c r="A428" s="535" t="s">
        <v>2584</v>
      </c>
      <c r="B428" s="456" t="s">
        <v>2992</v>
      </c>
      <c r="C428" s="456" t="s">
        <v>2993</v>
      </c>
      <c r="D428" s="456" t="s">
        <v>2994</v>
      </c>
      <c r="E428" s="456" t="str">
        <f t="shared" si="7"/>
        <v>First Name Last Name</v>
      </c>
      <c r="F428" s="535" t="s">
        <v>1214</v>
      </c>
      <c r="G428" s="535" t="s">
        <v>1579</v>
      </c>
      <c r="H428" s="536">
        <v>11.73</v>
      </c>
      <c r="I428" s="537" t="s">
        <v>170</v>
      </c>
      <c r="J428" s="538">
        <v>45353</v>
      </c>
      <c r="K428" s="535" t="s">
        <v>170</v>
      </c>
      <c r="L428" s="535" t="s">
        <v>170</v>
      </c>
      <c r="M428" s="535" t="s">
        <v>1580</v>
      </c>
      <c r="N428" s="535" t="s">
        <v>1007</v>
      </c>
      <c r="O428" s="535" t="s">
        <v>1325</v>
      </c>
      <c r="P428" s="535" t="s">
        <v>1218</v>
      </c>
      <c r="Q428" s="535" t="s">
        <v>492</v>
      </c>
      <c r="R428" s="538" t="s">
        <v>170</v>
      </c>
      <c r="S428" s="535" t="s">
        <v>1305</v>
      </c>
      <c r="T428" s="535" t="s">
        <v>1565</v>
      </c>
      <c r="U428" s="536">
        <v>24398.400000000001</v>
      </c>
      <c r="V428" s="535" t="s">
        <v>1307</v>
      </c>
      <c r="X428" s="369" t="str">
        <f>IF(OR(T428="125-65-654-50110",T428="125-65-652-50110",T428="125-65-656-50110"),"N/A",COUNTIF('Prop Budget Calc'!A:A,'Base Pay Report'!A428))</f>
        <v>N/A</v>
      </c>
    </row>
    <row r="429" spans="1:24">
      <c r="A429" s="535" t="s">
        <v>2585</v>
      </c>
      <c r="B429" s="456" t="s">
        <v>2992</v>
      </c>
      <c r="C429" s="456" t="s">
        <v>2993</v>
      </c>
      <c r="D429" s="456" t="s">
        <v>2994</v>
      </c>
      <c r="E429" s="456" t="str">
        <f t="shared" si="7"/>
        <v>First Name Last Name</v>
      </c>
      <c r="F429" s="535" t="s">
        <v>1214</v>
      </c>
      <c r="G429" s="535" t="s">
        <v>1579</v>
      </c>
      <c r="H429" s="536">
        <v>11.73</v>
      </c>
      <c r="I429" s="537" t="s">
        <v>170</v>
      </c>
      <c r="J429" s="538">
        <v>45360</v>
      </c>
      <c r="K429" s="535" t="s">
        <v>170</v>
      </c>
      <c r="L429" s="535" t="s">
        <v>170</v>
      </c>
      <c r="M429" s="535" t="s">
        <v>1580</v>
      </c>
      <c r="N429" s="535" t="s">
        <v>1007</v>
      </c>
      <c r="O429" s="535" t="s">
        <v>1325</v>
      </c>
      <c r="P429" s="535" t="s">
        <v>1218</v>
      </c>
      <c r="Q429" s="535" t="s">
        <v>492</v>
      </c>
      <c r="R429" s="538" t="s">
        <v>170</v>
      </c>
      <c r="S429" s="535" t="s">
        <v>1305</v>
      </c>
      <c r="T429" s="535" t="s">
        <v>1565</v>
      </c>
      <c r="U429" s="536">
        <v>24398.400000000001</v>
      </c>
      <c r="V429" s="535" t="s">
        <v>1307</v>
      </c>
      <c r="X429" s="369" t="str">
        <f>IF(OR(T429="125-65-654-50110",T429="125-65-652-50110",T429="125-65-656-50110"),"N/A",COUNTIF('Prop Budget Calc'!A:A,'Base Pay Report'!A429))</f>
        <v>N/A</v>
      </c>
    </row>
    <row r="430" spans="1:24">
      <c r="A430" s="535" t="s">
        <v>2586</v>
      </c>
      <c r="B430" s="456" t="s">
        <v>2992</v>
      </c>
      <c r="C430" s="456" t="s">
        <v>2993</v>
      </c>
      <c r="D430" s="456" t="s">
        <v>2994</v>
      </c>
      <c r="E430" s="456" t="str">
        <f t="shared" si="7"/>
        <v>First Name Last Name</v>
      </c>
      <c r="F430" s="535" t="s">
        <v>1214</v>
      </c>
      <c r="G430" s="535" t="s">
        <v>1486</v>
      </c>
      <c r="H430" s="536">
        <v>13.77</v>
      </c>
      <c r="I430" s="537" t="s">
        <v>170</v>
      </c>
      <c r="J430" s="538">
        <v>45367</v>
      </c>
      <c r="K430" s="535" t="s">
        <v>170</v>
      </c>
      <c r="L430" s="535" t="s">
        <v>170</v>
      </c>
      <c r="M430" s="535" t="s">
        <v>1487</v>
      </c>
      <c r="N430" s="535" t="s">
        <v>1488</v>
      </c>
      <c r="O430" s="535" t="s">
        <v>1325</v>
      </c>
      <c r="P430" s="535" t="s">
        <v>1218</v>
      </c>
      <c r="Q430" s="535" t="s">
        <v>492</v>
      </c>
      <c r="R430" s="538" t="s">
        <v>170</v>
      </c>
      <c r="S430" s="535" t="s">
        <v>1305</v>
      </c>
      <c r="T430" s="535" t="s">
        <v>1326</v>
      </c>
      <c r="U430" s="536">
        <v>28641.599999999999</v>
      </c>
      <c r="V430" s="535" t="s">
        <v>1307</v>
      </c>
      <c r="X430" s="369" t="str">
        <f>IF(OR(T430="125-65-654-50110",T430="125-65-652-50110",T430="125-65-656-50110"),"N/A",COUNTIF('Prop Budget Calc'!A:A,'Base Pay Report'!A430))</f>
        <v>N/A</v>
      </c>
    </row>
    <row r="431" spans="1:24">
      <c r="A431" s="535" t="s">
        <v>2587</v>
      </c>
      <c r="B431" s="456" t="s">
        <v>2992</v>
      </c>
      <c r="C431" s="456" t="s">
        <v>2993</v>
      </c>
      <c r="D431" s="456" t="s">
        <v>2994</v>
      </c>
      <c r="E431" s="456" t="str">
        <f t="shared" si="7"/>
        <v>First Name Last Name</v>
      </c>
      <c r="F431" s="535" t="s">
        <v>1214</v>
      </c>
      <c r="G431" s="535" t="s">
        <v>1579</v>
      </c>
      <c r="H431" s="536">
        <v>11.73</v>
      </c>
      <c r="I431" s="537" t="s">
        <v>170</v>
      </c>
      <c r="J431" s="538">
        <v>45360</v>
      </c>
      <c r="K431" s="535" t="s">
        <v>170</v>
      </c>
      <c r="L431" s="535" t="s">
        <v>170</v>
      </c>
      <c r="M431" s="535" t="s">
        <v>1580</v>
      </c>
      <c r="N431" s="535" t="s">
        <v>1007</v>
      </c>
      <c r="O431" s="535" t="s">
        <v>1325</v>
      </c>
      <c r="P431" s="535" t="s">
        <v>1218</v>
      </c>
      <c r="Q431" s="535" t="s">
        <v>492</v>
      </c>
      <c r="R431" s="538" t="s">
        <v>170</v>
      </c>
      <c r="S431" s="535" t="s">
        <v>1305</v>
      </c>
      <c r="T431" s="535" t="s">
        <v>1565</v>
      </c>
      <c r="U431" s="536">
        <v>24398.400000000001</v>
      </c>
      <c r="V431" s="535" t="s">
        <v>1307</v>
      </c>
      <c r="X431" s="369" t="str">
        <f>IF(OR(T431="125-65-654-50110",T431="125-65-652-50110",T431="125-65-656-50110"),"N/A",COUNTIF('Prop Budget Calc'!A:A,'Base Pay Report'!A431))</f>
        <v>N/A</v>
      </c>
    </row>
    <row r="432" spans="1:24">
      <c r="A432" s="535" t="s">
        <v>2898</v>
      </c>
      <c r="B432" s="456" t="s">
        <v>2992</v>
      </c>
      <c r="C432" s="456" t="s">
        <v>2993</v>
      </c>
      <c r="D432" s="456" t="s">
        <v>2994</v>
      </c>
      <c r="E432" s="456" t="str">
        <f t="shared" si="7"/>
        <v>First Name Last Name</v>
      </c>
      <c r="F432" s="535" t="s">
        <v>1214</v>
      </c>
      <c r="G432" s="535" t="s">
        <v>1263</v>
      </c>
      <c r="H432" s="536">
        <v>24.76</v>
      </c>
      <c r="I432" s="537" t="s">
        <v>170</v>
      </c>
      <c r="J432" s="538">
        <v>45384</v>
      </c>
      <c r="K432" s="535" t="s">
        <v>170</v>
      </c>
      <c r="L432" s="535" t="s">
        <v>170</v>
      </c>
      <c r="M432" s="535" t="s">
        <v>1333</v>
      </c>
      <c r="N432" s="535" t="s">
        <v>994</v>
      </c>
      <c r="O432" s="535" t="s">
        <v>1290</v>
      </c>
      <c r="P432" s="535" t="s">
        <v>1218</v>
      </c>
      <c r="Q432" s="535" t="s">
        <v>492</v>
      </c>
      <c r="R432" s="538" t="s">
        <v>170</v>
      </c>
      <c r="S432" s="535" t="s">
        <v>1291</v>
      </c>
      <c r="T432" s="535" t="s">
        <v>968</v>
      </c>
      <c r="U432" s="536">
        <v>51500.800000000003</v>
      </c>
      <c r="V432" s="535" t="s">
        <v>1220</v>
      </c>
      <c r="X432" s="369">
        <f>IF(OR(T432="125-65-654-50110",T432="125-65-652-50110",T432="125-65-656-50110"),"N/A",COUNTIF('Prop Budget Calc'!A:A,'Base Pay Report'!A432))</f>
        <v>1</v>
      </c>
    </row>
    <row r="433" spans="1:24">
      <c r="A433" s="535" t="s">
        <v>2588</v>
      </c>
      <c r="B433" s="456" t="s">
        <v>2992</v>
      </c>
      <c r="C433" s="456" t="s">
        <v>2993</v>
      </c>
      <c r="D433" s="456" t="s">
        <v>2994</v>
      </c>
      <c r="E433" s="456" t="str">
        <f t="shared" si="7"/>
        <v>First Name Last Name</v>
      </c>
      <c r="F433" s="535" t="s">
        <v>1214</v>
      </c>
      <c r="G433" s="535" t="s">
        <v>1579</v>
      </c>
      <c r="H433" s="536">
        <v>11.73</v>
      </c>
      <c r="I433" s="537" t="s">
        <v>170</v>
      </c>
      <c r="J433" s="538">
        <v>45367</v>
      </c>
      <c r="K433" s="535" t="s">
        <v>170</v>
      </c>
      <c r="L433" s="535" t="s">
        <v>170</v>
      </c>
      <c r="M433" s="535" t="s">
        <v>1580</v>
      </c>
      <c r="N433" s="535" t="s">
        <v>1007</v>
      </c>
      <c r="O433" s="535" t="s">
        <v>1325</v>
      </c>
      <c r="P433" s="535" t="s">
        <v>1218</v>
      </c>
      <c r="Q433" s="535" t="s">
        <v>492</v>
      </c>
      <c r="R433" s="538" t="s">
        <v>170</v>
      </c>
      <c r="S433" s="535" t="s">
        <v>1305</v>
      </c>
      <c r="T433" s="535" t="s">
        <v>1565</v>
      </c>
      <c r="U433" s="536">
        <v>24398.400000000001</v>
      </c>
      <c r="V433" s="535" t="s">
        <v>1307</v>
      </c>
      <c r="X433" s="369" t="str">
        <f>IF(OR(T433="125-65-654-50110",T433="125-65-652-50110",T433="125-65-656-50110"),"N/A",COUNTIF('Prop Budget Calc'!A:A,'Base Pay Report'!A433))</f>
        <v>N/A</v>
      </c>
    </row>
    <row r="434" spans="1:24">
      <c r="A434" s="535" t="s">
        <v>2589</v>
      </c>
      <c r="B434" s="456" t="s">
        <v>2992</v>
      </c>
      <c r="C434" s="456" t="s">
        <v>2993</v>
      </c>
      <c r="D434" s="456" t="s">
        <v>2994</v>
      </c>
      <c r="E434" s="456" t="str">
        <f t="shared" si="7"/>
        <v>First Name Last Name</v>
      </c>
      <c r="F434" s="535" t="s">
        <v>1214</v>
      </c>
      <c r="G434" s="535" t="s">
        <v>1579</v>
      </c>
      <c r="H434" s="536">
        <v>11.73</v>
      </c>
      <c r="I434" s="537" t="s">
        <v>170</v>
      </c>
      <c r="J434" s="538">
        <v>45367</v>
      </c>
      <c r="K434" s="535" t="s">
        <v>170</v>
      </c>
      <c r="L434" s="535" t="s">
        <v>170</v>
      </c>
      <c r="M434" s="535" t="s">
        <v>1580</v>
      </c>
      <c r="N434" s="535" t="s">
        <v>1007</v>
      </c>
      <c r="O434" s="535" t="s">
        <v>1325</v>
      </c>
      <c r="P434" s="535" t="s">
        <v>1218</v>
      </c>
      <c r="Q434" s="535" t="s">
        <v>492</v>
      </c>
      <c r="R434" s="538" t="s">
        <v>170</v>
      </c>
      <c r="S434" s="535" t="s">
        <v>1305</v>
      </c>
      <c r="T434" s="535" t="s">
        <v>1565</v>
      </c>
      <c r="U434" s="536">
        <v>24398.400000000001</v>
      </c>
      <c r="V434" s="535" t="s">
        <v>1307</v>
      </c>
      <c r="X434" s="369" t="str">
        <f>IF(OR(T434="125-65-654-50110",T434="125-65-652-50110",T434="125-65-656-50110"),"N/A",COUNTIF('Prop Budget Calc'!A:A,'Base Pay Report'!A434))</f>
        <v>N/A</v>
      </c>
    </row>
    <row r="435" spans="1:24">
      <c r="A435" s="535" t="s">
        <v>2899</v>
      </c>
      <c r="B435" s="456" t="s">
        <v>2992</v>
      </c>
      <c r="C435" s="456" t="s">
        <v>2993</v>
      </c>
      <c r="D435" s="456" t="s">
        <v>2994</v>
      </c>
      <c r="E435" s="456" t="str">
        <f t="shared" si="7"/>
        <v>First Name Last Name</v>
      </c>
      <c r="F435" s="535" t="s">
        <v>1214</v>
      </c>
      <c r="G435" s="535" t="s">
        <v>1602</v>
      </c>
      <c r="H435" s="536">
        <v>10.199999999999999</v>
      </c>
      <c r="I435" s="537" t="s">
        <v>170</v>
      </c>
      <c r="J435" s="538">
        <v>45367</v>
      </c>
      <c r="K435" s="535" t="s">
        <v>170</v>
      </c>
      <c r="L435" s="535" t="s">
        <v>170</v>
      </c>
      <c r="M435" s="535" t="s">
        <v>1603</v>
      </c>
      <c r="N435" s="535" t="s">
        <v>1010</v>
      </c>
      <c r="O435" s="535" t="s">
        <v>1325</v>
      </c>
      <c r="P435" s="535" t="s">
        <v>1218</v>
      </c>
      <c r="Q435" s="535" t="s">
        <v>492</v>
      </c>
      <c r="R435" s="538" t="s">
        <v>170</v>
      </c>
      <c r="S435" s="535" t="s">
        <v>1305</v>
      </c>
      <c r="T435" s="535" t="s">
        <v>1326</v>
      </c>
      <c r="U435" s="536">
        <v>21216</v>
      </c>
      <c r="V435" s="535" t="s">
        <v>1307</v>
      </c>
      <c r="X435" s="369" t="str">
        <f>IF(OR(T435="125-65-654-50110",T435="125-65-652-50110",T435="125-65-656-50110"),"N/A",COUNTIF('Prop Budget Calc'!A:A,'Base Pay Report'!A435))</f>
        <v>N/A</v>
      </c>
    </row>
    <row r="436" spans="1:24">
      <c r="A436" s="535" t="s">
        <v>2900</v>
      </c>
      <c r="B436" s="456" t="s">
        <v>2992</v>
      </c>
      <c r="C436" s="456" t="s">
        <v>2993</v>
      </c>
      <c r="D436" s="456" t="s">
        <v>2994</v>
      </c>
      <c r="E436" s="456" t="str">
        <f t="shared" si="7"/>
        <v>First Name Last Name</v>
      </c>
      <c r="F436" s="535" t="s">
        <v>1214</v>
      </c>
      <c r="G436" s="535" t="s">
        <v>1602</v>
      </c>
      <c r="H436" s="536">
        <v>13.77</v>
      </c>
      <c r="I436" s="537" t="s">
        <v>170</v>
      </c>
      <c r="J436" s="538">
        <v>45409</v>
      </c>
      <c r="K436" s="535" t="s">
        <v>170</v>
      </c>
      <c r="L436" s="535" t="s">
        <v>170</v>
      </c>
      <c r="M436" s="535" t="s">
        <v>2927</v>
      </c>
      <c r="N436" s="535" t="s">
        <v>2928</v>
      </c>
      <c r="O436" s="535" t="s">
        <v>1325</v>
      </c>
      <c r="P436" s="535" t="s">
        <v>1218</v>
      </c>
      <c r="Q436" s="535" t="s">
        <v>492</v>
      </c>
      <c r="R436" s="538" t="s">
        <v>170</v>
      </c>
      <c r="S436" s="535" t="s">
        <v>1305</v>
      </c>
      <c r="T436" s="535" t="s">
        <v>1326</v>
      </c>
      <c r="U436" s="536">
        <v>28641.599999999999</v>
      </c>
      <c r="V436" s="535" t="s">
        <v>1307</v>
      </c>
      <c r="X436" s="369" t="str">
        <f>IF(OR(T436="125-65-654-50110",T436="125-65-652-50110",T436="125-65-656-50110"),"N/A",COUNTIF('Prop Budget Calc'!A:A,'Base Pay Report'!A436))</f>
        <v>N/A</v>
      </c>
    </row>
    <row r="437" spans="1:24">
      <c r="A437" s="535" t="s">
        <v>2901</v>
      </c>
      <c r="B437" s="456" t="s">
        <v>2992</v>
      </c>
      <c r="C437" s="456" t="s">
        <v>2993</v>
      </c>
      <c r="D437" s="456" t="s">
        <v>2994</v>
      </c>
      <c r="E437" s="456" t="str">
        <f t="shared" si="7"/>
        <v>First Name Last Name</v>
      </c>
      <c r="F437" s="535" t="s">
        <v>1214</v>
      </c>
      <c r="G437" s="535" t="s">
        <v>1602</v>
      </c>
      <c r="H437" s="536">
        <v>10.199999999999999</v>
      </c>
      <c r="I437" s="537" t="s">
        <v>170</v>
      </c>
      <c r="J437" s="538">
        <v>45381</v>
      </c>
      <c r="K437" s="535" t="s">
        <v>170</v>
      </c>
      <c r="L437" s="535" t="s">
        <v>170</v>
      </c>
      <c r="M437" s="535" t="s">
        <v>1603</v>
      </c>
      <c r="N437" s="535" t="s">
        <v>1010</v>
      </c>
      <c r="O437" s="535" t="s">
        <v>1325</v>
      </c>
      <c r="P437" s="535" t="s">
        <v>1218</v>
      </c>
      <c r="Q437" s="535" t="s">
        <v>492</v>
      </c>
      <c r="R437" s="538" t="s">
        <v>170</v>
      </c>
      <c r="S437" s="535" t="s">
        <v>1305</v>
      </c>
      <c r="T437" s="535" t="s">
        <v>1326</v>
      </c>
      <c r="U437" s="536">
        <v>21216</v>
      </c>
      <c r="V437" s="535" t="s">
        <v>1307</v>
      </c>
      <c r="X437" s="369" t="str">
        <f>IF(OR(T437="125-65-654-50110",T437="125-65-652-50110",T437="125-65-656-50110"),"N/A",COUNTIF('Prop Budget Calc'!A:A,'Base Pay Report'!A437))</f>
        <v>N/A</v>
      </c>
    </row>
    <row r="438" spans="1:24">
      <c r="A438" s="535" t="s">
        <v>2902</v>
      </c>
      <c r="B438" s="456" t="s">
        <v>2992</v>
      </c>
      <c r="C438" s="456" t="s">
        <v>2993</v>
      </c>
      <c r="D438" s="456" t="s">
        <v>2994</v>
      </c>
      <c r="E438" s="456" t="str">
        <f t="shared" si="7"/>
        <v>First Name Last Name</v>
      </c>
      <c r="F438" s="535" t="s">
        <v>1214</v>
      </c>
      <c r="G438" s="535" t="s">
        <v>1602</v>
      </c>
      <c r="H438" s="536">
        <v>10.199999999999999</v>
      </c>
      <c r="I438" s="537" t="s">
        <v>170</v>
      </c>
      <c r="J438" s="538">
        <v>45381</v>
      </c>
      <c r="K438" s="535" t="s">
        <v>170</v>
      </c>
      <c r="L438" s="535" t="s">
        <v>170</v>
      </c>
      <c r="M438" s="535" t="s">
        <v>1603</v>
      </c>
      <c r="N438" s="535" t="s">
        <v>1010</v>
      </c>
      <c r="O438" s="535" t="s">
        <v>1325</v>
      </c>
      <c r="P438" s="535" t="s">
        <v>1218</v>
      </c>
      <c r="Q438" s="535" t="s">
        <v>492</v>
      </c>
      <c r="R438" s="538" t="s">
        <v>170</v>
      </c>
      <c r="S438" s="535" t="s">
        <v>1305</v>
      </c>
      <c r="T438" s="535" t="s">
        <v>1326</v>
      </c>
      <c r="U438" s="536">
        <v>21216</v>
      </c>
      <c r="V438" s="535" t="s">
        <v>1307</v>
      </c>
      <c r="X438" s="369" t="str">
        <f>IF(OR(T438="125-65-654-50110",T438="125-65-652-50110",T438="125-65-656-50110"),"N/A",COUNTIF('Prop Budget Calc'!A:A,'Base Pay Report'!A438))</f>
        <v>N/A</v>
      </c>
    </row>
    <row r="439" spans="1:24">
      <c r="A439" s="535" t="s">
        <v>2903</v>
      </c>
      <c r="B439" s="456" t="s">
        <v>2992</v>
      </c>
      <c r="C439" s="456" t="s">
        <v>2993</v>
      </c>
      <c r="D439" s="456" t="s">
        <v>2994</v>
      </c>
      <c r="E439" s="456" t="str">
        <f t="shared" si="7"/>
        <v>First Name Last Name</v>
      </c>
      <c r="F439" s="535" t="s">
        <v>1214</v>
      </c>
      <c r="G439" s="535" t="s">
        <v>1277</v>
      </c>
      <c r="H439" s="536">
        <v>2692.31</v>
      </c>
      <c r="I439" s="537">
        <v>80</v>
      </c>
      <c r="J439" s="538">
        <v>45391</v>
      </c>
      <c r="K439" s="535" t="s">
        <v>170</v>
      </c>
      <c r="L439" s="535" t="s">
        <v>170</v>
      </c>
      <c r="M439" s="535" t="s">
        <v>2929</v>
      </c>
      <c r="N439" s="535" t="s">
        <v>2603</v>
      </c>
      <c r="O439" s="535" t="s">
        <v>1230</v>
      </c>
      <c r="P439" s="535" t="s">
        <v>1218</v>
      </c>
      <c r="Q439" s="535" t="s">
        <v>1231</v>
      </c>
      <c r="R439" s="538" t="s">
        <v>170</v>
      </c>
      <c r="S439" s="535" t="s">
        <v>1241</v>
      </c>
      <c r="T439" s="535" t="s">
        <v>1297</v>
      </c>
      <c r="U439" s="536">
        <v>70000.06</v>
      </c>
      <c r="V439" s="535" t="s">
        <v>1220</v>
      </c>
      <c r="X439" s="369">
        <f>IF(OR(T439="125-65-654-50110",T439="125-65-652-50110",T439="125-65-656-50110"),"N/A",COUNTIF('Prop Budget Calc'!A:A,'Base Pay Report'!A439))</f>
        <v>0</v>
      </c>
    </row>
    <row r="440" spans="1:24">
      <c r="A440" s="535" t="s">
        <v>2904</v>
      </c>
      <c r="B440" s="456" t="s">
        <v>2992</v>
      </c>
      <c r="C440" s="456" t="s">
        <v>2993</v>
      </c>
      <c r="D440" s="456" t="s">
        <v>2994</v>
      </c>
      <c r="E440" s="456" t="str">
        <f t="shared" si="7"/>
        <v>First Name Last Name</v>
      </c>
      <c r="F440" s="535" t="s">
        <v>1214</v>
      </c>
      <c r="G440" s="535" t="s">
        <v>1602</v>
      </c>
      <c r="H440" s="536">
        <v>13.77</v>
      </c>
      <c r="I440" s="537" t="s">
        <v>170</v>
      </c>
      <c r="J440" s="538">
        <v>45409</v>
      </c>
      <c r="K440" s="535" t="s">
        <v>170</v>
      </c>
      <c r="L440" s="535" t="s">
        <v>170</v>
      </c>
      <c r="M440" s="535" t="s">
        <v>2927</v>
      </c>
      <c r="N440" s="535" t="s">
        <v>2928</v>
      </c>
      <c r="O440" s="535" t="s">
        <v>1325</v>
      </c>
      <c r="P440" s="535" t="s">
        <v>1218</v>
      </c>
      <c r="Q440" s="535" t="s">
        <v>492</v>
      </c>
      <c r="R440" s="538" t="s">
        <v>170</v>
      </c>
      <c r="S440" s="535" t="s">
        <v>1305</v>
      </c>
      <c r="T440" s="535" t="s">
        <v>1326</v>
      </c>
      <c r="U440" s="536">
        <v>28641.599999999999</v>
      </c>
      <c r="V440" s="535" t="s">
        <v>1307</v>
      </c>
      <c r="X440" s="369" t="str">
        <f>IF(OR(T440="125-65-654-50110",T440="125-65-652-50110",T440="125-65-656-50110"),"N/A",COUNTIF('Prop Budget Calc'!A:A,'Base Pay Report'!A440))</f>
        <v>N/A</v>
      </c>
    </row>
    <row r="441" spans="1:24">
      <c r="A441" s="535" t="s">
        <v>2905</v>
      </c>
      <c r="B441" s="456" t="s">
        <v>2992</v>
      </c>
      <c r="C441" s="456" t="s">
        <v>2993</v>
      </c>
      <c r="D441" s="456" t="s">
        <v>2994</v>
      </c>
      <c r="E441" s="456" t="str">
        <f t="shared" si="7"/>
        <v>First Name Last Name</v>
      </c>
      <c r="F441" s="535" t="s">
        <v>1214</v>
      </c>
      <c r="G441" s="535" t="s">
        <v>1579</v>
      </c>
      <c r="H441" s="536">
        <v>11.73</v>
      </c>
      <c r="I441" s="537" t="s">
        <v>170</v>
      </c>
      <c r="J441" s="538">
        <v>45381</v>
      </c>
      <c r="K441" s="535" t="s">
        <v>170</v>
      </c>
      <c r="L441" s="535" t="s">
        <v>170</v>
      </c>
      <c r="M441" s="535" t="s">
        <v>1580</v>
      </c>
      <c r="N441" s="535" t="s">
        <v>1007</v>
      </c>
      <c r="O441" s="535" t="s">
        <v>1325</v>
      </c>
      <c r="P441" s="535" t="s">
        <v>1218</v>
      </c>
      <c r="Q441" s="535" t="s">
        <v>492</v>
      </c>
      <c r="R441" s="538" t="s">
        <v>170</v>
      </c>
      <c r="S441" s="535" t="s">
        <v>1305</v>
      </c>
      <c r="T441" s="535" t="s">
        <v>1565</v>
      </c>
      <c r="U441" s="536">
        <v>24398.400000000001</v>
      </c>
      <c r="V441" s="535" t="s">
        <v>1307</v>
      </c>
      <c r="X441" s="369" t="str">
        <f>IF(OR(T441="125-65-654-50110",T441="125-65-652-50110",T441="125-65-656-50110"),"N/A",COUNTIF('Prop Budget Calc'!A:A,'Base Pay Report'!A441))</f>
        <v>N/A</v>
      </c>
    </row>
    <row r="442" spans="1:24">
      <c r="A442" s="535" t="s">
        <v>2906</v>
      </c>
      <c r="B442" s="456" t="s">
        <v>2992</v>
      </c>
      <c r="C442" s="456" t="s">
        <v>2993</v>
      </c>
      <c r="D442" s="456" t="s">
        <v>2994</v>
      </c>
      <c r="E442" s="456" t="str">
        <f t="shared" si="7"/>
        <v>First Name Last Name</v>
      </c>
      <c r="F442" s="535" t="s">
        <v>1214</v>
      </c>
      <c r="G442" s="535" t="s">
        <v>1602</v>
      </c>
      <c r="H442" s="536">
        <v>13.77</v>
      </c>
      <c r="I442" s="537" t="s">
        <v>170</v>
      </c>
      <c r="J442" s="538">
        <v>45409</v>
      </c>
      <c r="K442" s="535" t="s">
        <v>170</v>
      </c>
      <c r="L442" s="535" t="s">
        <v>170</v>
      </c>
      <c r="M442" s="535" t="s">
        <v>2927</v>
      </c>
      <c r="N442" s="535" t="s">
        <v>2928</v>
      </c>
      <c r="O442" s="535" t="s">
        <v>1325</v>
      </c>
      <c r="P442" s="535" t="s">
        <v>1218</v>
      </c>
      <c r="Q442" s="535" t="s">
        <v>492</v>
      </c>
      <c r="R442" s="538" t="s">
        <v>170</v>
      </c>
      <c r="S442" s="535" t="s">
        <v>1305</v>
      </c>
      <c r="T442" s="535" t="s">
        <v>1326</v>
      </c>
      <c r="U442" s="536">
        <v>28641.599999999999</v>
      </c>
      <c r="V442" s="535" t="s">
        <v>1307</v>
      </c>
      <c r="X442" s="369" t="str">
        <f>IF(OR(T442="125-65-654-50110",T442="125-65-652-50110",T442="125-65-656-50110"),"N/A",COUNTIF('Prop Budget Calc'!A:A,'Base Pay Report'!A442))</f>
        <v>N/A</v>
      </c>
    </row>
    <row r="443" spans="1:24">
      <c r="A443" s="535" t="s">
        <v>2907</v>
      </c>
      <c r="B443" s="456" t="s">
        <v>2992</v>
      </c>
      <c r="C443" s="456" t="s">
        <v>2993</v>
      </c>
      <c r="D443" s="456" t="s">
        <v>2994</v>
      </c>
      <c r="E443" s="456" t="str">
        <f t="shared" si="7"/>
        <v>First Name Last Name</v>
      </c>
      <c r="F443" s="535" t="s">
        <v>1214</v>
      </c>
      <c r="G443" s="535" t="s">
        <v>1579</v>
      </c>
      <c r="H443" s="536">
        <v>11.73</v>
      </c>
      <c r="I443" s="537" t="s">
        <v>170</v>
      </c>
      <c r="J443" s="538">
        <v>45381</v>
      </c>
      <c r="K443" s="535" t="s">
        <v>170</v>
      </c>
      <c r="L443" s="535" t="s">
        <v>170</v>
      </c>
      <c r="M443" s="535" t="s">
        <v>1580</v>
      </c>
      <c r="N443" s="535" t="s">
        <v>1007</v>
      </c>
      <c r="O443" s="535" t="s">
        <v>1325</v>
      </c>
      <c r="P443" s="535" t="s">
        <v>1218</v>
      </c>
      <c r="Q443" s="535" t="s">
        <v>492</v>
      </c>
      <c r="R443" s="538" t="s">
        <v>170</v>
      </c>
      <c r="S443" s="535" t="s">
        <v>1305</v>
      </c>
      <c r="T443" s="535" t="s">
        <v>1565</v>
      </c>
      <c r="U443" s="536">
        <v>24398.400000000001</v>
      </c>
      <c r="V443" s="535" t="s">
        <v>1307</v>
      </c>
      <c r="X443" s="369" t="str">
        <f>IF(OR(T443="125-65-654-50110",T443="125-65-652-50110",T443="125-65-656-50110"),"N/A",COUNTIF('Prop Budget Calc'!A:A,'Base Pay Report'!A443))</f>
        <v>N/A</v>
      </c>
    </row>
    <row r="444" spans="1:24">
      <c r="A444" s="535" t="s">
        <v>2908</v>
      </c>
      <c r="B444" s="456" t="s">
        <v>2992</v>
      </c>
      <c r="C444" s="456" t="s">
        <v>2993</v>
      </c>
      <c r="D444" s="456" t="s">
        <v>2994</v>
      </c>
      <c r="E444" s="456" t="str">
        <f t="shared" si="7"/>
        <v>First Name Last Name</v>
      </c>
      <c r="F444" s="535" t="s">
        <v>1214</v>
      </c>
      <c r="G444" s="535" t="s">
        <v>1579</v>
      </c>
      <c r="H444" s="536">
        <v>11.73</v>
      </c>
      <c r="I444" s="537" t="s">
        <v>170</v>
      </c>
      <c r="J444" s="538">
        <v>45381</v>
      </c>
      <c r="K444" s="535" t="s">
        <v>170</v>
      </c>
      <c r="L444" s="535" t="s">
        <v>170</v>
      </c>
      <c r="M444" s="535" t="s">
        <v>1580</v>
      </c>
      <c r="N444" s="535" t="s">
        <v>1007</v>
      </c>
      <c r="O444" s="535" t="s">
        <v>1325</v>
      </c>
      <c r="P444" s="535" t="s">
        <v>1218</v>
      </c>
      <c r="Q444" s="535" t="s">
        <v>492</v>
      </c>
      <c r="R444" s="538" t="s">
        <v>170</v>
      </c>
      <c r="S444" s="535" t="s">
        <v>1305</v>
      </c>
      <c r="T444" s="535" t="s">
        <v>1565</v>
      </c>
      <c r="U444" s="536">
        <v>24398.400000000001</v>
      </c>
      <c r="V444" s="535" t="s">
        <v>1307</v>
      </c>
      <c r="X444" s="369" t="str">
        <f>IF(OR(T444="125-65-654-50110",T444="125-65-652-50110",T444="125-65-656-50110"),"N/A",COUNTIF('Prop Budget Calc'!A:A,'Base Pay Report'!A444))</f>
        <v>N/A</v>
      </c>
    </row>
    <row r="445" spans="1:24">
      <c r="A445" s="535" t="s">
        <v>2909</v>
      </c>
      <c r="B445" s="456" t="s">
        <v>2992</v>
      </c>
      <c r="C445" s="456" t="s">
        <v>2993</v>
      </c>
      <c r="D445" s="456" t="s">
        <v>2994</v>
      </c>
      <c r="E445" s="456" t="str">
        <f t="shared" si="7"/>
        <v>First Name Last Name</v>
      </c>
      <c r="F445" s="535" t="s">
        <v>1214</v>
      </c>
      <c r="G445" s="535" t="s">
        <v>1397</v>
      </c>
      <c r="H445" s="536">
        <v>21.1</v>
      </c>
      <c r="I445" s="537" t="s">
        <v>170</v>
      </c>
      <c r="J445" s="538">
        <v>45384</v>
      </c>
      <c r="K445" s="535" t="s">
        <v>170</v>
      </c>
      <c r="L445" s="535" t="s">
        <v>170</v>
      </c>
      <c r="M445" s="535" t="s">
        <v>1398</v>
      </c>
      <c r="N445" s="535" t="s">
        <v>126</v>
      </c>
      <c r="O445" s="535" t="s">
        <v>1224</v>
      </c>
      <c r="P445" s="535" t="s">
        <v>1218</v>
      </c>
      <c r="Q445" s="535" t="s">
        <v>492</v>
      </c>
      <c r="R445" s="538" t="s">
        <v>170</v>
      </c>
      <c r="S445" s="535" t="s">
        <v>1283</v>
      </c>
      <c r="T445" s="535" t="s">
        <v>957</v>
      </c>
      <c r="U445" s="536">
        <v>43888</v>
      </c>
      <c r="V445" s="535" t="s">
        <v>1220</v>
      </c>
      <c r="X445" s="369">
        <f>IF(OR(T445="125-65-654-50110",T445="125-65-652-50110",T445="125-65-656-50110"),"N/A",COUNTIF('Prop Budget Calc'!A:A,'Base Pay Report'!A445))</f>
        <v>0</v>
      </c>
    </row>
    <row r="446" spans="1:24">
      <c r="A446" s="535" t="s">
        <v>2910</v>
      </c>
      <c r="B446" s="456" t="s">
        <v>2992</v>
      </c>
      <c r="C446" s="456" t="s">
        <v>2993</v>
      </c>
      <c r="D446" s="456" t="s">
        <v>2994</v>
      </c>
      <c r="E446" s="456" t="str">
        <f t="shared" si="7"/>
        <v>First Name Last Name</v>
      </c>
      <c r="F446" s="535" t="s">
        <v>1214</v>
      </c>
      <c r="G446" s="535" t="s">
        <v>1579</v>
      </c>
      <c r="H446" s="536">
        <v>11.73</v>
      </c>
      <c r="I446" s="537" t="s">
        <v>170</v>
      </c>
      <c r="J446" s="538">
        <v>45381</v>
      </c>
      <c r="K446" s="535" t="s">
        <v>170</v>
      </c>
      <c r="L446" s="535" t="s">
        <v>170</v>
      </c>
      <c r="M446" s="535" t="s">
        <v>1580</v>
      </c>
      <c r="N446" s="535" t="s">
        <v>1007</v>
      </c>
      <c r="O446" s="535" t="s">
        <v>1325</v>
      </c>
      <c r="P446" s="535" t="s">
        <v>1218</v>
      </c>
      <c r="Q446" s="535" t="s">
        <v>492</v>
      </c>
      <c r="R446" s="538" t="s">
        <v>170</v>
      </c>
      <c r="S446" s="535" t="s">
        <v>1305</v>
      </c>
      <c r="T446" s="535" t="s">
        <v>1565</v>
      </c>
      <c r="U446" s="536">
        <v>24398.400000000001</v>
      </c>
      <c r="V446" s="535" t="s">
        <v>1307</v>
      </c>
      <c r="X446" s="369" t="str">
        <f>IF(OR(T446="125-65-654-50110",T446="125-65-652-50110",T446="125-65-656-50110"),"N/A",COUNTIF('Prop Budget Calc'!A:A,'Base Pay Report'!A446))</f>
        <v>N/A</v>
      </c>
    </row>
    <row r="447" spans="1:24">
      <c r="A447" s="535" t="s">
        <v>2911</v>
      </c>
      <c r="B447" s="456" t="s">
        <v>2992</v>
      </c>
      <c r="C447" s="456" t="s">
        <v>2993</v>
      </c>
      <c r="D447" s="456" t="s">
        <v>2994</v>
      </c>
      <c r="E447" s="456" t="str">
        <f t="shared" si="7"/>
        <v>First Name Last Name</v>
      </c>
      <c r="F447" s="535" t="s">
        <v>1214</v>
      </c>
      <c r="G447" s="535" t="s">
        <v>1579</v>
      </c>
      <c r="H447" s="536">
        <v>11.73</v>
      </c>
      <c r="I447" s="537" t="s">
        <v>170</v>
      </c>
      <c r="J447" s="538">
        <v>45381</v>
      </c>
      <c r="K447" s="535" t="s">
        <v>170</v>
      </c>
      <c r="L447" s="535" t="s">
        <v>170</v>
      </c>
      <c r="M447" s="535" t="s">
        <v>1580</v>
      </c>
      <c r="N447" s="535" t="s">
        <v>1007</v>
      </c>
      <c r="O447" s="535" t="s">
        <v>1325</v>
      </c>
      <c r="P447" s="535" t="s">
        <v>1218</v>
      </c>
      <c r="Q447" s="535" t="s">
        <v>492</v>
      </c>
      <c r="R447" s="538" t="s">
        <v>170</v>
      </c>
      <c r="S447" s="535" t="s">
        <v>1305</v>
      </c>
      <c r="T447" s="535" t="s">
        <v>1565</v>
      </c>
      <c r="U447" s="536">
        <v>24398.400000000001</v>
      </c>
      <c r="V447" s="535" t="s">
        <v>1307</v>
      </c>
      <c r="X447" s="369" t="str">
        <f>IF(OR(T447="125-65-654-50110",T447="125-65-652-50110",T447="125-65-656-50110"),"N/A",COUNTIF('Prop Budget Calc'!A:A,'Base Pay Report'!A447))</f>
        <v>N/A</v>
      </c>
    </row>
    <row r="448" spans="1:24">
      <c r="A448" s="535" t="s">
        <v>2912</v>
      </c>
      <c r="B448" s="456" t="s">
        <v>2992</v>
      </c>
      <c r="C448" s="456" t="s">
        <v>2993</v>
      </c>
      <c r="D448" s="456" t="s">
        <v>2994</v>
      </c>
      <c r="E448" s="456" t="str">
        <f t="shared" si="7"/>
        <v>First Name Last Name</v>
      </c>
      <c r="F448" s="535" t="s">
        <v>1214</v>
      </c>
      <c r="G448" s="535" t="s">
        <v>1602</v>
      </c>
      <c r="H448" s="536">
        <v>13.77</v>
      </c>
      <c r="I448" s="537" t="s">
        <v>170</v>
      </c>
      <c r="J448" s="538">
        <v>45409</v>
      </c>
      <c r="K448" s="535" t="s">
        <v>170</v>
      </c>
      <c r="L448" s="535" t="s">
        <v>170</v>
      </c>
      <c r="M448" s="535" t="s">
        <v>2927</v>
      </c>
      <c r="N448" s="535" t="s">
        <v>2928</v>
      </c>
      <c r="O448" s="535" t="s">
        <v>1325</v>
      </c>
      <c r="P448" s="535" t="s">
        <v>1218</v>
      </c>
      <c r="Q448" s="535" t="s">
        <v>492</v>
      </c>
      <c r="R448" s="538" t="s">
        <v>170</v>
      </c>
      <c r="S448" s="535" t="s">
        <v>1305</v>
      </c>
      <c r="T448" s="535" t="s">
        <v>1326</v>
      </c>
      <c r="U448" s="536">
        <v>28641.599999999999</v>
      </c>
      <c r="V448" s="535" t="s">
        <v>1307</v>
      </c>
      <c r="X448" s="369" t="str">
        <f>IF(OR(T448="125-65-654-50110",T448="125-65-652-50110",T448="125-65-656-50110"),"N/A",COUNTIF('Prop Budget Calc'!A:A,'Base Pay Report'!A448))</f>
        <v>N/A</v>
      </c>
    </row>
    <row r="449" spans="1:24">
      <c r="A449" s="535" t="s">
        <v>2913</v>
      </c>
      <c r="B449" s="456" t="s">
        <v>2992</v>
      </c>
      <c r="C449" s="456" t="s">
        <v>2993</v>
      </c>
      <c r="D449" s="456" t="s">
        <v>2994</v>
      </c>
      <c r="E449" s="456" t="str">
        <f t="shared" si="7"/>
        <v>First Name Last Name</v>
      </c>
      <c r="F449" s="535" t="s">
        <v>1214</v>
      </c>
      <c r="G449" s="535" t="s">
        <v>1486</v>
      </c>
      <c r="H449" s="536">
        <v>13.77</v>
      </c>
      <c r="I449" s="537" t="s">
        <v>170</v>
      </c>
      <c r="J449" s="538">
        <v>45381</v>
      </c>
      <c r="K449" s="535" t="s">
        <v>170</v>
      </c>
      <c r="L449" s="535" t="s">
        <v>170</v>
      </c>
      <c r="M449" s="535" t="s">
        <v>1487</v>
      </c>
      <c r="N449" s="535" t="s">
        <v>1488</v>
      </c>
      <c r="O449" s="535" t="s">
        <v>1325</v>
      </c>
      <c r="P449" s="535" t="s">
        <v>1218</v>
      </c>
      <c r="Q449" s="535" t="s">
        <v>492</v>
      </c>
      <c r="R449" s="538" t="s">
        <v>170</v>
      </c>
      <c r="S449" s="535" t="s">
        <v>1305</v>
      </c>
      <c r="T449" s="535" t="s">
        <v>1326</v>
      </c>
      <c r="U449" s="536">
        <v>28641.599999999999</v>
      </c>
      <c r="V449" s="535" t="s">
        <v>1307</v>
      </c>
      <c r="X449" s="369" t="str">
        <f>IF(OR(T449="125-65-654-50110",T449="125-65-652-50110",T449="125-65-656-50110"),"N/A",COUNTIF('Prop Budget Calc'!A:A,'Base Pay Report'!A449))</f>
        <v>N/A</v>
      </c>
    </row>
    <row r="450" spans="1:24">
      <c r="A450" s="535" t="s">
        <v>2914</v>
      </c>
      <c r="B450" s="456" t="s">
        <v>2992</v>
      </c>
      <c r="C450" s="456" t="s">
        <v>2993</v>
      </c>
      <c r="D450" s="456" t="s">
        <v>2994</v>
      </c>
      <c r="E450" s="456" t="str">
        <f t="shared" si="7"/>
        <v>First Name Last Name</v>
      </c>
      <c r="F450" s="535" t="s">
        <v>1214</v>
      </c>
      <c r="G450" s="535" t="s">
        <v>1579</v>
      </c>
      <c r="H450" s="536">
        <v>11.73</v>
      </c>
      <c r="I450" s="537" t="s">
        <v>170</v>
      </c>
      <c r="J450" s="538">
        <v>45381</v>
      </c>
      <c r="K450" s="535" t="s">
        <v>170</v>
      </c>
      <c r="L450" s="535" t="s">
        <v>170</v>
      </c>
      <c r="M450" s="535" t="s">
        <v>1580</v>
      </c>
      <c r="N450" s="535" t="s">
        <v>1007</v>
      </c>
      <c r="O450" s="535" t="s">
        <v>1325</v>
      </c>
      <c r="P450" s="535" t="s">
        <v>1218</v>
      </c>
      <c r="Q450" s="535" t="s">
        <v>492</v>
      </c>
      <c r="R450" s="538" t="s">
        <v>170</v>
      </c>
      <c r="S450" s="535" t="s">
        <v>1305</v>
      </c>
      <c r="T450" s="535" t="s">
        <v>1565</v>
      </c>
      <c r="U450" s="536">
        <v>24398.400000000001</v>
      </c>
      <c r="V450" s="535" t="s">
        <v>1307</v>
      </c>
      <c r="X450" s="369" t="str">
        <f>IF(OR(T450="125-65-654-50110",T450="125-65-652-50110",T450="125-65-656-50110"),"N/A",COUNTIF('Prop Budget Calc'!A:A,'Base Pay Report'!A450))</f>
        <v>N/A</v>
      </c>
    </row>
    <row r="451" spans="1:24">
      <c r="A451" s="535" t="s">
        <v>2915</v>
      </c>
      <c r="B451" s="456" t="s">
        <v>2992</v>
      </c>
      <c r="C451" s="456" t="s">
        <v>2993</v>
      </c>
      <c r="D451" s="456" t="s">
        <v>2994</v>
      </c>
      <c r="E451" s="456" t="str">
        <f t="shared" si="7"/>
        <v>First Name Last Name</v>
      </c>
      <c r="F451" s="535" t="s">
        <v>1214</v>
      </c>
      <c r="G451" s="535" t="s">
        <v>1309</v>
      </c>
      <c r="H451" s="536">
        <v>18.28</v>
      </c>
      <c r="I451" s="537" t="s">
        <v>170</v>
      </c>
      <c r="J451" s="538">
        <v>45397</v>
      </c>
      <c r="K451" s="535" t="s">
        <v>170</v>
      </c>
      <c r="L451" s="535" t="s">
        <v>170</v>
      </c>
      <c r="M451" s="535" t="s">
        <v>1655</v>
      </c>
      <c r="N451" s="535" t="s">
        <v>1656</v>
      </c>
      <c r="O451" s="535" t="s">
        <v>1325</v>
      </c>
      <c r="P451" s="535" t="s">
        <v>1218</v>
      </c>
      <c r="Q451" s="535" t="s">
        <v>492</v>
      </c>
      <c r="R451" s="538" t="s">
        <v>170</v>
      </c>
      <c r="S451" s="535" t="s">
        <v>1291</v>
      </c>
      <c r="T451" s="535" t="s">
        <v>1312</v>
      </c>
      <c r="U451" s="536">
        <v>38022.400000000001</v>
      </c>
      <c r="V451" s="535" t="s">
        <v>1220</v>
      </c>
      <c r="X451" s="369">
        <f>IF(OR(T451="125-65-654-50110",T451="125-65-652-50110",T451="125-65-656-50110"),"N/A",COUNTIF('Prop Budget Calc'!A:A,'Base Pay Report'!A451))</f>
        <v>0</v>
      </c>
    </row>
    <row r="452" spans="1:24">
      <c r="A452" s="535" t="s">
        <v>2916</v>
      </c>
      <c r="B452" s="456" t="s">
        <v>2992</v>
      </c>
      <c r="C452" s="456" t="s">
        <v>2993</v>
      </c>
      <c r="D452" s="456" t="s">
        <v>2994</v>
      </c>
      <c r="E452" s="456" t="str">
        <f t="shared" ref="E452:E473" si="8">B452&amp;" "&amp;D452</f>
        <v>First Name Last Name</v>
      </c>
      <c r="F452" s="535" t="s">
        <v>1214</v>
      </c>
      <c r="G452" s="535" t="s">
        <v>1579</v>
      </c>
      <c r="H452" s="536">
        <v>11.73</v>
      </c>
      <c r="I452" s="537" t="s">
        <v>170</v>
      </c>
      <c r="J452" s="538">
        <v>45388</v>
      </c>
      <c r="K452" s="535" t="s">
        <v>170</v>
      </c>
      <c r="L452" s="535" t="s">
        <v>170</v>
      </c>
      <c r="M452" s="535" t="s">
        <v>1580</v>
      </c>
      <c r="N452" s="535" t="s">
        <v>1007</v>
      </c>
      <c r="O452" s="535" t="s">
        <v>1325</v>
      </c>
      <c r="P452" s="535" t="s">
        <v>1218</v>
      </c>
      <c r="Q452" s="535" t="s">
        <v>492</v>
      </c>
      <c r="R452" s="538" t="s">
        <v>170</v>
      </c>
      <c r="S452" s="535" t="s">
        <v>1305</v>
      </c>
      <c r="T452" s="535" t="s">
        <v>1565</v>
      </c>
      <c r="U452" s="536">
        <v>24398.400000000001</v>
      </c>
      <c r="V452" s="535" t="s">
        <v>1307</v>
      </c>
      <c r="X452" s="369" t="str">
        <f>IF(OR(T452="125-65-654-50110",T452="125-65-652-50110",T452="125-65-656-50110"),"N/A",COUNTIF('Prop Budget Calc'!A:A,'Base Pay Report'!A452))</f>
        <v>N/A</v>
      </c>
    </row>
    <row r="453" spans="1:24">
      <c r="A453" s="535" t="s">
        <v>2917</v>
      </c>
      <c r="B453" s="456" t="s">
        <v>2992</v>
      </c>
      <c r="C453" s="456" t="s">
        <v>2993</v>
      </c>
      <c r="D453" s="456" t="s">
        <v>2994</v>
      </c>
      <c r="E453" s="456" t="str">
        <f t="shared" si="8"/>
        <v>First Name Last Name</v>
      </c>
      <c r="F453" s="535" t="s">
        <v>1214</v>
      </c>
      <c r="G453" s="535" t="s">
        <v>1602</v>
      </c>
      <c r="H453" s="536">
        <v>10.199999999999999</v>
      </c>
      <c r="I453" s="537" t="s">
        <v>170</v>
      </c>
      <c r="J453" s="538">
        <v>45423</v>
      </c>
      <c r="K453" s="535" t="s">
        <v>170</v>
      </c>
      <c r="L453" s="535" t="s">
        <v>170</v>
      </c>
      <c r="M453" s="535" t="s">
        <v>1603</v>
      </c>
      <c r="N453" s="535" t="s">
        <v>1010</v>
      </c>
      <c r="O453" s="535" t="s">
        <v>1325</v>
      </c>
      <c r="P453" s="535" t="s">
        <v>1218</v>
      </c>
      <c r="Q453" s="535" t="s">
        <v>492</v>
      </c>
      <c r="R453" s="538" t="s">
        <v>170</v>
      </c>
      <c r="S453" s="535" t="s">
        <v>1305</v>
      </c>
      <c r="T453" s="535" t="s">
        <v>1326</v>
      </c>
      <c r="U453" s="536">
        <v>21216</v>
      </c>
      <c r="V453" s="535" t="s">
        <v>1307</v>
      </c>
      <c r="X453" s="369" t="str">
        <f>IF(OR(T453="125-65-654-50110",T453="125-65-652-50110",T453="125-65-656-50110"),"N/A",COUNTIF('Prop Budget Calc'!A:A,'Base Pay Report'!A453))</f>
        <v>N/A</v>
      </c>
    </row>
    <row r="454" spans="1:24">
      <c r="A454" s="535" t="s">
        <v>2918</v>
      </c>
      <c r="B454" s="456" t="s">
        <v>2992</v>
      </c>
      <c r="C454" s="456" t="s">
        <v>2993</v>
      </c>
      <c r="D454" s="456" t="s">
        <v>2994</v>
      </c>
      <c r="E454" s="456" t="str">
        <f t="shared" si="8"/>
        <v>First Name Last Name</v>
      </c>
      <c r="F454" s="535" t="s">
        <v>1214</v>
      </c>
      <c r="G454" s="535" t="s">
        <v>1602</v>
      </c>
      <c r="H454" s="536">
        <v>10.199999999999999</v>
      </c>
      <c r="I454" s="537" t="s">
        <v>170</v>
      </c>
      <c r="J454" s="538">
        <v>45388</v>
      </c>
      <c r="K454" s="535" t="s">
        <v>170</v>
      </c>
      <c r="L454" s="535" t="s">
        <v>170</v>
      </c>
      <c r="M454" s="535" t="s">
        <v>1603</v>
      </c>
      <c r="N454" s="535" t="s">
        <v>1010</v>
      </c>
      <c r="O454" s="535" t="s">
        <v>1325</v>
      </c>
      <c r="P454" s="535" t="s">
        <v>1218</v>
      </c>
      <c r="Q454" s="535" t="s">
        <v>492</v>
      </c>
      <c r="R454" s="538" t="s">
        <v>170</v>
      </c>
      <c r="S454" s="535" t="s">
        <v>1305</v>
      </c>
      <c r="T454" s="535" t="s">
        <v>1326</v>
      </c>
      <c r="U454" s="536">
        <v>21216</v>
      </c>
      <c r="V454" s="535" t="s">
        <v>1307</v>
      </c>
      <c r="X454" s="369" t="str">
        <f>IF(OR(T454="125-65-654-50110",T454="125-65-652-50110",T454="125-65-656-50110"),"N/A",COUNTIF('Prop Budget Calc'!A:A,'Base Pay Report'!A454))</f>
        <v>N/A</v>
      </c>
    </row>
    <row r="455" spans="1:24">
      <c r="A455" s="535" t="s">
        <v>2919</v>
      </c>
      <c r="B455" s="456" t="s">
        <v>2992</v>
      </c>
      <c r="C455" s="456" t="s">
        <v>2993</v>
      </c>
      <c r="D455" s="456" t="s">
        <v>2994</v>
      </c>
      <c r="E455" s="456" t="str">
        <f t="shared" si="8"/>
        <v>First Name Last Name</v>
      </c>
      <c r="F455" s="535" t="s">
        <v>1214</v>
      </c>
      <c r="G455" s="535" t="s">
        <v>1579</v>
      </c>
      <c r="H455" s="536">
        <v>11.73</v>
      </c>
      <c r="I455" s="537" t="s">
        <v>170</v>
      </c>
      <c r="J455" s="538">
        <v>45395</v>
      </c>
      <c r="K455" s="535" t="s">
        <v>170</v>
      </c>
      <c r="L455" s="535" t="s">
        <v>170</v>
      </c>
      <c r="M455" s="535" t="s">
        <v>1580</v>
      </c>
      <c r="N455" s="535" t="s">
        <v>1007</v>
      </c>
      <c r="O455" s="535" t="s">
        <v>1325</v>
      </c>
      <c r="P455" s="535" t="s">
        <v>1218</v>
      </c>
      <c r="Q455" s="535" t="s">
        <v>492</v>
      </c>
      <c r="R455" s="538" t="s">
        <v>170</v>
      </c>
      <c r="S455" s="535" t="s">
        <v>1305</v>
      </c>
      <c r="T455" s="535" t="s">
        <v>1565</v>
      </c>
      <c r="U455" s="536">
        <v>24398.400000000001</v>
      </c>
      <c r="V455" s="535" t="s">
        <v>1307</v>
      </c>
      <c r="X455" s="369" t="str">
        <f>IF(OR(T455="125-65-654-50110",T455="125-65-652-50110",T455="125-65-656-50110"),"N/A",COUNTIF('Prop Budget Calc'!A:A,'Base Pay Report'!A455))</f>
        <v>N/A</v>
      </c>
    </row>
    <row r="456" spans="1:24">
      <c r="A456" s="535" t="s">
        <v>2920</v>
      </c>
      <c r="B456" s="456" t="s">
        <v>2992</v>
      </c>
      <c r="C456" s="456" t="s">
        <v>2993</v>
      </c>
      <c r="D456" s="456" t="s">
        <v>2994</v>
      </c>
      <c r="E456" s="456" t="str">
        <f t="shared" si="8"/>
        <v>First Name Last Name</v>
      </c>
      <c r="F456" s="535" t="s">
        <v>1214</v>
      </c>
      <c r="G456" s="535" t="s">
        <v>1602</v>
      </c>
      <c r="H456" s="536">
        <v>13.77</v>
      </c>
      <c r="I456" s="537" t="s">
        <v>170</v>
      </c>
      <c r="J456" s="538">
        <v>45409</v>
      </c>
      <c r="K456" s="535" t="s">
        <v>170</v>
      </c>
      <c r="L456" s="535" t="s">
        <v>170</v>
      </c>
      <c r="M456" s="535" t="s">
        <v>2927</v>
      </c>
      <c r="N456" s="535" t="s">
        <v>2928</v>
      </c>
      <c r="O456" s="535" t="s">
        <v>1325</v>
      </c>
      <c r="P456" s="535" t="s">
        <v>1218</v>
      </c>
      <c r="Q456" s="535" t="s">
        <v>492</v>
      </c>
      <c r="R456" s="538" t="s">
        <v>170</v>
      </c>
      <c r="S456" s="535" t="s">
        <v>1305</v>
      </c>
      <c r="T456" s="535" t="s">
        <v>1326</v>
      </c>
      <c r="U456" s="536">
        <v>28641.599999999999</v>
      </c>
      <c r="V456" s="535" t="s">
        <v>1307</v>
      </c>
      <c r="X456" s="369" t="str">
        <f>IF(OR(T456="125-65-654-50110",T456="125-65-652-50110",T456="125-65-656-50110"),"N/A",COUNTIF('Prop Budget Calc'!A:A,'Base Pay Report'!A456))</f>
        <v>N/A</v>
      </c>
    </row>
    <row r="457" spans="1:24">
      <c r="A457" s="535" t="s">
        <v>2921</v>
      </c>
      <c r="B457" s="456" t="s">
        <v>2992</v>
      </c>
      <c r="C457" s="456" t="s">
        <v>2993</v>
      </c>
      <c r="D457" s="456" t="s">
        <v>2994</v>
      </c>
      <c r="E457" s="456" t="str">
        <f t="shared" si="8"/>
        <v>First Name Last Name</v>
      </c>
      <c r="F457" s="535" t="s">
        <v>1214</v>
      </c>
      <c r="G457" s="535" t="s">
        <v>1309</v>
      </c>
      <c r="H457" s="536">
        <v>21</v>
      </c>
      <c r="I457" s="537" t="s">
        <v>170</v>
      </c>
      <c r="J457" s="538">
        <v>45399</v>
      </c>
      <c r="K457" s="535" t="s">
        <v>170</v>
      </c>
      <c r="L457" s="535" t="s">
        <v>170</v>
      </c>
      <c r="M457" s="535" t="s">
        <v>2930</v>
      </c>
      <c r="N457" s="535" t="s">
        <v>2931</v>
      </c>
      <c r="O457" s="535" t="s">
        <v>1230</v>
      </c>
      <c r="P457" s="535" t="s">
        <v>1218</v>
      </c>
      <c r="Q457" s="535" t="s">
        <v>492</v>
      </c>
      <c r="R457" s="538" t="s">
        <v>170</v>
      </c>
      <c r="S457" s="535" t="s">
        <v>1219</v>
      </c>
      <c r="T457" s="535" t="s">
        <v>1376</v>
      </c>
      <c r="U457" s="536">
        <v>43680</v>
      </c>
      <c r="V457" s="535" t="s">
        <v>1220</v>
      </c>
      <c r="X457" s="369">
        <f>IF(OR(T457="125-65-654-50110",T457="125-65-652-50110",T457="125-65-656-50110"),"N/A",COUNTIF('Prop Budget Calc'!A:A,'Base Pay Report'!A457))</f>
        <v>0</v>
      </c>
    </row>
    <row r="458" spans="1:24">
      <c r="A458" s="535" t="s">
        <v>2922</v>
      </c>
      <c r="B458" s="456" t="s">
        <v>2992</v>
      </c>
      <c r="C458" s="456" t="s">
        <v>2993</v>
      </c>
      <c r="D458" s="456" t="s">
        <v>2994</v>
      </c>
      <c r="E458" s="456" t="str">
        <f t="shared" si="8"/>
        <v>First Name Last Name</v>
      </c>
      <c r="F458" s="535" t="s">
        <v>1214</v>
      </c>
      <c r="G458" s="535" t="s">
        <v>1309</v>
      </c>
      <c r="H458" s="536">
        <v>18.28</v>
      </c>
      <c r="I458" s="537" t="s">
        <v>170</v>
      </c>
      <c r="J458" s="538">
        <v>45399</v>
      </c>
      <c r="K458" s="535" t="s">
        <v>170</v>
      </c>
      <c r="L458" s="535" t="s">
        <v>170</v>
      </c>
      <c r="M458" s="535" t="s">
        <v>1655</v>
      </c>
      <c r="N458" s="535" t="s">
        <v>1656</v>
      </c>
      <c r="O458" s="535" t="s">
        <v>1325</v>
      </c>
      <c r="P458" s="535" t="s">
        <v>1218</v>
      </c>
      <c r="Q458" s="535" t="s">
        <v>492</v>
      </c>
      <c r="R458" s="538" t="s">
        <v>170</v>
      </c>
      <c r="S458" s="535" t="s">
        <v>1291</v>
      </c>
      <c r="T458" s="535" t="s">
        <v>1312</v>
      </c>
      <c r="U458" s="536">
        <v>38022.400000000001</v>
      </c>
      <c r="V458" s="535" t="s">
        <v>1220</v>
      </c>
      <c r="X458" s="369">
        <f>IF(OR(T458="125-65-654-50110",T458="125-65-652-50110",T458="125-65-656-50110"),"N/A",COUNTIF('Prop Budget Calc'!A:A,'Base Pay Report'!A458))</f>
        <v>0</v>
      </c>
    </row>
    <row r="459" spans="1:24">
      <c r="A459" s="535" t="s">
        <v>2923</v>
      </c>
      <c r="B459" s="456" t="s">
        <v>2992</v>
      </c>
      <c r="C459" s="456" t="s">
        <v>2993</v>
      </c>
      <c r="D459" s="456" t="s">
        <v>2994</v>
      </c>
      <c r="E459" s="456" t="str">
        <f t="shared" si="8"/>
        <v>First Name Last Name</v>
      </c>
      <c r="F459" s="535" t="s">
        <v>1214</v>
      </c>
      <c r="G459" s="535" t="s">
        <v>1256</v>
      </c>
      <c r="H459" s="536">
        <v>18.28</v>
      </c>
      <c r="I459" s="537" t="s">
        <v>170</v>
      </c>
      <c r="J459" s="538">
        <v>45399</v>
      </c>
      <c r="K459" s="535" t="s">
        <v>170</v>
      </c>
      <c r="L459" s="535" t="s">
        <v>170</v>
      </c>
      <c r="M459" s="535" t="s">
        <v>2595</v>
      </c>
      <c r="N459" s="535" t="s">
        <v>2596</v>
      </c>
      <c r="O459" s="535" t="s">
        <v>1338</v>
      </c>
      <c r="P459" s="535" t="s">
        <v>1218</v>
      </c>
      <c r="Q459" s="535" t="s">
        <v>492</v>
      </c>
      <c r="R459" s="538" t="s">
        <v>170</v>
      </c>
      <c r="S459" s="535" t="s">
        <v>1291</v>
      </c>
      <c r="T459" s="535" t="s">
        <v>1388</v>
      </c>
      <c r="U459" s="536">
        <v>38022.400000000001</v>
      </c>
      <c r="V459" s="535" t="s">
        <v>1220</v>
      </c>
      <c r="X459" s="369">
        <f>IF(OR(T459="125-65-654-50110",T459="125-65-652-50110",T459="125-65-656-50110"),"N/A",COUNTIF('Prop Budget Calc'!A:A,'Base Pay Report'!A459))</f>
        <v>0</v>
      </c>
    </row>
    <row r="460" spans="1:24">
      <c r="A460" s="535" t="s">
        <v>2924</v>
      </c>
      <c r="B460" s="456" t="s">
        <v>2992</v>
      </c>
      <c r="C460" s="456" t="s">
        <v>2993</v>
      </c>
      <c r="D460" s="456" t="s">
        <v>2994</v>
      </c>
      <c r="E460" s="456" t="str">
        <f t="shared" si="8"/>
        <v>First Name Last Name</v>
      </c>
      <c r="F460" s="535" t="s">
        <v>1214</v>
      </c>
      <c r="G460" s="535" t="s">
        <v>170</v>
      </c>
      <c r="H460" s="536">
        <v>24.97</v>
      </c>
      <c r="I460" s="537" t="s">
        <v>170</v>
      </c>
      <c r="J460" s="538">
        <v>45418</v>
      </c>
      <c r="K460" s="535" t="s">
        <v>170</v>
      </c>
      <c r="L460" s="535" t="s">
        <v>170</v>
      </c>
      <c r="M460" s="535" t="s">
        <v>2590</v>
      </c>
      <c r="N460" s="535" t="s">
        <v>2599</v>
      </c>
      <c r="O460" s="535" t="s">
        <v>1230</v>
      </c>
      <c r="P460" s="535" t="s">
        <v>1218</v>
      </c>
      <c r="Q460" s="535" t="s">
        <v>492</v>
      </c>
      <c r="R460" s="538" t="s">
        <v>170</v>
      </c>
      <c r="S460" s="535" t="s">
        <v>1294</v>
      </c>
      <c r="T460" s="535" t="s">
        <v>954</v>
      </c>
      <c r="U460" s="536">
        <v>51937.599999999999</v>
      </c>
      <c r="V460" s="535" t="s">
        <v>1220</v>
      </c>
      <c r="X460" s="369">
        <f>IF(OR(T460="125-65-654-50110",T460="125-65-652-50110",T460="125-65-656-50110"),"N/A",COUNTIF('Prop Budget Calc'!A:A,'Base Pay Report'!A460))</f>
        <v>0</v>
      </c>
    </row>
    <row r="461" spans="1:24">
      <c r="A461" s="535" t="s">
        <v>1551</v>
      </c>
      <c r="B461" s="456" t="s">
        <v>2992</v>
      </c>
      <c r="C461" s="456" t="s">
        <v>2993</v>
      </c>
      <c r="D461" s="456" t="s">
        <v>2994</v>
      </c>
      <c r="E461" s="456" t="str">
        <f t="shared" si="8"/>
        <v>First Name Last Name</v>
      </c>
      <c r="F461" s="535" t="s">
        <v>1214</v>
      </c>
      <c r="G461" s="535" t="s">
        <v>1361</v>
      </c>
      <c r="H461" s="536">
        <v>2526.13</v>
      </c>
      <c r="I461" s="537">
        <v>80</v>
      </c>
      <c r="J461" s="538">
        <v>44348</v>
      </c>
      <c r="K461" s="535" t="s">
        <v>170</v>
      </c>
      <c r="L461" s="535" t="s">
        <v>170</v>
      </c>
      <c r="M461" s="535" t="s">
        <v>1552</v>
      </c>
      <c r="N461" s="535" t="s">
        <v>1011</v>
      </c>
      <c r="O461" s="535" t="s">
        <v>1230</v>
      </c>
      <c r="P461" s="535" t="s">
        <v>1218</v>
      </c>
      <c r="Q461" s="535" t="s">
        <v>1231</v>
      </c>
      <c r="R461" s="538" t="s">
        <v>170</v>
      </c>
      <c r="S461" s="535" t="s">
        <v>1241</v>
      </c>
      <c r="T461" s="535" t="s">
        <v>1553</v>
      </c>
      <c r="U461" s="536">
        <v>65679.38</v>
      </c>
      <c r="V461" s="535" t="s">
        <v>1220</v>
      </c>
      <c r="X461" s="369">
        <f>IF(OR(T461="125-65-654-50110",T461="125-65-652-50110",T461="125-65-656-50110"),"N/A",COUNTIF('Prop Budget Calc'!A:A,'Base Pay Report'!A461))</f>
        <v>1</v>
      </c>
    </row>
    <row r="462" spans="1:24">
      <c r="A462" s="535" t="s">
        <v>1416</v>
      </c>
      <c r="B462" s="456" t="s">
        <v>2992</v>
      </c>
      <c r="C462" s="456" t="s">
        <v>2993</v>
      </c>
      <c r="D462" s="456" t="s">
        <v>2994</v>
      </c>
      <c r="E462" s="456" t="str">
        <f t="shared" si="8"/>
        <v>First Name Last Name</v>
      </c>
      <c r="F462" s="535" t="s">
        <v>1214</v>
      </c>
      <c r="G462" s="535" t="s">
        <v>1251</v>
      </c>
      <c r="H462" s="536">
        <v>3726.18</v>
      </c>
      <c r="I462" s="537">
        <v>80</v>
      </c>
      <c r="J462" s="538">
        <v>33700</v>
      </c>
      <c r="K462" s="535" t="s">
        <v>170</v>
      </c>
      <c r="L462" s="535" t="s">
        <v>170</v>
      </c>
      <c r="M462" s="535" t="s">
        <v>1417</v>
      </c>
      <c r="N462" s="535" t="s">
        <v>143</v>
      </c>
      <c r="O462" s="535" t="s">
        <v>1230</v>
      </c>
      <c r="P462" s="535" t="s">
        <v>1218</v>
      </c>
      <c r="Q462" s="535" t="s">
        <v>1231</v>
      </c>
      <c r="R462" s="538" t="s">
        <v>170</v>
      </c>
      <c r="S462" s="535" t="s">
        <v>1241</v>
      </c>
      <c r="T462" s="535" t="s">
        <v>1418</v>
      </c>
      <c r="U462" s="536">
        <v>96880.68</v>
      </c>
      <c r="V462" s="535" t="s">
        <v>1220</v>
      </c>
      <c r="X462" s="369" t="e">
        <f>IF(OR(T462="125-65-654-50110",T462="125-65-652-50110",T462="125-65-656-50110"),"N/A",COUNTIF('[2]Prop Budget Calc'!A:A,'[2]Base Pay Report'!A462))</f>
        <v>#VALUE!</v>
      </c>
    </row>
    <row r="463" spans="1:24">
      <c r="A463" s="535" t="s">
        <v>1676</v>
      </c>
      <c r="B463" s="456" t="s">
        <v>2992</v>
      </c>
      <c r="C463" s="456" t="s">
        <v>2993</v>
      </c>
      <c r="D463" s="456" t="s">
        <v>2994</v>
      </c>
      <c r="E463" s="456" t="str">
        <f t="shared" si="8"/>
        <v>First Name Last Name</v>
      </c>
      <c r="F463" s="535" t="s">
        <v>1214</v>
      </c>
      <c r="G463" s="535" t="s">
        <v>1403</v>
      </c>
      <c r="H463" s="536">
        <v>2170.4899999999998</v>
      </c>
      <c r="I463" s="537">
        <v>80</v>
      </c>
      <c r="J463" s="538">
        <v>44683</v>
      </c>
      <c r="K463" s="535" t="s">
        <v>170</v>
      </c>
      <c r="L463" s="535" t="s">
        <v>170</v>
      </c>
      <c r="M463" s="535" t="s">
        <v>1677</v>
      </c>
      <c r="N463" s="535" t="s">
        <v>1096</v>
      </c>
      <c r="O463" s="535" t="s">
        <v>1325</v>
      </c>
      <c r="P463" s="535" t="s">
        <v>1218</v>
      </c>
      <c r="Q463" s="535" t="s">
        <v>1231</v>
      </c>
      <c r="R463" s="538" t="s">
        <v>170</v>
      </c>
      <c r="S463" s="535" t="s">
        <v>1253</v>
      </c>
      <c r="T463" s="535" t="s">
        <v>1589</v>
      </c>
      <c r="U463" s="536">
        <v>56432.74</v>
      </c>
      <c r="V463" s="535" t="s">
        <v>1220</v>
      </c>
      <c r="X463" s="369" t="e">
        <f>IF(OR(T463="125-65-654-50110",T463="125-65-652-50110",T463="125-65-656-50110"),"N/A",COUNTIF('[2]Prop Budget Calc'!A:A,'[2]Base Pay Report'!A463))</f>
        <v>#VALUE!</v>
      </c>
    </row>
    <row r="464" spans="1:24">
      <c r="A464" s="535" t="s">
        <v>1613</v>
      </c>
      <c r="B464" s="456" t="s">
        <v>2992</v>
      </c>
      <c r="C464" s="456" t="s">
        <v>2993</v>
      </c>
      <c r="D464" s="456" t="s">
        <v>2994</v>
      </c>
      <c r="E464" s="456" t="str">
        <f t="shared" si="8"/>
        <v>First Name Last Name</v>
      </c>
      <c r="F464" s="535" t="s">
        <v>1214</v>
      </c>
      <c r="G464" s="535" t="s">
        <v>1256</v>
      </c>
      <c r="H464" s="536">
        <v>19.190000000000001</v>
      </c>
      <c r="I464" s="537" t="s">
        <v>170</v>
      </c>
      <c r="J464" s="538">
        <v>44389</v>
      </c>
      <c r="K464" s="535" t="s">
        <v>170</v>
      </c>
      <c r="L464" s="535" t="s">
        <v>170</v>
      </c>
      <c r="M464" s="535" t="s">
        <v>1614</v>
      </c>
      <c r="N464" s="535" t="s">
        <v>1014</v>
      </c>
      <c r="O464" s="535" t="s">
        <v>1230</v>
      </c>
      <c r="P464" s="535" t="s">
        <v>1218</v>
      </c>
      <c r="Q464" s="535" t="s">
        <v>492</v>
      </c>
      <c r="R464" s="538" t="s">
        <v>170</v>
      </c>
      <c r="S464" s="535" t="s">
        <v>1235</v>
      </c>
      <c r="T464" s="535" t="s">
        <v>1615</v>
      </c>
      <c r="U464" s="536">
        <v>39915.199999999997</v>
      </c>
      <c r="V464" s="535" t="s">
        <v>1220</v>
      </c>
      <c r="X464" s="369" t="e">
        <f>IF(OR(T464="125-65-654-50110",T464="125-65-652-50110",T464="125-65-656-50110"),"N/A",COUNTIF('[2]Prop Budget Calc'!A:A,'[2]Base Pay Report'!A464))</f>
        <v>#VALUE!</v>
      </c>
    </row>
    <row r="465" spans="1:24">
      <c r="A465" s="535" t="s">
        <v>1747</v>
      </c>
      <c r="B465" s="456" t="s">
        <v>2992</v>
      </c>
      <c r="C465" s="456" t="s">
        <v>2993</v>
      </c>
      <c r="D465" s="456" t="s">
        <v>2994</v>
      </c>
      <c r="E465" s="456" t="str">
        <f t="shared" si="8"/>
        <v>First Name Last Name</v>
      </c>
      <c r="F465" s="535" t="s">
        <v>1214</v>
      </c>
      <c r="G465" s="535" t="s">
        <v>1256</v>
      </c>
      <c r="H465" s="536">
        <v>17.05</v>
      </c>
      <c r="I465" s="537" t="s">
        <v>170</v>
      </c>
      <c r="J465" s="538">
        <v>44963</v>
      </c>
      <c r="K465" s="535" t="s">
        <v>170</v>
      </c>
      <c r="L465" s="535" t="s">
        <v>170</v>
      </c>
      <c r="M465" s="535" t="s">
        <v>1738</v>
      </c>
      <c r="N465" s="535" t="s">
        <v>1739</v>
      </c>
      <c r="O465" s="535" t="s">
        <v>1230</v>
      </c>
      <c r="P465" s="535" t="s">
        <v>1218</v>
      </c>
      <c r="Q465" s="535" t="s">
        <v>492</v>
      </c>
      <c r="R465" s="538" t="s">
        <v>170</v>
      </c>
      <c r="S465" s="535" t="s">
        <v>1305</v>
      </c>
      <c r="T465" s="535" t="s">
        <v>1740</v>
      </c>
      <c r="U465" s="536">
        <v>35464</v>
      </c>
      <c r="V465" s="535" t="s">
        <v>1307</v>
      </c>
      <c r="X465" s="369" t="e">
        <f>IF(OR(T465="125-65-654-50110",T465="125-65-652-50110",T465="125-65-656-50110"),"N/A",COUNTIF('[2]Prop Budget Calc'!A:A,'[2]Base Pay Report'!A465))</f>
        <v>#VALUE!</v>
      </c>
    </row>
    <row r="466" spans="1:24">
      <c r="A466" s="535" t="s">
        <v>1731</v>
      </c>
      <c r="B466" s="456" t="s">
        <v>2992</v>
      </c>
      <c r="C466" s="456" t="s">
        <v>2993</v>
      </c>
      <c r="D466" s="456" t="s">
        <v>2994</v>
      </c>
      <c r="E466" s="456" t="str">
        <f t="shared" si="8"/>
        <v>First Name Last Name</v>
      </c>
      <c r="F466" s="535" t="s">
        <v>1214</v>
      </c>
      <c r="G466" s="535" t="s">
        <v>1256</v>
      </c>
      <c r="H466" s="536">
        <v>17.05</v>
      </c>
      <c r="I466" s="537" t="s">
        <v>170</v>
      </c>
      <c r="J466" s="538">
        <v>44867</v>
      </c>
      <c r="K466" s="535" t="s">
        <v>170</v>
      </c>
      <c r="L466" s="535" t="s">
        <v>170</v>
      </c>
      <c r="M466" s="535" t="s">
        <v>1732</v>
      </c>
      <c r="N466" s="535" t="s">
        <v>1002</v>
      </c>
      <c r="O466" s="535" t="s">
        <v>1258</v>
      </c>
      <c r="P466" s="535" t="s">
        <v>1218</v>
      </c>
      <c r="Q466" s="535" t="s">
        <v>492</v>
      </c>
      <c r="R466" s="538" t="s">
        <v>170</v>
      </c>
      <c r="S466" s="535" t="s">
        <v>1235</v>
      </c>
      <c r="T466" s="535" t="s">
        <v>956</v>
      </c>
      <c r="U466" s="536">
        <v>35464</v>
      </c>
      <c r="V466" s="535" t="s">
        <v>1220</v>
      </c>
      <c r="X466" s="369" t="e">
        <f>IF(OR(T466="125-65-654-50110",T466="125-65-652-50110",T466="125-65-656-50110"),"N/A",COUNTIF('[2]Prop Budget Calc'!A:A,'[2]Base Pay Report'!A466))</f>
        <v>#VALUE!</v>
      </c>
    </row>
    <row r="467" spans="1:24">
      <c r="A467" s="535"/>
      <c r="B467" s="535"/>
      <c r="C467" s="535"/>
      <c r="D467" s="535"/>
      <c r="E467" s="456" t="str">
        <f t="shared" si="8"/>
        <v xml:space="preserve"> </v>
      </c>
      <c r="F467" s="535"/>
      <c r="G467" s="535"/>
      <c r="H467" s="536"/>
      <c r="I467" s="537"/>
      <c r="J467" s="538"/>
      <c r="K467" s="535"/>
      <c r="L467" s="535"/>
      <c r="M467" s="535"/>
      <c r="N467" s="535"/>
      <c r="O467" s="535"/>
      <c r="P467" s="535"/>
      <c r="Q467" s="535"/>
      <c r="R467" s="538"/>
      <c r="S467" s="535"/>
      <c r="T467" s="535"/>
      <c r="U467" s="536"/>
      <c r="V467" s="535"/>
      <c r="X467" s="369">
        <f>IF(OR(T467="125-65-654-50110",T467="125-65-652-50110",T467="125-65-656-50110"),"N/A",COUNTIF('Prop Budget Calc'!A:A,'Base Pay Report'!A467))</f>
        <v>0</v>
      </c>
    </row>
    <row r="468" spans="1:24">
      <c r="A468" s="535"/>
      <c r="B468" s="535"/>
      <c r="C468" s="535"/>
      <c r="D468" s="535"/>
      <c r="E468" s="456" t="str">
        <f t="shared" si="8"/>
        <v xml:space="preserve"> </v>
      </c>
      <c r="F468" s="535"/>
      <c r="G468" s="535"/>
      <c r="H468" s="536"/>
      <c r="I468" s="537"/>
      <c r="J468" s="538"/>
      <c r="K468" s="535"/>
      <c r="L468" s="535"/>
      <c r="M468" s="535"/>
      <c r="N468" s="535"/>
      <c r="O468" s="535"/>
      <c r="P468" s="535"/>
      <c r="Q468" s="535"/>
      <c r="R468" s="538"/>
      <c r="S468" s="535"/>
      <c r="T468" s="535"/>
      <c r="U468" s="536"/>
      <c r="V468" s="535"/>
      <c r="X468" s="369">
        <f>IF(OR(T468="125-65-654-50110",T468="125-65-652-50110",T468="125-65-656-50110"),"N/A",COUNTIF('Prop Budget Calc'!A:A,'Base Pay Report'!A468))</f>
        <v>0</v>
      </c>
    </row>
    <row r="469" spans="1:24">
      <c r="A469" s="535"/>
      <c r="B469" s="535"/>
      <c r="C469" s="535"/>
      <c r="D469" s="535"/>
      <c r="E469" s="456" t="str">
        <f t="shared" si="8"/>
        <v xml:space="preserve"> </v>
      </c>
      <c r="F469" s="535"/>
      <c r="G469" s="535"/>
      <c r="H469" s="536"/>
      <c r="I469" s="537"/>
      <c r="J469" s="538"/>
      <c r="K469" s="535"/>
      <c r="L469" s="535"/>
      <c r="M469" s="535"/>
      <c r="N469" s="535"/>
      <c r="O469" s="535"/>
      <c r="P469" s="535"/>
      <c r="Q469" s="535"/>
      <c r="R469" s="538"/>
      <c r="S469" s="535"/>
      <c r="T469" s="535"/>
      <c r="U469" s="536"/>
      <c r="V469" s="535"/>
      <c r="X469" s="369">
        <f>IF(OR(T469="125-65-654-50110",T469="125-65-652-50110",T469="125-65-656-50110"),"N/A",COUNTIF('Prop Budget Calc'!A:A,'Base Pay Report'!A469))</f>
        <v>0</v>
      </c>
    </row>
    <row r="470" spans="1:24">
      <c r="A470" s="535"/>
      <c r="B470" s="535"/>
      <c r="C470" s="535"/>
      <c r="D470" s="535"/>
      <c r="E470" s="456" t="str">
        <f t="shared" si="8"/>
        <v xml:space="preserve"> </v>
      </c>
      <c r="F470" s="535"/>
      <c r="G470" s="535"/>
      <c r="H470" s="536"/>
      <c r="I470" s="537"/>
      <c r="J470" s="538"/>
      <c r="K470" s="535"/>
      <c r="L470" s="535"/>
      <c r="M470" s="535"/>
      <c r="N470" s="535"/>
      <c r="O470" s="535"/>
      <c r="P470" s="535"/>
      <c r="Q470" s="535"/>
      <c r="R470" s="538"/>
      <c r="S470" s="535"/>
      <c r="T470" s="535"/>
      <c r="U470" s="536"/>
      <c r="V470" s="535"/>
      <c r="X470" s="369">
        <f>IF(OR(T470="125-65-654-50110",T470="125-65-652-50110",T470="125-65-656-50110"),"N/A",COUNTIF('Prop Budget Calc'!A:A,'Base Pay Report'!A470))</f>
        <v>0</v>
      </c>
    </row>
    <row r="471" spans="1:24">
      <c r="A471" s="535"/>
      <c r="B471" s="535"/>
      <c r="C471" s="535"/>
      <c r="D471" s="535"/>
      <c r="E471" s="456" t="str">
        <f t="shared" si="8"/>
        <v xml:space="preserve"> </v>
      </c>
      <c r="F471" s="535"/>
      <c r="G471" s="535"/>
      <c r="H471" s="536"/>
      <c r="I471" s="537"/>
      <c r="J471" s="538"/>
      <c r="K471" s="535"/>
      <c r="L471" s="535"/>
      <c r="M471" s="535"/>
      <c r="N471" s="535"/>
      <c r="O471" s="535"/>
      <c r="P471" s="535"/>
      <c r="Q471" s="535"/>
      <c r="R471" s="538"/>
      <c r="S471" s="535"/>
      <c r="T471" s="535"/>
      <c r="U471" s="536"/>
      <c r="V471" s="535"/>
      <c r="X471" s="369">
        <f>IF(OR(T471="125-65-654-50110",T471="125-65-652-50110",T471="125-65-656-50110"),"N/A",COUNTIF('Prop Budget Calc'!A:A,'Base Pay Report'!A471))</f>
        <v>0</v>
      </c>
    </row>
    <row r="472" spans="1:24">
      <c r="A472" s="535"/>
      <c r="B472" s="535"/>
      <c r="C472" s="535"/>
      <c r="D472" s="535"/>
      <c r="E472" s="456" t="str">
        <f t="shared" si="8"/>
        <v xml:space="preserve"> </v>
      </c>
      <c r="F472" s="535"/>
      <c r="G472" s="535"/>
      <c r="H472" s="536"/>
      <c r="I472" s="537"/>
      <c r="J472" s="538"/>
      <c r="K472" s="535"/>
      <c r="L472" s="535"/>
      <c r="M472" s="535"/>
      <c r="N472" s="535"/>
      <c r="O472" s="535"/>
      <c r="P472" s="535"/>
      <c r="Q472" s="535"/>
      <c r="R472" s="538"/>
      <c r="S472" s="535"/>
      <c r="T472" s="535"/>
      <c r="U472" s="536"/>
      <c r="V472" s="535"/>
      <c r="X472" s="369">
        <f>IF(OR(T472="125-65-654-50110",T472="125-65-652-50110",T472="125-65-656-50110"),"N/A",COUNTIF('Prop Budget Calc'!A:A,'Base Pay Report'!A472))</f>
        <v>0</v>
      </c>
    </row>
    <row r="473" spans="1:24">
      <c r="A473" s="535"/>
      <c r="B473" s="535"/>
      <c r="C473" s="535"/>
      <c r="D473" s="535"/>
      <c r="E473" s="456" t="str">
        <f t="shared" si="8"/>
        <v xml:space="preserve"> </v>
      </c>
      <c r="F473" s="535"/>
      <c r="G473" s="535"/>
      <c r="H473" s="536"/>
      <c r="I473" s="537"/>
      <c r="J473" s="538"/>
      <c r="K473" s="535"/>
      <c r="L473" s="535"/>
      <c r="M473" s="535"/>
      <c r="N473" s="535"/>
      <c r="O473" s="535"/>
      <c r="P473" s="535"/>
      <c r="Q473" s="535"/>
      <c r="R473" s="538"/>
      <c r="S473" s="535"/>
      <c r="T473" s="535"/>
      <c r="U473" s="536"/>
      <c r="V473" s="535"/>
      <c r="X473" s="369">
        <f>IF(OR(T473="125-65-654-50110",T473="125-65-652-50110",T473="125-65-656-50110"),"N/A",COUNTIF('Prop Budget Calc'!A:A,'Base Pay Report'!A473))</f>
        <v>0</v>
      </c>
    </row>
    <row r="474" spans="1:24">
      <c r="A474" s="529"/>
      <c r="B474" s="529"/>
      <c r="C474" s="529"/>
      <c r="D474" s="529"/>
      <c r="E474" s="456"/>
      <c r="F474" s="529"/>
      <c r="G474" s="529"/>
      <c r="H474" s="530"/>
      <c r="I474" s="531"/>
      <c r="J474" s="532"/>
      <c r="K474" s="529"/>
      <c r="L474" s="529"/>
      <c r="M474" s="529"/>
      <c r="N474" s="529"/>
      <c r="O474" s="529"/>
      <c r="P474" s="529"/>
      <c r="Q474" s="529"/>
      <c r="R474" s="532"/>
      <c r="S474" s="529"/>
      <c r="T474" s="529"/>
      <c r="U474" s="530"/>
      <c r="V474" s="529"/>
      <c r="X474" s="369">
        <f>IF(OR(T474="125-65-654-50110",T474="125-65-652-50110",T474="125-65-656-50110"),"N/A",COUNTIF('Prop Budget Calc'!A:A,'Base Pay Report'!A474))</f>
        <v>0</v>
      </c>
    </row>
    <row r="475" spans="1:24">
      <c r="A475" s="529"/>
      <c r="B475" s="529"/>
      <c r="C475" s="529"/>
      <c r="D475" s="529"/>
      <c r="E475" s="456"/>
      <c r="F475" s="529"/>
      <c r="G475" s="529"/>
      <c r="H475" s="530"/>
      <c r="I475" s="531"/>
      <c r="J475" s="532"/>
      <c r="K475" s="529"/>
      <c r="L475" s="529"/>
      <c r="M475" s="529"/>
      <c r="N475" s="529"/>
      <c r="O475" s="529"/>
      <c r="P475" s="529"/>
      <c r="Q475" s="529"/>
      <c r="R475" s="532"/>
      <c r="S475" s="529"/>
      <c r="T475" s="529"/>
      <c r="U475" s="530"/>
      <c r="V475" s="529"/>
    </row>
    <row r="476" spans="1:24">
      <c r="A476" s="529"/>
      <c r="B476" s="529"/>
      <c r="C476" s="529"/>
      <c r="D476" s="529"/>
      <c r="E476" s="456"/>
      <c r="F476" s="529"/>
      <c r="G476" s="529"/>
      <c r="H476" s="530"/>
      <c r="I476" s="531"/>
      <c r="J476" s="532"/>
      <c r="K476" s="529"/>
      <c r="L476" s="529"/>
      <c r="M476" s="529"/>
      <c r="N476" s="529"/>
      <c r="O476" s="529"/>
      <c r="P476" s="529"/>
      <c r="Q476" s="529"/>
      <c r="R476" s="532"/>
      <c r="S476" s="529"/>
      <c r="T476" s="529"/>
      <c r="U476" s="530"/>
      <c r="V476" s="529"/>
    </row>
    <row r="477" spans="1:24">
      <c r="A477" s="529"/>
      <c r="B477" s="529"/>
      <c r="C477" s="529"/>
      <c r="D477" s="529"/>
      <c r="E477" s="456"/>
      <c r="F477" s="529"/>
      <c r="G477" s="529"/>
      <c r="H477" s="530"/>
      <c r="I477" s="531"/>
      <c r="J477" s="532"/>
      <c r="K477" s="529"/>
      <c r="L477" s="529"/>
      <c r="M477" s="529"/>
      <c r="N477" s="529"/>
      <c r="O477" s="529"/>
      <c r="P477" s="529"/>
      <c r="Q477" s="529"/>
      <c r="R477" s="532"/>
      <c r="S477" s="529"/>
      <c r="T477" s="529"/>
      <c r="U477" s="530"/>
      <c r="V477" s="529"/>
    </row>
    <row r="478" spans="1:24">
      <c r="A478" s="529"/>
      <c r="B478" s="529"/>
      <c r="C478" s="529"/>
      <c r="D478" s="529"/>
      <c r="E478" s="456"/>
      <c r="F478" s="529"/>
      <c r="G478" s="529"/>
      <c r="H478" s="530"/>
      <c r="I478" s="531"/>
      <c r="J478" s="532"/>
      <c r="K478" s="529"/>
      <c r="L478" s="529"/>
      <c r="M478" s="529"/>
      <c r="N478" s="529"/>
      <c r="O478" s="529"/>
      <c r="P478" s="529"/>
      <c r="Q478" s="529"/>
      <c r="R478" s="532"/>
      <c r="S478" s="529"/>
      <c r="T478" s="529"/>
      <c r="U478" s="530"/>
      <c r="V478" s="529"/>
    </row>
    <row r="479" spans="1:24">
      <c r="A479" s="529"/>
      <c r="B479" s="529"/>
      <c r="C479" s="529"/>
      <c r="D479" s="529"/>
      <c r="E479" s="456"/>
      <c r="F479" s="529"/>
      <c r="G479" s="529"/>
      <c r="H479" s="530"/>
      <c r="I479" s="531"/>
      <c r="J479" s="532"/>
      <c r="K479" s="529"/>
      <c r="L479" s="529"/>
      <c r="M479" s="529"/>
      <c r="N479" s="529"/>
      <c r="O479" s="529"/>
      <c r="P479" s="529"/>
      <c r="Q479" s="529"/>
      <c r="R479" s="532"/>
      <c r="S479" s="529"/>
      <c r="T479" s="529"/>
      <c r="U479" s="530"/>
      <c r="V479" s="529"/>
    </row>
    <row r="480" spans="1:24">
      <c r="A480" s="529"/>
      <c r="B480" s="529"/>
      <c r="C480" s="529"/>
      <c r="D480" s="529"/>
      <c r="E480" s="456"/>
      <c r="F480" s="529"/>
      <c r="G480" s="529"/>
      <c r="H480" s="530"/>
      <c r="I480" s="531"/>
      <c r="J480" s="532"/>
      <c r="K480" s="529"/>
      <c r="L480" s="529"/>
      <c r="M480" s="529"/>
      <c r="N480" s="529"/>
      <c r="O480" s="529"/>
      <c r="P480" s="529"/>
      <c r="Q480" s="529"/>
      <c r="R480" s="532"/>
      <c r="S480" s="529"/>
      <c r="T480" s="529"/>
      <c r="U480" s="530"/>
      <c r="V480" s="529"/>
    </row>
    <row r="481" spans="1:22">
      <c r="A481" s="529"/>
      <c r="B481" s="529"/>
      <c r="C481" s="529"/>
      <c r="D481" s="529"/>
      <c r="E481" s="456"/>
      <c r="F481" s="529"/>
      <c r="G481" s="529"/>
      <c r="H481" s="530"/>
      <c r="I481" s="531"/>
      <c r="J481" s="532"/>
      <c r="K481" s="529"/>
      <c r="L481" s="529"/>
      <c r="M481" s="529"/>
      <c r="N481" s="529"/>
      <c r="O481" s="529"/>
      <c r="P481" s="529"/>
      <c r="Q481" s="529"/>
      <c r="R481" s="532"/>
      <c r="S481" s="529"/>
      <c r="T481" s="529"/>
      <c r="U481" s="530"/>
      <c r="V481" s="529"/>
    </row>
    <row r="482" spans="1:22">
      <c r="A482" s="529"/>
      <c r="B482" s="529"/>
      <c r="C482" s="529"/>
      <c r="D482" s="529"/>
      <c r="E482" s="456"/>
      <c r="F482" s="529"/>
      <c r="G482" s="529"/>
      <c r="H482" s="530"/>
      <c r="I482" s="531"/>
      <c r="J482" s="532"/>
      <c r="K482" s="529"/>
      <c r="L482" s="529"/>
      <c r="M482" s="529"/>
      <c r="N482" s="529"/>
      <c r="O482" s="529"/>
      <c r="P482" s="529"/>
      <c r="Q482" s="529"/>
      <c r="R482" s="532"/>
      <c r="S482" s="529"/>
      <c r="T482" s="529"/>
      <c r="U482" s="530"/>
      <c r="V482" s="529"/>
    </row>
    <row r="483" spans="1:22">
      <c r="A483" s="529"/>
      <c r="B483" s="529"/>
      <c r="C483" s="529"/>
      <c r="D483" s="529"/>
      <c r="E483" s="456"/>
      <c r="F483" s="529"/>
      <c r="G483" s="529"/>
      <c r="H483" s="530"/>
      <c r="I483" s="531"/>
      <c r="J483" s="532"/>
      <c r="K483" s="529"/>
      <c r="L483" s="529"/>
      <c r="M483" s="529"/>
      <c r="N483" s="529"/>
      <c r="O483" s="529"/>
      <c r="P483" s="529"/>
      <c r="Q483" s="529"/>
      <c r="R483" s="532"/>
      <c r="S483" s="529"/>
      <c r="T483" s="529"/>
      <c r="U483" s="530"/>
      <c r="V483" s="529"/>
    </row>
    <row r="484" spans="1:22">
      <c r="A484" s="529"/>
      <c r="B484" s="529"/>
      <c r="C484" s="529"/>
      <c r="D484" s="529"/>
      <c r="E484" s="456"/>
      <c r="F484" s="529"/>
      <c r="G484" s="529"/>
      <c r="H484" s="530"/>
      <c r="I484" s="531"/>
      <c r="J484" s="532"/>
      <c r="K484" s="529"/>
      <c r="L484" s="529"/>
      <c r="M484" s="529"/>
      <c r="N484" s="529"/>
      <c r="O484" s="529"/>
      <c r="P484" s="529"/>
      <c r="Q484" s="529"/>
      <c r="R484" s="532"/>
      <c r="S484" s="529"/>
      <c r="T484" s="529"/>
      <c r="U484" s="530"/>
      <c r="V484" s="529"/>
    </row>
    <row r="485" spans="1:22">
      <c r="A485" s="529"/>
      <c r="B485" s="529"/>
      <c r="C485" s="529"/>
      <c r="D485" s="529"/>
      <c r="E485" s="456"/>
      <c r="F485" s="529"/>
      <c r="G485" s="529"/>
      <c r="H485" s="530"/>
      <c r="I485" s="531"/>
      <c r="J485" s="532"/>
      <c r="K485" s="529"/>
      <c r="L485" s="529"/>
      <c r="M485" s="529"/>
      <c r="N485" s="529"/>
      <c r="O485" s="529"/>
      <c r="P485" s="529"/>
      <c r="Q485" s="529"/>
      <c r="R485" s="532"/>
      <c r="S485" s="529"/>
      <c r="T485" s="529"/>
      <c r="U485" s="530"/>
      <c r="V485" s="529"/>
    </row>
    <row r="486" spans="1:22">
      <c r="A486" s="529"/>
      <c r="B486" s="529"/>
      <c r="C486" s="529"/>
      <c r="D486" s="529"/>
      <c r="E486" s="456"/>
      <c r="F486" s="529"/>
      <c r="G486" s="529"/>
      <c r="H486" s="530"/>
      <c r="I486" s="531"/>
      <c r="J486" s="532"/>
      <c r="K486" s="529"/>
      <c r="L486" s="529"/>
      <c r="M486" s="529"/>
      <c r="N486" s="529"/>
      <c r="O486" s="529"/>
      <c r="P486" s="529"/>
      <c r="Q486" s="529"/>
      <c r="R486" s="532"/>
      <c r="S486" s="529"/>
      <c r="T486" s="529"/>
      <c r="U486" s="530"/>
      <c r="V486" s="529"/>
    </row>
    <row r="487" spans="1:22">
      <c r="A487" s="529"/>
      <c r="B487" s="529"/>
      <c r="C487" s="529"/>
      <c r="D487" s="529"/>
      <c r="E487" s="456"/>
      <c r="F487" s="529"/>
      <c r="G487" s="529"/>
      <c r="H487" s="530"/>
      <c r="I487" s="531"/>
      <c r="J487" s="532"/>
      <c r="K487" s="529"/>
      <c r="L487" s="529"/>
      <c r="M487" s="529"/>
      <c r="N487" s="529"/>
      <c r="O487" s="529"/>
      <c r="P487" s="529"/>
      <c r="Q487" s="529"/>
      <c r="R487" s="532"/>
      <c r="S487" s="529"/>
      <c r="T487" s="529"/>
      <c r="U487" s="530"/>
      <c r="V487" s="529"/>
    </row>
    <row r="488" spans="1:22">
      <c r="A488" s="529"/>
      <c r="B488" s="529"/>
      <c r="C488" s="529"/>
      <c r="D488" s="529"/>
      <c r="E488" s="456"/>
      <c r="F488" s="529"/>
      <c r="G488" s="529"/>
      <c r="H488" s="530"/>
      <c r="I488" s="531"/>
      <c r="J488" s="532"/>
      <c r="K488" s="529"/>
      <c r="L488" s="529"/>
      <c r="M488" s="529"/>
      <c r="N488" s="529"/>
      <c r="O488" s="529"/>
      <c r="P488" s="529"/>
      <c r="Q488" s="529"/>
      <c r="R488" s="532"/>
      <c r="S488" s="529"/>
      <c r="T488" s="529"/>
      <c r="U488" s="530"/>
      <c r="V488" s="529"/>
    </row>
    <row r="489" spans="1:22">
      <c r="A489" s="529"/>
      <c r="B489" s="529"/>
      <c r="C489" s="529"/>
      <c r="D489" s="529"/>
      <c r="E489" s="456"/>
      <c r="F489" s="529"/>
      <c r="G489" s="529"/>
      <c r="H489" s="530"/>
      <c r="I489" s="531"/>
      <c r="J489" s="532"/>
      <c r="K489" s="529"/>
      <c r="L489" s="529"/>
      <c r="M489" s="529"/>
      <c r="N489" s="529"/>
      <c r="O489" s="529"/>
      <c r="P489" s="529"/>
      <c r="Q489" s="529"/>
      <c r="R489" s="532"/>
      <c r="S489" s="529"/>
      <c r="T489" s="529"/>
      <c r="U489" s="530"/>
      <c r="V489" s="529"/>
    </row>
    <row r="490" spans="1:22">
      <c r="A490" s="529"/>
      <c r="B490" s="529"/>
      <c r="C490" s="529"/>
      <c r="D490" s="529"/>
      <c r="E490" s="456"/>
      <c r="F490" s="529"/>
      <c r="G490" s="529"/>
      <c r="H490" s="530"/>
      <c r="I490" s="531"/>
      <c r="J490" s="532"/>
      <c r="K490" s="529"/>
      <c r="L490" s="529"/>
      <c r="M490" s="529"/>
      <c r="N490" s="529"/>
      <c r="O490" s="529"/>
      <c r="P490" s="529"/>
      <c r="Q490" s="529"/>
      <c r="R490" s="532"/>
      <c r="S490" s="529"/>
      <c r="T490" s="529"/>
      <c r="U490" s="530"/>
      <c r="V490" s="529"/>
    </row>
    <row r="491" spans="1:22">
      <c r="A491" s="529"/>
      <c r="B491" s="529"/>
      <c r="C491" s="529"/>
      <c r="D491" s="529"/>
      <c r="E491" s="456"/>
      <c r="F491" s="529"/>
      <c r="G491" s="529"/>
      <c r="H491" s="530"/>
      <c r="I491" s="531"/>
      <c r="J491" s="532"/>
      <c r="K491" s="529"/>
      <c r="L491" s="529"/>
      <c r="M491" s="529"/>
      <c r="N491" s="529"/>
      <c r="O491" s="529"/>
      <c r="P491" s="529"/>
      <c r="Q491" s="529"/>
      <c r="R491" s="532"/>
      <c r="S491" s="529"/>
      <c r="T491" s="529"/>
      <c r="U491" s="530"/>
      <c r="V491" s="529"/>
    </row>
    <row r="492" spans="1:22">
      <c r="A492" s="529"/>
      <c r="B492" s="529"/>
      <c r="C492" s="529"/>
      <c r="D492" s="529"/>
      <c r="E492" s="456"/>
      <c r="F492" s="529"/>
      <c r="G492" s="529"/>
      <c r="H492" s="530"/>
      <c r="I492" s="531"/>
      <c r="J492" s="532"/>
      <c r="K492" s="529"/>
      <c r="L492" s="529"/>
      <c r="M492" s="529"/>
      <c r="N492" s="529"/>
      <c r="O492" s="529"/>
      <c r="P492" s="529"/>
      <c r="Q492" s="529"/>
      <c r="R492" s="532"/>
      <c r="S492" s="529"/>
      <c r="T492" s="529"/>
      <c r="U492" s="530"/>
      <c r="V492" s="529"/>
    </row>
    <row r="493" spans="1:22">
      <c r="A493" s="529"/>
      <c r="B493" s="529"/>
      <c r="C493" s="529"/>
      <c r="D493" s="529"/>
      <c r="E493" s="456"/>
      <c r="F493" s="529"/>
      <c r="G493" s="529"/>
      <c r="H493" s="530"/>
      <c r="I493" s="531"/>
      <c r="J493" s="532"/>
      <c r="K493" s="529"/>
      <c r="L493" s="529"/>
      <c r="M493" s="529"/>
      <c r="N493" s="529"/>
      <c r="O493" s="529"/>
      <c r="P493" s="529"/>
      <c r="Q493" s="529"/>
      <c r="R493" s="532"/>
      <c r="S493" s="529"/>
      <c r="T493" s="529"/>
      <c r="U493" s="530"/>
      <c r="V493" s="529"/>
    </row>
    <row r="494" spans="1:22">
      <c r="A494" s="529"/>
      <c r="B494" s="529"/>
      <c r="C494" s="529"/>
      <c r="D494" s="529"/>
      <c r="E494" s="456"/>
      <c r="F494" s="529"/>
      <c r="G494" s="529"/>
      <c r="H494" s="530"/>
      <c r="I494" s="531"/>
      <c r="J494" s="532"/>
      <c r="K494" s="529"/>
      <c r="L494" s="529"/>
      <c r="M494" s="529"/>
      <c r="N494" s="529"/>
      <c r="O494" s="529"/>
      <c r="P494" s="529"/>
      <c r="Q494" s="529"/>
      <c r="R494" s="532"/>
      <c r="S494" s="529"/>
      <c r="T494" s="529"/>
      <c r="U494" s="530"/>
      <c r="V494" s="529"/>
    </row>
    <row r="495" spans="1:22">
      <c r="A495" s="529"/>
      <c r="B495" s="529"/>
      <c r="C495" s="529"/>
      <c r="D495" s="529"/>
      <c r="E495" s="456"/>
      <c r="F495" s="529"/>
      <c r="G495" s="529"/>
      <c r="H495" s="530"/>
      <c r="I495" s="531"/>
      <c r="J495" s="532"/>
      <c r="K495" s="529"/>
      <c r="L495" s="529"/>
      <c r="M495" s="529"/>
      <c r="N495" s="529"/>
      <c r="O495" s="529"/>
      <c r="P495" s="529"/>
      <c r="Q495" s="529"/>
      <c r="R495" s="532"/>
      <c r="S495" s="529"/>
      <c r="T495" s="529"/>
      <c r="U495" s="530"/>
      <c r="V495" s="529"/>
    </row>
    <row r="496" spans="1:22">
      <c r="A496" s="529"/>
      <c r="B496" s="529"/>
      <c r="C496" s="529"/>
      <c r="D496" s="529"/>
      <c r="E496" s="456"/>
      <c r="F496" s="529"/>
      <c r="G496" s="529"/>
      <c r="H496" s="530"/>
      <c r="I496" s="531"/>
      <c r="J496" s="532"/>
      <c r="K496" s="529"/>
      <c r="L496" s="529"/>
      <c r="M496" s="529"/>
      <c r="N496" s="529"/>
      <c r="O496" s="529"/>
      <c r="P496" s="529"/>
      <c r="Q496" s="529"/>
      <c r="R496" s="532"/>
      <c r="S496" s="529"/>
      <c r="T496" s="529"/>
      <c r="U496" s="530"/>
      <c r="V496" s="529"/>
    </row>
    <row r="497" spans="1:22">
      <c r="A497" s="529"/>
      <c r="B497" s="529"/>
      <c r="C497" s="529"/>
      <c r="D497" s="529"/>
      <c r="E497" s="456"/>
      <c r="F497" s="529"/>
      <c r="G497" s="529"/>
      <c r="H497" s="530"/>
      <c r="I497" s="531"/>
      <c r="J497" s="532"/>
      <c r="K497" s="529"/>
      <c r="L497" s="529"/>
      <c r="M497" s="529"/>
      <c r="N497" s="529"/>
      <c r="O497" s="529"/>
      <c r="P497" s="529"/>
      <c r="Q497" s="529"/>
      <c r="R497" s="532"/>
      <c r="S497" s="529"/>
      <c r="T497" s="529"/>
      <c r="U497" s="530"/>
      <c r="V497" s="529"/>
    </row>
    <row r="498" spans="1:22">
      <c r="A498" s="529"/>
      <c r="B498" s="529"/>
      <c r="C498" s="529"/>
      <c r="D498" s="529"/>
      <c r="E498" s="456"/>
      <c r="F498" s="529"/>
      <c r="G498" s="529"/>
      <c r="H498" s="530"/>
      <c r="I498" s="531"/>
      <c r="J498" s="532"/>
      <c r="K498" s="529"/>
      <c r="L498" s="529"/>
      <c r="M498" s="529"/>
      <c r="N498" s="529"/>
      <c r="O498" s="529"/>
      <c r="P498" s="529"/>
      <c r="Q498" s="529"/>
      <c r="R498" s="532"/>
      <c r="S498" s="529"/>
      <c r="T498" s="529"/>
      <c r="U498" s="530"/>
      <c r="V498" s="529"/>
    </row>
    <row r="499" spans="1:22">
      <c r="A499" s="529"/>
      <c r="B499" s="529"/>
      <c r="C499" s="529"/>
      <c r="D499" s="529"/>
      <c r="E499" s="456"/>
      <c r="F499" s="529"/>
      <c r="G499" s="529"/>
      <c r="H499" s="530"/>
      <c r="I499" s="531"/>
      <c r="J499" s="532"/>
      <c r="K499" s="529"/>
      <c r="L499" s="529"/>
      <c r="M499" s="529"/>
      <c r="N499" s="529"/>
      <c r="O499" s="529"/>
      <c r="P499" s="529"/>
      <c r="Q499" s="529"/>
      <c r="R499" s="532"/>
      <c r="S499" s="529"/>
      <c r="T499" s="529"/>
      <c r="U499" s="530"/>
      <c r="V499" s="529"/>
    </row>
    <row r="500" spans="1:22">
      <c r="A500" s="529"/>
      <c r="B500" s="529"/>
      <c r="C500" s="529"/>
      <c r="D500" s="529"/>
      <c r="E500" s="456"/>
      <c r="F500" s="529"/>
      <c r="G500" s="529"/>
      <c r="H500" s="530"/>
      <c r="I500" s="531"/>
      <c r="J500" s="532"/>
      <c r="K500" s="529"/>
      <c r="L500" s="529"/>
      <c r="M500" s="529"/>
      <c r="N500" s="529"/>
      <c r="O500" s="529"/>
      <c r="P500" s="529"/>
      <c r="Q500" s="529"/>
      <c r="R500" s="532"/>
      <c r="S500" s="529"/>
      <c r="T500" s="529"/>
      <c r="U500" s="530"/>
      <c r="V500" s="529"/>
    </row>
    <row r="501" spans="1:22">
      <c r="A501" s="529"/>
      <c r="B501" s="529"/>
      <c r="C501" s="529"/>
      <c r="D501" s="529"/>
      <c r="E501" s="456"/>
      <c r="F501" s="529"/>
      <c r="G501" s="529"/>
      <c r="H501" s="530"/>
      <c r="I501" s="531"/>
      <c r="J501" s="532"/>
      <c r="K501" s="529"/>
      <c r="L501" s="529"/>
      <c r="M501" s="529"/>
      <c r="N501" s="529"/>
      <c r="O501" s="529"/>
      <c r="P501" s="529"/>
      <c r="Q501" s="529"/>
      <c r="R501" s="532"/>
      <c r="S501" s="529"/>
      <c r="T501" s="529"/>
      <c r="U501" s="530"/>
      <c r="V501" s="529"/>
    </row>
    <row r="502" spans="1:22">
      <c r="A502" s="529"/>
      <c r="B502" s="529"/>
      <c r="C502" s="529"/>
      <c r="D502" s="529"/>
      <c r="E502" s="456"/>
      <c r="F502" s="529"/>
      <c r="G502" s="529"/>
      <c r="H502" s="530"/>
      <c r="I502" s="531"/>
      <c r="J502" s="532"/>
      <c r="K502" s="529"/>
      <c r="L502" s="529"/>
      <c r="M502" s="529"/>
      <c r="N502" s="529"/>
      <c r="O502" s="529"/>
      <c r="P502" s="529"/>
      <c r="Q502" s="529"/>
      <c r="R502" s="532"/>
      <c r="S502" s="529"/>
      <c r="T502" s="529"/>
      <c r="U502" s="530"/>
      <c r="V502" s="529"/>
    </row>
    <row r="503" spans="1:22">
      <c r="A503" s="529"/>
      <c r="B503" s="529"/>
      <c r="C503" s="529"/>
      <c r="D503" s="529"/>
      <c r="E503" s="456"/>
      <c r="F503" s="529"/>
      <c r="G503" s="529"/>
      <c r="H503" s="530"/>
      <c r="I503" s="531"/>
      <c r="J503" s="532"/>
      <c r="K503" s="529"/>
      <c r="L503" s="529"/>
      <c r="M503" s="529"/>
      <c r="N503" s="529"/>
      <c r="O503" s="529"/>
      <c r="P503" s="529"/>
      <c r="Q503" s="529"/>
      <c r="R503" s="532"/>
      <c r="S503" s="529"/>
      <c r="T503" s="529"/>
      <c r="U503" s="530"/>
      <c r="V503" s="529"/>
    </row>
    <row r="504" spans="1:22">
      <c r="A504" s="529"/>
      <c r="B504" s="529"/>
      <c r="C504" s="529"/>
      <c r="D504" s="529"/>
      <c r="E504" s="456"/>
      <c r="F504" s="529"/>
      <c r="G504" s="529"/>
      <c r="H504" s="530"/>
      <c r="I504" s="531"/>
      <c r="J504" s="532"/>
      <c r="K504" s="529"/>
      <c r="L504" s="529"/>
      <c r="M504" s="529"/>
      <c r="N504" s="529"/>
      <c r="O504" s="529"/>
      <c r="P504" s="529"/>
      <c r="Q504" s="529"/>
      <c r="R504" s="532"/>
      <c r="S504" s="529"/>
      <c r="T504" s="529"/>
      <c r="U504" s="530"/>
      <c r="V504" s="529"/>
    </row>
    <row r="505" spans="1:22">
      <c r="A505" s="529"/>
      <c r="B505" s="529"/>
      <c r="C505" s="529"/>
      <c r="D505" s="529"/>
      <c r="E505" s="456"/>
      <c r="F505" s="529"/>
      <c r="G505" s="529"/>
      <c r="H505" s="530"/>
      <c r="I505" s="531"/>
      <c r="J505" s="532"/>
      <c r="K505" s="529"/>
      <c r="L505" s="529"/>
      <c r="M505" s="529"/>
      <c r="N505" s="529"/>
      <c r="O505" s="529"/>
      <c r="P505" s="529"/>
      <c r="Q505" s="529"/>
      <c r="R505" s="532"/>
      <c r="S505" s="529"/>
      <c r="T505" s="529"/>
      <c r="U505" s="530"/>
      <c r="V505" s="529"/>
    </row>
    <row r="506" spans="1:22">
      <c r="A506" s="529"/>
      <c r="B506" s="529"/>
      <c r="C506" s="529"/>
      <c r="D506" s="529"/>
      <c r="E506" s="456"/>
      <c r="F506" s="529"/>
      <c r="G506" s="529"/>
      <c r="H506" s="530"/>
      <c r="I506" s="531"/>
      <c r="J506" s="532"/>
      <c r="K506" s="529"/>
      <c r="L506" s="529"/>
      <c r="M506" s="529"/>
      <c r="N506" s="529"/>
      <c r="O506" s="529"/>
      <c r="P506" s="529"/>
      <c r="Q506" s="529"/>
      <c r="R506" s="532"/>
      <c r="S506" s="529"/>
      <c r="T506" s="529"/>
      <c r="U506" s="530"/>
      <c r="V506" s="529"/>
    </row>
    <row r="507" spans="1:22">
      <c r="A507" s="529"/>
      <c r="B507" s="529"/>
      <c r="C507" s="529"/>
      <c r="D507" s="529"/>
      <c r="E507" s="456"/>
      <c r="F507" s="529"/>
      <c r="G507" s="529"/>
      <c r="H507" s="530"/>
      <c r="I507" s="531"/>
      <c r="J507" s="532"/>
      <c r="K507" s="529"/>
      <c r="L507" s="529"/>
      <c r="M507" s="529"/>
      <c r="N507" s="529"/>
      <c r="O507" s="529"/>
      <c r="P507" s="529"/>
      <c r="Q507" s="529"/>
      <c r="R507" s="532"/>
      <c r="S507" s="529"/>
      <c r="T507" s="529"/>
      <c r="U507" s="530"/>
      <c r="V507" s="529"/>
    </row>
    <row r="508" spans="1:22">
      <c r="A508" s="529"/>
      <c r="B508" s="529"/>
      <c r="C508" s="529"/>
      <c r="D508" s="529"/>
      <c r="E508" s="456"/>
      <c r="F508" s="529"/>
      <c r="G508" s="529"/>
      <c r="H508" s="530"/>
      <c r="I508" s="531"/>
      <c r="J508" s="532"/>
      <c r="K508" s="529"/>
      <c r="L508" s="529"/>
      <c r="M508" s="529"/>
      <c r="N508" s="529"/>
      <c r="O508" s="529"/>
      <c r="P508" s="529"/>
      <c r="Q508" s="529"/>
      <c r="R508" s="532"/>
      <c r="S508" s="529"/>
      <c r="T508" s="529"/>
      <c r="U508" s="530"/>
      <c r="V508" s="529"/>
    </row>
    <row r="509" spans="1:22">
      <c r="A509" s="484"/>
      <c r="B509" s="484"/>
      <c r="C509" s="484"/>
      <c r="D509" s="484"/>
      <c r="E509" s="484"/>
      <c r="F509" s="484"/>
      <c r="G509" s="484"/>
      <c r="H509" s="485"/>
      <c r="I509" s="486"/>
      <c r="J509" s="489"/>
      <c r="K509" s="484"/>
      <c r="L509" s="484"/>
      <c r="M509" s="484"/>
      <c r="N509" s="484"/>
      <c r="O509" s="484"/>
      <c r="P509" s="484"/>
      <c r="Q509" s="484"/>
      <c r="R509" s="489"/>
      <c r="S509" s="484"/>
      <c r="T509" s="484"/>
      <c r="U509" s="485"/>
      <c r="V509" s="484"/>
    </row>
    <row r="510" spans="1:22">
      <c r="A510" s="484"/>
      <c r="B510" s="484"/>
      <c r="C510" s="484"/>
      <c r="D510" s="484"/>
      <c r="E510" s="484"/>
      <c r="F510" s="484"/>
      <c r="G510" s="484"/>
      <c r="H510" s="485"/>
      <c r="I510" s="486"/>
      <c r="J510" s="489"/>
      <c r="K510" s="484"/>
      <c r="L510" s="484"/>
      <c r="M510" s="484"/>
      <c r="N510" s="484"/>
      <c r="O510" s="484"/>
      <c r="P510" s="484"/>
      <c r="Q510" s="484"/>
      <c r="R510" s="489"/>
      <c r="S510" s="484"/>
      <c r="T510" s="484"/>
      <c r="U510" s="485"/>
      <c r="V510" s="484"/>
    </row>
    <row r="511" spans="1:22">
      <c r="A511" s="484"/>
      <c r="B511" s="484"/>
      <c r="C511" s="484"/>
      <c r="D511" s="484"/>
      <c r="E511" s="484"/>
      <c r="F511" s="484"/>
      <c r="G511" s="484"/>
      <c r="H511" s="485"/>
      <c r="I511" s="486"/>
      <c r="J511" s="489"/>
      <c r="K511" s="484"/>
      <c r="L511" s="484"/>
      <c r="M511" s="484"/>
      <c r="N511" s="484"/>
      <c r="O511" s="484"/>
      <c r="P511" s="484"/>
      <c r="Q511" s="484"/>
      <c r="R511" s="489"/>
      <c r="S511" s="484"/>
      <c r="T511" s="484"/>
      <c r="U511" s="485"/>
      <c r="V511" s="484"/>
    </row>
    <row r="512" spans="1:22">
      <c r="A512" s="484"/>
      <c r="B512" s="484"/>
      <c r="C512" s="484"/>
      <c r="D512" s="484"/>
      <c r="E512" s="484"/>
      <c r="F512" s="484"/>
      <c r="G512" s="484"/>
      <c r="H512" s="485"/>
      <c r="I512" s="486"/>
      <c r="J512" s="487"/>
      <c r="K512" s="484"/>
      <c r="L512" s="484"/>
      <c r="M512" s="484"/>
      <c r="N512" s="484"/>
      <c r="O512" s="488"/>
      <c r="P512" s="484"/>
      <c r="Q512" s="484"/>
      <c r="R512" s="489"/>
      <c r="S512" s="484"/>
      <c r="T512" s="484"/>
      <c r="U512" s="485"/>
      <c r="V512" s="484"/>
    </row>
    <row r="513" spans="1:24">
      <c r="A513" s="484"/>
      <c r="B513" s="484"/>
      <c r="C513" s="484"/>
      <c r="D513" s="484"/>
      <c r="E513" s="484"/>
      <c r="F513" s="484"/>
      <c r="G513" s="484"/>
      <c r="H513" s="485"/>
      <c r="I513" s="486"/>
      <c r="J513" s="487"/>
      <c r="K513" s="484"/>
      <c r="L513" s="484"/>
      <c r="M513" s="484"/>
      <c r="N513" s="484"/>
      <c r="O513" s="488"/>
      <c r="P513" s="484"/>
      <c r="Q513" s="484"/>
      <c r="R513" s="489"/>
      <c r="S513" s="484"/>
      <c r="T513" s="484"/>
      <c r="U513" s="485"/>
      <c r="V513" s="484"/>
    </row>
    <row r="514" spans="1:24" ht="15.6">
      <c r="A514" s="418"/>
      <c r="B514"/>
      <c r="C514" s="395"/>
      <c r="D514" s="395"/>
      <c r="H514" s="457"/>
      <c r="I514" s="396"/>
      <c r="J514" s="396"/>
      <c r="K514" s="396"/>
      <c r="L514"/>
      <c r="M514"/>
      <c r="N514"/>
      <c r="O514" s="396"/>
      <c r="P514" s="397"/>
      <c r="Q514" s="414"/>
      <c r="R514" s="396"/>
      <c r="S514" s="396"/>
      <c r="T514" s="396"/>
      <c r="U514" s="396"/>
      <c r="V514"/>
    </row>
    <row r="515" spans="1:24" ht="15.6">
      <c r="A515" s="418"/>
      <c r="B515"/>
      <c r="C515" s="395"/>
      <c r="D515" s="395"/>
      <c r="H515" s="396"/>
      <c r="I515" s="396"/>
      <c r="J515" s="396"/>
      <c r="K515" s="396"/>
      <c r="L515"/>
      <c r="M515"/>
      <c r="N515"/>
      <c r="O515" s="396"/>
      <c r="P515" s="397"/>
      <c r="Q515" s="414"/>
      <c r="R515" s="396"/>
      <c r="S515" s="396"/>
      <c r="T515" s="396"/>
      <c r="U515" s="396"/>
      <c r="V515"/>
    </row>
    <row r="516" spans="1:24" ht="15.6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 t="s">
        <v>964</v>
      </c>
      <c r="U516"/>
      <c r="V516"/>
      <c r="X516" s="369">
        <f>IF(OR(T516="125-65-654-50110",T516="125-65-652-50110",T516="125-65-656-50110"),"N/A",COUNTIF('Prop Budget Calc'!A:A,'Base Pay Report'!A516))</f>
        <v>0</v>
      </c>
    </row>
    <row r="517" spans="1:24" ht="15.6">
      <c r="A517" s="422" t="s">
        <v>1872</v>
      </c>
      <c r="B517" t="s">
        <v>1893</v>
      </c>
      <c r="C517" t="s">
        <v>1893</v>
      </c>
      <c r="D517" t="s">
        <v>1893</v>
      </c>
      <c r="E517" s="456" t="str">
        <f t="shared" ref="E517:E550" si="9">B517&amp;" "&amp;D517</f>
        <v>Vacant Vacant</v>
      </c>
      <c r="F517" s="396"/>
      <c r="G517" s="396"/>
      <c r="H517" s="457">
        <f>2424.93*1.05</f>
        <v>2546.1765</v>
      </c>
      <c r="I517" s="458">
        <v>80</v>
      </c>
      <c r="J517" s="396" t="s">
        <v>917</v>
      </c>
      <c r="K517" s="396" t="s">
        <v>919</v>
      </c>
      <c r="L517"/>
      <c r="M517"/>
      <c r="N517" s="456" t="s">
        <v>2597</v>
      </c>
      <c r="O517" s="456" t="s">
        <v>1230</v>
      </c>
      <c r="P517" s="397"/>
      <c r="Q517" s="414"/>
      <c r="R517" s="396"/>
      <c r="S517" s="535" t="s">
        <v>1241</v>
      </c>
      <c r="T517" s="456" t="s">
        <v>1459</v>
      </c>
      <c r="U517" s="396"/>
      <c r="V517"/>
      <c r="X517" s="369">
        <f>IF(OR(T517="125-65-654-50110",T517="125-65-652-50110",T517="125-65-656-50110"),"N/A",COUNTIF('Prop Budget Calc'!A:A,'Base Pay Report'!A517))</f>
        <v>1</v>
      </c>
    </row>
    <row r="518" spans="1:24" ht="15.6">
      <c r="A518" s="419" t="s">
        <v>1873</v>
      </c>
      <c r="B518" t="str">
        <f>B517</f>
        <v>Vacant</v>
      </c>
      <c r="C518" t="str">
        <f>C517</f>
        <v>Vacant</v>
      </c>
      <c r="D518" t="str">
        <f>D517</f>
        <v>Vacant</v>
      </c>
      <c r="E518" s="456" t="str">
        <f t="shared" si="9"/>
        <v>Vacant Vacant</v>
      </c>
      <c r="F518"/>
      <c r="G518"/>
      <c r="H518" s="457">
        <f>245000/26</f>
        <v>9423.0769230769238</v>
      </c>
      <c r="I518" s="458">
        <v>80</v>
      </c>
      <c r="J518" t="s">
        <v>917</v>
      </c>
      <c r="K518" t="s">
        <v>919</v>
      </c>
      <c r="L518"/>
      <c r="M518"/>
      <c r="N518" t="s">
        <v>2598</v>
      </c>
      <c r="O518" s="472" t="s">
        <v>1230</v>
      </c>
      <c r="P518"/>
      <c r="Q518"/>
      <c r="R518"/>
      <c r="S518" s="535" t="s">
        <v>1241</v>
      </c>
      <c r="T518" s="456" t="s">
        <v>1358</v>
      </c>
      <c r="X518" s="369">
        <f>IF(OR(T518="125-65-654-50110",T518="125-65-652-50110",T518="125-65-656-50110"),"N/A",COUNTIF('Prop Budget Calc'!A:A,'Base Pay Report'!A518))</f>
        <v>0</v>
      </c>
    </row>
    <row r="519" spans="1:24" ht="15.6">
      <c r="A519" s="3" t="s">
        <v>1780</v>
      </c>
      <c r="B519" t="str">
        <f t="shared" ref="B519:D551" si="10">B518</f>
        <v>Vacant</v>
      </c>
      <c r="C519" t="str">
        <f t="shared" si="10"/>
        <v>Vacant</v>
      </c>
      <c r="D519" t="str">
        <f t="shared" si="10"/>
        <v>Vacant</v>
      </c>
      <c r="E519" s="456" t="str">
        <f t="shared" si="9"/>
        <v>Vacant Vacant</v>
      </c>
      <c r="F519"/>
      <c r="G519"/>
      <c r="H519">
        <v>24</v>
      </c>
      <c r="I519"/>
      <c r="J519" t="s">
        <v>917</v>
      </c>
      <c r="K519" t="s">
        <v>919</v>
      </c>
      <c r="L519"/>
      <c r="M519"/>
      <c r="N519" t="s">
        <v>2601</v>
      </c>
      <c r="O519" s="472" t="s">
        <v>1230</v>
      </c>
      <c r="P519"/>
      <c r="Q519"/>
      <c r="R519"/>
      <c r="S519" s="535" t="s">
        <v>1241</v>
      </c>
      <c r="T519" t="s">
        <v>1376</v>
      </c>
      <c r="U519"/>
      <c r="V519"/>
      <c r="X519" s="369">
        <f>IF(OR(T519="125-65-654-50110",T519="125-65-652-50110",T519="125-65-656-50110"),"N/A",COUNTIF('Prop Budget Calc'!A:A,'Base Pay Report'!A519))</f>
        <v>0</v>
      </c>
    </row>
    <row r="520" spans="1:24" ht="15.6">
      <c r="A520" s="420" t="s">
        <v>1781</v>
      </c>
      <c r="B520" t="str">
        <f t="shared" si="10"/>
        <v>Vacant</v>
      </c>
      <c r="C520" t="str">
        <f t="shared" si="10"/>
        <v>Vacant</v>
      </c>
      <c r="D520" t="str">
        <f t="shared" si="10"/>
        <v>Vacant</v>
      </c>
      <c r="E520" s="456" t="str">
        <f t="shared" si="9"/>
        <v>Vacant Vacant</v>
      </c>
      <c r="F520"/>
      <c r="G520"/>
      <c r="H520">
        <v>11.5</v>
      </c>
      <c r="I520"/>
      <c r="J520" t="s">
        <v>917</v>
      </c>
      <c r="K520" t="s">
        <v>919</v>
      </c>
      <c r="L520"/>
      <c r="M520"/>
      <c r="N520" t="s">
        <v>1113</v>
      </c>
      <c r="O520" s="456" t="s">
        <v>1230</v>
      </c>
      <c r="P520"/>
      <c r="Q520"/>
      <c r="R520"/>
      <c r="S520"/>
      <c r="T520" t="s">
        <v>1894</v>
      </c>
      <c r="X520" s="369">
        <f>IF(OR(T520="125-65-654-50110",T520="125-65-652-50110",T520="125-65-656-50110"),"N/A",COUNTIF('Prop Budget Calc'!A:A,'Base Pay Report'!A520))</f>
        <v>0</v>
      </c>
    </row>
    <row r="521" spans="1:24" ht="15.6">
      <c r="A521" s="474" t="s">
        <v>1898</v>
      </c>
      <c r="B521" t="str">
        <f t="shared" si="10"/>
        <v>Vacant</v>
      </c>
      <c r="C521" t="str">
        <f t="shared" si="10"/>
        <v>Vacant</v>
      </c>
      <c r="D521" t="str">
        <f t="shared" si="10"/>
        <v>Vacant</v>
      </c>
      <c r="E521" s="456" t="str">
        <f t="shared" si="9"/>
        <v>Vacant Vacant</v>
      </c>
      <c r="F521"/>
      <c r="G521"/>
      <c r="H521">
        <v>50</v>
      </c>
      <c r="I521"/>
      <c r="J521" t="s">
        <v>917</v>
      </c>
      <c r="K521" t="s">
        <v>919</v>
      </c>
      <c r="L521"/>
      <c r="M521"/>
      <c r="N521" t="s">
        <v>136</v>
      </c>
      <c r="O521" s="472" t="s">
        <v>1230</v>
      </c>
      <c r="P521"/>
      <c r="Q521"/>
      <c r="R521"/>
      <c r="S521"/>
      <c r="T521" t="s">
        <v>1382</v>
      </c>
      <c r="U521"/>
      <c r="X521" s="369">
        <f>IF(OR(T521="125-65-654-50110",T521="125-65-652-50110",T521="125-65-656-50110"),"N/A",COUNTIF('Prop Budget Calc'!A:A,'Base Pay Report'!A521))</f>
        <v>0</v>
      </c>
    </row>
    <row r="522" spans="1:24" ht="15.6">
      <c r="A522" s="419" t="s">
        <v>1874</v>
      </c>
      <c r="B522" t="str">
        <f t="shared" si="10"/>
        <v>Vacant</v>
      </c>
      <c r="C522" t="str">
        <f t="shared" si="10"/>
        <v>Vacant</v>
      </c>
      <c r="D522" t="str">
        <f t="shared" si="10"/>
        <v>Vacant</v>
      </c>
      <c r="E522" s="456" t="str">
        <f t="shared" si="9"/>
        <v>Vacant Vacant</v>
      </c>
      <c r="F522"/>
      <c r="G522"/>
      <c r="H522">
        <v>35</v>
      </c>
      <c r="I522"/>
      <c r="J522" t="s">
        <v>917</v>
      </c>
      <c r="K522" t="s">
        <v>919</v>
      </c>
      <c r="L522"/>
      <c r="M522"/>
      <c r="N522" t="s">
        <v>916</v>
      </c>
      <c r="O522" s="456" t="s">
        <v>1230</v>
      </c>
      <c r="P522"/>
      <c r="Q522"/>
      <c r="R522"/>
      <c r="S522" s="535" t="s">
        <v>1241</v>
      </c>
      <c r="T522" t="s">
        <v>1360</v>
      </c>
      <c r="X522" s="369">
        <f>IF(OR(T522="125-65-654-50110",T522="125-65-652-50110",T522="125-65-656-50110"),"N/A",COUNTIF('Prop Budget Calc'!A:A,'Base Pay Report'!A522))</f>
        <v>0</v>
      </c>
    </row>
    <row r="523" spans="1:24" ht="15.6">
      <c r="A523" s="419" t="s">
        <v>1875</v>
      </c>
      <c r="B523" t="str">
        <f t="shared" si="10"/>
        <v>Vacant</v>
      </c>
      <c r="C523" t="str">
        <f t="shared" si="10"/>
        <v>Vacant</v>
      </c>
      <c r="D523" t="str">
        <f t="shared" si="10"/>
        <v>Vacant</v>
      </c>
      <c r="E523" s="456" t="str">
        <f t="shared" ref="E523" si="11">B523&amp;" "&amp;D523</f>
        <v>Vacant Vacant</v>
      </c>
      <c r="F523"/>
      <c r="G523"/>
      <c r="H523">
        <v>34.01</v>
      </c>
      <c r="I523"/>
      <c r="J523" t="s">
        <v>923</v>
      </c>
      <c r="K523" t="s">
        <v>919</v>
      </c>
      <c r="L523"/>
      <c r="M523"/>
      <c r="N523" t="s">
        <v>131</v>
      </c>
      <c r="O523" s="472" t="s">
        <v>1217</v>
      </c>
      <c r="P523"/>
      <c r="Q523"/>
      <c r="R523"/>
      <c r="S523" t="s">
        <v>1219</v>
      </c>
      <c r="T523" t="s">
        <v>959</v>
      </c>
      <c r="X523" s="369">
        <f>IF(OR(T523="125-65-654-50110",T523="125-65-652-50110",T523="125-65-656-50110"),"N/A",COUNTIF('Prop Budget Calc'!A:A,'Base Pay Report'!A523))</f>
        <v>0</v>
      </c>
    </row>
    <row r="524" spans="1:24" ht="15.6">
      <c r="A524" s="419" t="s">
        <v>1787</v>
      </c>
      <c r="B524" t="str">
        <f t="shared" si="10"/>
        <v>Vacant</v>
      </c>
      <c r="C524" t="str">
        <f t="shared" si="10"/>
        <v>Vacant</v>
      </c>
      <c r="D524" t="str">
        <f t="shared" si="10"/>
        <v>Vacant</v>
      </c>
      <c r="E524" s="456" t="str">
        <f t="shared" si="9"/>
        <v>Vacant Vacant</v>
      </c>
      <c r="F524"/>
      <c r="G524"/>
      <c r="H524">
        <v>17.34</v>
      </c>
      <c r="I524"/>
      <c r="J524" t="s">
        <v>926</v>
      </c>
      <c r="K524" t="s">
        <v>919</v>
      </c>
      <c r="L524"/>
      <c r="M524"/>
      <c r="N524" t="s">
        <v>571</v>
      </c>
      <c r="O524" s="472" t="s">
        <v>1338</v>
      </c>
      <c r="P524"/>
      <c r="Q524"/>
      <c r="R524"/>
      <c r="S524" s="456"/>
      <c r="T524" t="s">
        <v>1411</v>
      </c>
      <c r="U524"/>
      <c r="X524" s="369">
        <f>IF(OR(T524="125-65-654-50110",T524="125-65-652-50110",T524="125-65-656-50110"),"N/A",COUNTIF('Prop Budget Calc'!A:A,'Base Pay Report'!A524))</f>
        <v>1</v>
      </c>
    </row>
    <row r="525" spans="1:24" ht="15.6">
      <c r="A525" s="419" t="s">
        <v>1876</v>
      </c>
      <c r="B525" t="str">
        <f t="shared" si="10"/>
        <v>Vacant</v>
      </c>
      <c r="C525" t="str">
        <f t="shared" si="10"/>
        <v>Vacant</v>
      </c>
      <c r="D525" t="str">
        <f t="shared" si="10"/>
        <v>Vacant</v>
      </c>
      <c r="E525" s="456" t="str">
        <f t="shared" si="9"/>
        <v>Vacant Vacant</v>
      </c>
      <c r="F525"/>
      <c r="G525"/>
      <c r="H525">
        <v>23.49</v>
      </c>
      <c r="I525"/>
      <c r="J525" t="s">
        <v>923</v>
      </c>
      <c r="K525" t="s">
        <v>919</v>
      </c>
      <c r="L525"/>
      <c r="M525"/>
      <c r="N525" t="s">
        <v>132</v>
      </c>
      <c r="O525" s="472" t="s">
        <v>1217</v>
      </c>
      <c r="P525"/>
      <c r="Q525"/>
      <c r="R525"/>
      <c r="S525"/>
      <c r="T525" t="s">
        <v>959</v>
      </c>
      <c r="U525"/>
      <c r="V525"/>
      <c r="X525" s="369">
        <f>IF(OR(T525="125-65-654-50110",T525="125-65-652-50110",T525="125-65-656-50110"),"N/A",COUNTIF('Prop Budget Calc'!A:A,'Base Pay Report'!A525))</f>
        <v>0</v>
      </c>
    </row>
    <row r="526" spans="1:24" ht="15.6">
      <c r="A526" s="474" t="s">
        <v>1877</v>
      </c>
      <c r="B526" t="str">
        <f t="shared" si="10"/>
        <v>Vacant</v>
      </c>
      <c r="C526" t="str">
        <f t="shared" si="10"/>
        <v>Vacant</v>
      </c>
      <c r="D526" t="str">
        <f t="shared" si="10"/>
        <v>Vacant</v>
      </c>
      <c r="E526" s="456" t="str">
        <f t="shared" ref="E526" si="12">B526&amp;" "&amp;D526</f>
        <v>Vacant Vacant</v>
      </c>
      <c r="F526"/>
      <c r="G526"/>
      <c r="H526">
        <v>27.66</v>
      </c>
      <c r="I526"/>
      <c r="J526" t="s">
        <v>917</v>
      </c>
      <c r="K526" t="s">
        <v>919</v>
      </c>
      <c r="L526"/>
      <c r="M526"/>
      <c r="N526" t="s">
        <v>2602</v>
      </c>
      <c r="O526" s="472" t="s">
        <v>1230</v>
      </c>
      <c r="P526"/>
      <c r="Q526"/>
      <c r="R526"/>
      <c r="S526" s="535" t="s">
        <v>1241</v>
      </c>
      <c r="T526" t="s">
        <v>1433</v>
      </c>
      <c r="U526"/>
      <c r="X526" s="369">
        <f>IF(OR(T526="125-65-654-50110",T526="125-65-652-50110",T526="125-65-656-50110"),"N/A",COUNTIF('Prop Budget Calc'!A:A,'Base Pay Report'!A526))</f>
        <v>1</v>
      </c>
    </row>
    <row r="527" spans="1:24" ht="15.6">
      <c r="A527" s="419" t="s">
        <v>1878</v>
      </c>
      <c r="B527" t="str">
        <f t="shared" si="10"/>
        <v>Vacant</v>
      </c>
      <c r="C527" t="str">
        <f t="shared" si="10"/>
        <v>Vacant</v>
      </c>
      <c r="D527" t="str">
        <f t="shared" si="10"/>
        <v>Vacant</v>
      </c>
      <c r="E527" s="456" t="str">
        <f t="shared" si="9"/>
        <v>Vacant Vacant</v>
      </c>
      <c r="F527"/>
      <c r="G527"/>
      <c r="H527">
        <f>70000/26</f>
        <v>2692.3076923076924</v>
      </c>
      <c r="I527" s="458">
        <v>80</v>
      </c>
      <c r="J527" t="s">
        <v>917</v>
      </c>
      <c r="K527" t="s">
        <v>919</v>
      </c>
      <c r="L527"/>
      <c r="M527"/>
      <c r="N527" t="s">
        <v>2603</v>
      </c>
      <c r="O527" s="472" t="s">
        <v>1230</v>
      </c>
      <c r="P527"/>
      <c r="Q527"/>
      <c r="R527"/>
      <c r="S527" s="535" t="s">
        <v>1241</v>
      </c>
      <c r="T527" t="s">
        <v>1297</v>
      </c>
      <c r="U527"/>
      <c r="V527"/>
      <c r="X527" s="369">
        <f>IF(OR(T527="125-65-654-50110",T527="125-65-652-50110",T527="125-65-656-50110"),"N/A",COUNTIF('Prop Budget Calc'!A:A,'Base Pay Report'!A527))</f>
        <v>0</v>
      </c>
    </row>
    <row r="528" spans="1:24" ht="15.6">
      <c r="A528" s="419" t="s">
        <v>1879</v>
      </c>
      <c r="B528" t="str">
        <f t="shared" si="10"/>
        <v>Vacant</v>
      </c>
      <c r="C528" t="str">
        <f t="shared" si="10"/>
        <v>Vacant</v>
      </c>
      <c r="D528" t="str">
        <f t="shared" si="10"/>
        <v>Vacant</v>
      </c>
      <c r="E528" s="456" t="str">
        <f t="shared" si="9"/>
        <v>Vacant Vacant</v>
      </c>
      <c r="F528"/>
      <c r="G528"/>
      <c r="H528">
        <v>20.28</v>
      </c>
      <c r="I528"/>
      <c r="J528" t="s">
        <v>922</v>
      </c>
      <c r="K528" t="s">
        <v>919</v>
      </c>
      <c r="L528"/>
      <c r="M528"/>
      <c r="N528" t="s">
        <v>126</v>
      </c>
      <c r="O528" s="472" t="s">
        <v>1224</v>
      </c>
      <c r="P528"/>
      <c r="Q528"/>
      <c r="R528"/>
      <c r="S528" s="535" t="s">
        <v>1294</v>
      </c>
      <c r="T528" t="s">
        <v>957</v>
      </c>
      <c r="U528"/>
      <c r="V528"/>
      <c r="X528" s="369">
        <f>IF(OR(T528="125-65-654-50110",T528="125-65-652-50110",T528="125-65-656-50110"),"N/A",COUNTIF('Prop Budget Calc'!A:A,'Base Pay Report'!A528))</f>
        <v>0</v>
      </c>
    </row>
    <row r="529" spans="1:24" ht="15.6">
      <c r="A529" s="419" t="s">
        <v>1880</v>
      </c>
      <c r="B529" t="str">
        <f t="shared" si="10"/>
        <v>Vacant</v>
      </c>
      <c r="C529" t="str">
        <f t="shared" si="10"/>
        <v>Vacant</v>
      </c>
      <c r="D529" t="str">
        <f t="shared" si="10"/>
        <v>Vacant</v>
      </c>
      <c r="E529" s="456" t="str">
        <f t="shared" si="9"/>
        <v>Vacant Vacant</v>
      </c>
      <c r="F529"/>
      <c r="G529"/>
      <c r="H529">
        <v>16.13</v>
      </c>
      <c r="I529" t="s">
        <v>170</v>
      </c>
      <c r="J529">
        <v>44870</v>
      </c>
      <c r="K529" t="s">
        <v>170</v>
      </c>
      <c r="L529" t="s">
        <v>170</v>
      </c>
      <c r="M529" t="s">
        <v>1738</v>
      </c>
      <c r="N529" t="s">
        <v>1739</v>
      </c>
      <c r="O529" t="s">
        <v>1230</v>
      </c>
      <c r="P529"/>
      <c r="Q529"/>
      <c r="R529" t="s">
        <v>170</v>
      </c>
      <c r="S529"/>
      <c r="T529" t="s">
        <v>1740</v>
      </c>
      <c r="U529" s="369">
        <v>33550.400000000001</v>
      </c>
      <c r="V529" s="369" t="s">
        <v>1307</v>
      </c>
      <c r="X529" s="369">
        <f>IF(OR(T529="125-65-654-50110",T529="125-65-652-50110",T529="125-65-656-50110"),"N/A",COUNTIF('Prop Budget Calc'!A:A,'Base Pay Report'!A529))</f>
        <v>0</v>
      </c>
    </row>
    <row r="530" spans="1:24" ht="15.6">
      <c r="A530" s="419" t="s">
        <v>1881</v>
      </c>
      <c r="B530" t="str">
        <f t="shared" si="10"/>
        <v>Vacant</v>
      </c>
      <c r="C530" t="str">
        <f t="shared" si="10"/>
        <v>Vacant</v>
      </c>
      <c r="D530" t="str">
        <f t="shared" si="10"/>
        <v>Vacant</v>
      </c>
      <c r="E530" s="456" t="str">
        <f t="shared" si="9"/>
        <v>Vacant Vacant</v>
      </c>
      <c r="F530"/>
      <c r="G530"/>
      <c r="H530">
        <v>18.3</v>
      </c>
      <c r="I530"/>
      <c r="J530"/>
      <c r="K530" t="s">
        <v>919</v>
      </c>
      <c r="L530"/>
      <c r="M530"/>
      <c r="N530" t="s">
        <v>1656</v>
      </c>
      <c r="O530" s="472" t="s">
        <v>1325</v>
      </c>
      <c r="P530"/>
      <c r="Q530"/>
      <c r="R530"/>
      <c r="S530" t="s">
        <v>1291</v>
      </c>
      <c r="T530" t="s">
        <v>1312</v>
      </c>
      <c r="X530" s="369">
        <f>IF(OR(T530="125-65-654-50110",T530="125-65-652-50110",T530="125-65-656-50110"),"N/A",COUNTIF('Prop Budget Calc'!A:A,'Base Pay Report'!A530))</f>
        <v>0</v>
      </c>
    </row>
    <row r="531" spans="1:24" ht="15.6">
      <c r="A531" s="419" t="s">
        <v>1882</v>
      </c>
      <c r="B531" t="str">
        <f t="shared" si="10"/>
        <v>Vacant</v>
      </c>
      <c r="C531" t="str">
        <f t="shared" si="10"/>
        <v>Vacant</v>
      </c>
      <c r="D531" t="str">
        <f t="shared" si="10"/>
        <v>Vacant</v>
      </c>
      <c r="E531" s="456" t="str">
        <f t="shared" si="9"/>
        <v>Vacant Vacant</v>
      </c>
      <c r="F531"/>
      <c r="G531"/>
      <c r="H531">
        <v>17.34</v>
      </c>
      <c r="I531"/>
      <c r="J531" t="s">
        <v>921</v>
      </c>
      <c r="K531" t="s">
        <v>919</v>
      </c>
      <c r="L531"/>
      <c r="M531"/>
      <c r="N531" t="s">
        <v>293</v>
      </c>
      <c r="O531" s="472" t="s">
        <v>1290</v>
      </c>
      <c r="P531"/>
      <c r="Q531"/>
      <c r="R531"/>
      <c r="S531" s="456"/>
      <c r="T531" t="s">
        <v>965</v>
      </c>
      <c r="X531" s="369">
        <f>IF(OR(T531="125-65-654-50110",T531="125-65-652-50110",T531="125-65-656-50110"),"N/A",COUNTIF('Prop Budget Calc'!A:A,'Base Pay Report'!A531))</f>
        <v>1</v>
      </c>
    </row>
    <row r="532" spans="1:24" ht="15.6">
      <c r="A532" s="419" t="s">
        <v>1883</v>
      </c>
      <c r="B532" t="str">
        <f t="shared" si="10"/>
        <v>Vacant</v>
      </c>
      <c r="C532" t="str">
        <f t="shared" si="10"/>
        <v>Vacant</v>
      </c>
      <c r="D532" t="str">
        <f t="shared" si="10"/>
        <v>Vacant</v>
      </c>
      <c r="E532" s="456" t="str">
        <f t="shared" si="9"/>
        <v>Vacant Vacant</v>
      </c>
      <c r="F532"/>
      <c r="G532"/>
      <c r="H532">
        <v>29.05</v>
      </c>
      <c r="I532"/>
      <c r="J532" t="s">
        <v>921</v>
      </c>
      <c r="K532" t="s">
        <v>919</v>
      </c>
      <c r="L532"/>
      <c r="M532"/>
      <c r="N532" t="s">
        <v>146</v>
      </c>
      <c r="O532" s="472" t="s">
        <v>1290</v>
      </c>
      <c r="P532"/>
      <c r="Q532"/>
      <c r="R532"/>
      <c r="S532"/>
      <c r="T532" t="s">
        <v>965</v>
      </c>
      <c r="U532"/>
      <c r="V532"/>
      <c r="X532" s="369">
        <f>IF(OR(T532="125-65-654-50110",T532="125-65-652-50110",T532="125-65-656-50110"),"N/A",COUNTIF('Prop Budget Calc'!A:A,'Base Pay Report'!A532))</f>
        <v>0</v>
      </c>
    </row>
    <row r="533" spans="1:24" ht="15.6">
      <c r="A533" s="419" t="s">
        <v>1796</v>
      </c>
      <c r="B533" t="str">
        <f t="shared" si="10"/>
        <v>Vacant</v>
      </c>
      <c r="C533" t="str">
        <f t="shared" si="10"/>
        <v>Vacant</v>
      </c>
      <c r="D533" t="str">
        <f t="shared" si="10"/>
        <v>Vacant</v>
      </c>
      <c r="E533" s="456" t="str">
        <f t="shared" si="9"/>
        <v>Vacant Vacant</v>
      </c>
      <c r="F533"/>
      <c r="G533"/>
      <c r="H533">
        <v>17.34</v>
      </c>
      <c r="I533"/>
      <c r="J533" t="s">
        <v>921</v>
      </c>
      <c r="K533" t="s">
        <v>919</v>
      </c>
      <c r="L533"/>
      <c r="M533"/>
      <c r="N533" t="s">
        <v>293</v>
      </c>
      <c r="O533" s="472" t="s">
        <v>1290</v>
      </c>
      <c r="P533"/>
      <c r="Q533"/>
      <c r="R533"/>
      <c r="S533" s="456"/>
      <c r="T533" t="s">
        <v>968</v>
      </c>
      <c r="X533" s="369">
        <f>IF(OR(T533="125-65-654-50110",T533="125-65-652-50110",T533="125-65-656-50110"),"N/A",COUNTIF('Prop Budget Calc'!A:A,'Base Pay Report'!A533))</f>
        <v>0</v>
      </c>
    </row>
    <row r="534" spans="1:24" ht="15.6">
      <c r="A534" s="419" t="s">
        <v>1884</v>
      </c>
      <c r="B534" t="str">
        <f t="shared" si="10"/>
        <v>Vacant</v>
      </c>
      <c r="C534" t="str">
        <f t="shared" si="10"/>
        <v>Vacant</v>
      </c>
      <c r="D534" t="str">
        <f t="shared" si="10"/>
        <v>Vacant</v>
      </c>
      <c r="E534" s="456" t="str">
        <f t="shared" si="9"/>
        <v>Vacant Vacant</v>
      </c>
      <c r="F534"/>
      <c r="G534"/>
      <c r="H534">
        <v>34.75</v>
      </c>
      <c r="I534"/>
      <c r="J534" t="s">
        <v>926</v>
      </c>
      <c r="K534" t="s">
        <v>919</v>
      </c>
      <c r="L534"/>
      <c r="M534"/>
      <c r="N534" t="s">
        <v>1899</v>
      </c>
      <c r="O534" s="472" t="s">
        <v>1338</v>
      </c>
      <c r="P534"/>
      <c r="Q534"/>
      <c r="R534"/>
      <c r="S534" s="456"/>
      <c r="T534" t="s">
        <v>1388</v>
      </c>
      <c r="X534" s="369">
        <f>IF(OR(T534="125-65-654-50110",T534="125-65-652-50110",T534="125-65-656-50110"),"N/A",COUNTIF('Prop Budget Calc'!A:A,'Base Pay Report'!A534))</f>
        <v>0</v>
      </c>
    </row>
    <row r="535" spans="1:24" ht="15.6">
      <c r="A535" s="419" t="s">
        <v>1798</v>
      </c>
      <c r="B535" t="str">
        <f t="shared" si="10"/>
        <v>Vacant</v>
      </c>
      <c r="C535" t="str">
        <f t="shared" si="10"/>
        <v>Vacant</v>
      </c>
      <c r="D535" t="str">
        <f t="shared" si="10"/>
        <v>Vacant</v>
      </c>
      <c r="E535" s="456" t="str">
        <f t="shared" si="9"/>
        <v>Vacant Vacant</v>
      </c>
      <c r="F535"/>
      <c r="G535"/>
      <c r="H535">
        <v>17.34</v>
      </c>
      <c r="I535"/>
      <c r="J535" t="s">
        <v>926</v>
      </c>
      <c r="K535" t="s">
        <v>919</v>
      </c>
      <c r="L535"/>
      <c r="M535"/>
      <c r="N535" t="s">
        <v>147</v>
      </c>
      <c r="O535" s="472" t="s">
        <v>1338</v>
      </c>
      <c r="P535"/>
      <c r="Q535"/>
      <c r="R535"/>
      <c r="S535" s="456"/>
      <c r="T535" t="s">
        <v>1388</v>
      </c>
      <c r="U535"/>
      <c r="X535" s="369">
        <f>IF(OR(T535="125-65-654-50110",T535="125-65-652-50110",T535="125-65-656-50110"),"N/A",COUNTIF('Prop Budget Calc'!A:A,'Base Pay Report'!A535))</f>
        <v>0</v>
      </c>
    </row>
    <row r="536" spans="1:24" ht="15.6">
      <c r="A536" s="474" t="s">
        <v>1885</v>
      </c>
      <c r="B536" t="str">
        <f t="shared" si="10"/>
        <v>Vacant</v>
      </c>
      <c r="C536" t="str">
        <f t="shared" si="10"/>
        <v>Vacant</v>
      </c>
      <c r="D536" t="str">
        <f t="shared" si="10"/>
        <v>Vacant</v>
      </c>
      <c r="E536" s="456" t="str">
        <f t="shared" ref="E536" si="13">B536&amp;" "&amp;D536</f>
        <v>Vacant Vacant</v>
      </c>
      <c r="F536"/>
      <c r="G536"/>
      <c r="H536">
        <f>21.96*1.075</f>
        <v>23.606999999999999</v>
      </c>
      <c r="I536"/>
      <c r="J536" t="s">
        <v>926</v>
      </c>
      <c r="K536" t="s">
        <v>919</v>
      </c>
      <c r="L536"/>
      <c r="M536"/>
      <c r="N536" t="s">
        <v>997</v>
      </c>
      <c r="O536" s="472" t="s">
        <v>1338</v>
      </c>
      <c r="P536"/>
      <c r="Q536"/>
      <c r="R536"/>
      <c r="S536" s="456"/>
      <c r="T536" t="s">
        <v>1388</v>
      </c>
      <c r="U536"/>
      <c r="V536"/>
      <c r="X536" s="369">
        <f>IF(OR(T536="125-65-654-50110",T536="125-65-652-50110",T536="125-65-656-50110"),"N/A",COUNTIF('Prop Budget Calc'!A:A,'Base Pay Report'!A536))</f>
        <v>0</v>
      </c>
    </row>
    <row r="537" spans="1:24" ht="15.6">
      <c r="A537" s="419" t="s">
        <v>1886</v>
      </c>
      <c r="B537" t="str">
        <f t="shared" si="10"/>
        <v>Vacant</v>
      </c>
      <c r="C537" t="str">
        <f t="shared" si="10"/>
        <v>Vacant</v>
      </c>
      <c r="D537" t="str">
        <f t="shared" si="10"/>
        <v>Vacant</v>
      </c>
      <c r="E537" s="456" t="str">
        <f t="shared" si="9"/>
        <v>Vacant Vacant</v>
      </c>
      <c r="F537"/>
      <c r="G537"/>
      <c r="H537">
        <v>32.97</v>
      </c>
      <c r="I537"/>
      <c r="J537" t="s">
        <v>922</v>
      </c>
      <c r="K537" t="s">
        <v>919</v>
      </c>
      <c r="L537"/>
      <c r="M537"/>
      <c r="N537" t="s">
        <v>116</v>
      </c>
      <c r="O537" s="472" t="s">
        <v>1224</v>
      </c>
      <c r="P537"/>
      <c r="Q537"/>
      <c r="R537"/>
      <c r="S537"/>
      <c r="T537" t="s">
        <v>955</v>
      </c>
      <c r="U537"/>
      <c r="V537"/>
      <c r="X537" s="369">
        <f>IF(OR(T537="125-65-654-50110",T537="125-65-652-50110",T537="125-65-656-50110"),"N/A",COUNTIF('Prop Budget Calc'!A:A,'Base Pay Report'!A537))</f>
        <v>0</v>
      </c>
    </row>
    <row r="538" spans="1:24" ht="15.6">
      <c r="A538" s="419" t="s">
        <v>1782</v>
      </c>
      <c r="B538" t="str">
        <f t="shared" si="10"/>
        <v>Vacant</v>
      </c>
      <c r="C538" t="str">
        <f t="shared" si="10"/>
        <v>Vacant</v>
      </c>
      <c r="D538" t="str">
        <f t="shared" si="10"/>
        <v>Vacant</v>
      </c>
      <c r="E538" s="456" t="str">
        <f t="shared" si="9"/>
        <v>Vacant Vacant</v>
      </c>
      <c r="F538"/>
      <c r="G538"/>
      <c r="H538">
        <v>32.97</v>
      </c>
      <c r="I538"/>
      <c r="J538" t="s">
        <v>922</v>
      </c>
      <c r="K538" t="s">
        <v>919</v>
      </c>
      <c r="L538"/>
      <c r="M538"/>
      <c r="N538" t="s">
        <v>119</v>
      </c>
      <c r="O538">
        <v>7720</v>
      </c>
      <c r="P538"/>
      <c r="Q538"/>
      <c r="R538"/>
      <c r="S538"/>
      <c r="T538" t="s">
        <v>955</v>
      </c>
      <c r="U538"/>
      <c r="V538"/>
      <c r="X538" s="369">
        <f>IF(OR(T538="125-65-654-50110",T538="125-65-652-50110",T538="125-65-656-50110"),"N/A",COUNTIF('Prop Budget Calc'!A:A,'Base Pay Report'!A538))</f>
        <v>0</v>
      </c>
    </row>
    <row r="539" spans="1:24" ht="15.6">
      <c r="A539" s="419" t="s">
        <v>1887</v>
      </c>
      <c r="B539" t="str">
        <f t="shared" si="10"/>
        <v>Vacant</v>
      </c>
      <c r="C539" t="str">
        <f t="shared" si="10"/>
        <v>Vacant</v>
      </c>
      <c r="D539" t="str">
        <f t="shared" si="10"/>
        <v>Vacant</v>
      </c>
      <c r="E539" s="456" t="str">
        <f t="shared" si="9"/>
        <v>Vacant Vacant</v>
      </c>
      <c r="F539"/>
      <c r="G539"/>
      <c r="H539">
        <v>26.5</v>
      </c>
      <c r="I539"/>
      <c r="J539" t="s">
        <v>917</v>
      </c>
      <c r="K539" t="s">
        <v>919</v>
      </c>
      <c r="L539"/>
      <c r="M539"/>
      <c r="N539" t="s">
        <v>1096</v>
      </c>
      <c r="O539" s="472" t="s">
        <v>1230</v>
      </c>
      <c r="P539"/>
      <c r="Q539"/>
      <c r="R539"/>
      <c r="S539"/>
      <c r="T539" t="s">
        <v>1589</v>
      </c>
      <c r="X539" s="369">
        <f>IF(OR(T539="125-65-654-50110",T539="125-65-652-50110",T539="125-65-656-50110"),"N/A",COUNTIF('Prop Budget Calc'!A:A,'Base Pay Report'!A539))</f>
        <v>0</v>
      </c>
    </row>
    <row r="540" spans="1:24" ht="15.6">
      <c r="A540" s="419" t="s">
        <v>1888</v>
      </c>
      <c r="B540" t="str">
        <f t="shared" si="10"/>
        <v>Vacant</v>
      </c>
      <c r="C540" t="str">
        <f t="shared" si="10"/>
        <v>Vacant</v>
      </c>
      <c r="D540" t="str">
        <f t="shared" si="10"/>
        <v>Vacant</v>
      </c>
      <c r="E540" s="456" t="str">
        <f t="shared" si="9"/>
        <v>Vacant Vacant</v>
      </c>
      <c r="F540"/>
      <c r="G540"/>
      <c r="H540">
        <v>18.22</v>
      </c>
      <c r="I540" t="s">
        <v>170</v>
      </c>
      <c r="J540">
        <v>44389</v>
      </c>
      <c r="K540" t="s">
        <v>170</v>
      </c>
      <c r="L540" t="s">
        <v>170</v>
      </c>
      <c r="M540" t="s">
        <v>1614</v>
      </c>
      <c r="N540" t="s">
        <v>1014</v>
      </c>
      <c r="O540" t="s">
        <v>1230</v>
      </c>
      <c r="P540"/>
      <c r="Q540"/>
      <c r="R540" t="s">
        <v>170</v>
      </c>
      <c r="S540"/>
      <c r="T540" t="s">
        <v>1615</v>
      </c>
      <c r="U540" s="369">
        <v>37897.599999999999</v>
      </c>
      <c r="V540" s="369" t="s">
        <v>1220</v>
      </c>
      <c r="X540" s="369">
        <f>IF(OR(T540="125-65-654-50110",T540="125-65-652-50110",T540="125-65-656-50110"),"N/A",COUNTIF('Prop Budget Calc'!A:A,'Base Pay Report'!A540))</f>
        <v>0</v>
      </c>
    </row>
    <row r="541" spans="1:24" ht="15.6">
      <c r="A541" s="419" t="s">
        <v>1783</v>
      </c>
      <c r="B541" t="str">
        <f t="shared" si="10"/>
        <v>Vacant</v>
      </c>
      <c r="C541" t="str">
        <f t="shared" si="10"/>
        <v>Vacant</v>
      </c>
      <c r="D541" t="str">
        <f t="shared" si="10"/>
        <v>Vacant</v>
      </c>
      <c r="E541" s="456" t="str">
        <f t="shared" si="9"/>
        <v>Vacant Vacant</v>
      </c>
      <c r="F541"/>
      <c r="G541"/>
      <c r="H541">
        <v>24.97</v>
      </c>
      <c r="I541"/>
      <c r="J541" t="s">
        <v>917</v>
      </c>
      <c r="K541" t="s">
        <v>919</v>
      </c>
      <c r="L541"/>
      <c r="M541"/>
      <c r="N541" s="535" t="s">
        <v>2599</v>
      </c>
      <c r="O541" s="472" t="s">
        <v>1230</v>
      </c>
      <c r="P541"/>
      <c r="Q541"/>
      <c r="R541"/>
      <c r="S541" t="s">
        <v>1294</v>
      </c>
      <c r="T541" t="s">
        <v>954</v>
      </c>
      <c r="U541"/>
      <c r="V541"/>
      <c r="X541" s="369">
        <f>IF(OR(T541="125-65-654-50110",T541="125-65-652-50110",T541="125-65-656-50110"),"N/A",COUNTIF('Prop Budget Calc'!A:A,'Base Pay Report'!A541))</f>
        <v>0</v>
      </c>
    </row>
    <row r="542" spans="1:24" ht="15.6">
      <c r="A542" s="419" t="s">
        <v>1889</v>
      </c>
      <c r="B542" t="str">
        <f t="shared" si="10"/>
        <v>Vacant</v>
      </c>
      <c r="C542" t="str">
        <f t="shared" si="10"/>
        <v>Vacant</v>
      </c>
      <c r="D542" t="str">
        <f t="shared" si="10"/>
        <v>Vacant</v>
      </c>
      <c r="E542" s="456" t="str">
        <f t="shared" si="9"/>
        <v>Vacant Vacant</v>
      </c>
      <c r="F542"/>
      <c r="G542"/>
      <c r="H542">
        <f>33.11*80</f>
        <v>2648.8</v>
      </c>
      <c r="I542" s="458">
        <v>80</v>
      </c>
      <c r="J542"/>
      <c r="K542" t="s">
        <v>919</v>
      </c>
      <c r="L542"/>
      <c r="M542"/>
      <c r="N542" t="s">
        <v>2604</v>
      </c>
      <c r="O542" s="472" t="s">
        <v>1230</v>
      </c>
      <c r="P542"/>
      <c r="Q542"/>
      <c r="R542"/>
      <c r="S542" t="s">
        <v>1294</v>
      </c>
      <c r="T542" t="s">
        <v>954</v>
      </c>
      <c r="U542"/>
      <c r="V542"/>
      <c r="X542" s="369">
        <f>IF(OR(T542="125-65-654-50110",T542="125-65-652-50110",T542="125-65-656-50110"),"N/A",COUNTIF('Prop Budget Calc'!A:A,'Base Pay Report'!A542))</f>
        <v>0</v>
      </c>
    </row>
    <row r="543" spans="1:24" ht="15.6">
      <c r="A543" s="419" t="s">
        <v>1784</v>
      </c>
      <c r="B543" t="str">
        <f t="shared" si="10"/>
        <v>Vacant</v>
      </c>
      <c r="C543" t="str">
        <f t="shared" si="10"/>
        <v>Vacant</v>
      </c>
      <c r="D543" t="str">
        <f t="shared" si="10"/>
        <v>Vacant</v>
      </c>
      <c r="E543" s="456" t="str">
        <f t="shared" si="9"/>
        <v>Vacant Vacant</v>
      </c>
      <c r="F543"/>
      <c r="G543"/>
      <c r="H543">
        <v>33.914999999999999</v>
      </c>
      <c r="I543"/>
      <c r="J543" t="s">
        <v>917</v>
      </c>
      <c r="K543" t="s">
        <v>919</v>
      </c>
      <c r="L543"/>
      <c r="M543"/>
      <c r="N543" s="535" t="s">
        <v>2600</v>
      </c>
      <c r="O543" s="472" t="s">
        <v>1230</v>
      </c>
      <c r="P543"/>
      <c r="Q543"/>
      <c r="R543"/>
      <c r="S543" t="s">
        <v>1294</v>
      </c>
      <c r="T543" t="s">
        <v>954</v>
      </c>
      <c r="U543"/>
      <c r="V543"/>
      <c r="X543" s="369">
        <f>IF(OR(T543="125-65-654-50110",T543="125-65-652-50110",T543="125-65-656-50110"),"N/A",COUNTIF('Prop Budget Calc'!A:A,'Base Pay Report'!A543))</f>
        <v>1</v>
      </c>
    </row>
    <row r="544" spans="1:24" ht="15.6">
      <c r="A544" s="475" t="s">
        <v>1785</v>
      </c>
      <c r="B544" t="str">
        <f t="shared" si="10"/>
        <v>Vacant</v>
      </c>
      <c r="C544" t="str">
        <f t="shared" si="10"/>
        <v>Vacant</v>
      </c>
      <c r="D544" t="str">
        <f t="shared" si="10"/>
        <v>Vacant</v>
      </c>
      <c r="E544" s="456" t="str">
        <f t="shared" ref="E544" si="14">B544&amp;" "&amp;D544</f>
        <v>Vacant Vacant</v>
      </c>
      <c r="F544"/>
      <c r="G544"/>
      <c r="H544">
        <f>10000/2080*2</f>
        <v>9.615384615384615</v>
      </c>
      <c r="I544"/>
      <c r="J544" t="s">
        <v>917</v>
      </c>
      <c r="K544" t="s">
        <v>919</v>
      </c>
      <c r="L544"/>
      <c r="M544"/>
      <c r="N544" t="s">
        <v>1903</v>
      </c>
      <c r="O544" s="472" t="s">
        <v>1230</v>
      </c>
      <c r="P544"/>
      <c r="Q544"/>
      <c r="R544"/>
      <c r="S544"/>
      <c r="T544" t="s">
        <v>1306</v>
      </c>
      <c r="U544"/>
      <c r="V544"/>
      <c r="X544" s="369">
        <f>IF(OR(T544="125-65-654-50110",T544="125-65-652-50110",T544="125-65-656-50110"),"N/A",COUNTIF('Prop Budget Calc'!A:A,'Base Pay Report'!A544))</f>
        <v>0</v>
      </c>
    </row>
    <row r="545" spans="1:24" ht="15.6">
      <c r="A545" s="419" t="s">
        <v>1890</v>
      </c>
      <c r="B545" t="str">
        <f t="shared" si="10"/>
        <v>Vacant</v>
      </c>
      <c r="C545" t="str">
        <f t="shared" si="10"/>
        <v>Vacant</v>
      </c>
      <c r="D545" t="str">
        <f t="shared" si="10"/>
        <v>Vacant</v>
      </c>
      <c r="E545" s="456" t="str">
        <f t="shared" si="9"/>
        <v>Vacant Vacant</v>
      </c>
      <c r="F545"/>
      <c r="G545"/>
      <c r="H545">
        <f>52.02*1.05</f>
        <v>54.621000000000002</v>
      </c>
      <c r="I545"/>
      <c r="J545" t="s">
        <v>917</v>
      </c>
      <c r="K545" t="s">
        <v>919</v>
      </c>
      <c r="L545"/>
      <c r="M545"/>
      <c r="N545" t="s">
        <v>1902</v>
      </c>
      <c r="O545" s="472" t="s">
        <v>1230</v>
      </c>
      <c r="P545"/>
      <c r="Q545"/>
      <c r="R545"/>
      <c r="S545"/>
      <c r="T545" t="s">
        <v>1329</v>
      </c>
      <c r="U545"/>
      <c r="V545"/>
      <c r="X545" s="369">
        <f>IF(OR(T545="125-65-654-50110",T545="125-65-652-50110",T545="125-65-656-50110"),"N/A",COUNTIF('Prop Budget Calc'!A:A,'Base Pay Report'!A545))</f>
        <v>0</v>
      </c>
    </row>
    <row r="546" spans="1:24" ht="15.6">
      <c r="A546" s="419" t="s">
        <v>1797</v>
      </c>
      <c r="B546" t="str">
        <f t="shared" si="10"/>
        <v>Vacant</v>
      </c>
      <c r="C546" t="str">
        <f t="shared" si="10"/>
        <v>Vacant</v>
      </c>
      <c r="D546" t="str">
        <f t="shared" si="10"/>
        <v>Vacant</v>
      </c>
      <c r="E546" s="456" t="str">
        <f t="shared" si="9"/>
        <v>Vacant Vacant</v>
      </c>
      <c r="F546"/>
      <c r="G546"/>
      <c r="H546">
        <v>36.676499999999997</v>
      </c>
      <c r="I546"/>
      <c r="J546" t="s">
        <v>921</v>
      </c>
      <c r="K546" t="s">
        <v>919</v>
      </c>
      <c r="L546"/>
      <c r="M546"/>
      <c r="N546" t="s">
        <v>1900</v>
      </c>
      <c r="O546" s="472" t="s">
        <v>1290</v>
      </c>
      <c r="P546"/>
      <c r="Q546"/>
      <c r="R546"/>
      <c r="S546" s="456"/>
      <c r="T546" t="s">
        <v>968</v>
      </c>
      <c r="X546" s="369">
        <f>IF(OR(T546="125-65-654-50110",T546="125-65-652-50110",T546="125-65-656-50110"),"N/A",COUNTIF('Prop Budget Calc'!A:A,'Base Pay Report'!A546))</f>
        <v>0</v>
      </c>
    </row>
    <row r="547" spans="1:24" ht="15.6">
      <c r="A547" s="419" t="s">
        <v>1891</v>
      </c>
      <c r="B547" t="str">
        <f t="shared" si="10"/>
        <v>Vacant</v>
      </c>
      <c r="C547" t="str">
        <f t="shared" si="10"/>
        <v>Vacant</v>
      </c>
      <c r="D547" t="str">
        <f t="shared" si="10"/>
        <v>Vacant</v>
      </c>
      <c r="E547" s="456" t="str">
        <f t="shared" si="9"/>
        <v>Vacant Vacant</v>
      </c>
      <c r="F547"/>
      <c r="G547"/>
      <c r="H547">
        <v>45</v>
      </c>
      <c r="I547"/>
      <c r="J547" t="s">
        <v>917</v>
      </c>
      <c r="K547" t="s">
        <v>919</v>
      </c>
      <c r="L547"/>
      <c r="M547"/>
      <c r="N547" t="s">
        <v>136</v>
      </c>
      <c r="O547" s="472" t="s">
        <v>1230</v>
      </c>
      <c r="P547"/>
      <c r="Q547"/>
      <c r="R547"/>
      <c r="S547"/>
      <c r="T547" t="s">
        <v>1382</v>
      </c>
      <c r="U547"/>
      <c r="X547" s="369">
        <f>IF(OR(T547="125-65-654-50110",T547="125-65-652-50110",T547="125-65-656-50110"),"N/A",COUNTIF('Prop Budget Calc'!A:A,'Base Pay Report'!A547))</f>
        <v>0</v>
      </c>
    </row>
    <row r="548" spans="1:24" ht="15.6">
      <c r="A548" s="419" t="s">
        <v>1795</v>
      </c>
      <c r="B548" t="str">
        <f t="shared" si="10"/>
        <v>Vacant</v>
      </c>
      <c r="C548" t="str">
        <f t="shared" si="10"/>
        <v>Vacant</v>
      </c>
      <c r="D548" t="str">
        <f t="shared" si="10"/>
        <v>Vacant</v>
      </c>
      <c r="E548" s="456" t="str">
        <f t="shared" si="9"/>
        <v>Vacant Vacant</v>
      </c>
      <c r="F548"/>
      <c r="G548"/>
      <c r="H548">
        <v>20</v>
      </c>
      <c r="I548"/>
      <c r="J548" t="s">
        <v>917</v>
      </c>
      <c r="K548" t="s">
        <v>919</v>
      </c>
      <c r="L548"/>
      <c r="M548"/>
      <c r="N548" t="s">
        <v>1960</v>
      </c>
      <c r="O548" s="472" t="s">
        <v>1230</v>
      </c>
      <c r="P548"/>
      <c r="Q548"/>
      <c r="R548"/>
      <c r="S548"/>
      <c r="T548" t="s">
        <v>1266</v>
      </c>
      <c r="U548"/>
      <c r="X548" s="369">
        <f>IF(OR(T548="125-65-654-50110",T548="125-65-652-50110",T548="125-65-656-50110"),"N/A",COUNTIF('Prop Budget Calc'!A:A,'Base Pay Report'!A548))</f>
        <v>0</v>
      </c>
    </row>
    <row r="549" spans="1:24" ht="15.6">
      <c r="A549" s="419" t="s">
        <v>1892</v>
      </c>
      <c r="B549" t="str">
        <f t="shared" si="10"/>
        <v>Vacant</v>
      </c>
      <c r="C549" t="str">
        <f t="shared" si="10"/>
        <v>Vacant</v>
      </c>
      <c r="D549" t="str">
        <f t="shared" si="10"/>
        <v>Vacant</v>
      </c>
      <c r="E549" s="456" t="str">
        <f t="shared" si="9"/>
        <v>Vacant Vacant</v>
      </c>
      <c r="F549"/>
      <c r="G549"/>
      <c r="H549">
        <v>26.52</v>
      </c>
      <c r="I549"/>
      <c r="J549" t="s">
        <v>917</v>
      </c>
      <c r="K549" t="s">
        <v>919</v>
      </c>
      <c r="L549"/>
      <c r="M549"/>
      <c r="N549" t="s">
        <v>924</v>
      </c>
      <c r="O549" s="472" t="s">
        <v>1230</v>
      </c>
      <c r="P549"/>
      <c r="Q549"/>
      <c r="R549"/>
      <c r="S549"/>
      <c r="T549" t="s">
        <v>1589</v>
      </c>
      <c r="X549" s="369">
        <f>IF(OR(T549="125-65-654-50110",T549="125-65-652-50110",T549="125-65-656-50110"),"N/A",COUNTIF('Prop Budget Calc'!A:A,'Base Pay Report'!A549))</f>
        <v>0</v>
      </c>
    </row>
    <row r="550" spans="1:24" ht="15.6">
      <c r="A550" s="474" t="s">
        <v>1786</v>
      </c>
      <c r="B550" t="str">
        <f t="shared" si="10"/>
        <v>Vacant</v>
      </c>
      <c r="C550" t="str">
        <f t="shared" si="10"/>
        <v>Vacant</v>
      </c>
      <c r="D550" t="str">
        <f t="shared" si="10"/>
        <v>Vacant</v>
      </c>
      <c r="E550" s="456" t="str">
        <f t="shared" si="9"/>
        <v>Vacant Vacant</v>
      </c>
      <c r="F550" s="456" t="s">
        <v>1214</v>
      </c>
      <c r="G550" s="456" t="s">
        <v>1361</v>
      </c>
      <c r="H550" s="457">
        <v>27.060874999999999</v>
      </c>
      <c r="I550" s="458"/>
      <c r="J550" s="459">
        <v>38626</v>
      </c>
      <c r="K550" s="456" t="s">
        <v>170</v>
      </c>
      <c r="L550" s="456" t="s">
        <v>170</v>
      </c>
      <c r="M550" s="456" t="s">
        <v>1658</v>
      </c>
      <c r="N550" s="456" t="s">
        <v>1952</v>
      </c>
      <c r="O550" s="456" t="s">
        <v>1230</v>
      </c>
      <c r="P550" s="456"/>
      <c r="Q550" s="456"/>
      <c r="R550" s="459">
        <v>43416</v>
      </c>
      <c r="S550" s="456"/>
      <c r="T550" s="456" t="s">
        <v>1453</v>
      </c>
      <c r="U550" s="457">
        <v>56286.62</v>
      </c>
      <c r="V550" s="456" t="s">
        <v>1220</v>
      </c>
      <c r="X550" s="369">
        <f>IF(OR(T550="125-65-654-50110",T550="125-65-652-50110",T550="125-65-656-50110"),"N/A",COUNTIF('Prop Budget Calc'!A:A,'Base Pay Report'!A550))</f>
        <v>0</v>
      </c>
    </row>
    <row r="551" spans="1:24" ht="15.6">
      <c r="A551" s="562" t="s">
        <v>2986</v>
      </c>
      <c r="B551" t="str">
        <f t="shared" si="10"/>
        <v>Vacant</v>
      </c>
      <c r="C551" t="str">
        <f t="shared" si="10"/>
        <v>Vacant</v>
      </c>
      <c r="D551" t="str">
        <f t="shared" si="10"/>
        <v>Vacant</v>
      </c>
      <c r="E551" s="456" t="str">
        <f t="shared" ref="E551" si="15">B551&amp;" "&amp;D551</f>
        <v>Vacant Vacant</v>
      </c>
      <c r="F551"/>
      <c r="G551"/>
      <c r="H551">
        <v>48.05</v>
      </c>
      <c r="I551"/>
      <c r="J551" t="s">
        <v>922</v>
      </c>
      <c r="K551" t="s">
        <v>919</v>
      </c>
      <c r="L551"/>
      <c r="M551"/>
      <c r="N551" t="s">
        <v>117</v>
      </c>
      <c r="O551" s="472" t="s">
        <v>1224</v>
      </c>
      <c r="P551"/>
      <c r="Q551"/>
      <c r="R551"/>
      <c r="S551"/>
      <c r="T551" t="s">
        <v>955</v>
      </c>
      <c r="U551"/>
      <c r="V551"/>
      <c r="X551" s="369">
        <f>IF(OR(T551="125-65-654-50110",T551="125-65-652-50110",T551="125-65-656-50110"),"N/A",COUNTIF('Prop Budget Calc'!A:A,'Base Pay Report'!A551))</f>
        <v>0</v>
      </c>
    </row>
    <row r="554" spans="1:24" ht="15.6">
      <c r="A554" s="419" t="s">
        <v>1788</v>
      </c>
      <c r="B554" s="369" t="s">
        <v>970</v>
      </c>
      <c r="C554" s="369" t="s">
        <v>970</v>
      </c>
      <c r="D554" s="369" t="s">
        <v>970</v>
      </c>
      <c r="E554" s="456" t="str">
        <f t="shared" ref="E554:E561" si="16">B554&amp;" "&amp;D554</f>
        <v>Aquatics - Part-Time Aquatics - Part-Time</v>
      </c>
      <c r="F554" s="369" t="s">
        <v>918</v>
      </c>
      <c r="G554" s="369" t="s">
        <v>970</v>
      </c>
      <c r="H554" s="369">
        <f>153507/(38*26)*1.0125</f>
        <v>157.31360070850201</v>
      </c>
      <c r="I554" s="369">
        <v>38</v>
      </c>
      <c r="J554" t="s">
        <v>920</v>
      </c>
      <c r="K554" s="369" t="s">
        <v>919</v>
      </c>
      <c r="N554" s="369" t="s">
        <v>970</v>
      </c>
      <c r="O554" s="472" t="s">
        <v>1325</v>
      </c>
      <c r="P554" s="369">
        <v>38</v>
      </c>
      <c r="S554" s="419" t="s">
        <v>523</v>
      </c>
      <c r="T554" s="563" t="s">
        <v>1565</v>
      </c>
    </row>
    <row r="555" spans="1:24" ht="15.6">
      <c r="A555" s="419" t="s">
        <v>1789</v>
      </c>
      <c r="B555" s="419" t="s">
        <v>971</v>
      </c>
      <c r="C555" s="419" t="s">
        <v>971</v>
      </c>
      <c r="D555" s="419" t="s">
        <v>971</v>
      </c>
      <c r="E555" s="456" t="str">
        <f t="shared" si="16"/>
        <v>Aquatics - Seasonal Aquatics - Seasonal</v>
      </c>
      <c r="F555" s="369" t="s">
        <v>918</v>
      </c>
      <c r="G555" s="369" t="s">
        <v>970</v>
      </c>
      <c r="H555" s="369">
        <f>117255/(38*26)*1.0125</f>
        <v>120.16263917004048</v>
      </c>
      <c r="I555" s="369">
        <v>38</v>
      </c>
      <c r="J555" t="s">
        <v>920</v>
      </c>
      <c r="K555" s="369" t="s">
        <v>919</v>
      </c>
      <c r="N555" s="369" t="s">
        <v>970</v>
      </c>
      <c r="O555" s="472" t="s">
        <v>1325</v>
      </c>
      <c r="P555" s="369">
        <v>38</v>
      </c>
      <c r="S555" s="512" t="s">
        <v>523</v>
      </c>
      <c r="T555" s="512" t="s">
        <v>523</v>
      </c>
    </row>
    <row r="556" spans="1:24" ht="15.6">
      <c r="A556" t="s">
        <v>1790</v>
      </c>
      <c r="B556" s="369" t="s">
        <v>972</v>
      </c>
      <c r="C556" s="369" t="s">
        <v>972</v>
      </c>
      <c r="D556" s="369" t="s">
        <v>972</v>
      </c>
      <c r="E556" s="456" t="str">
        <f t="shared" si="16"/>
        <v>Recreation - Part-Time Recreation - Part-Time</v>
      </c>
      <c r="F556" s="369" t="s">
        <v>918</v>
      </c>
      <c r="G556" s="369" t="s">
        <v>972</v>
      </c>
      <c r="H556" s="369">
        <f>107659/(38*26)*1</f>
        <v>108.9665991902834</v>
      </c>
      <c r="I556" s="369">
        <v>38</v>
      </c>
      <c r="J556" t="s">
        <v>920</v>
      </c>
      <c r="K556" s="369" t="s">
        <v>919</v>
      </c>
      <c r="N556" s="369" t="s">
        <v>972</v>
      </c>
      <c r="O556" s="472" t="s">
        <v>1325</v>
      </c>
      <c r="P556" s="369">
        <v>38</v>
      </c>
      <c r="S556" s="419" t="s">
        <v>502</v>
      </c>
      <c r="T556" s="419" t="s">
        <v>502</v>
      </c>
    </row>
    <row r="557" spans="1:24" ht="15.6">
      <c r="A557" t="s">
        <v>1791</v>
      </c>
      <c r="B557" s="419" t="s">
        <v>973</v>
      </c>
      <c r="C557" s="419" t="s">
        <v>973</v>
      </c>
      <c r="D557" s="419" t="s">
        <v>973</v>
      </c>
      <c r="E557" s="456" t="str">
        <f t="shared" si="16"/>
        <v>Recreation - Seasonal Recreation - Seasonal</v>
      </c>
      <c r="F557" s="369" t="s">
        <v>918</v>
      </c>
      <c r="G557" s="419" t="s">
        <v>973</v>
      </c>
      <c r="H557" s="369">
        <f>98168/(38*26)*1</f>
        <v>99.360323886639677</v>
      </c>
      <c r="I557" s="369">
        <v>38</v>
      </c>
      <c r="J557" t="s">
        <v>920</v>
      </c>
      <c r="K557" s="369" t="s">
        <v>919</v>
      </c>
      <c r="N557" s="419" t="s">
        <v>973</v>
      </c>
      <c r="O557" s="472" t="s">
        <v>1325</v>
      </c>
      <c r="P557" s="369">
        <v>38</v>
      </c>
      <c r="S557" s="512" t="s">
        <v>502</v>
      </c>
      <c r="T557" s="512" t="s">
        <v>502</v>
      </c>
    </row>
    <row r="558" spans="1:24" ht="15.6">
      <c r="A558" t="s">
        <v>1792</v>
      </c>
      <c r="B558" s="419" t="s">
        <v>974</v>
      </c>
      <c r="C558" s="419" t="s">
        <v>974</v>
      </c>
      <c r="D558" s="419" t="s">
        <v>974</v>
      </c>
      <c r="E558" s="456" t="str">
        <f t="shared" si="16"/>
        <v>Facilities - Part-Time Facilities - Part-Time</v>
      </c>
      <c r="F558" s="369" t="s">
        <v>918</v>
      </c>
      <c r="G558" s="419" t="s">
        <v>974</v>
      </c>
      <c r="H558" s="369">
        <f>(25974)/(38*26)</f>
        <v>26.289473684210527</v>
      </c>
      <c r="I558" s="369">
        <v>38</v>
      </c>
      <c r="J558" t="s">
        <v>925</v>
      </c>
      <c r="K558" s="369" t="s">
        <v>919</v>
      </c>
      <c r="N558" s="419" t="s">
        <v>974</v>
      </c>
      <c r="O558" s="472" t="s">
        <v>1265</v>
      </c>
      <c r="P558" s="369">
        <v>38</v>
      </c>
      <c r="S558" s="419" t="s">
        <v>887</v>
      </c>
      <c r="T558" s="419" t="s">
        <v>887</v>
      </c>
    </row>
    <row r="559" spans="1:24" ht="15.6">
      <c r="A559" t="s">
        <v>1871</v>
      </c>
      <c r="B559" s="419" t="s">
        <v>975</v>
      </c>
      <c r="C559" s="419" t="s">
        <v>975</v>
      </c>
      <c r="D559" s="419" t="s">
        <v>975</v>
      </c>
      <c r="E559" s="456" t="str">
        <f t="shared" si="16"/>
        <v>Facilities - Seasonal Facilities - Seasonal</v>
      </c>
      <c r="F559" s="369" t="s">
        <v>918</v>
      </c>
      <c r="G559" s="419" t="s">
        <v>975</v>
      </c>
      <c r="H559" s="369">
        <v>0</v>
      </c>
      <c r="I559" s="369">
        <v>38</v>
      </c>
      <c r="J559" t="s">
        <v>925</v>
      </c>
      <c r="K559" s="369" t="s">
        <v>919</v>
      </c>
      <c r="N559" s="419" t="s">
        <v>975</v>
      </c>
      <c r="O559" s="472" t="s">
        <v>1265</v>
      </c>
      <c r="P559" s="369">
        <v>38</v>
      </c>
      <c r="S559" s="419" t="s">
        <v>888</v>
      </c>
      <c r="T559" s="419" t="s">
        <v>888</v>
      </c>
    </row>
    <row r="560" spans="1:24" ht="15.6">
      <c r="A560" t="s">
        <v>1793</v>
      </c>
      <c r="B560" s="419" t="s">
        <v>976</v>
      </c>
      <c r="C560" s="419" t="s">
        <v>976</v>
      </c>
      <c r="D560" s="419" t="s">
        <v>976</v>
      </c>
      <c r="E560" s="456" t="str">
        <f t="shared" si="16"/>
        <v>Cust Svc - Part-Time Cust Svc - Part-Time</v>
      </c>
      <c r="F560" s="369" t="s">
        <v>918</v>
      </c>
      <c r="G560" s="419" t="s">
        <v>976</v>
      </c>
      <c r="H560" s="369">
        <f>132000/(38*26)*1.04</f>
        <v>138.94736842105263</v>
      </c>
      <c r="I560" s="369">
        <v>38</v>
      </c>
      <c r="J560" t="s">
        <v>920</v>
      </c>
      <c r="K560" s="369" t="s">
        <v>919</v>
      </c>
      <c r="N560" s="419" t="s">
        <v>976</v>
      </c>
      <c r="O560" s="472" t="s">
        <v>1325</v>
      </c>
      <c r="P560" s="369">
        <v>38</v>
      </c>
      <c r="S560" s="419" t="s">
        <v>527</v>
      </c>
      <c r="T560" s="419" t="s">
        <v>527</v>
      </c>
    </row>
    <row r="561" spans="1:20" ht="15.6">
      <c r="A561" t="s">
        <v>1794</v>
      </c>
      <c r="B561" s="419" t="s">
        <v>977</v>
      </c>
      <c r="C561" s="419" t="s">
        <v>977</v>
      </c>
      <c r="D561" s="419" t="s">
        <v>977</v>
      </c>
      <c r="E561" s="456" t="str">
        <f t="shared" si="16"/>
        <v>Cust Svc - Seasonal Cust Svc - Seasonal</v>
      </c>
      <c r="F561" s="369" t="s">
        <v>918</v>
      </c>
      <c r="G561" s="419" t="s">
        <v>977</v>
      </c>
      <c r="H561" s="369">
        <f>42000/(38*26)*1.05</f>
        <v>44.635627530364374</v>
      </c>
      <c r="I561" s="369">
        <v>38</v>
      </c>
      <c r="J561" t="s">
        <v>920</v>
      </c>
      <c r="K561" s="369" t="s">
        <v>919</v>
      </c>
      <c r="N561" s="419" t="s">
        <v>977</v>
      </c>
      <c r="O561" s="472" t="s">
        <v>1325</v>
      </c>
      <c r="P561" s="369">
        <v>38</v>
      </c>
      <c r="S561" s="419" t="s">
        <v>893</v>
      </c>
      <c r="T561" s="512" t="s">
        <v>527</v>
      </c>
    </row>
  </sheetData>
  <autoFilter ref="H2:X508" xr:uid="{00000000-0009-0000-0000-000006000000}"/>
  <sortState xmlns:xlrd2="http://schemas.microsoft.com/office/spreadsheetml/2017/richdata2" ref="A420:BO451">
    <sortCondition ref="A420:A451"/>
  </sortState>
  <conditionalFormatting sqref="A519">
    <cfRule type="cellIs" dxfId="3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356FF-6EF4-4DF1-AECE-B88F4C25A793}">
  <dimension ref="A1:AO798"/>
  <sheetViews>
    <sheetView workbookViewId="0">
      <selection activeCell="B1" sqref="B1:B1048576"/>
    </sheetView>
  </sheetViews>
  <sheetFormatPr defaultColWidth="7.08984375" defaultRowHeight="14.4"/>
  <cols>
    <col min="1" max="1" width="16" style="548" customWidth="1"/>
    <col min="2" max="2" width="19.1796875" style="548" customWidth="1"/>
    <col min="3" max="4" width="16" style="548" customWidth="1"/>
    <col min="5" max="5" width="12.81640625" style="548" customWidth="1"/>
    <col min="6" max="7" width="10.6328125" style="548" customWidth="1"/>
    <col min="8" max="8" width="12.81640625" style="548" customWidth="1"/>
    <col min="9" max="9" width="16" style="548" customWidth="1"/>
    <col min="10" max="14" width="21.36328125" style="548" customWidth="1"/>
    <col min="15" max="17" width="16" style="548" customWidth="1"/>
    <col min="18" max="20" width="19.1796875" style="548" customWidth="1"/>
    <col min="21" max="21" width="10.6328125" style="548" customWidth="1"/>
    <col min="22" max="23" width="21.36328125" style="548" customWidth="1"/>
    <col min="24" max="27" width="16" style="548" customWidth="1"/>
    <col min="28" max="32" width="21.36328125" style="548" customWidth="1"/>
    <col min="33" max="38" width="16" style="548" customWidth="1"/>
    <col min="39" max="39" width="21.36328125" style="548" customWidth="1"/>
    <col min="40" max="40" width="13.81640625" style="548" customWidth="1"/>
    <col min="41" max="41" width="14.81640625" style="548" customWidth="1"/>
    <col min="42" max="16384" width="7.08984375" style="548"/>
  </cols>
  <sheetData>
    <row r="1" spans="1:41" ht="22.8">
      <c r="A1" s="543" t="s">
        <v>1800</v>
      </c>
      <c r="B1" s="544"/>
      <c r="C1" s="544" t="s">
        <v>1801</v>
      </c>
      <c r="D1" s="544" t="s">
        <v>2412</v>
      </c>
      <c r="E1" s="544" t="s">
        <v>1804</v>
      </c>
      <c r="F1" s="544" t="s">
        <v>1805</v>
      </c>
      <c r="G1" s="545" t="s">
        <v>2411</v>
      </c>
      <c r="H1" s="545" t="s">
        <v>1802</v>
      </c>
      <c r="I1" s="544" t="s">
        <v>1803</v>
      </c>
      <c r="J1" s="544" t="s">
        <v>2410</v>
      </c>
      <c r="K1" s="544" t="s">
        <v>2662</v>
      </c>
      <c r="L1" s="544" t="s">
        <v>2663</v>
      </c>
      <c r="M1" s="544" t="s">
        <v>2409</v>
      </c>
      <c r="N1" s="544" t="s">
        <v>2408</v>
      </c>
      <c r="O1" s="544" t="s">
        <v>2407</v>
      </c>
      <c r="P1" s="544" t="s">
        <v>2406</v>
      </c>
      <c r="Q1" s="544" t="s">
        <v>2405</v>
      </c>
      <c r="R1" s="544" t="s">
        <v>2404</v>
      </c>
      <c r="S1" s="544" t="s">
        <v>1806</v>
      </c>
      <c r="T1" s="544" t="s">
        <v>1807</v>
      </c>
      <c r="U1" s="545" t="s">
        <v>2403</v>
      </c>
      <c r="V1" s="544" t="s">
        <v>1808</v>
      </c>
      <c r="W1" s="559" t="s">
        <v>1809</v>
      </c>
      <c r="X1" s="545" t="s">
        <v>2402</v>
      </c>
      <c r="Y1" s="545" t="s">
        <v>2401</v>
      </c>
      <c r="Z1" s="545" t="s">
        <v>2400</v>
      </c>
      <c r="AA1" s="544" t="s">
        <v>2399</v>
      </c>
      <c r="AB1" s="559" t="s">
        <v>2398</v>
      </c>
      <c r="AC1" s="544" t="s">
        <v>2397</v>
      </c>
      <c r="AD1" s="544" t="s">
        <v>2396</v>
      </c>
      <c r="AE1" s="559" t="s">
        <v>2395</v>
      </c>
      <c r="AF1" s="544" t="s">
        <v>2394</v>
      </c>
      <c r="AG1" s="559" t="s">
        <v>2664</v>
      </c>
      <c r="AH1" s="544" t="s">
        <v>2665</v>
      </c>
      <c r="AI1" s="544" t="s">
        <v>2666</v>
      </c>
      <c r="AJ1" s="544" t="s">
        <v>2546</v>
      </c>
      <c r="AK1" s="544" t="s">
        <v>2667</v>
      </c>
      <c r="AL1" s="559" t="s">
        <v>2547</v>
      </c>
      <c r="AM1" s="546" t="s">
        <v>2668</v>
      </c>
      <c r="AN1" s="556">
        <f>AVERAGEIF($S:$S,"Medical HDHP",$AE:$AE)</f>
        <v>1131.8676628352489</v>
      </c>
      <c r="AO1" s="556">
        <f>AVERAGEIF($S:$S,"Dental Plan",$AE:$AE)</f>
        <v>52.389854014598548</v>
      </c>
    </row>
    <row r="2" spans="1:41" ht="22.8">
      <c r="A2" s="460" t="s">
        <v>1810</v>
      </c>
      <c r="B2" s="460"/>
      <c r="C2" s="460" t="s">
        <v>1232</v>
      </c>
      <c r="D2" s="460" t="s">
        <v>2375</v>
      </c>
      <c r="E2" s="460" t="s">
        <v>1811</v>
      </c>
      <c r="F2" s="460" t="s">
        <v>1812</v>
      </c>
      <c r="G2" s="461" t="s">
        <v>1218</v>
      </c>
      <c r="H2" s="461" t="s">
        <v>272</v>
      </c>
      <c r="I2" s="460" t="s">
        <v>2374</v>
      </c>
      <c r="J2" s="460" t="s">
        <v>1990</v>
      </c>
      <c r="K2" s="460" t="s">
        <v>2669</v>
      </c>
      <c r="L2" s="460" t="s">
        <v>2670</v>
      </c>
      <c r="M2" s="460" t="s">
        <v>2169</v>
      </c>
      <c r="N2" s="460" t="s">
        <v>1981</v>
      </c>
      <c r="O2" s="460" t="s">
        <v>2001</v>
      </c>
      <c r="P2" s="460" t="s">
        <v>1979</v>
      </c>
      <c r="Q2" s="460" t="s">
        <v>95</v>
      </c>
      <c r="R2" s="460" t="s">
        <v>1977</v>
      </c>
      <c r="S2" s="460" t="s">
        <v>1842</v>
      </c>
      <c r="T2" s="460" t="s">
        <v>1827</v>
      </c>
      <c r="U2" s="461" t="s">
        <v>1976</v>
      </c>
      <c r="V2" s="460" t="s">
        <v>1843</v>
      </c>
      <c r="W2" s="560"/>
      <c r="X2" s="461" t="s">
        <v>1824</v>
      </c>
      <c r="Y2" s="461" t="s">
        <v>1824</v>
      </c>
      <c r="Z2" s="461" t="s">
        <v>170</v>
      </c>
      <c r="AA2" s="460" t="s">
        <v>1218</v>
      </c>
      <c r="AB2" s="561">
        <f>ROUND(30.41,2)</f>
        <v>30.41</v>
      </c>
      <c r="AC2" s="460" t="s">
        <v>308</v>
      </c>
      <c r="AD2" s="460"/>
      <c r="AE2" s="561">
        <f>ROUND(70.29,2)</f>
        <v>70.290000000000006</v>
      </c>
      <c r="AF2" s="460" t="s">
        <v>308</v>
      </c>
      <c r="AG2" s="561">
        <f t="shared" ref="AG2:AG65" si="0">ROUND(0,2)</f>
        <v>0</v>
      </c>
      <c r="AH2" s="460" t="s">
        <v>2671</v>
      </c>
      <c r="AI2" s="460" t="s">
        <v>1214</v>
      </c>
      <c r="AJ2" s="460" t="s">
        <v>2548</v>
      </c>
      <c r="AK2" s="460" t="s">
        <v>2672</v>
      </c>
      <c r="AL2" s="560" t="s">
        <v>2673</v>
      </c>
      <c r="AM2" s="460" t="s">
        <v>2674</v>
      </c>
    </row>
    <row r="3" spans="1:41" ht="22.8">
      <c r="A3" s="460" t="s">
        <v>1810</v>
      </c>
      <c r="B3" s="460"/>
      <c r="C3" s="460" t="s">
        <v>1232</v>
      </c>
      <c r="D3" s="460" t="s">
        <v>2375</v>
      </c>
      <c r="E3" s="460" t="s">
        <v>1811</v>
      </c>
      <c r="F3" s="460" t="s">
        <v>1812</v>
      </c>
      <c r="G3" s="461" t="s">
        <v>1218</v>
      </c>
      <c r="H3" s="461" t="s">
        <v>272</v>
      </c>
      <c r="I3" s="460" t="s">
        <v>2374</v>
      </c>
      <c r="J3" s="460" t="s">
        <v>1990</v>
      </c>
      <c r="K3" s="460" t="s">
        <v>2669</v>
      </c>
      <c r="L3" s="460" t="s">
        <v>2670</v>
      </c>
      <c r="M3" s="460" t="s">
        <v>2169</v>
      </c>
      <c r="N3" s="460" t="s">
        <v>1981</v>
      </c>
      <c r="O3" s="460" t="s">
        <v>2001</v>
      </c>
      <c r="P3" s="460" t="s">
        <v>2675</v>
      </c>
      <c r="Q3" s="460" t="s">
        <v>2676</v>
      </c>
      <c r="R3" s="460" t="s">
        <v>2677</v>
      </c>
      <c r="S3" s="460" t="s">
        <v>2676</v>
      </c>
      <c r="T3" s="460" t="s">
        <v>1827</v>
      </c>
      <c r="U3" s="461" t="s">
        <v>1824</v>
      </c>
      <c r="V3" s="460" t="s">
        <v>1843</v>
      </c>
      <c r="W3" s="560"/>
      <c r="X3" s="461" t="s">
        <v>1824</v>
      </c>
      <c r="Y3" s="461" t="s">
        <v>1824</v>
      </c>
      <c r="Z3" s="461" t="s">
        <v>170</v>
      </c>
      <c r="AA3" s="460" t="s">
        <v>1218</v>
      </c>
      <c r="AB3" s="561">
        <f>ROUND(25,2)</f>
        <v>25</v>
      </c>
      <c r="AC3" s="460" t="s">
        <v>2678</v>
      </c>
      <c r="AD3" s="460"/>
      <c r="AE3" s="561">
        <f>ROUND(1000,2)</f>
        <v>1000</v>
      </c>
      <c r="AF3" s="460" t="s">
        <v>2679</v>
      </c>
      <c r="AG3" s="561">
        <f t="shared" si="0"/>
        <v>0</v>
      </c>
      <c r="AH3" s="460" t="s">
        <v>2671</v>
      </c>
      <c r="AI3" s="460" t="s">
        <v>1214</v>
      </c>
      <c r="AJ3" s="460" t="s">
        <v>2550</v>
      </c>
      <c r="AK3" s="460" t="s">
        <v>2672</v>
      </c>
      <c r="AL3" s="560" t="s">
        <v>2680</v>
      </c>
      <c r="AM3" s="460" t="s">
        <v>2674</v>
      </c>
    </row>
    <row r="4" spans="1:41" ht="22.8">
      <c r="A4" s="460" t="s">
        <v>1810</v>
      </c>
      <c r="B4" s="460"/>
      <c r="C4" s="460" t="s">
        <v>1232</v>
      </c>
      <c r="D4" s="460" t="s">
        <v>2375</v>
      </c>
      <c r="E4" s="460" t="s">
        <v>1811</v>
      </c>
      <c r="F4" s="460" t="s">
        <v>1812</v>
      </c>
      <c r="G4" s="461" t="s">
        <v>1218</v>
      </c>
      <c r="H4" s="461" t="s">
        <v>272</v>
      </c>
      <c r="I4" s="460" t="s">
        <v>2374</v>
      </c>
      <c r="J4" s="460" t="s">
        <v>1990</v>
      </c>
      <c r="K4" s="460" t="s">
        <v>2669</v>
      </c>
      <c r="L4" s="460" t="s">
        <v>2670</v>
      </c>
      <c r="M4" s="460" t="s">
        <v>2169</v>
      </c>
      <c r="N4" s="460" t="s">
        <v>1981</v>
      </c>
      <c r="O4" s="460" t="s">
        <v>2001</v>
      </c>
      <c r="P4" s="460" t="s">
        <v>1979</v>
      </c>
      <c r="Q4" s="460" t="s">
        <v>1978</v>
      </c>
      <c r="R4" s="460" t="s">
        <v>1977</v>
      </c>
      <c r="S4" s="460" t="s">
        <v>1826</v>
      </c>
      <c r="T4" s="460" t="s">
        <v>1827</v>
      </c>
      <c r="U4" s="461" t="s">
        <v>1976</v>
      </c>
      <c r="V4" s="460" t="s">
        <v>1851</v>
      </c>
      <c r="W4" s="560"/>
      <c r="X4" s="461" t="s">
        <v>1824</v>
      </c>
      <c r="Y4" s="461" t="s">
        <v>1824</v>
      </c>
      <c r="Z4" s="461" t="s">
        <v>170</v>
      </c>
      <c r="AA4" s="460" t="s">
        <v>1218</v>
      </c>
      <c r="AB4" s="561">
        <f>ROUND(226.88,2)</f>
        <v>226.88</v>
      </c>
      <c r="AC4" s="460" t="s">
        <v>308</v>
      </c>
      <c r="AD4" s="460"/>
      <c r="AE4" s="561">
        <f>ROUND(1393.71,2)</f>
        <v>1393.71</v>
      </c>
      <c r="AF4" s="460" t="s">
        <v>308</v>
      </c>
      <c r="AG4" s="561">
        <f t="shared" si="0"/>
        <v>0</v>
      </c>
      <c r="AH4" s="460" t="s">
        <v>2671</v>
      </c>
      <c r="AI4" s="460" t="s">
        <v>1214</v>
      </c>
      <c r="AJ4" s="460" t="s">
        <v>2549</v>
      </c>
      <c r="AK4" s="460" t="s">
        <v>2672</v>
      </c>
      <c r="AL4" s="560" t="s">
        <v>2681</v>
      </c>
      <c r="AM4" s="460" t="s">
        <v>2674</v>
      </c>
    </row>
    <row r="5" spans="1:41" ht="22.8">
      <c r="A5" s="460" t="s">
        <v>1810</v>
      </c>
      <c r="B5" s="460"/>
      <c r="C5" s="460" t="s">
        <v>1774</v>
      </c>
      <c r="D5" s="460" t="s">
        <v>2373</v>
      </c>
      <c r="E5" s="460" t="s">
        <v>1813</v>
      </c>
      <c r="F5" s="460" t="s">
        <v>1812</v>
      </c>
      <c r="G5" s="461" t="s">
        <v>1218</v>
      </c>
      <c r="H5" s="461" t="s">
        <v>261</v>
      </c>
      <c r="I5" s="460" t="s">
        <v>2066</v>
      </c>
      <c r="J5" s="460" t="s">
        <v>1990</v>
      </c>
      <c r="K5" s="460" t="s">
        <v>2669</v>
      </c>
      <c r="L5" s="460" t="s">
        <v>2682</v>
      </c>
      <c r="M5" s="460" t="s">
        <v>2028</v>
      </c>
      <c r="N5" s="460" t="s">
        <v>1981</v>
      </c>
      <c r="O5" s="460" t="s">
        <v>170</v>
      </c>
      <c r="P5" s="460" t="s">
        <v>1979</v>
      </c>
      <c r="Q5" s="460" t="s">
        <v>95</v>
      </c>
      <c r="R5" s="460" t="s">
        <v>1977</v>
      </c>
      <c r="S5" s="460" t="s">
        <v>1842</v>
      </c>
      <c r="T5" s="460" t="s">
        <v>1827</v>
      </c>
      <c r="U5" s="461" t="s">
        <v>1976</v>
      </c>
      <c r="V5" s="460" t="s">
        <v>1119</v>
      </c>
      <c r="W5" s="560"/>
      <c r="X5" s="461" t="s">
        <v>1824</v>
      </c>
      <c r="Y5" s="461" t="s">
        <v>1824</v>
      </c>
      <c r="Z5" s="461" t="s">
        <v>170</v>
      </c>
      <c r="AA5" s="460" t="s">
        <v>1218</v>
      </c>
      <c r="AB5" s="561">
        <f>ROUND(0,2)</f>
        <v>0</v>
      </c>
      <c r="AC5" s="460" t="s">
        <v>308</v>
      </c>
      <c r="AD5" s="460"/>
      <c r="AE5" s="561">
        <f>ROUND(36.23,2)</f>
        <v>36.229999999999997</v>
      </c>
      <c r="AF5" s="460" t="s">
        <v>308</v>
      </c>
      <c r="AG5" s="561">
        <f t="shared" si="0"/>
        <v>0</v>
      </c>
      <c r="AH5" s="460" t="s">
        <v>2671</v>
      </c>
      <c r="AI5" s="460" t="s">
        <v>1214</v>
      </c>
      <c r="AJ5" s="460"/>
      <c r="AK5" s="460"/>
      <c r="AL5" s="560"/>
      <c r="AM5" s="460"/>
    </row>
    <row r="6" spans="1:41" ht="22.8">
      <c r="A6" s="460" t="s">
        <v>1810</v>
      </c>
      <c r="B6" s="460"/>
      <c r="C6" s="460" t="s">
        <v>1774</v>
      </c>
      <c r="D6" s="460" t="s">
        <v>2373</v>
      </c>
      <c r="E6" s="460" t="s">
        <v>1813</v>
      </c>
      <c r="F6" s="460" t="s">
        <v>1812</v>
      </c>
      <c r="G6" s="461" t="s">
        <v>1218</v>
      </c>
      <c r="H6" s="461" t="s">
        <v>261</v>
      </c>
      <c r="I6" s="460" t="s">
        <v>2066</v>
      </c>
      <c r="J6" s="460" t="s">
        <v>1990</v>
      </c>
      <c r="K6" s="460" t="s">
        <v>2669</v>
      </c>
      <c r="L6" s="460" t="s">
        <v>2682</v>
      </c>
      <c r="M6" s="460" t="s">
        <v>2028</v>
      </c>
      <c r="N6" s="460" t="s">
        <v>1981</v>
      </c>
      <c r="O6" s="460" t="s">
        <v>170</v>
      </c>
      <c r="P6" s="460" t="s">
        <v>2675</v>
      </c>
      <c r="Q6" s="460" t="s">
        <v>2676</v>
      </c>
      <c r="R6" s="460" t="s">
        <v>2677</v>
      </c>
      <c r="S6" s="460" t="s">
        <v>2676</v>
      </c>
      <c r="T6" s="460" t="s">
        <v>1827</v>
      </c>
      <c r="U6" s="461" t="s">
        <v>1824</v>
      </c>
      <c r="V6" s="460" t="s">
        <v>1119</v>
      </c>
      <c r="W6" s="560"/>
      <c r="X6" s="461" t="s">
        <v>1824</v>
      </c>
      <c r="Y6" s="461" t="s">
        <v>2683</v>
      </c>
      <c r="Z6" s="461" t="s">
        <v>170</v>
      </c>
      <c r="AA6" s="460" t="s">
        <v>1218</v>
      </c>
      <c r="AB6" s="561">
        <f>ROUND(135,2)</f>
        <v>135</v>
      </c>
      <c r="AC6" s="460" t="s">
        <v>2678</v>
      </c>
      <c r="AD6" s="460"/>
      <c r="AE6" s="561">
        <f>ROUND(500.05,2)</f>
        <v>500.05</v>
      </c>
      <c r="AF6" s="460" t="s">
        <v>2679</v>
      </c>
      <c r="AG6" s="561">
        <f t="shared" si="0"/>
        <v>0</v>
      </c>
      <c r="AH6" s="460" t="s">
        <v>2671</v>
      </c>
      <c r="AI6" s="460" t="s">
        <v>1214</v>
      </c>
      <c r="AJ6" s="460" t="s">
        <v>2550</v>
      </c>
      <c r="AK6" s="460" t="s">
        <v>2672</v>
      </c>
      <c r="AL6" s="560" t="s">
        <v>2684</v>
      </c>
      <c r="AM6" s="460" t="s">
        <v>2674</v>
      </c>
    </row>
    <row r="7" spans="1:41" ht="22.8">
      <c r="A7" s="460" t="s">
        <v>1810</v>
      </c>
      <c r="B7" s="460"/>
      <c r="C7" s="460" t="s">
        <v>1774</v>
      </c>
      <c r="D7" s="460" t="s">
        <v>2373</v>
      </c>
      <c r="E7" s="460" t="s">
        <v>1813</v>
      </c>
      <c r="F7" s="460" t="s">
        <v>1812</v>
      </c>
      <c r="G7" s="461" t="s">
        <v>1218</v>
      </c>
      <c r="H7" s="461" t="s">
        <v>261</v>
      </c>
      <c r="I7" s="460" t="s">
        <v>2066</v>
      </c>
      <c r="J7" s="460" t="s">
        <v>1990</v>
      </c>
      <c r="K7" s="460" t="s">
        <v>2669</v>
      </c>
      <c r="L7" s="460" t="s">
        <v>2682</v>
      </c>
      <c r="M7" s="460" t="s">
        <v>2028</v>
      </c>
      <c r="N7" s="460" t="s">
        <v>1981</v>
      </c>
      <c r="O7" s="460" t="s">
        <v>170</v>
      </c>
      <c r="P7" s="460" t="s">
        <v>1979</v>
      </c>
      <c r="Q7" s="460" t="s">
        <v>1978</v>
      </c>
      <c r="R7" s="460" t="s">
        <v>1977</v>
      </c>
      <c r="S7" s="460" t="s">
        <v>1826</v>
      </c>
      <c r="T7" s="460" t="s">
        <v>1827</v>
      </c>
      <c r="U7" s="461" t="s">
        <v>1976</v>
      </c>
      <c r="V7" s="460" t="s">
        <v>1119</v>
      </c>
      <c r="W7" s="560"/>
      <c r="X7" s="461" t="s">
        <v>1824</v>
      </c>
      <c r="Y7" s="461" t="s">
        <v>1824</v>
      </c>
      <c r="Z7" s="461" t="s">
        <v>170</v>
      </c>
      <c r="AA7" s="460" t="s">
        <v>1218</v>
      </c>
      <c r="AB7" s="561">
        <f>ROUND(25.63,2)</f>
        <v>25.63</v>
      </c>
      <c r="AC7" s="460" t="s">
        <v>308</v>
      </c>
      <c r="AD7" s="460"/>
      <c r="AE7" s="561">
        <f>ROUND(828.65,2)</f>
        <v>828.65</v>
      </c>
      <c r="AF7" s="460" t="s">
        <v>308</v>
      </c>
      <c r="AG7" s="561">
        <f t="shared" si="0"/>
        <v>0</v>
      </c>
      <c r="AH7" s="460" t="s">
        <v>2671</v>
      </c>
      <c r="AI7" s="460" t="s">
        <v>1214</v>
      </c>
      <c r="AJ7" s="460" t="s">
        <v>2549</v>
      </c>
      <c r="AK7" s="460" t="s">
        <v>2672</v>
      </c>
      <c r="AL7" s="560" t="s">
        <v>2685</v>
      </c>
      <c r="AM7" s="460" t="s">
        <v>2674</v>
      </c>
    </row>
    <row r="8" spans="1:41" ht="34.200000000000003">
      <c r="A8" s="460" t="s">
        <v>1810</v>
      </c>
      <c r="B8" s="460"/>
      <c r="C8" s="460" t="s">
        <v>1663</v>
      </c>
      <c r="D8" s="460" t="s">
        <v>2686</v>
      </c>
      <c r="E8" s="460" t="s">
        <v>1815</v>
      </c>
      <c r="F8" s="460" t="s">
        <v>1812</v>
      </c>
      <c r="G8" s="461" t="s">
        <v>1218</v>
      </c>
      <c r="H8" s="461" t="s">
        <v>1025</v>
      </c>
      <c r="I8" s="460" t="s">
        <v>2687</v>
      </c>
      <c r="J8" s="460" t="s">
        <v>1990</v>
      </c>
      <c r="K8" s="460" t="s">
        <v>2669</v>
      </c>
      <c r="L8" s="460" t="s">
        <v>2688</v>
      </c>
      <c r="M8" s="460" t="s">
        <v>1987</v>
      </c>
      <c r="N8" s="460" t="s">
        <v>1986</v>
      </c>
      <c r="O8" s="460" t="s">
        <v>1980</v>
      </c>
      <c r="P8" s="460" t="s">
        <v>1979</v>
      </c>
      <c r="Q8" s="460" t="s">
        <v>95</v>
      </c>
      <c r="R8" s="460" t="s">
        <v>1977</v>
      </c>
      <c r="S8" s="460" t="s">
        <v>1842</v>
      </c>
      <c r="T8" s="460" t="s">
        <v>1827</v>
      </c>
      <c r="U8" s="461" t="s">
        <v>1976</v>
      </c>
      <c r="V8" s="460" t="s">
        <v>1119</v>
      </c>
      <c r="W8" s="560"/>
      <c r="X8" s="461" t="s">
        <v>2683</v>
      </c>
      <c r="Y8" s="461" t="s">
        <v>2683</v>
      </c>
      <c r="Z8" s="461" t="s">
        <v>170</v>
      </c>
      <c r="AA8" s="460" t="s">
        <v>1218</v>
      </c>
      <c r="AB8" s="561">
        <f>ROUND(0,2)</f>
        <v>0</v>
      </c>
      <c r="AC8" s="460" t="s">
        <v>308</v>
      </c>
      <c r="AD8" s="460"/>
      <c r="AE8" s="561">
        <f>ROUND(36.23,2)</f>
        <v>36.229999999999997</v>
      </c>
      <c r="AF8" s="460" t="s">
        <v>308</v>
      </c>
      <c r="AG8" s="561">
        <f t="shared" si="0"/>
        <v>0</v>
      </c>
      <c r="AH8" s="460" t="s">
        <v>2671</v>
      </c>
      <c r="AI8" s="460" t="s">
        <v>1214</v>
      </c>
      <c r="AJ8" s="460"/>
      <c r="AK8" s="460"/>
      <c r="AL8" s="560"/>
      <c r="AM8" s="460"/>
    </row>
    <row r="9" spans="1:41" ht="22.8">
      <c r="A9" s="460" t="s">
        <v>1810</v>
      </c>
      <c r="B9" s="460"/>
      <c r="C9" s="460" t="s">
        <v>1777</v>
      </c>
      <c r="D9" s="460" t="s">
        <v>2371</v>
      </c>
      <c r="E9" s="460" t="s">
        <v>1811</v>
      </c>
      <c r="F9" s="460" t="s">
        <v>1812</v>
      </c>
      <c r="G9" s="461" t="s">
        <v>1218</v>
      </c>
      <c r="H9" s="461" t="s">
        <v>267</v>
      </c>
      <c r="I9" s="460" t="s">
        <v>2298</v>
      </c>
      <c r="J9" s="460" t="s">
        <v>1983</v>
      </c>
      <c r="K9" s="460" t="s">
        <v>2669</v>
      </c>
      <c r="L9" s="460" t="s">
        <v>2689</v>
      </c>
      <c r="M9" s="460"/>
      <c r="N9" s="460" t="s">
        <v>1981</v>
      </c>
      <c r="O9" s="460" t="s">
        <v>1980</v>
      </c>
      <c r="P9" s="460" t="s">
        <v>1979</v>
      </c>
      <c r="Q9" s="460" t="s">
        <v>95</v>
      </c>
      <c r="R9" s="460" t="s">
        <v>1977</v>
      </c>
      <c r="S9" s="460" t="s">
        <v>1842</v>
      </c>
      <c r="T9" s="460" t="s">
        <v>1827</v>
      </c>
      <c r="U9" s="461" t="s">
        <v>1976</v>
      </c>
      <c r="V9" s="460" t="s">
        <v>1119</v>
      </c>
      <c r="W9" s="560"/>
      <c r="X9" s="461" t="s">
        <v>1824</v>
      </c>
      <c r="Y9" s="461" t="s">
        <v>1824</v>
      </c>
      <c r="Z9" s="461" t="s">
        <v>170</v>
      </c>
      <c r="AA9" s="460" t="s">
        <v>1218</v>
      </c>
      <c r="AB9" s="561">
        <f>ROUND(0,2)</f>
        <v>0</v>
      </c>
      <c r="AC9" s="460" t="s">
        <v>308</v>
      </c>
      <c r="AD9" s="460"/>
      <c r="AE9" s="561">
        <f>ROUND(36.23,2)</f>
        <v>36.229999999999997</v>
      </c>
      <c r="AF9" s="460" t="s">
        <v>308</v>
      </c>
      <c r="AG9" s="561">
        <f t="shared" si="0"/>
        <v>0</v>
      </c>
      <c r="AH9" s="460" t="s">
        <v>2671</v>
      </c>
      <c r="AI9" s="460" t="s">
        <v>1214</v>
      </c>
      <c r="AJ9" s="460"/>
      <c r="AK9" s="460"/>
      <c r="AL9" s="560"/>
      <c r="AM9" s="460"/>
    </row>
    <row r="10" spans="1:41" ht="22.8">
      <c r="A10" s="460" t="s">
        <v>1810</v>
      </c>
      <c r="B10" s="460"/>
      <c r="C10" s="460" t="s">
        <v>1777</v>
      </c>
      <c r="D10" s="460" t="s">
        <v>2371</v>
      </c>
      <c r="E10" s="460" t="s">
        <v>1811</v>
      </c>
      <c r="F10" s="460" t="s">
        <v>1812</v>
      </c>
      <c r="G10" s="461" t="s">
        <v>1218</v>
      </c>
      <c r="H10" s="461" t="s">
        <v>267</v>
      </c>
      <c r="I10" s="460" t="s">
        <v>2298</v>
      </c>
      <c r="J10" s="460" t="s">
        <v>1983</v>
      </c>
      <c r="K10" s="460" t="s">
        <v>2669</v>
      </c>
      <c r="L10" s="460" t="s">
        <v>2689</v>
      </c>
      <c r="M10" s="460"/>
      <c r="N10" s="460" t="s">
        <v>1981</v>
      </c>
      <c r="O10" s="460" t="s">
        <v>1980</v>
      </c>
      <c r="P10" s="460" t="s">
        <v>2675</v>
      </c>
      <c r="Q10" s="460" t="s">
        <v>2676</v>
      </c>
      <c r="R10" s="460" t="s">
        <v>2677</v>
      </c>
      <c r="S10" s="460" t="s">
        <v>2676</v>
      </c>
      <c r="T10" s="460" t="s">
        <v>1827</v>
      </c>
      <c r="U10" s="461" t="s">
        <v>1824</v>
      </c>
      <c r="V10" s="460" t="s">
        <v>1119</v>
      </c>
      <c r="W10" s="560"/>
      <c r="X10" s="461" t="s">
        <v>1824</v>
      </c>
      <c r="Y10" s="461" t="s">
        <v>1824</v>
      </c>
      <c r="Z10" s="461" t="s">
        <v>170</v>
      </c>
      <c r="AA10" s="460" t="s">
        <v>1218</v>
      </c>
      <c r="AB10" s="561">
        <f>ROUND(50,2)</f>
        <v>50</v>
      </c>
      <c r="AC10" s="460" t="s">
        <v>2678</v>
      </c>
      <c r="AD10" s="460"/>
      <c r="AE10" s="561">
        <f>ROUND(500.05,2)</f>
        <v>500.05</v>
      </c>
      <c r="AF10" s="460" t="s">
        <v>2679</v>
      </c>
      <c r="AG10" s="561">
        <f t="shared" si="0"/>
        <v>0</v>
      </c>
      <c r="AH10" s="460" t="s">
        <v>2671</v>
      </c>
      <c r="AI10" s="460" t="s">
        <v>1214</v>
      </c>
      <c r="AJ10" s="460" t="s">
        <v>2550</v>
      </c>
      <c r="AK10" s="460" t="s">
        <v>2672</v>
      </c>
      <c r="AL10" s="560" t="s">
        <v>2690</v>
      </c>
      <c r="AM10" s="460" t="s">
        <v>2674</v>
      </c>
    </row>
    <row r="11" spans="1:41" ht="22.8">
      <c r="A11" s="460" t="s">
        <v>1810</v>
      </c>
      <c r="B11" s="460"/>
      <c r="C11" s="460" t="s">
        <v>1777</v>
      </c>
      <c r="D11" s="460" t="s">
        <v>2371</v>
      </c>
      <c r="E11" s="460" t="s">
        <v>1811</v>
      </c>
      <c r="F11" s="460" t="s">
        <v>1812</v>
      </c>
      <c r="G11" s="461" t="s">
        <v>1218</v>
      </c>
      <c r="H11" s="461" t="s">
        <v>267</v>
      </c>
      <c r="I11" s="460" t="s">
        <v>2298</v>
      </c>
      <c r="J11" s="460" t="s">
        <v>1983</v>
      </c>
      <c r="K11" s="460" t="s">
        <v>2669</v>
      </c>
      <c r="L11" s="460" t="s">
        <v>2689</v>
      </c>
      <c r="M11" s="460"/>
      <c r="N11" s="460" t="s">
        <v>1981</v>
      </c>
      <c r="O11" s="460" t="s">
        <v>1980</v>
      </c>
      <c r="P11" s="460" t="s">
        <v>1979</v>
      </c>
      <c r="Q11" s="460" t="s">
        <v>1978</v>
      </c>
      <c r="R11" s="460" t="s">
        <v>1977</v>
      </c>
      <c r="S11" s="460" t="s">
        <v>1826</v>
      </c>
      <c r="T11" s="460" t="s">
        <v>1827</v>
      </c>
      <c r="U11" s="461" t="s">
        <v>1976</v>
      </c>
      <c r="V11" s="460" t="s">
        <v>1119</v>
      </c>
      <c r="W11" s="560"/>
      <c r="X11" s="461" t="s">
        <v>1824</v>
      </c>
      <c r="Y11" s="461" t="s">
        <v>1824</v>
      </c>
      <c r="Z11" s="461" t="s">
        <v>170</v>
      </c>
      <c r="AA11" s="460" t="s">
        <v>1218</v>
      </c>
      <c r="AB11" s="561">
        <f>ROUND(25.63,2)</f>
        <v>25.63</v>
      </c>
      <c r="AC11" s="460" t="s">
        <v>308</v>
      </c>
      <c r="AD11" s="460"/>
      <c r="AE11" s="561">
        <f>ROUND(828.65,2)</f>
        <v>828.65</v>
      </c>
      <c r="AF11" s="460" t="s">
        <v>308</v>
      </c>
      <c r="AG11" s="561">
        <f t="shared" si="0"/>
        <v>0</v>
      </c>
      <c r="AH11" s="460" t="s">
        <v>2671</v>
      </c>
      <c r="AI11" s="460" t="s">
        <v>1214</v>
      </c>
      <c r="AJ11" s="460" t="s">
        <v>2549</v>
      </c>
      <c r="AK11" s="460" t="s">
        <v>2672</v>
      </c>
      <c r="AL11" s="560" t="s">
        <v>2685</v>
      </c>
      <c r="AM11" s="460" t="s">
        <v>2674</v>
      </c>
    </row>
    <row r="12" spans="1:41" ht="22.8">
      <c r="A12" s="460" t="s">
        <v>1810</v>
      </c>
      <c r="B12" s="460"/>
      <c r="C12" s="460" t="s">
        <v>1776</v>
      </c>
      <c r="D12" s="460" t="s">
        <v>2370</v>
      </c>
      <c r="E12" s="460" t="s">
        <v>1811</v>
      </c>
      <c r="F12" s="460" t="s">
        <v>1812</v>
      </c>
      <c r="G12" s="461" t="s">
        <v>1218</v>
      </c>
      <c r="H12" s="461" t="s">
        <v>268</v>
      </c>
      <c r="I12" s="460" t="s">
        <v>2213</v>
      </c>
      <c r="J12" s="460" t="s">
        <v>1983</v>
      </c>
      <c r="K12" s="460" t="s">
        <v>2669</v>
      </c>
      <c r="L12" s="460" t="s">
        <v>2689</v>
      </c>
      <c r="M12" s="460"/>
      <c r="N12" s="460" t="s">
        <v>1981</v>
      </c>
      <c r="O12" s="460" t="s">
        <v>170</v>
      </c>
      <c r="P12" s="460" t="s">
        <v>1979</v>
      </c>
      <c r="Q12" s="460" t="s">
        <v>95</v>
      </c>
      <c r="R12" s="460" t="s">
        <v>1977</v>
      </c>
      <c r="S12" s="460" t="s">
        <v>1842</v>
      </c>
      <c r="T12" s="460" t="s">
        <v>1827</v>
      </c>
      <c r="U12" s="461" t="s">
        <v>1976</v>
      </c>
      <c r="V12" s="460" t="s">
        <v>1119</v>
      </c>
      <c r="W12" s="560"/>
      <c r="X12" s="461" t="s">
        <v>1824</v>
      </c>
      <c r="Y12" s="461" t="s">
        <v>1824</v>
      </c>
      <c r="Z12" s="461" t="s">
        <v>170</v>
      </c>
      <c r="AA12" s="460" t="s">
        <v>1218</v>
      </c>
      <c r="AB12" s="561">
        <f>ROUND(0,2)</f>
        <v>0</v>
      </c>
      <c r="AC12" s="460" t="s">
        <v>308</v>
      </c>
      <c r="AD12" s="460"/>
      <c r="AE12" s="561">
        <f>ROUND(36.23,2)</f>
        <v>36.229999999999997</v>
      </c>
      <c r="AF12" s="460" t="s">
        <v>308</v>
      </c>
      <c r="AG12" s="561">
        <f t="shared" si="0"/>
        <v>0</v>
      </c>
      <c r="AH12" s="460" t="s">
        <v>2671</v>
      </c>
      <c r="AI12" s="460" t="s">
        <v>1214</v>
      </c>
      <c r="AJ12" s="460"/>
      <c r="AK12" s="460"/>
      <c r="AL12" s="560"/>
      <c r="AM12" s="460"/>
    </row>
    <row r="13" spans="1:41" ht="22.8">
      <c r="A13" s="460" t="s">
        <v>1810</v>
      </c>
      <c r="B13" s="460"/>
      <c r="C13" s="460" t="s">
        <v>1776</v>
      </c>
      <c r="D13" s="460" t="s">
        <v>2370</v>
      </c>
      <c r="E13" s="460" t="s">
        <v>1811</v>
      </c>
      <c r="F13" s="460" t="s">
        <v>1812</v>
      </c>
      <c r="G13" s="461" t="s">
        <v>1218</v>
      </c>
      <c r="H13" s="461" t="s">
        <v>268</v>
      </c>
      <c r="I13" s="460" t="s">
        <v>2213</v>
      </c>
      <c r="J13" s="460" t="s">
        <v>1983</v>
      </c>
      <c r="K13" s="460" t="s">
        <v>2669</v>
      </c>
      <c r="L13" s="460" t="s">
        <v>2689</v>
      </c>
      <c r="M13" s="460"/>
      <c r="N13" s="460" t="s">
        <v>1981</v>
      </c>
      <c r="O13" s="460" t="s">
        <v>170</v>
      </c>
      <c r="P13" s="460" t="s">
        <v>2675</v>
      </c>
      <c r="Q13" s="460" t="s">
        <v>2676</v>
      </c>
      <c r="R13" s="460" t="s">
        <v>2677</v>
      </c>
      <c r="S13" s="460" t="s">
        <v>2676</v>
      </c>
      <c r="T13" s="460" t="s">
        <v>1827</v>
      </c>
      <c r="U13" s="461" t="s">
        <v>1824</v>
      </c>
      <c r="V13" s="460" t="s">
        <v>1119</v>
      </c>
      <c r="W13" s="560"/>
      <c r="X13" s="461" t="s">
        <v>1824</v>
      </c>
      <c r="Y13" s="461" t="s">
        <v>2683</v>
      </c>
      <c r="Z13" s="461" t="s">
        <v>170</v>
      </c>
      <c r="AA13" s="460" t="s">
        <v>1218</v>
      </c>
      <c r="AB13" s="561">
        <f>ROUND(100,2)</f>
        <v>100</v>
      </c>
      <c r="AC13" s="460" t="s">
        <v>2678</v>
      </c>
      <c r="AD13" s="460"/>
      <c r="AE13" s="561">
        <f>ROUND(500.05,2)</f>
        <v>500.05</v>
      </c>
      <c r="AF13" s="460" t="s">
        <v>2679</v>
      </c>
      <c r="AG13" s="561">
        <f t="shared" si="0"/>
        <v>0</v>
      </c>
      <c r="AH13" s="460" t="s">
        <v>2671</v>
      </c>
      <c r="AI13" s="460" t="s">
        <v>1214</v>
      </c>
      <c r="AJ13" s="460" t="s">
        <v>2550</v>
      </c>
      <c r="AK13" s="460" t="s">
        <v>2672</v>
      </c>
      <c r="AL13" s="560" t="s">
        <v>2691</v>
      </c>
      <c r="AM13" s="460" t="s">
        <v>2674</v>
      </c>
    </row>
    <row r="14" spans="1:41" ht="22.8">
      <c r="A14" s="460" t="s">
        <v>1810</v>
      </c>
      <c r="B14" s="460"/>
      <c r="C14" s="460" t="s">
        <v>1776</v>
      </c>
      <c r="D14" s="460" t="s">
        <v>2370</v>
      </c>
      <c r="E14" s="460" t="s">
        <v>1811</v>
      </c>
      <c r="F14" s="460" t="s">
        <v>1812</v>
      </c>
      <c r="G14" s="461" t="s">
        <v>1218</v>
      </c>
      <c r="H14" s="461" t="s">
        <v>268</v>
      </c>
      <c r="I14" s="460" t="s">
        <v>2213</v>
      </c>
      <c r="J14" s="460" t="s">
        <v>1983</v>
      </c>
      <c r="K14" s="460" t="s">
        <v>2669</v>
      </c>
      <c r="L14" s="460" t="s">
        <v>2689</v>
      </c>
      <c r="M14" s="460"/>
      <c r="N14" s="460" t="s">
        <v>1981</v>
      </c>
      <c r="O14" s="460" t="s">
        <v>170</v>
      </c>
      <c r="P14" s="460" t="s">
        <v>1979</v>
      </c>
      <c r="Q14" s="460" t="s">
        <v>1978</v>
      </c>
      <c r="R14" s="460" t="s">
        <v>1977</v>
      </c>
      <c r="S14" s="460" t="s">
        <v>1826</v>
      </c>
      <c r="T14" s="460" t="s">
        <v>1827</v>
      </c>
      <c r="U14" s="461" t="s">
        <v>1976</v>
      </c>
      <c r="V14" s="460" t="s">
        <v>1119</v>
      </c>
      <c r="W14" s="560"/>
      <c r="X14" s="461" t="s">
        <v>1824</v>
      </c>
      <c r="Y14" s="461" t="s">
        <v>1824</v>
      </c>
      <c r="Z14" s="461" t="s">
        <v>170</v>
      </c>
      <c r="AA14" s="460" t="s">
        <v>1218</v>
      </c>
      <c r="AB14" s="561">
        <f>ROUND(29.05,2)</f>
        <v>29.05</v>
      </c>
      <c r="AC14" s="460" t="s">
        <v>308</v>
      </c>
      <c r="AD14" s="460"/>
      <c r="AE14" s="561">
        <f>ROUND(825.23,2)</f>
        <v>825.23</v>
      </c>
      <c r="AF14" s="460" t="s">
        <v>308</v>
      </c>
      <c r="AG14" s="561">
        <f t="shared" si="0"/>
        <v>0</v>
      </c>
      <c r="AH14" s="460" t="s">
        <v>2671</v>
      </c>
      <c r="AI14" s="460" t="s">
        <v>1214</v>
      </c>
      <c r="AJ14" s="460" t="s">
        <v>2549</v>
      </c>
      <c r="AK14" s="460" t="s">
        <v>2672</v>
      </c>
      <c r="AL14" s="560" t="s">
        <v>2692</v>
      </c>
      <c r="AM14" s="460" t="s">
        <v>2674</v>
      </c>
    </row>
    <row r="15" spans="1:41" ht="22.8">
      <c r="A15" s="460" t="s">
        <v>1810</v>
      </c>
      <c r="B15" s="460"/>
      <c r="C15" s="460" t="s">
        <v>1775</v>
      </c>
      <c r="D15" s="460" t="s">
        <v>2369</v>
      </c>
      <c r="E15" s="460" t="s">
        <v>1811</v>
      </c>
      <c r="F15" s="460" t="s">
        <v>1812</v>
      </c>
      <c r="G15" s="461" t="s">
        <v>1218</v>
      </c>
      <c r="H15" s="461" t="s">
        <v>269</v>
      </c>
      <c r="I15" s="460" t="s">
        <v>2186</v>
      </c>
      <c r="J15" s="460" t="s">
        <v>1983</v>
      </c>
      <c r="K15" s="460" t="s">
        <v>2669</v>
      </c>
      <c r="L15" s="460" t="s">
        <v>2689</v>
      </c>
      <c r="M15" s="460"/>
      <c r="N15" s="460" t="s">
        <v>1981</v>
      </c>
      <c r="O15" s="460" t="s">
        <v>1980</v>
      </c>
      <c r="P15" s="460" t="s">
        <v>1979</v>
      </c>
      <c r="Q15" s="460" t="s">
        <v>95</v>
      </c>
      <c r="R15" s="460" t="s">
        <v>1977</v>
      </c>
      <c r="S15" s="460" t="s">
        <v>1842</v>
      </c>
      <c r="T15" s="460" t="s">
        <v>1827</v>
      </c>
      <c r="U15" s="461" t="s">
        <v>1976</v>
      </c>
      <c r="V15" s="460" t="s">
        <v>1119</v>
      </c>
      <c r="W15" s="560"/>
      <c r="X15" s="461" t="s">
        <v>1824</v>
      </c>
      <c r="Y15" s="461" t="s">
        <v>1824</v>
      </c>
      <c r="Z15" s="461" t="s">
        <v>170</v>
      </c>
      <c r="AA15" s="460" t="s">
        <v>1218</v>
      </c>
      <c r="AB15" s="561">
        <f>ROUND(0,2)</f>
        <v>0</v>
      </c>
      <c r="AC15" s="460" t="s">
        <v>308</v>
      </c>
      <c r="AD15" s="460"/>
      <c r="AE15" s="561">
        <f>ROUND(36.23,2)</f>
        <v>36.229999999999997</v>
      </c>
      <c r="AF15" s="460" t="s">
        <v>308</v>
      </c>
      <c r="AG15" s="561">
        <f t="shared" si="0"/>
        <v>0</v>
      </c>
      <c r="AH15" s="460" t="s">
        <v>2671</v>
      </c>
      <c r="AI15" s="460" t="s">
        <v>1214</v>
      </c>
      <c r="AJ15" s="460"/>
      <c r="AK15" s="460"/>
      <c r="AL15" s="560"/>
      <c r="AM15" s="460"/>
    </row>
    <row r="16" spans="1:41" ht="22.8">
      <c r="A16" s="460" t="s">
        <v>1810</v>
      </c>
      <c r="B16" s="460"/>
      <c r="C16" s="460" t="s">
        <v>1775</v>
      </c>
      <c r="D16" s="460" t="s">
        <v>2369</v>
      </c>
      <c r="E16" s="460" t="s">
        <v>1811</v>
      </c>
      <c r="F16" s="460" t="s">
        <v>1812</v>
      </c>
      <c r="G16" s="461" t="s">
        <v>1218</v>
      </c>
      <c r="H16" s="461" t="s">
        <v>269</v>
      </c>
      <c r="I16" s="460" t="s">
        <v>2186</v>
      </c>
      <c r="J16" s="460" t="s">
        <v>1983</v>
      </c>
      <c r="K16" s="460" t="s">
        <v>2669</v>
      </c>
      <c r="L16" s="460" t="s">
        <v>2689</v>
      </c>
      <c r="M16" s="460"/>
      <c r="N16" s="460" t="s">
        <v>1981</v>
      </c>
      <c r="O16" s="460" t="s">
        <v>1980</v>
      </c>
      <c r="P16" s="460" t="s">
        <v>2675</v>
      </c>
      <c r="Q16" s="460" t="s">
        <v>2676</v>
      </c>
      <c r="R16" s="460" t="s">
        <v>2677</v>
      </c>
      <c r="S16" s="460" t="s">
        <v>2676</v>
      </c>
      <c r="T16" s="460" t="s">
        <v>1827</v>
      </c>
      <c r="U16" s="461" t="s">
        <v>1824</v>
      </c>
      <c r="V16" s="460" t="s">
        <v>1119</v>
      </c>
      <c r="W16" s="560"/>
      <c r="X16" s="461" t="s">
        <v>1824</v>
      </c>
      <c r="Y16" s="461" t="s">
        <v>1824</v>
      </c>
      <c r="Z16" s="461" t="s">
        <v>170</v>
      </c>
      <c r="AA16" s="460" t="s">
        <v>1218</v>
      </c>
      <c r="AB16" s="561">
        <f>ROUND(15,2)</f>
        <v>15</v>
      </c>
      <c r="AC16" s="460" t="s">
        <v>2678</v>
      </c>
      <c r="AD16" s="460"/>
      <c r="AE16" s="561">
        <f>ROUND(500.05,2)</f>
        <v>500.05</v>
      </c>
      <c r="AF16" s="460" t="s">
        <v>2679</v>
      </c>
      <c r="AG16" s="561">
        <f t="shared" si="0"/>
        <v>0</v>
      </c>
      <c r="AH16" s="460" t="s">
        <v>2671</v>
      </c>
      <c r="AI16" s="460" t="s">
        <v>1214</v>
      </c>
      <c r="AJ16" s="460" t="s">
        <v>2550</v>
      </c>
      <c r="AK16" s="460" t="s">
        <v>2672</v>
      </c>
      <c r="AL16" s="560" t="s">
        <v>2693</v>
      </c>
      <c r="AM16" s="460" t="s">
        <v>2674</v>
      </c>
    </row>
    <row r="17" spans="1:39" ht="22.8">
      <c r="A17" s="460" t="s">
        <v>1810</v>
      </c>
      <c r="B17" s="460"/>
      <c r="C17" s="460" t="s">
        <v>1775</v>
      </c>
      <c r="D17" s="460" t="s">
        <v>2369</v>
      </c>
      <c r="E17" s="460" t="s">
        <v>1811</v>
      </c>
      <c r="F17" s="460" t="s">
        <v>1812</v>
      </c>
      <c r="G17" s="461" t="s">
        <v>1218</v>
      </c>
      <c r="H17" s="461" t="s">
        <v>269</v>
      </c>
      <c r="I17" s="460" t="s">
        <v>2186</v>
      </c>
      <c r="J17" s="460" t="s">
        <v>1983</v>
      </c>
      <c r="K17" s="460" t="s">
        <v>2669</v>
      </c>
      <c r="L17" s="460" t="s">
        <v>2689</v>
      </c>
      <c r="M17" s="460"/>
      <c r="N17" s="460" t="s">
        <v>1981</v>
      </c>
      <c r="O17" s="460" t="s">
        <v>1980</v>
      </c>
      <c r="P17" s="460" t="s">
        <v>1979</v>
      </c>
      <c r="Q17" s="460" t="s">
        <v>1978</v>
      </c>
      <c r="R17" s="460" t="s">
        <v>1977</v>
      </c>
      <c r="S17" s="460" t="s">
        <v>1826</v>
      </c>
      <c r="T17" s="460" t="s">
        <v>1827</v>
      </c>
      <c r="U17" s="461" t="s">
        <v>1976</v>
      </c>
      <c r="V17" s="460" t="s">
        <v>1119</v>
      </c>
      <c r="W17" s="560"/>
      <c r="X17" s="461" t="s">
        <v>1824</v>
      </c>
      <c r="Y17" s="461" t="s">
        <v>1824</v>
      </c>
      <c r="Z17" s="461" t="s">
        <v>170</v>
      </c>
      <c r="AA17" s="460" t="s">
        <v>1218</v>
      </c>
      <c r="AB17" s="561">
        <f>ROUND(25.63,2)</f>
        <v>25.63</v>
      </c>
      <c r="AC17" s="460" t="s">
        <v>308</v>
      </c>
      <c r="AD17" s="460"/>
      <c r="AE17" s="561">
        <f>ROUND(828.65,2)</f>
        <v>828.65</v>
      </c>
      <c r="AF17" s="460" t="s">
        <v>308</v>
      </c>
      <c r="AG17" s="561">
        <f t="shared" si="0"/>
        <v>0</v>
      </c>
      <c r="AH17" s="460" t="s">
        <v>2671</v>
      </c>
      <c r="AI17" s="460" t="s">
        <v>1214</v>
      </c>
      <c r="AJ17" s="460" t="s">
        <v>2549</v>
      </c>
      <c r="AK17" s="460" t="s">
        <v>2672</v>
      </c>
      <c r="AL17" s="560" t="s">
        <v>2685</v>
      </c>
      <c r="AM17" s="460" t="s">
        <v>2674</v>
      </c>
    </row>
    <row r="18" spans="1:39" ht="22.8">
      <c r="A18" s="460" t="s">
        <v>1810</v>
      </c>
      <c r="B18" s="460"/>
      <c r="C18" s="460" t="s">
        <v>1778</v>
      </c>
      <c r="D18" s="460" t="s">
        <v>2368</v>
      </c>
      <c r="E18" s="460" t="s">
        <v>1811</v>
      </c>
      <c r="F18" s="460" t="s">
        <v>1812</v>
      </c>
      <c r="G18" s="461" t="s">
        <v>1218</v>
      </c>
      <c r="H18" s="461" t="s">
        <v>270</v>
      </c>
      <c r="I18" s="460" t="s">
        <v>2367</v>
      </c>
      <c r="J18" s="460" t="s">
        <v>1983</v>
      </c>
      <c r="K18" s="460" t="s">
        <v>2669</v>
      </c>
      <c r="L18" s="460" t="s">
        <v>2689</v>
      </c>
      <c r="M18" s="460"/>
      <c r="N18" s="460" t="s">
        <v>1981</v>
      </c>
      <c r="O18" s="460" t="s">
        <v>170</v>
      </c>
      <c r="P18" s="460" t="s">
        <v>1979</v>
      </c>
      <c r="Q18" s="460" t="s">
        <v>95</v>
      </c>
      <c r="R18" s="460" t="s">
        <v>1977</v>
      </c>
      <c r="S18" s="460" t="s">
        <v>1842</v>
      </c>
      <c r="T18" s="460" t="s">
        <v>1827</v>
      </c>
      <c r="U18" s="461" t="s">
        <v>1976</v>
      </c>
      <c r="V18" s="460" t="s">
        <v>1119</v>
      </c>
      <c r="W18" s="560"/>
      <c r="X18" s="461" t="s">
        <v>1824</v>
      </c>
      <c r="Y18" s="461" t="s">
        <v>1824</v>
      </c>
      <c r="Z18" s="461" t="s">
        <v>170</v>
      </c>
      <c r="AA18" s="460" t="s">
        <v>1218</v>
      </c>
      <c r="AB18" s="561">
        <f>ROUND(0,2)</f>
        <v>0</v>
      </c>
      <c r="AC18" s="460" t="s">
        <v>308</v>
      </c>
      <c r="AD18" s="460"/>
      <c r="AE18" s="561">
        <f>ROUND(36.23,2)</f>
        <v>36.229999999999997</v>
      </c>
      <c r="AF18" s="460" t="s">
        <v>308</v>
      </c>
      <c r="AG18" s="561">
        <f t="shared" si="0"/>
        <v>0</v>
      </c>
      <c r="AH18" s="460" t="s">
        <v>2671</v>
      </c>
      <c r="AI18" s="460" t="s">
        <v>1214</v>
      </c>
      <c r="AJ18" s="460"/>
      <c r="AK18" s="460"/>
      <c r="AL18" s="560"/>
      <c r="AM18" s="460"/>
    </row>
    <row r="19" spans="1:39" ht="22.8">
      <c r="A19" s="460" t="s">
        <v>1810</v>
      </c>
      <c r="B19" s="460"/>
      <c r="C19" s="460" t="s">
        <v>1778</v>
      </c>
      <c r="D19" s="460" t="s">
        <v>2368</v>
      </c>
      <c r="E19" s="460" t="s">
        <v>1811</v>
      </c>
      <c r="F19" s="460" t="s">
        <v>1812</v>
      </c>
      <c r="G19" s="461" t="s">
        <v>1218</v>
      </c>
      <c r="H19" s="461" t="s">
        <v>270</v>
      </c>
      <c r="I19" s="460" t="s">
        <v>2367</v>
      </c>
      <c r="J19" s="460" t="s">
        <v>1983</v>
      </c>
      <c r="K19" s="460" t="s">
        <v>2669</v>
      </c>
      <c r="L19" s="460" t="s">
        <v>2689</v>
      </c>
      <c r="M19" s="460"/>
      <c r="N19" s="460" t="s">
        <v>1981</v>
      </c>
      <c r="O19" s="460" t="s">
        <v>170</v>
      </c>
      <c r="P19" s="460" t="s">
        <v>2675</v>
      </c>
      <c r="Q19" s="460" t="s">
        <v>2676</v>
      </c>
      <c r="R19" s="460" t="s">
        <v>2677</v>
      </c>
      <c r="S19" s="460" t="s">
        <v>2676</v>
      </c>
      <c r="T19" s="460" t="s">
        <v>1827</v>
      </c>
      <c r="U19" s="461" t="s">
        <v>1824</v>
      </c>
      <c r="V19" s="460" t="s">
        <v>1119</v>
      </c>
      <c r="W19" s="560"/>
      <c r="X19" s="461" t="s">
        <v>1824</v>
      </c>
      <c r="Y19" s="461" t="s">
        <v>1824</v>
      </c>
      <c r="Z19" s="461" t="s">
        <v>170</v>
      </c>
      <c r="AA19" s="460" t="s">
        <v>1218</v>
      </c>
      <c r="AB19" s="561">
        <f>ROUND(25,2)</f>
        <v>25</v>
      </c>
      <c r="AC19" s="460" t="s">
        <v>2678</v>
      </c>
      <c r="AD19" s="460"/>
      <c r="AE19" s="561">
        <f>ROUND(500.05,2)</f>
        <v>500.05</v>
      </c>
      <c r="AF19" s="460" t="s">
        <v>2679</v>
      </c>
      <c r="AG19" s="561">
        <f t="shared" si="0"/>
        <v>0</v>
      </c>
      <c r="AH19" s="460" t="s">
        <v>2671</v>
      </c>
      <c r="AI19" s="460" t="s">
        <v>1214</v>
      </c>
      <c r="AJ19" s="460" t="s">
        <v>2550</v>
      </c>
      <c r="AK19" s="460" t="s">
        <v>2672</v>
      </c>
      <c r="AL19" s="560" t="s">
        <v>2680</v>
      </c>
      <c r="AM19" s="460" t="s">
        <v>2674</v>
      </c>
    </row>
    <row r="20" spans="1:39" ht="22.8">
      <c r="A20" s="460" t="s">
        <v>1810</v>
      </c>
      <c r="B20" s="460"/>
      <c r="C20" s="460" t="s">
        <v>1778</v>
      </c>
      <c r="D20" s="460" t="s">
        <v>2368</v>
      </c>
      <c r="E20" s="460" t="s">
        <v>1811</v>
      </c>
      <c r="F20" s="460" t="s">
        <v>1812</v>
      </c>
      <c r="G20" s="461" t="s">
        <v>1218</v>
      </c>
      <c r="H20" s="461" t="s">
        <v>270</v>
      </c>
      <c r="I20" s="460" t="s">
        <v>2367</v>
      </c>
      <c r="J20" s="460" t="s">
        <v>1983</v>
      </c>
      <c r="K20" s="460" t="s">
        <v>2669</v>
      </c>
      <c r="L20" s="460" t="s">
        <v>2689</v>
      </c>
      <c r="M20" s="460"/>
      <c r="N20" s="460" t="s">
        <v>1981</v>
      </c>
      <c r="O20" s="460" t="s">
        <v>170</v>
      </c>
      <c r="P20" s="460" t="s">
        <v>1979</v>
      </c>
      <c r="Q20" s="460" t="s">
        <v>1978</v>
      </c>
      <c r="R20" s="460" t="s">
        <v>1977</v>
      </c>
      <c r="S20" s="460" t="s">
        <v>1826</v>
      </c>
      <c r="T20" s="460" t="s">
        <v>1827</v>
      </c>
      <c r="U20" s="461" t="s">
        <v>1976</v>
      </c>
      <c r="V20" s="460" t="s">
        <v>1119</v>
      </c>
      <c r="W20" s="560"/>
      <c r="X20" s="461" t="s">
        <v>1824</v>
      </c>
      <c r="Y20" s="461" t="s">
        <v>1824</v>
      </c>
      <c r="Z20" s="461" t="s">
        <v>170</v>
      </c>
      <c r="AA20" s="460" t="s">
        <v>1218</v>
      </c>
      <c r="AB20" s="561">
        <f>ROUND(35.03,2)</f>
        <v>35.03</v>
      </c>
      <c r="AC20" s="460" t="s">
        <v>308</v>
      </c>
      <c r="AD20" s="460"/>
      <c r="AE20" s="561">
        <f>ROUND(819.25,2)</f>
        <v>819.25</v>
      </c>
      <c r="AF20" s="460" t="s">
        <v>308</v>
      </c>
      <c r="AG20" s="561">
        <f t="shared" si="0"/>
        <v>0</v>
      </c>
      <c r="AH20" s="460" t="s">
        <v>2671</v>
      </c>
      <c r="AI20" s="460" t="s">
        <v>1214</v>
      </c>
      <c r="AJ20" s="460" t="s">
        <v>2549</v>
      </c>
      <c r="AK20" s="460" t="s">
        <v>2672</v>
      </c>
      <c r="AL20" s="560" t="s">
        <v>2694</v>
      </c>
      <c r="AM20" s="460" t="s">
        <v>2674</v>
      </c>
    </row>
    <row r="21" spans="1:39" ht="22.8">
      <c r="A21" s="460" t="s">
        <v>1810</v>
      </c>
      <c r="B21" s="460"/>
      <c r="C21" s="460" t="s">
        <v>1576</v>
      </c>
      <c r="D21" s="460" t="s">
        <v>2366</v>
      </c>
      <c r="E21" s="460" t="s">
        <v>1817</v>
      </c>
      <c r="F21" s="460" t="s">
        <v>1812</v>
      </c>
      <c r="G21" s="461" t="s">
        <v>1218</v>
      </c>
      <c r="H21" s="461" t="s">
        <v>652</v>
      </c>
      <c r="I21" s="460" t="s">
        <v>2192</v>
      </c>
      <c r="J21" s="460" t="s">
        <v>1983</v>
      </c>
      <c r="K21" s="460" t="s">
        <v>2669</v>
      </c>
      <c r="L21" s="460" t="s">
        <v>2695</v>
      </c>
      <c r="M21" s="460" t="s">
        <v>1987</v>
      </c>
      <c r="N21" s="460" t="s">
        <v>1986</v>
      </c>
      <c r="O21" s="460" t="s">
        <v>1980</v>
      </c>
      <c r="P21" s="460" t="s">
        <v>1979</v>
      </c>
      <c r="Q21" s="460" t="s">
        <v>95</v>
      </c>
      <c r="R21" s="460" t="s">
        <v>1977</v>
      </c>
      <c r="S21" s="460" t="s">
        <v>1842</v>
      </c>
      <c r="T21" s="460" t="s">
        <v>1827</v>
      </c>
      <c r="U21" s="461" t="s">
        <v>1976</v>
      </c>
      <c r="V21" s="460" t="s">
        <v>1843</v>
      </c>
      <c r="W21" s="560"/>
      <c r="X21" s="461" t="s">
        <v>1824</v>
      </c>
      <c r="Y21" s="461" t="s">
        <v>1824</v>
      </c>
      <c r="Z21" s="461" t="s">
        <v>170</v>
      </c>
      <c r="AA21" s="460" t="s">
        <v>1218</v>
      </c>
      <c r="AB21" s="561">
        <f>ROUND(30.41,2)</f>
        <v>30.41</v>
      </c>
      <c r="AC21" s="460" t="s">
        <v>308</v>
      </c>
      <c r="AD21" s="460"/>
      <c r="AE21" s="561">
        <f>ROUND(70.29,2)</f>
        <v>70.290000000000006</v>
      </c>
      <c r="AF21" s="460" t="s">
        <v>308</v>
      </c>
      <c r="AG21" s="561">
        <f t="shared" si="0"/>
        <v>0</v>
      </c>
      <c r="AH21" s="460" t="s">
        <v>2671</v>
      </c>
      <c r="AI21" s="460" t="s">
        <v>1214</v>
      </c>
      <c r="AJ21" s="460" t="s">
        <v>2548</v>
      </c>
      <c r="AK21" s="460" t="s">
        <v>2672</v>
      </c>
      <c r="AL21" s="560" t="s">
        <v>2673</v>
      </c>
      <c r="AM21" s="460" t="s">
        <v>2674</v>
      </c>
    </row>
    <row r="22" spans="1:39" ht="22.8">
      <c r="A22" s="460" t="s">
        <v>1810</v>
      </c>
      <c r="B22" s="460"/>
      <c r="C22" s="460" t="s">
        <v>1576</v>
      </c>
      <c r="D22" s="460" t="s">
        <v>2366</v>
      </c>
      <c r="E22" s="460" t="s">
        <v>1817</v>
      </c>
      <c r="F22" s="460" t="s">
        <v>1812</v>
      </c>
      <c r="G22" s="461" t="s">
        <v>1218</v>
      </c>
      <c r="H22" s="461" t="s">
        <v>652</v>
      </c>
      <c r="I22" s="460" t="s">
        <v>2192</v>
      </c>
      <c r="J22" s="460" t="s">
        <v>1983</v>
      </c>
      <c r="K22" s="460" t="s">
        <v>2669</v>
      </c>
      <c r="L22" s="460" t="s">
        <v>2695</v>
      </c>
      <c r="M22" s="460" t="s">
        <v>1987</v>
      </c>
      <c r="N22" s="460" t="s">
        <v>1986</v>
      </c>
      <c r="O22" s="460" t="s">
        <v>1980</v>
      </c>
      <c r="P22" s="460" t="s">
        <v>2675</v>
      </c>
      <c r="Q22" s="460" t="s">
        <v>2676</v>
      </c>
      <c r="R22" s="460" t="s">
        <v>2677</v>
      </c>
      <c r="S22" s="460" t="s">
        <v>2676</v>
      </c>
      <c r="T22" s="460" t="s">
        <v>1827</v>
      </c>
      <c r="U22" s="461" t="s">
        <v>1824</v>
      </c>
      <c r="V22" s="460" t="s">
        <v>1843</v>
      </c>
      <c r="W22" s="560"/>
      <c r="X22" s="461" t="s">
        <v>1824</v>
      </c>
      <c r="Y22" s="461" t="s">
        <v>1824</v>
      </c>
      <c r="Z22" s="461" t="s">
        <v>170</v>
      </c>
      <c r="AA22" s="460" t="s">
        <v>1218</v>
      </c>
      <c r="AB22" s="561">
        <f>ROUND(0,2)</f>
        <v>0</v>
      </c>
      <c r="AC22" s="460" t="s">
        <v>2678</v>
      </c>
      <c r="AD22" s="460"/>
      <c r="AE22" s="561">
        <f>ROUND(1000,2)</f>
        <v>1000</v>
      </c>
      <c r="AF22" s="460" t="s">
        <v>2679</v>
      </c>
      <c r="AG22" s="561">
        <f t="shared" si="0"/>
        <v>0</v>
      </c>
      <c r="AH22" s="460" t="s">
        <v>2671</v>
      </c>
      <c r="AI22" s="460" t="s">
        <v>1214</v>
      </c>
      <c r="AJ22" s="460"/>
      <c r="AK22" s="460"/>
      <c r="AL22" s="560"/>
      <c r="AM22" s="460"/>
    </row>
    <row r="23" spans="1:39" ht="22.8">
      <c r="A23" s="460" t="s">
        <v>1810</v>
      </c>
      <c r="B23" s="460"/>
      <c r="C23" s="460" t="s">
        <v>1576</v>
      </c>
      <c r="D23" s="460" t="s">
        <v>2366</v>
      </c>
      <c r="E23" s="460" t="s">
        <v>1817</v>
      </c>
      <c r="F23" s="460" t="s">
        <v>1812</v>
      </c>
      <c r="G23" s="461" t="s">
        <v>1218</v>
      </c>
      <c r="H23" s="461" t="s">
        <v>652</v>
      </c>
      <c r="I23" s="460" t="s">
        <v>2192</v>
      </c>
      <c r="J23" s="460" t="s">
        <v>1983</v>
      </c>
      <c r="K23" s="460" t="s">
        <v>2669</v>
      </c>
      <c r="L23" s="460" t="s">
        <v>2695</v>
      </c>
      <c r="M23" s="460" t="s">
        <v>1987</v>
      </c>
      <c r="N23" s="460" t="s">
        <v>1986</v>
      </c>
      <c r="O23" s="460" t="s">
        <v>1980</v>
      </c>
      <c r="P23" s="460" t="s">
        <v>1979</v>
      </c>
      <c r="Q23" s="460" t="s">
        <v>1978</v>
      </c>
      <c r="R23" s="460" t="s">
        <v>1977</v>
      </c>
      <c r="S23" s="460" t="s">
        <v>1826</v>
      </c>
      <c r="T23" s="460" t="s">
        <v>1827</v>
      </c>
      <c r="U23" s="461" t="s">
        <v>1976</v>
      </c>
      <c r="V23" s="460" t="s">
        <v>1843</v>
      </c>
      <c r="W23" s="560"/>
      <c r="X23" s="461" t="s">
        <v>1824</v>
      </c>
      <c r="Y23" s="461" t="s">
        <v>1824</v>
      </c>
      <c r="Z23" s="461" t="s">
        <v>170</v>
      </c>
      <c r="AA23" s="460" t="s">
        <v>1218</v>
      </c>
      <c r="AB23" s="561">
        <f>ROUND(383.66,2)</f>
        <v>383.66</v>
      </c>
      <c r="AC23" s="460" t="s">
        <v>308</v>
      </c>
      <c r="AD23" s="460"/>
      <c r="AE23" s="561">
        <f>ROUND(1747.8,2)</f>
        <v>1747.8</v>
      </c>
      <c r="AF23" s="460" t="s">
        <v>308</v>
      </c>
      <c r="AG23" s="561">
        <f t="shared" si="0"/>
        <v>0</v>
      </c>
      <c r="AH23" s="460" t="s">
        <v>2671</v>
      </c>
      <c r="AI23" s="460" t="s">
        <v>1214</v>
      </c>
      <c r="AJ23" s="460" t="s">
        <v>2549</v>
      </c>
      <c r="AK23" s="460" t="s">
        <v>2672</v>
      </c>
      <c r="AL23" s="560" t="s">
        <v>2696</v>
      </c>
      <c r="AM23" s="460" t="s">
        <v>2674</v>
      </c>
    </row>
    <row r="24" spans="1:39" ht="22.8">
      <c r="A24" s="460" t="s">
        <v>1810</v>
      </c>
      <c r="B24" s="460"/>
      <c r="C24" s="460" t="s">
        <v>1226</v>
      </c>
      <c r="D24" s="460" t="s">
        <v>2365</v>
      </c>
      <c r="E24" s="460" t="s">
        <v>1964</v>
      </c>
      <c r="F24" s="460" t="s">
        <v>1812</v>
      </c>
      <c r="G24" s="461" t="s">
        <v>1218</v>
      </c>
      <c r="H24" s="461" t="s">
        <v>274</v>
      </c>
      <c r="I24" s="460" t="s">
        <v>2229</v>
      </c>
      <c r="J24" s="460" t="s">
        <v>1990</v>
      </c>
      <c r="K24" s="460" t="s">
        <v>2669</v>
      </c>
      <c r="L24" s="460" t="s">
        <v>2697</v>
      </c>
      <c r="M24" s="460" t="s">
        <v>1982</v>
      </c>
      <c r="N24" s="460" t="s">
        <v>2364</v>
      </c>
      <c r="O24" s="460" t="s">
        <v>2001</v>
      </c>
      <c r="P24" s="460" t="s">
        <v>1979</v>
      </c>
      <c r="Q24" s="460" t="s">
        <v>95</v>
      </c>
      <c r="R24" s="460" t="s">
        <v>1977</v>
      </c>
      <c r="S24" s="460" t="s">
        <v>1842</v>
      </c>
      <c r="T24" s="460" t="s">
        <v>1827</v>
      </c>
      <c r="U24" s="461" t="s">
        <v>1976</v>
      </c>
      <c r="V24" s="460" t="s">
        <v>1851</v>
      </c>
      <c r="W24" s="560"/>
      <c r="X24" s="461" t="s">
        <v>1824</v>
      </c>
      <c r="Y24" s="461" t="s">
        <v>2698</v>
      </c>
      <c r="Z24" s="461" t="s">
        <v>170</v>
      </c>
      <c r="AA24" s="460" t="s">
        <v>1218</v>
      </c>
      <c r="AB24" s="561">
        <f>ROUND(30.41,2)</f>
        <v>30.41</v>
      </c>
      <c r="AC24" s="460" t="s">
        <v>308</v>
      </c>
      <c r="AD24" s="460"/>
      <c r="AE24" s="561">
        <f>ROUND(70.29,2)</f>
        <v>70.290000000000006</v>
      </c>
      <c r="AF24" s="460" t="s">
        <v>308</v>
      </c>
      <c r="AG24" s="561">
        <f t="shared" si="0"/>
        <v>0</v>
      </c>
      <c r="AH24" s="460" t="s">
        <v>2671</v>
      </c>
      <c r="AI24" s="460" t="s">
        <v>1214</v>
      </c>
      <c r="AJ24" s="460" t="s">
        <v>2548</v>
      </c>
      <c r="AK24" s="460" t="s">
        <v>2672</v>
      </c>
      <c r="AL24" s="560" t="s">
        <v>2673</v>
      </c>
      <c r="AM24" s="460" t="s">
        <v>2674</v>
      </c>
    </row>
    <row r="25" spans="1:39" ht="22.8">
      <c r="A25" s="460" t="s">
        <v>1810</v>
      </c>
      <c r="B25" s="460"/>
      <c r="C25" s="460" t="s">
        <v>1226</v>
      </c>
      <c r="D25" s="460" t="s">
        <v>2365</v>
      </c>
      <c r="E25" s="460" t="s">
        <v>1964</v>
      </c>
      <c r="F25" s="460" t="s">
        <v>1812</v>
      </c>
      <c r="G25" s="461" t="s">
        <v>1218</v>
      </c>
      <c r="H25" s="461" t="s">
        <v>274</v>
      </c>
      <c r="I25" s="460" t="s">
        <v>2229</v>
      </c>
      <c r="J25" s="460" t="s">
        <v>1990</v>
      </c>
      <c r="K25" s="460" t="s">
        <v>2669</v>
      </c>
      <c r="L25" s="460" t="s">
        <v>2697</v>
      </c>
      <c r="M25" s="460" t="s">
        <v>1982</v>
      </c>
      <c r="N25" s="460" t="s">
        <v>2364</v>
      </c>
      <c r="O25" s="460" t="s">
        <v>2001</v>
      </c>
      <c r="P25" s="460" t="s">
        <v>2675</v>
      </c>
      <c r="Q25" s="460" t="s">
        <v>2676</v>
      </c>
      <c r="R25" s="460" t="s">
        <v>2677</v>
      </c>
      <c r="S25" s="460" t="s">
        <v>2676</v>
      </c>
      <c r="T25" s="460" t="s">
        <v>1827</v>
      </c>
      <c r="U25" s="461" t="s">
        <v>1824</v>
      </c>
      <c r="V25" s="460" t="s">
        <v>1843</v>
      </c>
      <c r="W25" s="560"/>
      <c r="X25" s="461" t="s">
        <v>2698</v>
      </c>
      <c r="Y25" s="461" t="s">
        <v>2698</v>
      </c>
      <c r="Z25" s="461" t="s">
        <v>170</v>
      </c>
      <c r="AA25" s="460" t="s">
        <v>1218</v>
      </c>
      <c r="AB25" s="561">
        <f>ROUND(135,2)</f>
        <v>135</v>
      </c>
      <c r="AC25" s="460" t="s">
        <v>2678</v>
      </c>
      <c r="AD25" s="460"/>
      <c r="AE25" s="561">
        <f>ROUND(1000,2)</f>
        <v>1000</v>
      </c>
      <c r="AF25" s="460" t="s">
        <v>2679</v>
      </c>
      <c r="AG25" s="561">
        <f t="shared" si="0"/>
        <v>0</v>
      </c>
      <c r="AH25" s="460" t="s">
        <v>2671</v>
      </c>
      <c r="AI25" s="460" t="s">
        <v>1214</v>
      </c>
      <c r="AJ25" s="460" t="s">
        <v>2550</v>
      </c>
      <c r="AK25" s="460" t="s">
        <v>2672</v>
      </c>
      <c r="AL25" s="560" t="s">
        <v>2684</v>
      </c>
      <c r="AM25" s="460" t="s">
        <v>2674</v>
      </c>
    </row>
    <row r="26" spans="1:39" ht="22.8">
      <c r="A26" s="460" t="s">
        <v>1810</v>
      </c>
      <c r="B26" s="460"/>
      <c r="C26" s="460" t="s">
        <v>1226</v>
      </c>
      <c r="D26" s="460" t="s">
        <v>2365</v>
      </c>
      <c r="E26" s="460" t="s">
        <v>1964</v>
      </c>
      <c r="F26" s="460" t="s">
        <v>1812</v>
      </c>
      <c r="G26" s="461" t="s">
        <v>1218</v>
      </c>
      <c r="H26" s="461" t="s">
        <v>274</v>
      </c>
      <c r="I26" s="460" t="s">
        <v>2229</v>
      </c>
      <c r="J26" s="460" t="s">
        <v>1990</v>
      </c>
      <c r="K26" s="460" t="s">
        <v>2669</v>
      </c>
      <c r="L26" s="460" t="s">
        <v>2697</v>
      </c>
      <c r="M26" s="460" t="s">
        <v>1982</v>
      </c>
      <c r="N26" s="460" t="s">
        <v>2364</v>
      </c>
      <c r="O26" s="460" t="s">
        <v>2001</v>
      </c>
      <c r="P26" s="460" t="s">
        <v>1979</v>
      </c>
      <c r="Q26" s="460" t="s">
        <v>1978</v>
      </c>
      <c r="R26" s="460" t="s">
        <v>1977</v>
      </c>
      <c r="S26" s="460" t="s">
        <v>1826</v>
      </c>
      <c r="T26" s="460" t="s">
        <v>1827</v>
      </c>
      <c r="U26" s="461" t="s">
        <v>1976</v>
      </c>
      <c r="V26" s="460" t="s">
        <v>1851</v>
      </c>
      <c r="W26" s="560"/>
      <c r="X26" s="461" t="s">
        <v>1824</v>
      </c>
      <c r="Y26" s="461" t="s">
        <v>2698</v>
      </c>
      <c r="Z26" s="461" t="s">
        <v>170</v>
      </c>
      <c r="AA26" s="460" t="s">
        <v>1218</v>
      </c>
      <c r="AB26" s="561">
        <f>ROUND(299.81,2)</f>
        <v>299.81</v>
      </c>
      <c r="AC26" s="460" t="s">
        <v>308</v>
      </c>
      <c r="AD26" s="460"/>
      <c r="AE26" s="561">
        <f>ROUND(1320.78,2)</f>
        <v>1320.78</v>
      </c>
      <c r="AF26" s="460" t="s">
        <v>308</v>
      </c>
      <c r="AG26" s="561">
        <f t="shared" si="0"/>
        <v>0</v>
      </c>
      <c r="AH26" s="460" t="s">
        <v>2671</v>
      </c>
      <c r="AI26" s="460" t="s">
        <v>1214</v>
      </c>
      <c r="AJ26" s="460" t="s">
        <v>2549</v>
      </c>
      <c r="AK26" s="460" t="s">
        <v>2672</v>
      </c>
      <c r="AL26" s="560" t="s">
        <v>2699</v>
      </c>
      <c r="AM26" s="460" t="s">
        <v>2674</v>
      </c>
    </row>
    <row r="27" spans="1:39" ht="22.8">
      <c r="A27" s="460" t="s">
        <v>1810</v>
      </c>
      <c r="B27" s="460"/>
      <c r="C27" s="460" t="s">
        <v>1243</v>
      </c>
      <c r="D27" s="460" t="s">
        <v>2363</v>
      </c>
      <c r="E27" s="460" t="s">
        <v>1818</v>
      </c>
      <c r="F27" s="460" t="s">
        <v>2015</v>
      </c>
      <c r="G27" s="461" t="s">
        <v>1218</v>
      </c>
      <c r="H27" s="461" t="s">
        <v>173</v>
      </c>
      <c r="I27" s="460" t="s">
        <v>2256</v>
      </c>
      <c r="J27" s="460" t="s">
        <v>1990</v>
      </c>
      <c r="K27" s="460" t="s">
        <v>2669</v>
      </c>
      <c r="L27" s="460" t="s">
        <v>2700</v>
      </c>
      <c r="M27" s="460" t="s">
        <v>2002</v>
      </c>
      <c r="N27" s="460" t="s">
        <v>1981</v>
      </c>
      <c r="O27" s="460" t="s">
        <v>170</v>
      </c>
      <c r="P27" s="460" t="s">
        <v>1979</v>
      </c>
      <c r="Q27" s="460" t="s">
        <v>95</v>
      </c>
      <c r="R27" s="460" t="s">
        <v>1977</v>
      </c>
      <c r="S27" s="460" t="s">
        <v>1842</v>
      </c>
      <c r="T27" s="460" t="s">
        <v>1827</v>
      </c>
      <c r="U27" s="461" t="s">
        <v>1976</v>
      </c>
      <c r="V27" s="460" t="s">
        <v>1843</v>
      </c>
      <c r="W27" s="560"/>
      <c r="X27" s="461" t="s">
        <v>1824</v>
      </c>
      <c r="Y27" s="461" t="s">
        <v>1824</v>
      </c>
      <c r="Z27" s="461" t="s">
        <v>170</v>
      </c>
      <c r="AA27" s="460" t="s">
        <v>1218</v>
      </c>
      <c r="AB27" s="561">
        <f>ROUND(30.41,2)</f>
        <v>30.41</v>
      </c>
      <c r="AC27" s="460" t="s">
        <v>308</v>
      </c>
      <c r="AD27" s="460"/>
      <c r="AE27" s="561">
        <f>ROUND(70.29,2)</f>
        <v>70.290000000000006</v>
      </c>
      <c r="AF27" s="460" t="s">
        <v>308</v>
      </c>
      <c r="AG27" s="561">
        <f t="shared" si="0"/>
        <v>0</v>
      </c>
      <c r="AH27" s="460" t="s">
        <v>2671</v>
      </c>
      <c r="AI27" s="460" t="s">
        <v>1214</v>
      </c>
      <c r="AJ27" s="460" t="s">
        <v>2548</v>
      </c>
      <c r="AK27" s="460" t="s">
        <v>2672</v>
      </c>
      <c r="AL27" s="560" t="s">
        <v>2673</v>
      </c>
      <c r="AM27" s="460" t="s">
        <v>2674</v>
      </c>
    </row>
    <row r="28" spans="1:39" ht="22.8">
      <c r="A28" s="460" t="s">
        <v>1810</v>
      </c>
      <c r="B28" s="460"/>
      <c r="C28" s="460" t="s">
        <v>1243</v>
      </c>
      <c r="D28" s="460" t="s">
        <v>2363</v>
      </c>
      <c r="E28" s="460" t="s">
        <v>1818</v>
      </c>
      <c r="F28" s="460" t="s">
        <v>2015</v>
      </c>
      <c r="G28" s="461" t="s">
        <v>1218</v>
      </c>
      <c r="H28" s="461" t="s">
        <v>173</v>
      </c>
      <c r="I28" s="460" t="s">
        <v>2256</v>
      </c>
      <c r="J28" s="460" t="s">
        <v>1990</v>
      </c>
      <c r="K28" s="460" t="s">
        <v>2669</v>
      </c>
      <c r="L28" s="460" t="s">
        <v>2700</v>
      </c>
      <c r="M28" s="460" t="s">
        <v>2002</v>
      </c>
      <c r="N28" s="460" t="s">
        <v>1981</v>
      </c>
      <c r="O28" s="460" t="s">
        <v>170</v>
      </c>
      <c r="P28" s="460" t="s">
        <v>2675</v>
      </c>
      <c r="Q28" s="460" t="s">
        <v>2676</v>
      </c>
      <c r="R28" s="460" t="s">
        <v>2677</v>
      </c>
      <c r="S28" s="460" t="s">
        <v>2676</v>
      </c>
      <c r="T28" s="460" t="s">
        <v>1827</v>
      </c>
      <c r="U28" s="461" t="s">
        <v>1824</v>
      </c>
      <c r="V28" s="460" t="s">
        <v>1843</v>
      </c>
      <c r="W28" s="560"/>
      <c r="X28" s="461" t="s">
        <v>1824</v>
      </c>
      <c r="Y28" s="461" t="s">
        <v>1824</v>
      </c>
      <c r="Z28" s="461" t="s">
        <v>170</v>
      </c>
      <c r="AA28" s="460" t="s">
        <v>1218</v>
      </c>
      <c r="AB28" s="561">
        <f>ROUND(125,2)</f>
        <v>125</v>
      </c>
      <c r="AC28" s="460" t="s">
        <v>2678</v>
      </c>
      <c r="AD28" s="460"/>
      <c r="AE28" s="561">
        <f>ROUND(1000,2)</f>
        <v>1000</v>
      </c>
      <c r="AF28" s="460" t="s">
        <v>2679</v>
      </c>
      <c r="AG28" s="561">
        <f t="shared" si="0"/>
        <v>0</v>
      </c>
      <c r="AH28" s="460" t="s">
        <v>2671</v>
      </c>
      <c r="AI28" s="460" t="s">
        <v>1214</v>
      </c>
      <c r="AJ28" s="460" t="s">
        <v>2550</v>
      </c>
      <c r="AK28" s="460" t="s">
        <v>2672</v>
      </c>
      <c r="AL28" s="560" t="s">
        <v>2701</v>
      </c>
      <c r="AM28" s="460" t="s">
        <v>2674</v>
      </c>
    </row>
    <row r="29" spans="1:39" ht="22.8">
      <c r="A29" s="460" t="s">
        <v>1810</v>
      </c>
      <c r="B29" s="460"/>
      <c r="C29" s="460" t="s">
        <v>1243</v>
      </c>
      <c r="D29" s="460" t="s">
        <v>2363</v>
      </c>
      <c r="E29" s="460" t="s">
        <v>1818</v>
      </c>
      <c r="F29" s="460" t="s">
        <v>2015</v>
      </c>
      <c r="G29" s="461" t="s">
        <v>1218</v>
      </c>
      <c r="H29" s="461" t="s">
        <v>173</v>
      </c>
      <c r="I29" s="460" t="s">
        <v>2256</v>
      </c>
      <c r="J29" s="460" t="s">
        <v>1990</v>
      </c>
      <c r="K29" s="460" t="s">
        <v>2669</v>
      </c>
      <c r="L29" s="460" t="s">
        <v>2700</v>
      </c>
      <c r="M29" s="460" t="s">
        <v>2002</v>
      </c>
      <c r="N29" s="460" t="s">
        <v>1981</v>
      </c>
      <c r="O29" s="460" t="s">
        <v>170</v>
      </c>
      <c r="P29" s="460" t="s">
        <v>1979</v>
      </c>
      <c r="Q29" s="460" t="s">
        <v>1978</v>
      </c>
      <c r="R29" s="460" t="s">
        <v>1977</v>
      </c>
      <c r="S29" s="460" t="s">
        <v>1826</v>
      </c>
      <c r="T29" s="460" t="s">
        <v>1827</v>
      </c>
      <c r="U29" s="461" t="s">
        <v>1976</v>
      </c>
      <c r="V29" s="460" t="s">
        <v>1843</v>
      </c>
      <c r="W29" s="560"/>
      <c r="X29" s="461" t="s">
        <v>1824</v>
      </c>
      <c r="Y29" s="461" t="s">
        <v>1824</v>
      </c>
      <c r="Z29" s="461" t="s">
        <v>170</v>
      </c>
      <c r="AA29" s="460" t="s">
        <v>1218</v>
      </c>
      <c r="AB29" s="561">
        <f>ROUND(603.2,2)</f>
        <v>603.20000000000005</v>
      </c>
      <c r="AC29" s="460" t="s">
        <v>308</v>
      </c>
      <c r="AD29" s="460"/>
      <c r="AE29" s="561">
        <f>ROUND(1528.26,2)</f>
        <v>1528.26</v>
      </c>
      <c r="AF29" s="460" t="s">
        <v>308</v>
      </c>
      <c r="AG29" s="561">
        <f t="shared" si="0"/>
        <v>0</v>
      </c>
      <c r="AH29" s="460" t="s">
        <v>2671</v>
      </c>
      <c r="AI29" s="460" t="s">
        <v>1214</v>
      </c>
      <c r="AJ29" s="460" t="s">
        <v>2549</v>
      </c>
      <c r="AK29" s="460" t="s">
        <v>2672</v>
      </c>
      <c r="AL29" s="560" t="s">
        <v>2702</v>
      </c>
      <c r="AM29" s="460" t="s">
        <v>2674</v>
      </c>
    </row>
    <row r="30" spans="1:39" ht="22.8">
      <c r="A30" s="460" t="s">
        <v>1810</v>
      </c>
      <c r="B30" s="460"/>
      <c r="C30" s="460" t="s">
        <v>1246</v>
      </c>
      <c r="D30" s="460" t="s">
        <v>2362</v>
      </c>
      <c r="E30" s="460" t="s">
        <v>1814</v>
      </c>
      <c r="F30" s="460" t="s">
        <v>1812</v>
      </c>
      <c r="G30" s="461" t="s">
        <v>1218</v>
      </c>
      <c r="H30" s="461" t="s">
        <v>181</v>
      </c>
      <c r="I30" s="460" t="s">
        <v>2361</v>
      </c>
      <c r="J30" s="460" t="s">
        <v>1983</v>
      </c>
      <c r="K30" s="460" t="s">
        <v>2669</v>
      </c>
      <c r="L30" s="460" t="s">
        <v>2703</v>
      </c>
      <c r="M30" s="460" t="s">
        <v>1982</v>
      </c>
      <c r="N30" s="460" t="s">
        <v>1981</v>
      </c>
      <c r="O30" s="460" t="s">
        <v>1980</v>
      </c>
      <c r="P30" s="460" t="s">
        <v>1979</v>
      </c>
      <c r="Q30" s="460" t="s">
        <v>95</v>
      </c>
      <c r="R30" s="460" t="s">
        <v>1977</v>
      </c>
      <c r="S30" s="460" t="s">
        <v>1842</v>
      </c>
      <c r="T30" s="460" t="s">
        <v>1827</v>
      </c>
      <c r="U30" s="461" t="s">
        <v>1976</v>
      </c>
      <c r="V30" s="460" t="s">
        <v>1119</v>
      </c>
      <c r="W30" s="560"/>
      <c r="X30" s="461" t="s">
        <v>1824</v>
      </c>
      <c r="Y30" s="461" t="s">
        <v>1824</v>
      </c>
      <c r="Z30" s="461" t="s">
        <v>170</v>
      </c>
      <c r="AA30" s="460" t="s">
        <v>1218</v>
      </c>
      <c r="AB30" s="561">
        <f>ROUND(0,2)</f>
        <v>0</v>
      </c>
      <c r="AC30" s="460" t="s">
        <v>308</v>
      </c>
      <c r="AD30" s="460"/>
      <c r="AE30" s="561">
        <f>ROUND(36.23,2)</f>
        <v>36.229999999999997</v>
      </c>
      <c r="AF30" s="460" t="s">
        <v>308</v>
      </c>
      <c r="AG30" s="561">
        <f t="shared" si="0"/>
        <v>0</v>
      </c>
      <c r="AH30" s="460" t="s">
        <v>2671</v>
      </c>
      <c r="AI30" s="460" t="s">
        <v>1214</v>
      </c>
      <c r="AJ30" s="460"/>
      <c r="AK30" s="460"/>
      <c r="AL30" s="560"/>
      <c r="AM30" s="460"/>
    </row>
    <row r="31" spans="1:39" ht="22.8">
      <c r="A31" s="460" t="s">
        <v>1810</v>
      </c>
      <c r="B31" s="460"/>
      <c r="C31" s="460" t="s">
        <v>1246</v>
      </c>
      <c r="D31" s="460" t="s">
        <v>2362</v>
      </c>
      <c r="E31" s="460" t="s">
        <v>1814</v>
      </c>
      <c r="F31" s="460" t="s">
        <v>1812</v>
      </c>
      <c r="G31" s="461" t="s">
        <v>1218</v>
      </c>
      <c r="H31" s="461" t="s">
        <v>181</v>
      </c>
      <c r="I31" s="460" t="s">
        <v>2361</v>
      </c>
      <c r="J31" s="460" t="s">
        <v>1983</v>
      </c>
      <c r="K31" s="460" t="s">
        <v>2669</v>
      </c>
      <c r="L31" s="460" t="s">
        <v>2703</v>
      </c>
      <c r="M31" s="460" t="s">
        <v>1982</v>
      </c>
      <c r="N31" s="460" t="s">
        <v>1981</v>
      </c>
      <c r="O31" s="460" t="s">
        <v>1980</v>
      </c>
      <c r="P31" s="460" t="s">
        <v>2675</v>
      </c>
      <c r="Q31" s="460" t="s">
        <v>2676</v>
      </c>
      <c r="R31" s="460" t="s">
        <v>2677</v>
      </c>
      <c r="S31" s="460" t="s">
        <v>2676</v>
      </c>
      <c r="T31" s="460" t="s">
        <v>1827</v>
      </c>
      <c r="U31" s="461" t="s">
        <v>1824</v>
      </c>
      <c r="V31" s="460" t="s">
        <v>1119</v>
      </c>
      <c r="W31" s="560"/>
      <c r="X31" s="461" t="s">
        <v>1824</v>
      </c>
      <c r="Y31" s="461" t="s">
        <v>1824</v>
      </c>
      <c r="Z31" s="461" t="s">
        <v>170</v>
      </c>
      <c r="AA31" s="460" t="s">
        <v>1218</v>
      </c>
      <c r="AB31" s="561">
        <f>ROUND(40,2)</f>
        <v>40</v>
      </c>
      <c r="AC31" s="460" t="s">
        <v>2678</v>
      </c>
      <c r="AD31" s="460"/>
      <c r="AE31" s="561">
        <f>ROUND(500.05,2)</f>
        <v>500.05</v>
      </c>
      <c r="AF31" s="460" t="s">
        <v>2679</v>
      </c>
      <c r="AG31" s="561">
        <f t="shared" si="0"/>
        <v>0</v>
      </c>
      <c r="AH31" s="460" t="s">
        <v>2671</v>
      </c>
      <c r="AI31" s="460" t="s">
        <v>1214</v>
      </c>
      <c r="AJ31" s="460" t="s">
        <v>2550</v>
      </c>
      <c r="AK31" s="460" t="s">
        <v>2672</v>
      </c>
      <c r="AL31" s="560" t="s">
        <v>2704</v>
      </c>
      <c r="AM31" s="460" t="s">
        <v>2674</v>
      </c>
    </row>
    <row r="32" spans="1:39" ht="22.8">
      <c r="A32" s="460" t="s">
        <v>1810</v>
      </c>
      <c r="B32" s="460"/>
      <c r="C32" s="460" t="s">
        <v>1246</v>
      </c>
      <c r="D32" s="460" t="s">
        <v>2362</v>
      </c>
      <c r="E32" s="460" t="s">
        <v>1814</v>
      </c>
      <c r="F32" s="460" t="s">
        <v>1812</v>
      </c>
      <c r="G32" s="461" t="s">
        <v>1218</v>
      </c>
      <c r="H32" s="461" t="s">
        <v>181</v>
      </c>
      <c r="I32" s="460" t="s">
        <v>2361</v>
      </c>
      <c r="J32" s="460" t="s">
        <v>1983</v>
      </c>
      <c r="K32" s="460" t="s">
        <v>2669</v>
      </c>
      <c r="L32" s="460" t="s">
        <v>2703</v>
      </c>
      <c r="M32" s="460" t="s">
        <v>1982</v>
      </c>
      <c r="N32" s="460" t="s">
        <v>1981</v>
      </c>
      <c r="O32" s="460" t="s">
        <v>1980</v>
      </c>
      <c r="P32" s="460" t="s">
        <v>1979</v>
      </c>
      <c r="Q32" s="460" t="s">
        <v>1978</v>
      </c>
      <c r="R32" s="460" t="s">
        <v>1977</v>
      </c>
      <c r="S32" s="460" t="s">
        <v>1826</v>
      </c>
      <c r="T32" s="460" t="s">
        <v>1827</v>
      </c>
      <c r="U32" s="461" t="s">
        <v>1976</v>
      </c>
      <c r="V32" s="460" t="s">
        <v>1119</v>
      </c>
      <c r="W32" s="560"/>
      <c r="X32" s="461" t="s">
        <v>1824</v>
      </c>
      <c r="Y32" s="461" t="s">
        <v>1824</v>
      </c>
      <c r="Z32" s="461" t="s">
        <v>170</v>
      </c>
      <c r="AA32" s="460" t="s">
        <v>1218</v>
      </c>
      <c r="AB32" s="561">
        <f>ROUND(35.03,2)</f>
        <v>35.03</v>
      </c>
      <c r="AC32" s="460" t="s">
        <v>308</v>
      </c>
      <c r="AD32" s="460"/>
      <c r="AE32" s="561">
        <f>ROUND(819.25,2)</f>
        <v>819.25</v>
      </c>
      <c r="AF32" s="460" t="s">
        <v>308</v>
      </c>
      <c r="AG32" s="561">
        <f t="shared" si="0"/>
        <v>0</v>
      </c>
      <c r="AH32" s="460" t="s">
        <v>2671</v>
      </c>
      <c r="AI32" s="460" t="s">
        <v>1214</v>
      </c>
      <c r="AJ32" s="460" t="s">
        <v>2549</v>
      </c>
      <c r="AK32" s="460" t="s">
        <v>2672</v>
      </c>
      <c r="AL32" s="560" t="s">
        <v>2694</v>
      </c>
      <c r="AM32" s="460" t="s">
        <v>2674</v>
      </c>
    </row>
    <row r="33" spans="1:39" ht="34.200000000000003">
      <c r="A33" s="460" t="s">
        <v>1810</v>
      </c>
      <c r="B33" s="460"/>
      <c r="C33" s="460" t="s">
        <v>1237</v>
      </c>
      <c r="D33" s="460" t="s">
        <v>2360</v>
      </c>
      <c r="E33" s="460" t="s">
        <v>1819</v>
      </c>
      <c r="F33" s="460" t="s">
        <v>2015</v>
      </c>
      <c r="G33" s="461" t="s">
        <v>1218</v>
      </c>
      <c r="H33" s="461" t="s">
        <v>258</v>
      </c>
      <c r="I33" s="460" t="s">
        <v>2359</v>
      </c>
      <c r="J33" s="460" t="s">
        <v>1983</v>
      </c>
      <c r="K33" s="460" t="s">
        <v>2669</v>
      </c>
      <c r="L33" s="460" t="s">
        <v>2705</v>
      </c>
      <c r="M33" s="460" t="s">
        <v>2002</v>
      </c>
      <c r="N33" s="460" t="s">
        <v>1981</v>
      </c>
      <c r="O33" s="460" t="s">
        <v>2001</v>
      </c>
      <c r="P33" s="460" t="s">
        <v>1979</v>
      </c>
      <c r="Q33" s="460" t="s">
        <v>95</v>
      </c>
      <c r="R33" s="460" t="s">
        <v>1977</v>
      </c>
      <c r="S33" s="460" t="s">
        <v>1842</v>
      </c>
      <c r="T33" s="460" t="s">
        <v>1827</v>
      </c>
      <c r="U33" s="461" t="s">
        <v>1976</v>
      </c>
      <c r="V33" s="460" t="s">
        <v>1843</v>
      </c>
      <c r="W33" s="560"/>
      <c r="X33" s="461" t="s">
        <v>1824</v>
      </c>
      <c r="Y33" s="461" t="s">
        <v>1824</v>
      </c>
      <c r="Z33" s="461" t="s">
        <v>170</v>
      </c>
      <c r="AA33" s="460" t="s">
        <v>1218</v>
      </c>
      <c r="AB33" s="561">
        <f>ROUND(30.41,2)</f>
        <v>30.41</v>
      </c>
      <c r="AC33" s="460" t="s">
        <v>308</v>
      </c>
      <c r="AD33" s="460"/>
      <c r="AE33" s="561">
        <f>ROUND(70.29,2)</f>
        <v>70.290000000000006</v>
      </c>
      <c r="AF33" s="460" t="s">
        <v>308</v>
      </c>
      <c r="AG33" s="561">
        <f t="shared" si="0"/>
        <v>0</v>
      </c>
      <c r="AH33" s="460" t="s">
        <v>2671</v>
      </c>
      <c r="AI33" s="460" t="s">
        <v>1214</v>
      </c>
      <c r="AJ33" s="460" t="s">
        <v>2548</v>
      </c>
      <c r="AK33" s="460" t="s">
        <v>2672</v>
      </c>
      <c r="AL33" s="560" t="s">
        <v>2673</v>
      </c>
      <c r="AM33" s="460" t="s">
        <v>2674</v>
      </c>
    </row>
    <row r="34" spans="1:39" ht="34.200000000000003">
      <c r="A34" s="460" t="s">
        <v>1810</v>
      </c>
      <c r="B34" s="460"/>
      <c r="C34" s="460" t="s">
        <v>1237</v>
      </c>
      <c r="D34" s="460" t="s">
        <v>2360</v>
      </c>
      <c r="E34" s="460" t="s">
        <v>1819</v>
      </c>
      <c r="F34" s="460" t="s">
        <v>2015</v>
      </c>
      <c r="G34" s="461" t="s">
        <v>1218</v>
      </c>
      <c r="H34" s="461" t="s">
        <v>258</v>
      </c>
      <c r="I34" s="460" t="s">
        <v>2359</v>
      </c>
      <c r="J34" s="460" t="s">
        <v>1983</v>
      </c>
      <c r="K34" s="460" t="s">
        <v>2669</v>
      </c>
      <c r="L34" s="460" t="s">
        <v>2705</v>
      </c>
      <c r="M34" s="460" t="s">
        <v>2002</v>
      </c>
      <c r="N34" s="460" t="s">
        <v>1981</v>
      </c>
      <c r="O34" s="460" t="s">
        <v>2001</v>
      </c>
      <c r="P34" s="460" t="s">
        <v>2675</v>
      </c>
      <c r="Q34" s="460" t="s">
        <v>2676</v>
      </c>
      <c r="R34" s="460" t="s">
        <v>2677</v>
      </c>
      <c r="S34" s="460" t="s">
        <v>2676</v>
      </c>
      <c r="T34" s="460" t="s">
        <v>1827</v>
      </c>
      <c r="U34" s="461" t="s">
        <v>1824</v>
      </c>
      <c r="V34" s="460" t="s">
        <v>1843</v>
      </c>
      <c r="W34" s="560"/>
      <c r="X34" s="461" t="s">
        <v>1824</v>
      </c>
      <c r="Y34" s="461" t="s">
        <v>1824</v>
      </c>
      <c r="Z34" s="461" t="s">
        <v>170</v>
      </c>
      <c r="AA34" s="460" t="s">
        <v>1218</v>
      </c>
      <c r="AB34" s="561">
        <f>ROUND(0,2)</f>
        <v>0</v>
      </c>
      <c r="AC34" s="460" t="s">
        <v>2678</v>
      </c>
      <c r="AD34" s="460"/>
      <c r="AE34" s="561">
        <f>ROUND(1000,2)</f>
        <v>1000</v>
      </c>
      <c r="AF34" s="460" t="s">
        <v>2679</v>
      </c>
      <c r="AG34" s="561">
        <f t="shared" si="0"/>
        <v>0</v>
      </c>
      <c r="AH34" s="460" t="s">
        <v>2671</v>
      </c>
      <c r="AI34" s="460" t="s">
        <v>1214</v>
      </c>
      <c r="AJ34" s="460"/>
      <c r="AK34" s="460"/>
      <c r="AL34" s="560"/>
      <c r="AM34" s="460"/>
    </row>
    <row r="35" spans="1:39" ht="34.200000000000003">
      <c r="A35" s="460" t="s">
        <v>1810</v>
      </c>
      <c r="B35" s="460"/>
      <c r="C35" s="460" t="s">
        <v>1237</v>
      </c>
      <c r="D35" s="460" t="s">
        <v>2360</v>
      </c>
      <c r="E35" s="460" t="s">
        <v>1819</v>
      </c>
      <c r="F35" s="460" t="s">
        <v>2015</v>
      </c>
      <c r="G35" s="461" t="s">
        <v>1218</v>
      </c>
      <c r="H35" s="461" t="s">
        <v>258</v>
      </c>
      <c r="I35" s="460" t="s">
        <v>2359</v>
      </c>
      <c r="J35" s="460" t="s">
        <v>1983</v>
      </c>
      <c r="K35" s="460" t="s">
        <v>2669</v>
      </c>
      <c r="L35" s="460" t="s">
        <v>2705</v>
      </c>
      <c r="M35" s="460" t="s">
        <v>2002</v>
      </c>
      <c r="N35" s="460" t="s">
        <v>1981</v>
      </c>
      <c r="O35" s="460" t="s">
        <v>2001</v>
      </c>
      <c r="P35" s="460" t="s">
        <v>1979</v>
      </c>
      <c r="Q35" s="460" t="s">
        <v>1978</v>
      </c>
      <c r="R35" s="460" t="s">
        <v>1977</v>
      </c>
      <c r="S35" s="460" t="s">
        <v>1826</v>
      </c>
      <c r="T35" s="460" t="s">
        <v>1827</v>
      </c>
      <c r="U35" s="461" t="s">
        <v>1976</v>
      </c>
      <c r="V35" s="460" t="s">
        <v>1851</v>
      </c>
      <c r="W35" s="560"/>
      <c r="X35" s="461" t="s">
        <v>1824</v>
      </c>
      <c r="Y35" s="461" t="s">
        <v>1824</v>
      </c>
      <c r="Z35" s="461" t="s">
        <v>170</v>
      </c>
      <c r="AA35" s="460" t="s">
        <v>1218</v>
      </c>
      <c r="AB35" s="561">
        <f>ROUND(403.53,2)</f>
        <v>403.53</v>
      </c>
      <c r="AC35" s="460" t="s">
        <v>308</v>
      </c>
      <c r="AD35" s="460"/>
      <c r="AE35" s="561">
        <f>ROUND(1217.06,2)</f>
        <v>1217.06</v>
      </c>
      <c r="AF35" s="460" t="s">
        <v>308</v>
      </c>
      <c r="AG35" s="561">
        <f t="shared" si="0"/>
        <v>0</v>
      </c>
      <c r="AH35" s="460" t="s">
        <v>2671</v>
      </c>
      <c r="AI35" s="460" t="s">
        <v>1214</v>
      </c>
      <c r="AJ35" s="460" t="s">
        <v>2549</v>
      </c>
      <c r="AK35" s="460" t="s">
        <v>2672</v>
      </c>
      <c r="AL35" s="560" t="s">
        <v>2706</v>
      </c>
      <c r="AM35" s="460" t="s">
        <v>2674</v>
      </c>
    </row>
    <row r="36" spans="1:39" ht="22.8">
      <c r="A36" s="460" t="s">
        <v>1810</v>
      </c>
      <c r="B36" s="460"/>
      <c r="C36" s="460" t="s">
        <v>1593</v>
      </c>
      <c r="D36" s="460" t="s">
        <v>2358</v>
      </c>
      <c r="E36" s="460" t="s">
        <v>1814</v>
      </c>
      <c r="F36" s="460" t="s">
        <v>1812</v>
      </c>
      <c r="G36" s="461" t="s">
        <v>1218</v>
      </c>
      <c r="H36" s="461" t="s">
        <v>650</v>
      </c>
      <c r="I36" s="460" t="s">
        <v>2118</v>
      </c>
      <c r="J36" s="460" t="s">
        <v>1983</v>
      </c>
      <c r="K36" s="460" t="s">
        <v>2669</v>
      </c>
      <c r="L36" s="460" t="s">
        <v>2707</v>
      </c>
      <c r="M36" s="460" t="s">
        <v>1982</v>
      </c>
      <c r="N36" s="460" t="s">
        <v>1981</v>
      </c>
      <c r="O36" s="460" t="s">
        <v>1980</v>
      </c>
      <c r="P36" s="460" t="s">
        <v>2708</v>
      </c>
      <c r="Q36" s="460" t="s">
        <v>2709</v>
      </c>
      <c r="R36" s="460" t="s">
        <v>1977</v>
      </c>
      <c r="S36" s="460" t="s">
        <v>2710</v>
      </c>
      <c r="T36" s="460" t="s">
        <v>1827</v>
      </c>
      <c r="U36" s="461" t="s">
        <v>2683</v>
      </c>
      <c r="V36" s="460" t="s">
        <v>1119</v>
      </c>
      <c r="W36" s="560"/>
      <c r="X36" s="461" t="s">
        <v>2683</v>
      </c>
      <c r="Y36" s="461" t="s">
        <v>2683</v>
      </c>
      <c r="Z36" s="461" t="s">
        <v>170</v>
      </c>
      <c r="AA36" s="460" t="s">
        <v>1218</v>
      </c>
      <c r="AB36" s="561">
        <f>ROUND(100,2)</f>
        <v>100</v>
      </c>
      <c r="AC36" s="460" t="s">
        <v>308</v>
      </c>
      <c r="AD36" s="460"/>
      <c r="AE36" s="561">
        <f>ROUND(0,2)</f>
        <v>0</v>
      </c>
      <c r="AF36" s="460" t="s">
        <v>308</v>
      </c>
      <c r="AG36" s="561">
        <f t="shared" si="0"/>
        <v>0</v>
      </c>
      <c r="AH36" s="460" t="s">
        <v>2671</v>
      </c>
      <c r="AI36" s="460" t="s">
        <v>1214</v>
      </c>
      <c r="AJ36" s="460" t="s">
        <v>2551</v>
      </c>
      <c r="AK36" s="460" t="s">
        <v>2672</v>
      </c>
      <c r="AL36" s="560" t="s">
        <v>2690</v>
      </c>
      <c r="AM36" s="460" t="s">
        <v>2674</v>
      </c>
    </row>
    <row r="37" spans="1:39" ht="22.8">
      <c r="A37" s="460" t="s">
        <v>1810</v>
      </c>
      <c r="B37" s="460"/>
      <c r="C37" s="460" t="s">
        <v>1593</v>
      </c>
      <c r="D37" s="460" t="s">
        <v>2358</v>
      </c>
      <c r="E37" s="460" t="s">
        <v>1814</v>
      </c>
      <c r="F37" s="460" t="s">
        <v>1812</v>
      </c>
      <c r="G37" s="461" t="s">
        <v>1218</v>
      </c>
      <c r="H37" s="461" t="s">
        <v>650</v>
      </c>
      <c r="I37" s="460" t="s">
        <v>2118</v>
      </c>
      <c r="J37" s="460" t="s">
        <v>1983</v>
      </c>
      <c r="K37" s="460" t="s">
        <v>2669</v>
      </c>
      <c r="L37" s="460" t="s">
        <v>2707</v>
      </c>
      <c r="M37" s="460" t="s">
        <v>1982</v>
      </c>
      <c r="N37" s="460" t="s">
        <v>1981</v>
      </c>
      <c r="O37" s="460" t="s">
        <v>1980</v>
      </c>
      <c r="P37" s="460" t="s">
        <v>1979</v>
      </c>
      <c r="Q37" s="460" t="s">
        <v>95</v>
      </c>
      <c r="R37" s="460" t="s">
        <v>1977</v>
      </c>
      <c r="S37" s="460" t="s">
        <v>1842</v>
      </c>
      <c r="T37" s="460" t="s">
        <v>1827</v>
      </c>
      <c r="U37" s="461" t="s">
        <v>1976</v>
      </c>
      <c r="V37" s="460" t="s">
        <v>1843</v>
      </c>
      <c r="W37" s="560"/>
      <c r="X37" s="461" t="s">
        <v>1824</v>
      </c>
      <c r="Y37" s="461" t="s">
        <v>1824</v>
      </c>
      <c r="Z37" s="461" t="s">
        <v>170</v>
      </c>
      <c r="AA37" s="460" t="s">
        <v>1218</v>
      </c>
      <c r="AB37" s="561">
        <f>ROUND(30.41,2)</f>
        <v>30.41</v>
      </c>
      <c r="AC37" s="460" t="s">
        <v>308</v>
      </c>
      <c r="AD37" s="460"/>
      <c r="AE37" s="561">
        <f>ROUND(70.29,2)</f>
        <v>70.290000000000006</v>
      </c>
      <c r="AF37" s="460" t="s">
        <v>308</v>
      </c>
      <c r="AG37" s="561">
        <f t="shared" si="0"/>
        <v>0</v>
      </c>
      <c r="AH37" s="460" t="s">
        <v>2671</v>
      </c>
      <c r="AI37" s="460" t="s">
        <v>1214</v>
      </c>
      <c r="AJ37" s="460" t="s">
        <v>2548</v>
      </c>
      <c r="AK37" s="460" t="s">
        <v>2672</v>
      </c>
      <c r="AL37" s="560" t="s">
        <v>2673</v>
      </c>
      <c r="AM37" s="460" t="s">
        <v>2674</v>
      </c>
    </row>
    <row r="38" spans="1:39" ht="22.8">
      <c r="A38" s="460" t="s">
        <v>1810</v>
      </c>
      <c r="B38" s="460"/>
      <c r="C38" s="460" t="s">
        <v>1593</v>
      </c>
      <c r="D38" s="460" t="s">
        <v>2358</v>
      </c>
      <c r="E38" s="460" t="s">
        <v>1814</v>
      </c>
      <c r="F38" s="460" t="s">
        <v>1812</v>
      </c>
      <c r="G38" s="461" t="s">
        <v>1218</v>
      </c>
      <c r="H38" s="461" t="s">
        <v>650</v>
      </c>
      <c r="I38" s="460" t="s">
        <v>2118</v>
      </c>
      <c r="J38" s="460" t="s">
        <v>1983</v>
      </c>
      <c r="K38" s="460" t="s">
        <v>2669</v>
      </c>
      <c r="L38" s="460" t="s">
        <v>2707</v>
      </c>
      <c r="M38" s="460" t="s">
        <v>1982</v>
      </c>
      <c r="N38" s="460" t="s">
        <v>1981</v>
      </c>
      <c r="O38" s="460" t="s">
        <v>1980</v>
      </c>
      <c r="P38" s="460" t="s">
        <v>2675</v>
      </c>
      <c r="Q38" s="460" t="s">
        <v>2676</v>
      </c>
      <c r="R38" s="460" t="s">
        <v>2677</v>
      </c>
      <c r="S38" s="460" t="s">
        <v>2676</v>
      </c>
      <c r="T38" s="460" t="s">
        <v>1827</v>
      </c>
      <c r="U38" s="461" t="s">
        <v>1824</v>
      </c>
      <c r="V38" s="460" t="s">
        <v>1843</v>
      </c>
      <c r="W38" s="560"/>
      <c r="X38" s="461" t="s">
        <v>1824</v>
      </c>
      <c r="Y38" s="461" t="s">
        <v>2683</v>
      </c>
      <c r="Z38" s="461" t="s">
        <v>170</v>
      </c>
      <c r="AA38" s="460" t="s">
        <v>1218</v>
      </c>
      <c r="AB38" s="561">
        <f>ROUND(20,2)</f>
        <v>20</v>
      </c>
      <c r="AC38" s="460" t="s">
        <v>2678</v>
      </c>
      <c r="AD38" s="460"/>
      <c r="AE38" s="561">
        <f>ROUND(1000,2)</f>
        <v>1000</v>
      </c>
      <c r="AF38" s="460" t="s">
        <v>2679</v>
      </c>
      <c r="AG38" s="561">
        <f t="shared" si="0"/>
        <v>0</v>
      </c>
      <c r="AH38" s="460" t="s">
        <v>2671</v>
      </c>
      <c r="AI38" s="460" t="s">
        <v>1214</v>
      </c>
      <c r="AJ38" s="460" t="s">
        <v>2550</v>
      </c>
      <c r="AK38" s="460" t="s">
        <v>2672</v>
      </c>
      <c r="AL38" s="560" t="s">
        <v>2711</v>
      </c>
      <c r="AM38" s="460" t="s">
        <v>2674</v>
      </c>
    </row>
    <row r="39" spans="1:39" ht="22.8">
      <c r="A39" s="460" t="s">
        <v>1810</v>
      </c>
      <c r="B39" s="460"/>
      <c r="C39" s="460" t="s">
        <v>1593</v>
      </c>
      <c r="D39" s="460" t="s">
        <v>2358</v>
      </c>
      <c r="E39" s="460" t="s">
        <v>1814</v>
      </c>
      <c r="F39" s="460" t="s">
        <v>1812</v>
      </c>
      <c r="G39" s="461" t="s">
        <v>1218</v>
      </c>
      <c r="H39" s="461" t="s">
        <v>650</v>
      </c>
      <c r="I39" s="460" t="s">
        <v>2118</v>
      </c>
      <c r="J39" s="460" t="s">
        <v>1983</v>
      </c>
      <c r="K39" s="460" t="s">
        <v>2669</v>
      </c>
      <c r="L39" s="460" t="s">
        <v>2707</v>
      </c>
      <c r="M39" s="460" t="s">
        <v>1982</v>
      </c>
      <c r="N39" s="460" t="s">
        <v>1981</v>
      </c>
      <c r="O39" s="460" t="s">
        <v>1980</v>
      </c>
      <c r="P39" s="460" t="s">
        <v>1979</v>
      </c>
      <c r="Q39" s="460" t="s">
        <v>1978</v>
      </c>
      <c r="R39" s="460" t="s">
        <v>1977</v>
      </c>
      <c r="S39" s="460" t="s">
        <v>1826</v>
      </c>
      <c r="T39" s="460" t="s">
        <v>1827</v>
      </c>
      <c r="U39" s="461" t="s">
        <v>1976</v>
      </c>
      <c r="V39" s="460" t="s">
        <v>1843</v>
      </c>
      <c r="W39" s="560"/>
      <c r="X39" s="461" t="s">
        <v>1824</v>
      </c>
      <c r="Y39" s="461" t="s">
        <v>2683</v>
      </c>
      <c r="Z39" s="461" t="s">
        <v>170</v>
      </c>
      <c r="AA39" s="460" t="s">
        <v>1218</v>
      </c>
      <c r="AB39" s="561">
        <f>ROUND(321.85,2)</f>
        <v>321.85000000000002</v>
      </c>
      <c r="AC39" s="460" t="s">
        <v>308</v>
      </c>
      <c r="AD39" s="460"/>
      <c r="AE39" s="561">
        <f>ROUND(1809.61,2)</f>
        <v>1809.61</v>
      </c>
      <c r="AF39" s="460" t="s">
        <v>308</v>
      </c>
      <c r="AG39" s="561">
        <f t="shared" si="0"/>
        <v>0</v>
      </c>
      <c r="AH39" s="460" t="s">
        <v>2671</v>
      </c>
      <c r="AI39" s="460" t="s">
        <v>1214</v>
      </c>
      <c r="AJ39" s="460" t="s">
        <v>2549</v>
      </c>
      <c r="AK39" s="460" t="s">
        <v>2672</v>
      </c>
      <c r="AL39" s="560" t="s">
        <v>2712</v>
      </c>
      <c r="AM39" s="460" t="s">
        <v>2674</v>
      </c>
    </row>
    <row r="40" spans="1:39" ht="22.8">
      <c r="A40" s="460" t="s">
        <v>1810</v>
      </c>
      <c r="B40" s="460"/>
      <c r="C40" s="460" t="s">
        <v>1736</v>
      </c>
      <c r="D40" s="460" t="s">
        <v>2357</v>
      </c>
      <c r="E40" s="460" t="s">
        <v>1814</v>
      </c>
      <c r="F40" s="460" t="s">
        <v>1812</v>
      </c>
      <c r="G40" s="461" t="s">
        <v>1218</v>
      </c>
      <c r="H40" s="461" t="s">
        <v>1820</v>
      </c>
      <c r="I40" s="460" t="s">
        <v>2158</v>
      </c>
      <c r="J40" s="460" t="s">
        <v>1983</v>
      </c>
      <c r="K40" s="460" t="s">
        <v>2669</v>
      </c>
      <c r="L40" s="460" t="s">
        <v>2707</v>
      </c>
      <c r="M40" s="460" t="s">
        <v>1982</v>
      </c>
      <c r="N40" s="460" t="s">
        <v>1981</v>
      </c>
      <c r="O40" s="460" t="s">
        <v>1980</v>
      </c>
      <c r="P40" s="460" t="s">
        <v>1979</v>
      </c>
      <c r="Q40" s="460" t="s">
        <v>95</v>
      </c>
      <c r="R40" s="460" t="s">
        <v>1977</v>
      </c>
      <c r="S40" s="460" t="s">
        <v>1842</v>
      </c>
      <c r="T40" s="460" t="s">
        <v>1827</v>
      </c>
      <c r="U40" s="461" t="s">
        <v>1976</v>
      </c>
      <c r="V40" s="460" t="s">
        <v>1119</v>
      </c>
      <c r="W40" s="560"/>
      <c r="X40" s="461" t="s">
        <v>2083</v>
      </c>
      <c r="Y40" s="461" t="s">
        <v>2083</v>
      </c>
      <c r="Z40" s="461" t="s">
        <v>170</v>
      </c>
      <c r="AA40" s="460" t="s">
        <v>1218</v>
      </c>
      <c r="AB40" s="561">
        <f>ROUND(0,2)</f>
        <v>0</v>
      </c>
      <c r="AC40" s="460" t="s">
        <v>308</v>
      </c>
      <c r="AD40" s="460"/>
      <c r="AE40" s="561">
        <f>ROUND(36.23,2)</f>
        <v>36.229999999999997</v>
      </c>
      <c r="AF40" s="460" t="s">
        <v>308</v>
      </c>
      <c r="AG40" s="561">
        <f t="shared" si="0"/>
        <v>0</v>
      </c>
      <c r="AH40" s="460" t="s">
        <v>2671</v>
      </c>
      <c r="AI40" s="460" t="s">
        <v>1214</v>
      </c>
      <c r="AJ40" s="460"/>
      <c r="AK40" s="460"/>
      <c r="AL40" s="560"/>
      <c r="AM40" s="460"/>
    </row>
    <row r="41" spans="1:39" ht="22.8">
      <c r="A41" s="460" t="s">
        <v>1810</v>
      </c>
      <c r="B41" s="460"/>
      <c r="C41" s="460" t="s">
        <v>1736</v>
      </c>
      <c r="D41" s="460" t="s">
        <v>2357</v>
      </c>
      <c r="E41" s="460" t="s">
        <v>1814</v>
      </c>
      <c r="F41" s="460" t="s">
        <v>1812</v>
      </c>
      <c r="G41" s="461" t="s">
        <v>1218</v>
      </c>
      <c r="H41" s="461" t="s">
        <v>1820</v>
      </c>
      <c r="I41" s="460" t="s">
        <v>2158</v>
      </c>
      <c r="J41" s="460" t="s">
        <v>1983</v>
      </c>
      <c r="K41" s="460" t="s">
        <v>2669</v>
      </c>
      <c r="L41" s="460" t="s">
        <v>2707</v>
      </c>
      <c r="M41" s="460" t="s">
        <v>1982</v>
      </c>
      <c r="N41" s="460" t="s">
        <v>1981</v>
      </c>
      <c r="O41" s="460" t="s">
        <v>1980</v>
      </c>
      <c r="P41" s="460" t="s">
        <v>2675</v>
      </c>
      <c r="Q41" s="460" t="s">
        <v>2676</v>
      </c>
      <c r="R41" s="460" t="s">
        <v>2677</v>
      </c>
      <c r="S41" s="460" t="s">
        <v>2676</v>
      </c>
      <c r="T41" s="460" t="s">
        <v>1827</v>
      </c>
      <c r="U41" s="461" t="s">
        <v>1824</v>
      </c>
      <c r="V41" s="460" t="s">
        <v>1119</v>
      </c>
      <c r="W41" s="560"/>
      <c r="X41" s="461" t="s">
        <v>2083</v>
      </c>
      <c r="Y41" s="461" t="s">
        <v>2083</v>
      </c>
      <c r="Z41" s="461" t="s">
        <v>170</v>
      </c>
      <c r="AA41" s="460" t="s">
        <v>1218</v>
      </c>
      <c r="AB41" s="561">
        <f>ROUND(5,2)</f>
        <v>5</v>
      </c>
      <c r="AC41" s="460" t="s">
        <v>2678</v>
      </c>
      <c r="AD41" s="460"/>
      <c r="AE41" s="561">
        <f>ROUND(500.05,2)</f>
        <v>500.05</v>
      </c>
      <c r="AF41" s="460" t="s">
        <v>2679</v>
      </c>
      <c r="AG41" s="561">
        <f t="shared" si="0"/>
        <v>0</v>
      </c>
      <c r="AH41" s="460" t="s">
        <v>2671</v>
      </c>
      <c r="AI41" s="460" t="s">
        <v>1214</v>
      </c>
      <c r="AJ41" s="460" t="s">
        <v>2550</v>
      </c>
      <c r="AK41" s="460" t="s">
        <v>2672</v>
      </c>
      <c r="AL41" s="560" t="s">
        <v>2713</v>
      </c>
      <c r="AM41" s="460" t="s">
        <v>2674</v>
      </c>
    </row>
    <row r="42" spans="1:39" ht="22.8">
      <c r="A42" s="460" t="s">
        <v>1810</v>
      </c>
      <c r="B42" s="460"/>
      <c r="C42" s="460" t="s">
        <v>1736</v>
      </c>
      <c r="D42" s="460" t="s">
        <v>2357</v>
      </c>
      <c r="E42" s="460" t="s">
        <v>1814</v>
      </c>
      <c r="F42" s="460" t="s">
        <v>1812</v>
      </c>
      <c r="G42" s="461" t="s">
        <v>1218</v>
      </c>
      <c r="H42" s="461" t="s">
        <v>1820</v>
      </c>
      <c r="I42" s="460" t="s">
        <v>2158</v>
      </c>
      <c r="J42" s="460" t="s">
        <v>1983</v>
      </c>
      <c r="K42" s="460" t="s">
        <v>2669</v>
      </c>
      <c r="L42" s="460" t="s">
        <v>2707</v>
      </c>
      <c r="M42" s="460" t="s">
        <v>1982</v>
      </c>
      <c r="N42" s="460" t="s">
        <v>1981</v>
      </c>
      <c r="O42" s="460" t="s">
        <v>1980</v>
      </c>
      <c r="P42" s="460" t="s">
        <v>1979</v>
      </c>
      <c r="Q42" s="460" t="s">
        <v>1978</v>
      </c>
      <c r="R42" s="460" t="s">
        <v>1977</v>
      </c>
      <c r="S42" s="460" t="s">
        <v>1826</v>
      </c>
      <c r="T42" s="460" t="s">
        <v>1827</v>
      </c>
      <c r="U42" s="461" t="s">
        <v>1976</v>
      </c>
      <c r="V42" s="460" t="s">
        <v>1119</v>
      </c>
      <c r="W42" s="560"/>
      <c r="X42" s="461" t="s">
        <v>2083</v>
      </c>
      <c r="Y42" s="461" t="s">
        <v>2083</v>
      </c>
      <c r="Z42" s="461" t="s">
        <v>170</v>
      </c>
      <c r="AA42" s="460" t="s">
        <v>1218</v>
      </c>
      <c r="AB42" s="561">
        <f>ROUND(25.63,2)</f>
        <v>25.63</v>
      </c>
      <c r="AC42" s="460" t="s">
        <v>308</v>
      </c>
      <c r="AD42" s="460"/>
      <c r="AE42" s="561">
        <f>ROUND(828.65,2)</f>
        <v>828.65</v>
      </c>
      <c r="AF42" s="460" t="s">
        <v>308</v>
      </c>
      <c r="AG42" s="561">
        <f t="shared" si="0"/>
        <v>0</v>
      </c>
      <c r="AH42" s="460" t="s">
        <v>2671</v>
      </c>
      <c r="AI42" s="460" t="s">
        <v>1214</v>
      </c>
      <c r="AJ42" s="460" t="s">
        <v>2549</v>
      </c>
      <c r="AK42" s="460" t="s">
        <v>2672</v>
      </c>
      <c r="AL42" s="560" t="s">
        <v>2685</v>
      </c>
      <c r="AM42" s="460" t="s">
        <v>2674</v>
      </c>
    </row>
    <row r="43" spans="1:39" ht="22.8">
      <c r="A43" s="460" t="s">
        <v>1810</v>
      </c>
      <c r="B43" s="460"/>
      <c r="C43" s="460" t="s">
        <v>1689</v>
      </c>
      <c r="D43" s="460" t="s">
        <v>2356</v>
      </c>
      <c r="E43" s="460" t="s">
        <v>1821</v>
      </c>
      <c r="F43" s="460" t="s">
        <v>1812</v>
      </c>
      <c r="G43" s="461" t="s">
        <v>1218</v>
      </c>
      <c r="H43" s="461" t="s">
        <v>1116</v>
      </c>
      <c r="I43" s="460" t="s">
        <v>2355</v>
      </c>
      <c r="J43" s="460" t="s">
        <v>1983</v>
      </c>
      <c r="K43" s="460" t="s">
        <v>2669</v>
      </c>
      <c r="L43" s="460" t="s">
        <v>2714</v>
      </c>
      <c r="M43" s="460" t="s">
        <v>1994</v>
      </c>
      <c r="N43" s="460" t="s">
        <v>1981</v>
      </c>
      <c r="O43" s="460" t="s">
        <v>1980</v>
      </c>
      <c r="P43" s="460" t="s">
        <v>1979</v>
      </c>
      <c r="Q43" s="460" t="s">
        <v>95</v>
      </c>
      <c r="R43" s="460" t="s">
        <v>1977</v>
      </c>
      <c r="S43" s="460" t="s">
        <v>1842</v>
      </c>
      <c r="T43" s="460" t="s">
        <v>1827</v>
      </c>
      <c r="U43" s="461" t="s">
        <v>1976</v>
      </c>
      <c r="V43" s="460" t="s">
        <v>1119</v>
      </c>
      <c r="W43" s="560"/>
      <c r="X43" s="461" t="s">
        <v>1824</v>
      </c>
      <c r="Y43" s="461" t="s">
        <v>1824</v>
      </c>
      <c r="Z43" s="461" t="s">
        <v>170</v>
      </c>
      <c r="AA43" s="460" t="s">
        <v>1218</v>
      </c>
      <c r="AB43" s="561">
        <f>ROUND(0,2)</f>
        <v>0</v>
      </c>
      <c r="AC43" s="460" t="s">
        <v>308</v>
      </c>
      <c r="AD43" s="460"/>
      <c r="AE43" s="561">
        <f>ROUND(36.23,2)</f>
        <v>36.229999999999997</v>
      </c>
      <c r="AF43" s="460" t="s">
        <v>308</v>
      </c>
      <c r="AG43" s="561">
        <f t="shared" si="0"/>
        <v>0</v>
      </c>
      <c r="AH43" s="460" t="s">
        <v>2671</v>
      </c>
      <c r="AI43" s="460" t="s">
        <v>1214</v>
      </c>
      <c r="AJ43" s="460"/>
      <c r="AK43" s="460"/>
      <c r="AL43" s="560"/>
      <c r="AM43" s="460"/>
    </row>
    <row r="44" spans="1:39" ht="22.8">
      <c r="A44" s="460" t="s">
        <v>1810</v>
      </c>
      <c r="B44" s="460"/>
      <c r="C44" s="460" t="s">
        <v>1689</v>
      </c>
      <c r="D44" s="460" t="s">
        <v>2356</v>
      </c>
      <c r="E44" s="460" t="s">
        <v>1821</v>
      </c>
      <c r="F44" s="460" t="s">
        <v>1812</v>
      </c>
      <c r="G44" s="461" t="s">
        <v>1218</v>
      </c>
      <c r="H44" s="461" t="s">
        <v>1116</v>
      </c>
      <c r="I44" s="460" t="s">
        <v>2355</v>
      </c>
      <c r="J44" s="460" t="s">
        <v>1983</v>
      </c>
      <c r="K44" s="460" t="s">
        <v>2669</v>
      </c>
      <c r="L44" s="460" t="s">
        <v>2714</v>
      </c>
      <c r="M44" s="460" t="s">
        <v>1994</v>
      </c>
      <c r="N44" s="460" t="s">
        <v>1981</v>
      </c>
      <c r="O44" s="460" t="s">
        <v>1980</v>
      </c>
      <c r="P44" s="460" t="s">
        <v>2675</v>
      </c>
      <c r="Q44" s="460" t="s">
        <v>2676</v>
      </c>
      <c r="R44" s="460" t="s">
        <v>2677</v>
      </c>
      <c r="S44" s="460" t="s">
        <v>2676</v>
      </c>
      <c r="T44" s="460" t="s">
        <v>1827</v>
      </c>
      <c r="U44" s="461" t="s">
        <v>1824</v>
      </c>
      <c r="V44" s="460" t="s">
        <v>1119</v>
      </c>
      <c r="W44" s="560"/>
      <c r="X44" s="461" t="s">
        <v>1824</v>
      </c>
      <c r="Y44" s="461" t="s">
        <v>1824</v>
      </c>
      <c r="Z44" s="461" t="s">
        <v>170</v>
      </c>
      <c r="AA44" s="460" t="s">
        <v>1218</v>
      </c>
      <c r="AB44" s="561">
        <f>ROUND(15,2)</f>
        <v>15</v>
      </c>
      <c r="AC44" s="460" t="s">
        <v>2678</v>
      </c>
      <c r="AD44" s="460"/>
      <c r="AE44" s="561">
        <f>ROUND(500.05,2)</f>
        <v>500.05</v>
      </c>
      <c r="AF44" s="460" t="s">
        <v>2679</v>
      </c>
      <c r="AG44" s="561">
        <f t="shared" si="0"/>
        <v>0</v>
      </c>
      <c r="AH44" s="460" t="s">
        <v>2671</v>
      </c>
      <c r="AI44" s="460" t="s">
        <v>1214</v>
      </c>
      <c r="AJ44" s="460" t="s">
        <v>2550</v>
      </c>
      <c r="AK44" s="460" t="s">
        <v>2672</v>
      </c>
      <c r="AL44" s="560" t="s">
        <v>2693</v>
      </c>
      <c r="AM44" s="460" t="s">
        <v>2674</v>
      </c>
    </row>
    <row r="45" spans="1:39" ht="22.8">
      <c r="A45" s="460" t="s">
        <v>1810</v>
      </c>
      <c r="B45" s="460"/>
      <c r="C45" s="460" t="s">
        <v>1689</v>
      </c>
      <c r="D45" s="460" t="s">
        <v>2356</v>
      </c>
      <c r="E45" s="460" t="s">
        <v>1821</v>
      </c>
      <c r="F45" s="460" t="s">
        <v>1812</v>
      </c>
      <c r="G45" s="461" t="s">
        <v>1218</v>
      </c>
      <c r="H45" s="461" t="s">
        <v>1116</v>
      </c>
      <c r="I45" s="460" t="s">
        <v>2355</v>
      </c>
      <c r="J45" s="460" t="s">
        <v>1983</v>
      </c>
      <c r="K45" s="460" t="s">
        <v>2669</v>
      </c>
      <c r="L45" s="460" t="s">
        <v>2714</v>
      </c>
      <c r="M45" s="460" t="s">
        <v>1994</v>
      </c>
      <c r="N45" s="460" t="s">
        <v>1981</v>
      </c>
      <c r="O45" s="460" t="s">
        <v>1980</v>
      </c>
      <c r="P45" s="460" t="s">
        <v>1979</v>
      </c>
      <c r="Q45" s="460" t="s">
        <v>1978</v>
      </c>
      <c r="R45" s="460" t="s">
        <v>1977</v>
      </c>
      <c r="S45" s="460" t="s">
        <v>1826</v>
      </c>
      <c r="T45" s="460" t="s">
        <v>1827</v>
      </c>
      <c r="U45" s="461" t="s">
        <v>1976</v>
      </c>
      <c r="V45" s="460" t="s">
        <v>1119</v>
      </c>
      <c r="W45" s="560"/>
      <c r="X45" s="461" t="s">
        <v>1824</v>
      </c>
      <c r="Y45" s="461" t="s">
        <v>1824</v>
      </c>
      <c r="Z45" s="461" t="s">
        <v>170</v>
      </c>
      <c r="AA45" s="460" t="s">
        <v>1218</v>
      </c>
      <c r="AB45" s="561">
        <f>ROUND(29.05,2)</f>
        <v>29.05</v>
      </c>
      <c r="AC45" s="460" t="s">
        <v>308</v>
      </c>
      <c r="AD45" s="460"/>
      <c r="AE45" s="561">
        <f>ROUND(825.23,2)</f>
        <v>825.23</v>
      </c>
      <c r="AF45" s="460" t="s">
        <v>308</v>
      </c>
      <c r="AG45" s="561">
        <f t="shared" si="0"/>
        <v>0</v>
      </c>
      <c r="AH45" s="460" t="s">
        <v>2671</v>
      </c>
      <c r="AI45" s="460" t="s">
        <v>1214</v>
      </c>
      <c r="AJ45" s="460" t="s">
        <v>2549</v>
      </c>
      <c r="AK45" s="460" t="s">
        <v>2672</v>
      </c>
      <c r="AL45" s="560" t="s">
        <v>2692</v>
      </c>
      <c r="AM45" s="460" t="s">
        <v>2674</v>
      </c>
    </row>
    <row r="46" spans="1:39" ht="22.8">
      <c r="A46" s="460" t="s">
        <v>1810</v>
      </c>
      <c r="B46" s="460"/>
      <c r="C46" s="460" t="s">
        <v>1293</v>
      </c>
      <c r="D46" s="460" t="s">
        <v>2354</v>
      </c>
      <c r="E46" s="460" t="s">
        <v>1814</v>
      </c>
      <c r="F46" s="460" t="s">
        <v>1812</v>
      </c>
      <c r="G46" s="461" t="s">
        <v>1218</v>
      </c>
      <c r="H46" s="461" t="s">
        <v>213</v>
      </c>
      <c r="I46" s="460" t="s">
        <v>2353</v>
      </c>
      <c r="J46" s="460" t="s">
        <v>1990</v>
      </c>
      <c r="K46" s="460" t="s">
        <v>2669</v>
      </c>
      <c r="L46" s="460" t="s">
        <v>2715</v>
      </c>
      <c r="M46" s="460" t="s">
        <v>1982</v>
      </c>
      <c r="N46" s="460" t="s">
        <v>1981</v>
      </c>
      <c r="O46" s="460" t="s">
        <v>1980</v>
      </c>
      <c r="P46" s="460" t="s">
        <v>1979</v>
      </c>
      <c r="Q46" s="460" t="s">
        <v>95</v>
      </c>
      <c r="R46" s="460" t="s">
        <v>1977</v>
      </c>
      <c r="S46" s="460" t="s">
        <v>1842</v>
      </c>
      <c r="T46" s="460" t="s">
        <v>1827</v>
      </c>
      <c r="U46" s="461" t="s">
        <v>1976</v>
      </c>
      <c r="V46" s="460" t="s">
        <v>1843</v>
      </c>
      <c r="W46" s="560"/>
      <c r="X46" s="461" t="s">
        <v>1824</v>
      </c>
      <c r="Y46" s="461" t="s">
        <v>1824</v>
      </c>
      <c r="Z46" s="461" t="s">
        <v>170</v>
      </c>
      <c r="AA46" s="460" t="s">
        <v>1218</v>
      </c>
      <c r="AB46" s="561">
        <f>ROUND(30.41,2)</f>
        <v>30.41</v>
      </c>
      <c r="AC46" s="460" t="s">
        <v>308</v>
      </c>
      <c r="AD46" s="460"/>
      <c r="AE46" s="561">
        <f>ROUND(70.29,2)</f>
        <v>70.290000000000006</v>
      </c>
      <c r="AF46" s="460" t="s">
        <v>308</v>
      </c>
      <c r="AG46" s="561">
        <f t="shared" si="0"/>
        <v>0</v>
      </c>
      <c r="AH46" s="460" t="s">
        <v>2671</v>
      </c>
      <c r="AI46" s="460" t="s">
        <v>1214</v>
      </c>
      <c r="AJ46" s="460" t="s">
        <v>2548</v>
      </c>
      <c r="AK46" s="460" t="s">
        <v>2672</v>
      </c>
      <c r="AL46" s="560" t="s">
        <v>2673</v>
      </c>
      <c r="AM46" s="460" t="s">
        <v>2674</v>
      </c>
    </row>
    <row r="47" spans="1:39" ht="22.8">
      <c r="A47" s="460" t="s">
        <v>1810</v>
      </c>
      <c r="B47" s="460"/>
      <c r="C47" s="460" t="s">
        <v>1293</v>
      </c>
      <c r="D47" s="460" t="s">
        <v>2354</v>
      </c>
      <c r="E47" s="460" t="s">
        <v>1814</v>
      </c>
      <c r="F47" s="460" t="s">
        <v>1812</v>
      </c>
      <c r="G47" s="461" t="s">
        <v>1218</v>
      </c>
      <c r="H47" s="461" t="s">
        <v>213</v>
      </c>
      <c r="I47" s="460" t="s">
        <v>2353</v>
      </c>
      <c r="J47" s="460" t="s">
        <v>1990</v>
      </c>
      <c r="K47" s="460" t="s">
        <v>2669</v>
      </c>
      <c r="L47" s="460" t="s">
        <v>2715</v>
      </c>
      <c r="M47" s="460" t="s">
        <v>1982</v>
      </c>
      <c r="N47" s="460" t="s">
        <v>1981</v>
      </c>
      <c r="O47" s="460" t="s">
        <v>1980</v>
      </c>
      <c r="P47" s="460" t="s">
        <v>2675</v>
      </c>
      <c r="Q47" s="460" t="s">
        <v>2676</v>
      </c>
      <c r="R47" s="460" t="s">
        <v>2677</v>
      </c>
      <c r="S47" s="460" t="s">
        <v>2676</v>
      </c>
      <c r="T47" s="460" t="s">
        <v>1827</v>
      </c>
      <c r="U47" s="461" t="s">
        <v>1824</v>
      </c>
      <c r="V47" s="460" t="s">
        <v>1843</v>
      </c>
      <c r="W47" s="560"/>
      <c r="X47" s="461" t="s">
        <v>1824</v>
      </c>
      <c r="Y47" s="461" t="s">
        <v>1824</v>
      </c>
      <c r="Z47" s="461" t="s">
        <v>170</v>
      </c>
      <c r="AA47" s="460" t="s">
        <v>1218</v>
      </c>
      <c r="AB47" s="561">
        <f>ROUND(100,2)</f>
        <v>100</v>
      </c>
      <c r="AC47" s="460" t="s">
        <v>2678</v>
      </c>
      <c r="AD47" s="460"/>
      <c r="AE47" s="561">
        <f>ROUND(1000,2)</f>
        <v>1000</v>
      </c>
      <c r="AF47" s="460" t="s">
        <v>2679</v>
      </c>
      <c r="AG47" s="561">
        <f t="shared" si="0"/>
        <v>0</v>
      </c>
      <c r="AH47" s="460" t="s">
        <v>2671</v>
      </c>
      <c r="AI47" s="460" t="s">
        <v>1214</v>
      </c>
      <c r="AJ47" s="460" t="s">
        <v>2550</v>
      </c>
      <c r="AK47" s="460" t="s">
        <v>2672</v>
      </c>
      <c r="AL47" s="560" t="s">
        <v>2691</v>
      </c>
      <c r="AM47" s="460" t="s">
        <v>2674</v>
      </c>
    </row>
    <row r="48" spans="1:39" ht="22.8">
      <c r="A48" s="460" t="s">
        <v>1810</v>
      </c>
      <c r="B48" s="460"/>
      <c r="C48" s="460" t="s">
        <v>1293</v>
      </c>
      <c r="D48" s="460" t="s">
        <v>2354</v>
      </c>
      <c r="E48" s="460" t="s">
        <v>1814</v>
      </c>
      <c r="F48" s="460" t="s">
        <v>1812</v>
      </c>
      <c r="G48" s="461" t="s">
        <v>1218</v>
      </c>
      <c r="H48" s="461" t="s">
        <v>213</v>
      </c>
      <c r="I48" s="460" t="s">
        <v>2353</v>
      </c>
      <c r="J48" s="460" t="s">
        <v>1990</v>
      </c>
      <c r="K48" s="460" t="s">
        <v>2669</v>
      </c>
      <c r="L48" s="460" t="s">
        <v>2715</v>
      </c>
      <c r="M48" s="460" t="s">
        <v>1982</v>
      </c>
      <c r="N48" s="460" t="s">
        <v>1981</v>
      </c>
      <c r="O48" s="460" t="s">
        <v>1980</v>
      </c>
      <c r="P48" s="460" t="s">
        <v>1979</v>
      </c>
      <c r="Q48" s="460" t="s">
        <v>1978</v>
      </c>
      <c r="R48" s="460" t="s">
        <v>1977</v>
      </c>
      <c r="S48" s="460" t="s">
        <v>1826</v>
      </c>
      <c r="T48" s="460" t="s">
        <v>1827</v>
      </c>
      <c r="U48" s="461" t="s">
        <v>1976</v>
      </c>
      <c r="V48" s="460" t="s">
        <v>1851</v>
      </c>
      <c r="W48" s="560"/>
      <c r="X48" s="461" t="s">
        <v>1824</v>
      </c>
      <c r="Y48" s="461" t="s">
        <v>1824</v>
      </c>
      <c r="Z48" s="461" t="s">
        <v>170</v>
      </c>
      <c r="AA48" s="460" t="s">
        <v>1218</v>
      </c>
      <c r="AB48" s="561">
        <f>ROUND(226.88,2)</f>
        <v>226.88</v>
      </c>
      <c r="AC48" s="460" t="s">
        <v>308</v>
      </c>
      <c r="AD48" s="460"/>
      <c r="AE48" s="561">
        <f>ROUND(1393.71,2)</f>
        <v>1393.71</v>
      </c>
      <c r="AF48" s="460" t="s">
        <v>308</v>
      </c>
      <c r="AG48" s="561">
        <f t="shared" si="0"/>
        <v>0</v>
      </c>
      <c r="AH48" s="460" t="s">
        <v>2671</v>
      </c>
      <c r="AI48" s="460" t="s">
        <v>1214</v>
      </c>
      <c r="AJ48" s="460" t="s">
        <v>2549</v>
      </c>
      <c r="AK48" s="460" t="s">
        <v>2672</v>
      </c>
      <c r="AL48" s="560" t="s">
        <v>2681</v>
      </c>
      <c r="AM48" s="460" t="s">
        <v>2674</v>
      </c>
    </row>
    <row r="49" spans="1:39" ht="22.8">
      <c r="A49" s="460" t="s">
        <v>1810</v>
      </c>
      <c r="B49" s="460"/>
      <c r="C49" s="460" t="s">
        <v>1250</v>
      </c>
      <c r="D49" s="460" t="s">
        <v>2352</v>
      </c>
      <c r="E49" s="460" t="s">
        <v>1816</v>
      </c>
      <c r="F49" s="460" t="s">
        <v>2015</v>
      </c>
      <c r="G49" s="461" t="s">
        <v>1218</v>
      </c>
      <c r="H49" s="461" t="s">
        <v>283</v>
      </c>
      <c r="I49" s="460" t="s">
        <v>2351</v>
      </c>
      <c r="J49" s="460" t="s">
        <v>1983</v>
      </c>
      <c r="K49" s="460" t="s">
        <v>2669</v>
      </c>
      <c r="L49" s="460" t="s">
        <v>2716</v>
      </c>
      <c r="M49" s="460" t="s">
        <v>2022</v>
      </c>
      <c r="N49" s="460" t="s">
        <v>2021</v>
      </c>
      <c r="O49" s="460" t="s">
        <v>2001</v>
      </c>
      <c r="P49" s="460" t="s">
        <v>1979</v>
      </c>
      <c r="Q49" s="460" t="s">
        <v>95</v>
      </c>
      <c r="R49" s="460" t="s">
        <v>1977</v>
      </c>
      <c r="S49" s="460" t="s">
        <v>1842</v>
      </c>
      <c r="T49" s="460" t="s">
        <v>1827</v>
      </c>
      <c r="U49" s="461" t="s">
        <v>1976</v>
      </c>
      <c r="V49" s="460" t="s">
        <v>1843</v>
      </c>
      <c r="W49" s="560"/>
      <c r="X49" s="461" t="s">
        <v>1824</v>
      </c>
      <c r="Y49" s="461" t="s">
        <v>1824</v>
      </c>
      <c r="Z49" s="461" t="s">
        <v>170</v>
      </c>
      <c r="AA49" s="460" t="s">
        <v>1218</v>
      </c>
      <c r="AB49" s="561">
        <f>ROUND(30.41,2)</f>
        <v>30.41</v>
      </c>
      <c r="AC49" s="460" t="s">
        <v>308</v>
      </c>
      <c r="AD49" s="460"/>
      <c r="AE49" s="561">
        <f>ROUND(70.29,2)</f>
        <v>70.290000000000006</v>
      </c>
      <c r="AF49" s="460" t="s">
        <v>308</v>
      </c>
      <c r="AG49" s="561">
        <f t="shared" si="0"/>
        <v>0</v>
      </c>
      <c r="AH49" s="460" t="s">
        <v>2671</v>
      </c>
      <c r="AI49" s="460" t="s">
        <v>1214</v>
      </c>
      <c r="AJ49" s="460" t="s">
        <v>2548</v>
      </c>
      <c r="AK49" s="460" t="s">
        <v>2672</v>
      </c>
      <c r="AL49" s="560" t="s">
        <v>2673</v>
      </c>
      <c r="AM49" s="460" t="s">
        <v>2674</v>
      </c>
    </row>
    <row r="50" spans="1:39" ht="22.8">
      <c r="A50" s="460" t="s">
        <v>1810</v>
      </c>
      <c r="B50" s="460"/>
      <c r="C50" s="460" t="s">
        <v>1250</v>
      </c>
      <c r="D50" s="460" t="s">
        <v>2352</v>
      </c>
      <c r="E50" s="460" t="s">
        <v>1816</v>
      </c>
      <c r="F50" s="460" t="s">
        <v>2015</v>
      </c>
      <c r="G50" s="461" t="s">
        <v>1218</v>
      </c>
      <c r="H50" s="461" t="s">
        <v>283</v>
      </c>
      <c r="I50" s="460" t="s">
        <v>2351</v>
      </c>
      <c r="J50" s="460" t="s">
        <v>1983</v>
      </c>
      <c r="K50" s="460" t="s">
        <v>2669</v>
      </c>
      <c r="L50" s="460" t="s">
        <v>2716</v>
      </c>
      <c r="M50" s="460" t="s">
        <v>2022</v>
      </c>
      <c r="N50" s="460" t="s">
        <v>2021</v>
      </c>
      <c r="O50" s="460" t="s">
        <v>2001</v>
      </c>
      <c r="P50" s="460" t="s">
        <v>2675</v>
      </c>
      <c r="Q50" s="460" t="s">
        <v>2676</v>
      </c>
      <c r="R50" s="460" t="s">
        <v>2677</v>
      </c>
      <c r="S50" s="460" t="s">
        <v>2676</v>
      </c>
      <c r="T50" s="460" t="s">
        <v>1827</v>
      </c>
      <c r="U50" s="461" t="s">
        <v>1824</v>
      </c>
      <c r="V50" s="460" t="s">
        <v>1843</v>
      </c>
      <c r="W50" s="560"/>
      <c r="X50" s="461" t="s">
        <v>1824</v>
      </c>
      <c r="Y50" s="461" t="s">
        <v>1824</v>
      </c>
      <c r="Z50" s="461" t="s">
        <v>170</v>
      </c>
      <c r="AA50" s="460" t="s">
        <v>1218</v>
      </c>
      <c r="AB50" s="561">
        <f>ROUND(104.16,2)</f>
        <v>104.16</v>
      </c>
      <c r="AC50" s="460" t="s">
        <v>2678</v>
      </c>
      <c r="AD50" s="460"/>
      <c r="AE50" s="561">
        <f>ROUND(1000,2)</f>
        <v>1000</v>
      </c>
      <c r="AF50" s="460" t="s">
        <v>2679</v>
      </c>
      <c r="AG50" s="561">
        <f t="shared" si="0"/>
        <v>0</v>
      </c>
      <c r="AH50" s="460" t="s">
        <v>2671</v>
      </c>
      <c r="AI50" s="460" t="s">
        <v>1214</v>
      </c>
      <c r="AJ50" s="460" t="s">
        <v>2550</v>
      </c>
      <c r="AK50" s="460" t="s">
        <v>2672</v>
      </c>
      <c r="AL50" s="560" t="s">
        <v>2717</v>
      </c>
      <c r="AM50" s="460" t="s">
        <v>2674</v>
      </c>
    </row>
    <row r="51" spans="1:39" ht="22.8">
      <c r="A51" s="460" t="s">
        <v>1810</v>
      </c>
      <c r="B51" s="460"/>
      <c r="C51" s="460" t="s">
        <v>1250</v>
      </c>
      <c r="D51" s="460" t="s">
        <v>2352</v>
      </c>
      <c r="E51" s="460" t="s">
        <v>1816</v>
      </c>
      <c r="F51" s="460" t="s">
        <v>2015</v>
      </c>
      <c r="G51" s="461" t="s">
        <v>1218</v>
      </c>
      <c r="H51" s="461" t="s">
        <v>283</v>
      </c>
      <c r="I51" s="460" t="s">
        <v>2351</v>
      </c>
      <c r="J51" s="460" t="s">
        <v>1983</v>
      </c>
      <c r="K51" s="460" t="s">
        <v>2669</v>
      </c>
      <c r="L51" s="460" t="s">
        <v>2716</v>
      </c>
      <c r="M51" s="460" t="s">
        <v>2022</v>
      </c>
      <c r="N51" s="460" t="s">
        <v>2021</v>
      </c>
      <c r="O51" s="460" t="s">
        <v>2001</v>
      </c>
      <c r="P51" s="460" t="s">
        <v>1979</v>
      </c>
      <c r="Q51" s="460" t="s">
        <v>1978</v>
      </c>
      <c r="R51" s="460" t="s">
        <v>1977</v>
      </c>
      <c r="S51" s="460" t="s">
        <v>1826</v>
      </c>
      <c r="T51" s="460" t="s">
        <v>1827</v>
      </c>
      <c r="U51" s="461" t="s">
        <v>1976</v>
      </c>
      <c r="V51" s="460" t="s">
        <v>1843</v>
      </c>
      <c r="W51" s="560"/>
      <c r="X51" s="461" t="s">
        <v>1824</v>
      </c>
      <c r="Y51" s="461" t="s">
        <v>1824</v>
      </c>
      <c r="Z51" s="461" t="s">
        <v>170</v>
      </c>
      <c r="AA51" s="460" t="s">
        <v>1218</v>
      </c>
      <c r="AB51" s="561">
        <f>ROUND(475.32,2)</f>
        <v>475.32</v>
      </c>
      <c r="AC51" s="460" t="s">
        <v>308</v>
      </c>
      <c r="AD51" s="460"/>
      <c r="AE51" s="561">
        <f>ROUND(1656.14,2)</f>
        <v>1656.14</v>
      </c>
      <c r="AF51" s="460" t="s">
        <v>308</v>
      </c>
      <c r="AG51" s="561">
        <f t="shared" si="0"/>
        <v>0</v>
      </c>
      <c r="AH51" s="460" t="s">
        <v>2671</v>
      </c>
      <c r="AI51" s="460" t="s">
        <v>1214</v>
      </c>
      <c r="AJ51" s="460" t="s">
        <v>2549</v>
      </c>
      <c r="AK51" s="460" t="s">
        <v>2672</v>
      </c>
      <c r="AL51" s="560" t="s">
        <v>2718</v>
      </c>
      <c r="AM51" s="460" t="s">
        <v>2674</v>
      </c>
    </row>
    <row r="52" spans="1:39" ht="22.8">
      <c r="A52" s="460" t="s">
        <v>1810</v>
      </c>
      <c r="B52" s="460"/>
      <c r="C52" s="460" t="s">
        <v>1213</v>
      </c>
      <c r="D52" s="460" t="s">
        <v>2350</v>
      </c>
      <c r="E52" s="460" t="s">
        <v>1821</v>
      </c>
      <c r="F52" s="460" t="s">
        <v>1812</v>
      </c>
      <c r="G52" s="461" t="s">
        <v>1218</v>
      </c>
      <c r="H52" s="461" t="s">
        <v>231</v>
      </c>
      <c r="I52" s="460" t="s">
        <v>2349</v>
      </c>
      <c r="J52" s="460" t="s">
        <v>1983</v>
      </c>
      <c r="K52" s="460" t="s">
        <v>2669</v>
      </c>
      <c r="L52" s="460" t="s">
        <v>2714</v>
      </c>
      <c r="M52" s="460" t="s">
        <v>1994</v>
      </c>
      <c r="N52" s="460" t="s">
        <v>1981</v>
      </c>
      <c r="O52" s="460" t="s">
        <v>1980</v>
      </c>
      <c r="P52" s="460" t="s">
        <v>1979</v>
      </c>
      <c r="Q52" s="460" t="s">
        <v>95</v>
      </c>
      <c r="R52" s="460" t="s">
        <v>1977</v>
      </c>
      <c r="S52" s="460" t="s">
        <v>1842</v>
      </c>
      <c r="T52" s="460" t="s">
        <v>1827</v>
      </c>
      <c r="U52" s="461" t="s">
        <v>1976</v>
      </c>
      <c r="V52" s="460" t="s">
        <v>1843</v>
      </c>
      <c r="W52" s="560"/>
      <c r="X52" s="461" t="s">
        <v>1824</v>
      </c>
      <c r="Y52" s="461" t="s">
        <v>1824</v>
      </c>
      <c r="Z52" s="461" t="s">
        <v>170</v>
      </c>
      <c r="AA52" s="460" t="s">
        <v>1218</v>
      </c>
      <c r="AB52" s="561">
        <f>ROUND(30.41,2)</f>
        <v>30.41</v>
      </c>
      <c r="AC52" s="460" t="s">
        <v>308</v>
      </c>
      <c r="AD52" s="460"/>
      <c r="AE52" s="561">
        <f>ROUND(70.29,2)</f>
        <v>70.290000000000006</v>
      </c>
      <c r="AF52" s="460" t="s">
        <v>308</v>
      </c>
      <c r="AG52" s="561">
        <f t="shared" si="0"/>
        <v>0</v>
      </c>
      <c r="AH52" s="460" t="s">
        <v>2671</v>
      </c>
      <c r="AI52" s="460" t="s">
        <v>1214</v>
      </c>
      <c r="AJ52" s="460" t="s">
        <v>2548</v>
      </c>
      <c r="AK52" s="460" t="s">
        <v>2672</v>
      </c>
      <c r="AL52" s="560" t="s">
        <v>2673</v>
      </c>
      <c r="AM52" s="460" t="s">
        <v>2674</v>
      </c>
    </row>
    <row r="53" spans="1:39" ht="22.8">
      <c r="A53" s="460" t="s">
        <v>1810</v>
      </c>
      <c r="B53" s="460"/>
      <c r="C53" s="460" t="s">
        <v>1213</v>
      </c>
      <c r="D53" s="460" t="s">
        <v>2350</v>
      </c>
      <c r="E53" s="460" t="s">
        <v>1821</v>
      </c>
      <c r="F53" s="460" t="s">
        <v>1812</v>
      </c>
      <c r="G53" s="461" t="s">
        <v>1218</v>
      </c>
      <c r="H53" s="461" t="s">
        <v>231</v>
      </c>
      <c r="I53" s="460" t="s">
        <v>2349</v>
      </c>
      <c r="J53" s="460" t="s">
        <v>1983</v>
      </c>
      <c r="K53" s="460" t="s">
        <v>2669</v>
      </c>
      <c r="L53" s="460" t="s">
        <v>2714</v>
      </c>
      <c r="M53" s="460" t="s">
        <v>1994</v>
      </c>
      <c r="N53" s="460" t="s">
        <v>1981</v>
      </c>
      <c r="O53" s="460" t="s">
        <v>1980</v>
      </c>
      <c r="P53" s="460" t="s">
        <v>2675</v>
      </c>
      <c r="Q53" s="460" t="s">
        <v>2676</v>
      </c>
      <c r="R53" s="460" t="s">
        <v>2677</v>
      </c>
      <c r="S53" s="460" t="s">
        <v>2676</v>
      </c>
      <c r="T53" s="460" t="s">
        <v>1827</v>
      </c>
      <c r="U53" s="461" t="s">
        <v>1824</v>
      </c>
      <c r="V53" s="460" t="s">
        <v>1843</v>
      </c>
      <c r="W53" s="560"/>
      <c r="X53" s="461" t="s">
        <v>1824</v>
      </c>
      <c r="Y53" s="461" t="s">
        <v>1824</v>
      </c>
      <c r="Z53" s="461" t="s">
        <v>170</v>
      </c>
      <c r="AA53" s="460" t="s">
        <v>1218</v>
      </c>
      <c r="AB53" s="561">
        <f>ROUND(250,2)</f>
        <v>250</v>
      </c>
      <c r="AC53" s="460" t="s">
        <v>2678</v>
      </c>
      <c r="AD53" s="460"/>
      <c r="AE53" s="561">
        <f>ROUND(1000,2)</f>
        <v>1000</v>
      </c>
      <c r="AF53" s="460" t="s">
        <v>2679</v>
      </c>
      <c r="AG53" s="561">
        <f t="shared" si="0"/>
        <v>0</v>
      </c>
      <c r="AH53" s="460" t="s">
        <v>2671</v>
      </c>
      <c r="AI53" s="460" t="s">
        <v>1214</v>
      </c>
      <c r="AJ53" s="460" t="s">
        <v>2550</v>
      </c>
      <c r="AK53" s="460" t="s">
        <v>2672</v>
      </c>
      <c r="AL53" s="560" t="s">
        <v>2719</v>
      </c>
      <c r="AM53" s="460" t="s">
        <v>2674</v>
      </c>
    </row>
    <row r="54" spans="1:39" ht="22.8">
      <c r="A54" s="460" t="s">
        <v>1810</v>
      </c>
      <c r="B54" s="460"/>
      <c r="C54" s="460" t="s">
        <v>1213</v>
      </c>
      <c r="D54" s="460" t="s">
        <v>2350</v>
      </c>
      <c r="E54" s="460" t="s">
        <v>1821</v>
      </c>
      <c r="F54" s="460" t="s">
        <v>1812</v>
      </c>
      <c r="G54" s="461" t="s">
        <v>1218</v>
      </c>
      <c r="H54" s="461" t="s">
        <v>231</v>
      </c>
      <c r="I54" s="460" t="s">
        <v>2349</v>
      </c>
      <c r="J54" s="460" t="s">
        <v>1983</v>
      </c>
      <c r="K54" s="460" t="s">
        <v>2669</v>
      </c>
      <c r="L54" s="460" t="s">
        <v>2714</v>
      </c>
      <c r="M54" s="460" t="s">
        <v>1994</v>
      </c>
      <c r="N54" s="460" t="s">
        <v>1981</v>
      </c>
      <c r="O54" s="460" t="s">
        <v>1980</v>
      </c>
      <c r="P54" s="460" t="s">
        <v>1979</v>
      </c>
      <c r="Q54" s="460" t="s">
        <v>1978</v>
      </c>
      <c r="R54" s="460" t="s">
        <v>1977</v>
      </c>
      <c r="S54" s="460" t="s">
        <v>1826</v>
      </c>
      <c r="T54" s="460" t="s">
        <v>1827</v>
      </c>
      <c r="U54" s="461" t="s">
        <v>1976</v>
      </c>
      <c r="V54" s="460" t="s">
        <v>1843</v>
      </c>
      <c r="W54" s="560"/>
      <c r="X54" s="461" t="s">
        <v>1824</v>
      </c>
      <c r="Y54" s="461" t="s">
        <v>1824</v>
      </c>
      <c r="Z54" s="461" t="s">
        <v>170</v>
      </c>
      <c r="AA54" s="460" t="s">
        <v>1218</v>
      </c>
      <c r="AB54" s="561">
        <f>ROUND(603.2,2)</f>
        <v>603.20000000000005</v>
      </c>
      <c r="AC54" s="460" t="s">
        <v>308</v>
      </c>
      <c r="AD54" s="460"/>
      <c r="AE54" s="561">
        <f>ROUND(1528.26,2)</f>
        <v>1528.26</v>
      </c>
      <c r="AF54" s="460" t="s">
        <v>308</v>
      </c>
      <c r="AG54" s="561">
        <f t="shared" si="0"/>
        <v>0</v>
      </c>
      <c r="AH54" s="460" t="s">
        <v>2671</v>
      </c>
      <c r="AI54" s="460" t="s">
        <v>1214</v>
      </c>
      <c r="AJ54" s="460" t="s">
        <v>2549</v>
      </c>
      <c r="AK54" s="460" t="s">
        <v>2672</v>
      </c>
      <c r="AL54" s="560" t="s">
        <v>2702</v>
      </c>
      <c r="AM54" s="460" t="s">
        <v>2674</v>
      </c>
    </row>
    <row r="55" spans="1:39" ht="22.8">
      <c r="A55" s="460" t="s">
        <v>1810</v>
      </c>
      <c r="B55" s="460"/>
      <c r="C55" s="460" t="s">
        <v>1711</v>
      </c>
      <c r="D55" s="460" t="s">
        <v>2348</v>
      </c>
      <c r="E55" s="460" t="s">
        <v>1814</v>
      </c>
      <c r="F55" s="460" t="s">
        <v>1812</v>
      </c>
      <c r="G55" s="461" t="s">
        <v>1218</v>
      </c>
      <c r="H55" s="461" t="s">
        <v>1822</v>
      </c>
      <c r="I55" s="460" t="s">
        <v>2347</v>
      </c>
      <c r="J55" s="460" t="s">
        <v>1983</v>
      </c>
      <c r="K55" s="460" t="s">
        <v>2669</v>
      </c>
      <c r="L55" s="460" t="s">
        <v>2707</v>
      </c>
      <c r="M55" s="460" t="s">
        <v>1982</v>
      </c>
      <c r="N55" s="460" t="s">
        <v>1981</v>
      </c>
      <c r="O55" s="460" t="s">
        <v>170</v>
      </c>
      <c r="P55" s="460" t="s">
        <v>1979</v>
      </c>
      <c r="Q55" s="460" t="s">
        <v>95</v>
      </c>
      <c r="R55" s="460" t="s">
        <v>1977</v>
      </c>
      <c r="S55" s="460" t="s">
        <v>1842</v>
      </c>
      <c r="T55" s="460" t="s">
        <v>1827</v>
      </c>
      <c r="U55" s="461" t="s">
        <v>1976</v>
      </c>
      <c r="V55" s="460" t="s">
        <v>1119</v>
      </c>
      <c r="W55" s="560"/>
      <c r="X55" s="461" t="s">
        <v>1824</v>
      </c>
      <c r="Y55" s="461" t="s">
        <v>1824</v>
      </c>
      <c r="Z55" s="461" t="s">
        <v>170</v>
      </c>
      <c r="AA55" s="460" t="s">
        <v>1218</v>
      </c>
      <c r="AB55" s="561">
        <f>ROUND(0,2)</f>
        <v>0</v>
      </c>
      <c r="AC55" s="460" t="s">
        <v>308</v>
      </c>
      <c r="AD55" s="460"/>
      <c r="AE55" s="561">
        <f>ROUND(36.23,2)</f>
        <v>36.229999999999997</v>
      </c>
      <c r="AF55" s="460" t="s">
        <v>308</v>
      </c>
      <c r="AG55" s="561">
        <f t="shared" si="0"/>
        <v>0</v>
      </c>
      <c r="AH55" s="460" t="s">
        <v>2671</v>
      </c>
      <c r="AI55" s="460" t="s">
        <v>1214</v>
      </c>
      <c r="AJ55" s="460"/>
      <c r="AK55" s="460"/>
      <c r="AL55" s="560"/>
      <c r="AM55" s="460"/>
    </row>
    <row r="56" spans="1:39" ht="22.8">
      <c r="A56" s="460" t="s">
        <v>1810</v>
      </c>
      <c r="B56" s="460"/>
      <c r="C56" s="460" t="s">
        <v>1711</v>
      </c>
      <c r="D56" s="460" t="s">
        <v>2348</v>
      </c>
      <c r="E56" s="460" t="s">
        <v>1814</v>
      </c>
      <c r="F56" s="460" t="s">
        <v>1812</v>
      </c>
      <c r="G56" s="461" t="s">
        <v>1218</v>
      </c>
      <c r="H56" s="461" t="s">
        <v>1822</v>
      </c>
      <c r="I56" s="460" t="s">
        <v>2347</v>
      </c>
      <c r="J56" s="460" t="s">
        <v>1983</v>
      </c>
      <c r="K56" s="460" t="s">
        <v>2669</v>
      </c>
      <c r="L56" s="460" t="s">
        <v>2707</v>
      </c>
      <c r="M56" s="460" t="s">
        <v>1982</v>
      </c>
      <c r="N56" s="460" t="s">
        <v>1981</v>
      </c>
      <c r="O56" s="460" t="s">
        <v>170</v>
      </c>
      <c r="P56" s="460" t="s">
        <v>2675</v>
      </c>
      <c r="Q56" s="460" t="s">
        <v>2676</v>
      </c>
      <c r="R56" s="460" t="s">
        <v>2677</v>
      </c>
      <c r="S56" s="460" t="s">
        <v>2676</v>
      </c>
      <c r="T56" s="460" t="s">
        <v>1827</v>
      </c>
      <c r="U56" s="461" t="s">
        <v>1824</v>
      </c>
      <c r="V56" s="460" t="s">
        <v>1119</v>
      </c>
      <c r="W56" s="560"/>
      <c r="X56" s="461" t="s">
        <v>1824</v>
      </c>
      <c r="Y56" s="461" t="s">
        <v>2683</v>
      </c>
      <c r="Z56" s="461" t="s">
        <v>170</v>
      </c>
      <c r="AA56" s="460" t="s">
        <v>1218</v>
      </c>
      <c r="AB56" s="561">
        <f>ROUND(20,2)</f>
        <v>20</v>
      </c>
      <c r="AC56" s="460" t="s">
        <v>2678</v>
      </c>
      <c r="AD56" s="460"/>
      <c r="AE56" s="561">
        <f>ROUND(500.05,2)</f>
        <v>500.05</v>
      </c>
      <c r="AF56" s="460" t="s">
        <v>2679</v>
      </c>
      <c r="AG56" s="561">
        <f t="shared" si="0"/>
        <v>0</v>
      </c>
      <c r="AH56" s="460" t="s">
        <v>2671</v>
      </c>
      <c r="AI56" s="460" t="s">
        <v>1214</v>
      </c>
      <c r="AJ56" s="460" t="s">
        <v>2550</v>
      </c>
      <c r="AK56" s="460" t="s">
        <v>2672</v>
      </c>
      <c r="AL56" s="560" t="s">
        <v>2711</v>
      </c>
      <c r="AM56" s="460" t="s">
        <v>2674</v>
      </c>
    </row>
    <row r="57" spans="1:39" ht="22.8">
      <c r="A57" s="460" t="s">
        <v>1810</v>
      </c>
      <c r="B57" s="460"/>
      <c r="C57" s="460" t="s">
        <v>1711</v>
      </c>
      <c r="D57" s="460" t="s">
        <v>2348</v>
      </c>
      <c r="E57" s="460" t="s">
        <v>1814</v>
      </c>
      <c r="F57" s="460" t="s">
        <v>1812</v>
      </c>
      <c r="G57" s="461" t="s">
        <v>1218</v>
      </c>
      <c r="H57" s="461" t="s">
        <v>1822</v>
      </c>
      <c r="I57" s="460" t="s">
        <v>2347</v>
      </c>
      <c r="J57" s="460" t="s">
        <v>1983</v>
      </c>
      <c r="K57" s="460" t="s">
        <v>2669</v>
      </c>
      <c r="L57" s="460" t="s">
        <v>2707</v>
      </c>
      <c r="M57" s="460" t="s">
        <v>1982</v>
      </c>
      <c r="N57" s="460" t="s">
        <v>1981</v>
      </c>
      <c r="O57" s="460" t="s">
        <v>170</v>
      </c>
      <c r="P57" s="460" t="s">
        <v>1979</v>
      </c>
      <c r="Q57" s="460" t="s">
        <v>1978</v>
      </c>
      <c r="R57" s="460" t="s">
        <v>1977</v>
      </c>
      <c r="S57" s="460" t="s">
        <v>1826</v>
      </c>
      <c r="T57" s="460" t="s">
        <v>1827</v>
      </c>
      <c r="U57" s="461" t="s">
        <v>1976</v>
      </c>
      <c r="V57" s="460" t="s">
        <v>1119</v>
      </c>
      <c r="W57" s="560"/>
      <c r="X57" s="461" t="s">
        <v>1824</v>
      </c>
      <c r="Y57" s="461" t="s">
        <v>1824</v>
      </c>
      <c r="Z57" s="461" t="s">
        <v>170</v>
      </c>
      <c r="AA57" s="460" t="s">
        <v>1218</v>
      </c>
      <c r="AB57" s="561">
        <f>ROUND(25.63,2)</f>
        <v>25.63</v>
      </c>
      <c r="AC57" s="460" t="s">
        <v>308</v>
      </c>
      <c r="AD57" s="460"/>
      <c r="AE57" s="561">
        <f>ROUND(828.65,2)</f>
        <v>828.65</v>
      </c>
      <c r="AF57" s="460" t="s">
        <v>308</v>
      </c>
      <c r="AG57" s="561">
        <f t="shared" si="0"/>
        <v>0</v>
      </c>
      <c r="AH57" s="460" t="s">
        <v>2671</v>
      </c>
      <c r="AI57" s="460" t="s">
        <v>1214</v>
      </c>
      <c r="AJ57" s="460" t="s">
        <v>2549</v>
      </c>
      <c r="AK57" s="460" t="s">
        <v>2672</v>
      </c>
      <c r="AL57" s="560" t="s">
        <v>2685</v>
      </c>
      <c r="AM57" s="460" t="s">
        <v>2674</v>
      </c>
    </row>
    <row r="58" spans="1:39" ht="22.8">
      <c r="A58" s="460" t="s">
        <v>1810</v>
      </c>
      <c r="B58" s="460"/>
      <c r="C58" s="460" t="s">
        <v>1221</v>
      </c>
      <c r="D58" s="460" t="s">
        <v>2346</v>
      </c>
      <c r="E58" s="460" t="s">
        <v>1814</v>
      </c>
      <c r="F58" s="460" t="s">
        <v>1812</v>
      </c>
      <c r="G58" s="461" t="s">
        <v>1218</v>
      </c>
      <c r="H58" s="461" t="s">
        <v>194</v>
      </c>
      <c r="I58" s="460" t="s">
        <v>2167</v>
      </c>
      <c r="J58" s="460" t="s">
        <v>1983</v>
      </c>
      <c r="K58" s="460" t="s">
        <v>2669</v>
      </c>
      <c r="L58" s="460" t="s">
        <v>2703</v>
      </c>
      <c r="M58" s="460" t="s">
        <v>1982</v>
      </c>
      <c r="N58" s="460" t="s">
        <v>1981</v>
      </c>
      <c r="O58" s="460" t="s">
        <v>1980</v>
      </c>
      <c r="P58" s="460" t="s">
        <v>1979</v>
      </c>
      <c r="Q58" s="460" t="s">
        <v>95</v>
      </c>
      <c r="R58" s="460" t="s">
        <v>1977</v>
      </c>
      <c r="S58" s="460" t="s">
        <v>1842</v>
      </c>
      <c r="T58" s="460" t="s">
        <v>1827</v>
      </c>
      <c r="U58" s="461" t="s">
        <v>1976</v>
      </c>
      <c r="V58" s="460" t="s">
        <v>1843</v>
      </c>
      <c r="W58" s="560"/>
      <c r="X58" s="461" t="s">
        <v>1824</v>
      </c>
      <c r="Y58" s="461" t="s">
        <v>1824</v>
      </c>
      <c r="Z58" s="461" t="s">
        <v>170</v>
      </c>
      <c r="AA58" s="460" t="s">
        <v>1218</v>
      </c>
      <c r="AB58" s="561">
        <f>ROUND(30.41,2)</f>
        <v>30.41</v>
      </c>
      <c r="AC58" s="460" t="s">
        <v>308</v>
      </c>
      <c r="AD58" s="460"/>
      <c r="AE58" s="561">
        <f>ROUND(70.29,2)</f>
        <v>70.290000000000006</v>
      </c>
      <c r="AF58" s="460" t="s">
        <v>308</v>
      </c>
      <c r="AG58" s="561">
        <f t="shared" si="0"/>
        <v>0</v>
      </c>
      <c r="AH58" s="460" t="s">
        <v>2671</v>
      </c>
      <c r="AI58" s="460" t="s">
        <v>1214</v>
      </c>
      <c r="AJ58" s="460" t="s">
        <v>2548</v>
      </c>
      <c r="AK58" s="460" t="s">
        <v>2672</v>
      </c>
      <c r="AL58" s="560" t="s">
        <v>2673</v>
      </c>
      <c r="AM58" s="460" t="s">
        <v>2674</v>
      </c>
    </row>
    <row r="59" spans="1:39" ht="22.8">
      <c r="A59" s="460" t="s">
        <v>1810</v>
      </c>
      <c r="B59" s="460"/>
      <c r="C59" s="460" t="s">
        <v>1221</v>
      </c>
      <c r="D59" s="460" t="s">
        <v>2346</v>
      </c>
      <c r="E59" s="460" t="s">
        <v>1814</v>
      </c>
      <c r="F59" s="460" t="s">
        <v>1812</v>
      </c>
      <c r="G59" s="461" t="s">
        <v>1218</v>
      </c>
      <c r="H59" s="461" t="s">
        <v>194</v>
      </c>
      <c r="I59" s="460" t="s">
        <v>2167</v>
      </c>
      <c r="J59" s="460" t="s">
        <v>1983</v>
      </c>
      <c r="K59" s="460" t="s">
        <v>2669</v>
      </c>
      <c r="L59" s="460" t="s">
        <v>2703</v>
      </c>
      <c r="M59" s="460" t="s">
        <v>1982</v>
      </c>
      <c r="N59" s="460" t="s">
        <v>1981</v>
      </c>
      <c r="O59" s="460" t="s">
        <v>1980</v>
      </c>
      <c r="P59" s="460" t="s">
        <v>2675</v>
      </c>
      <c r="Q59" s="460" t="s">
        <v>2676</v>
      </c>
      <c r="R59" s="460" t="s">
        <v>2677</v>
      </c>
      <c r="S59" s="460" t="s">
        <v>2676</v>
      </c>
      <c r="T59" s="460" t="s">
        <v>1827</v>
      </c>
      <c r="U59" s="461" t="s">
        <v>1824</v>
      </c>
      <c r="V59" s="460" t="s">
        <v>1843</v>
      </c>
      <c r="W59" s="560"/>
      <c r="X59" s="461" t="s">
        <v>1824</v>
      </c>
      <c r="Y59" s="461" t="s">
        <v>1824</v>
      </c>
      <c r="Z59" s="461" t="s">
        <v>170</v>
      </c>
      <c r="AA59" s="460" t="s">
        <v>1218</v>
      </c>
      <c r="AB59" s="561">
        <f>ROUND(0,2)</f>
        <v>0</v>
      </c>
      <c r="AC59" s="460" t="s">
        <v>2678</v>
      </c>
      <c r="AD59" s="460"/>
      <c r="AE59" s="561">
        <f>ROUND(1000,2)</f>
        <v>1000</v>
      </c>
      <c r="AF59" s="460" t="s">
        <v>2679</v>
      </c>
      <c r="AG59" s="561">
        <f t="shared" si="0"/>
        <v>0</v>
      </c>
      <c r="AH59" s="460" t="s">
        <v>2671</v>
      </c>
      <c r="AI59" s="460" t="s">
        <v>1214</v>
      </c>
      <c r="AJ59" s="460"/>
      <c r="AK59" s="460"/>
      <c r="AL59" s="560"/>
      <c r="AM59" s="460"/>
    </row>
    <row r="60" spans="1:39" ht="22.8">
      <c r="A60" s="460" t="s">
        <v>1810</v>
      </c>
      <c r="B60" s="460"/>
      <c r="C60" s="460" t="s">
        <v>1221</v>
      </c>
      <c r="D60" s="460" t="s">
        <v>2346</v>
      </c>
      <c r="E60" s="460" t="s">
        <v>1814</v>
      </c>
      <c r="F60" s="460" t="s">
        <v>1812</v>
      </c>
      <c r="G60" s="461" t="s">
        <v>1218</v>
      </c>
      <c r="H60" s="461" t="s">
        <v>194</v>
      </c>
      <c r="I60" s="460" t="s">
        <v>2167</v>
      </c>
      <c r="J60" s="460" t="s">
        <v>1983</v>
      </c>
      <c r="K60" s="460" t="s">
        <v>2669</v>
      </c>
      <c r="L60" s="460" t="s">
        <v>2703</v>
      </c>
      <c r="M60" s="460" t="s">
        <v>1982</v>
      </c>
      <c r="N60" s="460" t="s">
        <v>1981</v>
      </c>
      <c r="O60" s="460" t="s">
        <v>1980</v>
      </c>
      <c r="P60" s="460" t="s">
        <v>1979</v>
      </c>
      <c r="Q60" s="460" t="s">
        <v>1978</v>
      </c>
      <c r="R60" s="460" t="s">
        <v>1977</v>
      </c>
      <c r="S60" s="460" t="s">
        <v>1826</v>
      </c>
      <c r="T60" s="460" t="s">
        <v>1827</v>
      </c>
      <c r="U60" s="461" t="s">
        <v>1976</v>
      </c>
      <c r="V60" s="460" t="s">
        <v>1843</v>
      </c>
      <c r="W60" s="560"/>
      <c r="X60" s="461" t="s">
        <v>1824</v>
      </c>
      <c r="Y60" s="461" t="s">
        <v>1824</v>
      </c>
      <c r="Z60" s="461" t="s">
        <v>170</v>
      </c>
      <c r="AA60" s="460" t="s">
        <v>1218</v>
      </c>
      <c r="AB60" s="561">
        <f>ROUND(603.2,2)</f>
        <v>603.20000000000005</v>
      </c>
      <c r="AC60" s="460" t="s">
        <v>308</v>
      </c>
      <c r="AD60" s="460"/>
      <c r="AE60" s="561">
        <f>ROUND(1528.26,2)</f>
        <v>1528.26</v>
      </c>
      <c r="AF60" s="460" t="s">
        <v>308</v>
      </c>
      <c r="AG60" s="561">
        <f t="shared" si="0"/>
        <v>0</v>
      </c>
      <c r="AH60" s="460" t="s">
        <v>2671</v>
      </c>
      <c r="AI60" s="460" t="s">
        <v>1214</v>
      </c>
      <c r="AJ60" s="460" t="s">
        <v>2549</v>
      </c>
      <c r="AK60" s="460" t="s">
        <v>2672</v>
      </c>
      <c r="AL60" s="560" t="s">
        <v>2702</v>
      </c>
      <c r="AM60" s="460" t="s">
        <v>2674</v>
      </c>
    </row>
    <row r="61" spans="1:39" ht="22.8">
      <c r="A61" s="460" t="s">
        <v>1810</v>
      </c>
      <c r="B61" s="460"/>
      <c r="C61" s="460" t="s">
        <v>2921</v>
      </c>
      <c r="D61" s="460" t="s">
        <v>2963</v>
      </c>
      <c r="E61" s="460" t="s">
        <v>1821</v>
      </c>
      <c r="F61" s="460" t="s">
        <v>1812</v>
      </c>
      <c r="G61" s="461" t="s">
        <v>1218</v>
      </c>
      <c r="H61" s="461" t="s">
        <v>2964</v>
      </c>
      <c r="I61" s="460" t="s">
        <v>2965</v>
      </c>
      <c r="J61" s="460" t="s">
        <v>1990</v>
      </c>
      <c r="K61" s="460" t="s">
        <v>2669</v>
      </c>
      <c r="L61" s="460" t="s">
        <v>2750</v>
      </c>
      <c r="M61" s="460" t="s">
        <v>2002</v>
      </c>
      <c r="N61" s="460" t="s">
        <v>1981</v>
      </c>
      <c r="O61" s="460" t="s">
        <v>1980</v>
      </c>
      <c r="P61" s="460" t="s">
        <v>1979</v>
      </c>
      <c r="Q61" s="460" t="s">
        <v>95</v>
      </c>
      <c r="R61" s="460" t="s">
        <v>1977</v>
      </c>
      <c r="S61" s="460" t="s">
        <v>1842</v>
      </c>
      <c r="T61" s="460" t="s">
        <v>1827</v>
      </c>
      <c r="U61" s="461" t="s">
        <v>1976</v>
      </c>
      <c r="V61" s="460" t="s">
        <v>1119</v>
      </c>
      <c r="W61" s="560"/>
      <c r="X61" s="461" t="s">
        <v>2966</v>
      </c>
      <c r="Y61" s="461" t="s">
        <v>2966</v>
      </c>
      <c r="Z61" s="461" t="s">
        <v>170</v>
      </c>
      <c r="AA61" s="460" t="s">
        <v>1218</v>
      </c>
      <c r="AB61" s="561">
        <f>ROUND(0,2)</f>
        <v>0</v>
      </c>
      <c r="AC61" s="460" t="s">
        <v>308</v>
      </c>
      <c r="AD61" s="460"/>
      <c r="AE61" s="561">
        <f>ROUND(36.23,2)</f>
        <v>36.229999999999997</v>
      </c>
      <c r="AF61" s="460" t="s">
        <v>308</v>
      </c>
      <c r="AG61" s="561">
        <f t="shared" si="0"/>
        <v>0</v>
      </c>
      <c r="AH61" s="460" t="s">
        <v>2671</v>
      </c>
      <c r="AI61" s="460" t="s">
        <v>1214</v>
      </c>
      <c r="AJ61" s="460"/>
      <c r="AK61" s="460"/>
      <c r="AL61" s="560"/>
      <c r="AM61" s="460"/>
    </row>
    <row r="62" spans="1:39" ht="22.8">
      <c r="A62" s="460" t="s">
        <v>1810</v>
      </c>
      <c r="B62" s="460"/>
      <c r="C62" s="460" t="s">
        <v>2921</v>
      </c>
      <c r="D62" s="460" t="s">
        <v>2963</v>
      </c>
      <c r="E62" s="460" t="s">
        <v>1821</v>
      </c>
      <c r="F62" s="460" t="s">
        <v>1812</v>
      </c>
      <c r="G62" s="461" t="s">
        <v>1218</v>
      </c>
      <c r="H62" s="461" t="s">
        <v>2964</v>
      </c>
      <c r="I62" s="460" t="s">
        <v>2965</v>
      </c>
      <c r="J62" s="460" t="s">
        <v>1990</v>
      </c>
      <c r="K62" s="460" t="s">
        <v>2669</v>
      </c>
      <c r="L62" s="460" t="s">
        <v>2750</v>
      </c>
      <c r="M62" s="460" t="s">
        <v>2002</v>
      </c>
      <c r="N62" s="460" t="s">
        <v>1981</v>
      </c>
      <c r="O62" s="460" t="s">
        <v>1980</v>
      </c>
      <c r="P62" s="460" t="s">
        <v>2675</v>
      </c>
      <c r="Q62" s="460" t="s">
        <v>2676</v>
      </c>
      <c r="R62" s="460" t="s">
        <v>2677</v>
      </c>
      <c r="S62" s="460" t="s">
        <v>2676</v>
      </c>
      <c r="T62" s="460" t="s">
        <v>1827</v>
      </c>
      <c r="U62" s="461" t="s">
        <v>1824</v>
      </c>
      <c r="V62" s="460" t="s">
        <v>1119</v>
      </c>
      <c r="W62" s="560"/>
      <c r="X62" s="461" t="s">
        <v>2966</v>
      </c>
      <c r="Y62" s="461" t="s">
        <v>2966</v>
      </c>
      <c r="Z62" s="461" t="s">
        <v>170</v>
      </c>
      <c r="AA62" s="460" t="s">
        <v>1218</v>
      </c>
      <c r="AB62" s="561">
        <f>ROUND(75,2)</f>
        <v>75</v>
      </c>
      <c r="AC62" s="460" t="s">
        <v>2678</v>
      </c>
      <c r="AD62" s="460"/>
      <c r="AE62" s="561">
        <f>ROUND(500.05,2)</f>
        <v>500.05</v>
      </c>
      <c r="AF62" s="460" t="s">
        <v>2679</v>
      </c>
      <c r="AG62" s="561">
        <f t="shared" si="0"/>
        <v>0</v>
      </c>
      <c r="AH62" s="460" t="s">
        <v>2671</v>
      </c>
      <c r="AI62" s="460" t="s">
        <v>1214</v>
      </c>
      <c r="AJ62" s="460" t="s">
        <v>2550</v>
      </c>
      <c r="AK62" s="460" t="s">
        <v>2672</v>
      </c>
      <c r="AL62" s="560" t="s">
        <v>2797</v>
      </c>
      <c r="AM62" s="460" t="s">
        <v>2674</v>
      </c>
    </row>
    <row r="63" spans="1:39" ht="22.8">
      <c r="A63" s="460" t="s">
        <v>1810</v>
      </c>
      <c r="B63" s="460"/>
      <c r="C63" s="460" t="s">
        <v>2921</v>
      </c>
      <c r="D63" s="460" t="s">
        <v>2963</v>
      </c>
      <c r="E63" s="460" t="s">
        <v>1821</v>
      </c>
      <c r="F63" s="460" t="s">
        <v>1812</v>
      </c>
      <c r="G63" s="461" t="s">
        <v>1218</v>
      </c>
      <c r="H63" s="461" t="s">
        <v>2964</v>
      </c>
      <c r="I63" s="460" t="s">
        <v>2965</v>
      </c>
      <c r="J63" s="460" t="s">
        <v>1990</v>
      </c>
      <c r="K63" s="460" t="s">
        <v>2669</v>
      </c>
      <c r="L63" s="460" t="s">
        <v>2750</v>
      </c>
      <c r="M63" s="460" t="s">
        <v>2002</v>
      </c>
      <c r="N63" s="460" t="s">
        <v>1981</v>
      </c>
      <c r="O63" s="460" t="s">
        <v>1980</v>
      </c>
      <c r="P63" s="460" t="s">
        <v>1979</v>
      </c>
      <c r="Q63" s="460" t="s">
        <v>1978</v>
      </c>
      <c r="R63" s="460" t="s">
        <v>1977</v>
      </c>
      <c r="S63" s="460" t="s">
        <v>1826</v>
      </c>
      <c r="T63" s="460" t="s">
        <v>1827</v>
      </c>
      <c r="U63" s="461" t="s">
        <v>1976</v>
      </c>
      <c r="V63" s="460" t="s">
        <v>1119</v>
      </c>
      <c r="W63" s="560"/>
      <c r="X63" s="461" t="s">
        <v>2966</v>
      </c>
      <c r="Y63" s="461" t="s">
        <v>2966</v>
      </c>
      <c r="Z63" s="461" t="s">
        <v>170</v>
      </c>
      <c r="AA63" s="460" t="s">
        <v>1218</v>
      </c>
      <c r="AB63" s="561">
        <f>ROUND(25.63,2)</f>
        <v>25.63</v>
      </c>
      <c r="AC63" s="460" t="s">
        <v>308</v>
      </c>
      <c r="AD63" s="460"/>
      <c r="AE63" s="561">
        <f>ROUND(828.65,2)</f>
        <v>828.65</v>
      </c>
      <c r="AF63" s="460" t="s">
        <v>308</v>
      </c>
      <c r="AG63" s="561">
        <f t="shared" si="0"/>
        <v>0</v>
      </c>
      <c r="AH63" s="460" t="s">
        <v>2671</v>
      </c>
      <c r="AI63" s="460" t="s">
        <v>1214</v>
      </c>
      <c r="AJ63" s="460" t="s">
        <v>2549</v>
      </c>
      <c r="AK63" s="460" t="s">
        <v>2672</v>
      </c>
      <c r="AL63" s="560" t="s">
        <v>2685</v>
      </c>
      <c r="AM63" s="460" t="s">
        <v>2674</v>
      </c>
    </row>
    <row r="64" spans="1:39" ht="34.200000000000003">
      <c r="A64" s="460" t="s">
        <v>1810</v>
      </c>
      <c r="B64" s="460"/>
      <c r="C64" s="460" t="s">
        <v>1255</v>
      </c>
      <c r="D64" s="460" t="s">
        <v>2345</v>
      </c>
      <c r="E64" s="460" t="s">
        <v>1823</v>
      </c>
      <c r="F64" s="460" t="s">
        <v>1812</v>
      </c>
      <c r="G64" s="461" t="s">
        <v>1218</v>
      </c>
      <c r="H64" s="461" t="s">
        <v>175</v>
      </c>
      <c r="I64" s="460" t="s">
        <v>2031</v>
      </c>
      <c r="J64" s="460" t="s">
        <v>1983</v>
      </c>
      <c r="K64" s="460" t="s">
        <v>2669</v>
      </c>
      <c r="L64" s="460" t="s">
        <v>2720</v>
      </c>
      <c r="M64" s="460" t="s">
        <v>2002</v>
      </c>
      <c r="N64" s="460" t="s">
        <v>1981</v>
      </c>
      <c r="O64" s="460" t="s">
        <v>1980</v>
      </c>
      <c r="P64" s="460" t="s">
        <v>1979</v>
      </c>
      <c r="Q64" s="460" t="s">
        <v>95</v>
      </c>
      <c r="R64" s="460" t="s">
        <v>1977</v>
      </c>
      <c r="S64" s="460" t="s">
        <v>1842</v>
      </c>
      <c r="T64" s="460" t="s">
        <v>1827</v>
      </c>
      <c r="U64" s="461" t="s">
        <v>1976</v>
      </c>
      <c r="V64" s="460" t="s">
        <v>1119</v>
      </c>
      <c r="W64" s="560"/>
      <c r="X64" s="461" t="s">
        <v>1824</v>
      </c>
      <c r="Y64" s="461" t="s">
        <v>1824</v>
      </c>
      <c r="Z64" s="461" t="s">
        <v>170</v>
      </c>
      <c r="AA64" s="460" t="s">
        <v>1218</v>
      </c>
      <c r="AB64" s="561">
        <f>ROUND(0,2)</f>
        <v>0</v>
      </c>
      <c r="AC64" s="460" t="s">
        <v>308</v>
      </c>
      <c r="AD64" s="460"/>
      <c r="AE64" s="561">
        <f>ROUND(36.23,2)</f>
        <v>36.229999999999997</v>
      </c>
      <c r="AF64" s="460" t="s">
        <v>308</v>
      </c>
      <c r="AG64" s="561">
        <f t="shared" si="0"/>
        <v>0</v>
      </c>
      <c r="AH64" s="460" t="s">
        <v>2671</v>
      </c>
      <c r="AI64" s="460" t="s">
        <v>1214</v>
      </c>
      <c r="AJ64" s="460"/>
      <c r="AK64" s="460"/>
      <c r="AL64" s="560"/>
      <c r="AM64" s="460"/>
    </row>
    <row r="65" spans="1:39" ht="34.200000000000003">
      <c r="A65" s="460" t="s">
        <v>1810</v>
      </c>
      <c r="B65" s="460"/>
      <c r="C65" s="460" t="s">
        <v>1255</v>
      </c>
      <c r="D65" s="460" t="s">
        <v>2345</v>
      </c>
      <c r="E65" s="460" t="s">
        <v>1823</v>
      </c>
      <c r="F65" s="460" t="s">
        <v>1812</v>
      </c>
      <c r="G65" s="461" t="s">
        <v>1218</v>
      </c>
      <c r="H65" s="461" t="s">
        <v>175</v>
      </c>
      <c r="I65" s="460" t="s">
        <v>2031</v>
      </c>
      <c r="J65" s="460" t="s">
        <v>1983</v>
      </c>
      <c r="K65" s="460" t="s">
        <v>2669</v>
      </c>
      <c r="L65" s="460" t="s">
        <v>2720</v>
      </c>
      <c r="M65" s="460" t="s">
        <v>2002</v>
      </c>
      <c r="N65" s="460" t="s">
        <v>1981</v>
      </c>
      <c r="O65" s="460" t="s">
        <v>1980</v>
      </c>
      <c r="P65" s="460" t="s">
        <v>2675</v>
      </c>
      <c r="Q65" s="460" t="s">
        <v>2676</v>
      </c>
      <c r="R65" s="460" t="s">
        <v>2677</v>
      </c>
      <c r="S65" s="460" t="s">
        <v>2676</v>
      </c>
      <c r="T65" s="460" t="s">
        <v>1827</v>
      </c>
      <c r="U65" s="461" t="s">
        <v>1824</v>
      </c>
      <c r="V65" s="460" t="s">
        <v>1119</v>
      </c>
      <c r="W65" s="560"/>
      <c r="X65" s="461" t="s">
        <v>1824</v>
      </c>
      <c r="Y65" s="461" t="s">
        <v>2683</v>
      </c>
      <c r="Z65" s="461" t="s">
        <v>170</v>
      </c>
      <c r="AA65" s="460" t="s">
        <v>1218</v>
      </c>
      <c r="AB65" s="561">
        <f>ROUND(140,2)</f>
        <v>140</v>
      </c>
      <c r="AC65" s="460" t="s">
        <v>2678</v>
      </c>
      <c r="AD65" s="460"/>
      <c r="AE65" s="561">
        <f>ROUND(500.05,2)</f>
        <v>500.05</v>
      </c>
      <c r="AF65" s="460" t="s">
        <v>2679</v>
      </c>
      <c r="AG65" s="561">
        <f t="shared" si="0"/>
        <v>0</v>
      </c>
      <c r="AH65" s="460" t="s">
        <v>2671</v>
      </c>
      <c r="AI65" s="460" t="s">
        <v>1214</v>
      </c>
      <c r="AJ65" s="460" t="s">
        <v>2550</v>
      </c>
      <c r="AK65" s="460" t="s">
        <v>2672</v>
      </c>
      <c r="AL65" s="560" t="s">
        <v>2721</v>
      </c>
      <c r="AM65" s="460" t="s">
        <v>2674</v>
      </c>
    </row>
    <row r="66" spans="1:39" ht="34.200000000000003">
      <c r="A66" s="460" t="s">
        <v>1810</v>
      </c>
      <c r="B66" s="460"/>
      <c r="C66" s="460" t="s">
        <v>1255</v>
      </c>
      <c r="D66" s="460" t="s">
        <v>2345</v>
      </c>
      <c r="E66" s="460" t="s">
        <v>1823</v>
      </c>
      <c r="F66" s="460" t="s">
        <v>1812</v>
      </c>
      <c r="G66" s="461" t="s">
        <v>1218</v>
      </c>
      <c r="H66" s="461" t="s">
        <v>175</v>
      </c>
      <c r="I66" s="460" t="s">
        <v>2031</v>
      </c>
      <c r="J66" s="460" t="s">
        <v>1983</v>
      </c>
      <c r="K66" s="460" t="s">
        <v>2669</v>
      </c>
      <c r="L66" s="460" t="s">
        <v>2720</v>
      </c>
      <c r="M66" s="460" t="s">
        <v>2002</v>
      </c>
      <c r="N66" s="460" t="s">
        <v>1981</v>
      </c>
      <c r="O66" s="460" t="s">
        <v>1980</v>
      </c>
      <c r="P66" s="460" t="s">
        <v>1979</v>
      </c>
      <c r="Q66" s="460" t="s">
        <v>1978</v>
      </c>
      <c r="R66" s="460" t="s">
        <v>1977</v>
      </c>
      <c r="S66" s="460" t="s">
        <v>1826</v>
      </c>
      <c r="T66" s="460" t="s">
        <v>1827</v>
      </c>
      <c r="U66" s="461" t="s">
        <v>1976</v>
      </c>
      <c r="V66" s="460" t="s">
        <v>1119</v>
      </c>
      <c r="W66" s="560"/>
      <c r="X66" s="461" t="s">
        <v>1824</v>
      </c>
      <c r="Y66" s="461" t="s">
        <v>1824</v>
      </c>
      <c r="Z66" s="461" t="s">
        <v>170</v>
      </c>
      <c r="AA66" s="460" t="s">
        <v>1218</v>
      </c>
      <c r="AB66" s="561">
        <f>ROUND(29.05,2)</f>
        <v>29.05</v>
      </c>
      <c r="AC66" s="460" t="s">
        <v>308</v>
      </c>
      <c r="AD66" s="460"/>
      <c r="AE66" s="561">
        <f>ROUND(825.23,2)</f>
        <v>825.23</v>
      </c>
      <c r="AF66" s="460" t="s">
        <v>308</v>
      </c>
      <c r="AG66" s="561">
        <f t="shared" ref="AG66:AG129" si="1">ROUND(0,2)</f>
        <v>0</v>
      </c>
      <c r="AH66" s="460" t="s">
        <v>2671</v>
      </c>
      <c r="AI66" s="460" t="s">
        <v>1214</v>
      </c>
      <c r="AJ66" s="460" t="s">
        <v>2549</v>
      </c>
      <c r="AK66" s="460" t="s">
        <v>2672</v>
      </c>
      <c r="AL66" s="560" t="s">
        <v>2692</v>
      </c>
      <c r="AM66" s="460" t="s">
        <v>2674</v>
      </c>
    </row>
    <row r="67" spans="1:39" ht="22.8">
      <c r="A67" s="460" t="s">
        <v>1810</v>
      </c>
      <c r="B67" s="460"/>
      <c r="C67" s="460" t="s">
        <v>2514</v>
      </c>
      <c r="D67" s="460" t="s">
        <v>2722</v>
      </c>
      <c r="E67" s="460" t="s">
        <v>1814</v>
      </c>
      <c r="F67" s="460" t="s">
        <v>1812</v>
      </c>
      <c r="G67" s="461" t="s">
        <v>1218</v>
      </c>
      <c r="H67" s="461" t="s">
        <v>2723</v>
      </c>
      <c r="I67" s="460" t="s">
        <v>2170</v>
      </c>
      <c r="J67" s="460" t="s">
        <v>1983</v>
      </c>
      <c r="K67" s="460" t="s">
        <v>2669</v>
      </c>
      <c r="L67" s="460" t="s">
        <v>2707</v>
      </c>
      <c r="M67" s="460" t="s">
        <v>1982</v>
      </c>
      <c r="N67" s="460" t="s">
        <v>1981</v>
      </c>
      <c r="O67" s="460" t="s">
        <v>1980</v>
      </c>
      <c r="P67" s="460" t="s">
        <v>1979</v>
      </c>
      <c r="Q67" s="460" t="s">
        <v>95</v>
      </c>
      <c r="R67" s="460" t="s">
        <v>1977</v>
      </c>
      <c r="S67" s="460" t="s">
        <v>1842</v>
      </c>
      <c r="T67" s="460" t="s">
        <v>1827</v>
      </c>
      <c r="U67" s="461" t="s">
        <v>1976</v>
      </c>
      <c r="V67" s="460" t="s">
        <v>1843</v>
      </c>
      <c r="W67" s="560"/>
      <c r="X67" s="461" t="s">
        <v>2724</v>
      </c>
      <c r="Y67" s="461" t="s">
        <v>2724</v>
      </c>
      <c r="Z67" s="461" t="s">
        <v>170</v>
      </c>
      <c r="AA67" s="460" t="s">
        <v>1218</v>
      </c>
      <c r="AB67" s="561">
        <f>ROUND(30.41,2)</f>
        <v>30.41</v>
      </c>
      <c r="AC67" s="460" t="s">
        <v>308</v>
      </c>
      <c r="AD67" s="460"/>
      <c r="AE67" s="561">
        <f>ROUND(70.29,2)</f>
        <v>70.290000000000006</v>
      </c>
      <c r="AF67" s="460" t="s">
        <v>308</v>
      </c>
      <c r="AG67" s="561">
        <f t="shared" si="1"/>
        <v>0</v>
      </c>
      <c r="AH67" s="460" t="s">
        <v>2671</v>
      </c>
      <c r="AI67" s="460" t="s">
        <v>1214</v>
      </c>
      <c r="AJ67" s="460" t="s">
        <v>2548</v>
      </c>
      <c r="AK67" s="460" t="s">
        <v>2672</v>
      </c>
      <c r="AL67" s="560" t="s">
        <v>2673</v>
      </c>
      <c r="AM67" s="460" t="s">
        <v>2674</v>
      </c>
    </row>
    <row r="68" spans="1:39" ht="22.8">
      <c r="A68" s="460" t="s">
        <v>1810</v>
      </c>
      <c r="B68" s="460"/>
      <c r="C68" s="460" t="s">
        <v>2514</v>
      </c>
      <c r="D68" s="460" t="s">
        <v>2722</v>
      </c>
      <c r="E68" s="460" t="s">
        <v>1814</v>
      </c>
      <c r="F68" s="460" t="s">
        <v>1812</v>
      </c>
      <c r="G68" s="461" t="s">
        <v>1218</v>
      </c>
      <c r="H68" s="461" t="s">
        <v>2723</v>
      </c>
      <c r="I68" s="460" t="s">
        <v>2170</v>
      </c>
      <c r="J68" s="460" t="s">
        <v>1983</v>
      </c>
      <c r="K68" s="460" t="s">
        <v>2669</v>
      </c>
      <c r="L68" s="460" t="s">
        <v>2707</v>
      </c>
      <c r="M68" s="460" t="s">
        <v>1982</v>
      </c>
      <c r="N68" s="460" t="s">
        <v>1981</v>
      </c>
      <c r="O68" s="460" t="s">
        <v>1980</v>
      </c>
      <c r="P68" s="460" t="s">
        <v>2675</v>
      </c>
      <c r="Q68" s="460" t="s">
        <v>2676</v>
      </c>
      <c r="R68" s="460" t="s">
        <v>2677</v>
      </c>
      <c r="S68" s="460" t="s">
        <v>2676</v>
      </c>
      <c r="T68" s="460" t="s">
        <v>1827</v>
      </c>
      <c r="U68" s="461" t="s">
        <v>1824</v>
      </c>
      <c r="V68" s="460" t="s">
        <v>1843</v>
      </c>
      <c r="W68" s="560"/>
      <c r="X68" s="461" t="s">
        <v>2724</v>
      </c>
      <c r="Y68" s="461" t="s">
        <v>2724</v>
      </c>
      <c r="Z68" s="461" t="s">
        <v>170</v>
      </c>
      <c r="AA68" s="460" t="s">
        <v>1218</v>
      </c>
      <c r="AB68" s="561">
        <f>ROUND(10,2)</f>
        <v>10</v>
      </c>
      <c r="AC68" s="460" t="s">
        <v>2678</v>
      </c>
      <c r="AD68" s="460"/>
      <c r="AE68" s="561">
        <f>ROUND(1000,2)</f>
        <v>1000</v>
      </c>
      <c r="AF68" s="460" t="s">
        <v>2679</v>
      </c>
      <c r="AG68" s="561">
        <f t="shared" si="1"/>
        <v>0</v>
      </c>
      <c r="AH68" s="460" t="s">
        <v>2671</v>
      </c>
      <c r="AI68" s="460" t="s">
        <v>1214</v>
      </c>
      <c r="AJ68" s="460" t="s">
        <v>2550</v>
      </c>
      <c r="AK68" s="460" t="s">
        <v>2672</v>
      </c>
      <c r="AL68" s="560" t="s">
        <v>2725</v>
      </c>
      <c r="AM68" s="460" t="s">
        <v>2674</v>
      </c>
    </row>
    <row r="69" spans="1:39" ht="22.8">
      <c r="A69" s="460" t="s">
        <v>1810</v>
      </c>
      <c r="B69" s="460"/>
      <c r="C69" s="460" t="s">
        <v>2514</v>
      </c>
      <c r="D69" s="460" t="s">
        <v>2722</v>
      </c>
      <c r="E69" s="460" t="s">
        <v>1814</v>
      </c>
      <c r="F69" s="460" t="s">
        <v>1812</v>
      </c>
      <c r="G69" s="461" t="s">
        <v>1218</v>
      </c>
      <c r="H69" s="461" t="s">
        <v>2723</v>
      </c>
      <c r="I69" s="460" t="s">
        <v>2170</v>
      </c>
      <c r="J69" s="460" t="s">
        <v>1983</v>
      </c>
      <c r="K69" s="460" t="s">
        <v>2669</v>
      </c>
      <c r="L69" s="460" t="s">
        <v>2707</v>
      </c>
      <c r="M69" s="460" t="s">
        <v>1982</v>
      </c>
      <c r="N69" s="460" t="s">
        <v>1981</v>
      </c>
      <c r="O69" s="460" t="s">
        <v>1980</v>
      </c>
      <c r="P69" s="460" t="s">
        <v>1979</v>
      </c>
      <c r="Q69" s="460" t="s">
        <v>1978</v>
      </c>
      <c r="R69" s="460" t="s">
        <v>1977</v>
      </c>
      <c r="S69" s="460" t="s">
        <v>1826</v>
      </c>
      <c r="T69" s="460" t="s">
        <v>1827</v>
      </c>
      <c r="U69" s="461" t="s">
        <v>1976</v>
      </c>
      <c r="V69" s="460" t="s">
        <v>1843</v>
      </c>
      <c r="W69" s="560"/>
      <c r="X69" s="461" t="s">
        <v>2724</v>
      </c>
      <c r="Y69" s="461" t="s">
        <v>2724</v>
      </c>
      <c r="Z69" s="461" t="s">
        <v>170</v>
      </c>
      <c r="AA69" s="460" t="s">
        <v>1218</v>
      </c>
      <c r="AB69" s="561">
        <f>ROUND(321.85,2)</f>
        <v>321.85000000000002</v>
      </c>
      <c r="AC69" s="460" t="s">
        <v>308</v>
      </c>
      <c r="AD69" s="460"/>
      <c r="AE69" s="561">
        <f>ROUND(1809.61,2)</f>
        <v>1809.61</v>
      </c>
      <c r="AF69" s="460" t="s">
        <v>308</v>
      </c>
      <c r="AG69" s="561">
        <f t="shared" si="1"/>
        <v>0</v>
      </c>
      <c r="AH69" s="460" t="s">
        <v>2671</v>
      </c>
      <c r="AI69" s="460" t="s">
        <v>1214</v>
      </c>
      <c r="AJ69" s="460" t="s">
        <v>2549</v>
      </c>
      <c r="AK69" s="460" t="s">
        <v>2672</v>
      </c>
      <c r="AL69" s="560" t="s">
        <v>2712</v>
      </c>
      <c r="AM69" s="460" t="s">
        <v>2674</v>
      </c>
    </row>
    <row r="70" spans="1:39" ht="22.8">
      <c r="A70" s="460" t="s">
        <v>1810</v>
      </c>
      <c r="B70" s="460"/>
      <c r="C70" s="460" t="s">
        <v>1723</v>
      </c>
      <c r="D70" s="460" t="s">
        <v>2344</v>
      </c>
      <c r="E70" s="460" t="s">
        <v>1817</v>
      </c>
      <c r="F70" s="460" t="s">
        <v>1812</v>
      </c>
      <c r="G70" s="461" t="s">
        <v>1218</v>
      </c>
      <c r="H70" s="461" t="s">
        <v>1825</v>
      </c>
      <c r="I70" s="460" t="s">
        <v>2315</v>
      </c>
      <c r="J70" s="460" t="s">
        <v>1983</v>
      </c>
      <c r="K70" s="460" t="s">
        <v>2669</v>
      </c>
      <c r="L70" s="460" t="s">
        <v>2695</v>
      </c>
      <c r="M70" s="460" t="s">
        <v>1987</v>
      </c>
      <c r="N70" s="460" t="s">
        <v>1986</v>
      </c>
      <c r="O70" s="460" t="s">
        <v>1980</v>
      </c>
      <c r="P70" s="460" t="s">
        <v>1979</v>
      </c>
      <c r="Q70" s="460" t="s">
        <v>95</v>
      </c>
      <c r="R70" s="460" t="s">
        <v>1977</v>
      </c>
      <c r="S70" s="460" t="s">
        <v>1842</v>
      </c>
      <c r="T70" s="460" t="s">
        <v>1827</v>
      </c>
      <c r="U70" s="461" t="s">
        <v>1976</v>
      </c>
      <c r="V70" s="460" t="s">
        <v>1967</v>
      </c>
      <c r="W70" s="560"/>
      <c r="X70" s="461" t="s">
        <v>2077</v>
      </c>
      <c r="Y70" s="461" t="s">
        <v>2967</v>
      </c>
      <c r="Z70" s="461" t="s">
        <v>170</v>
      </c>
      <c r="AA70" s="460" t="s">
        <v>1218</v>
      </c>
      <c r="AB70" s="561">
        <f>ROUND(30.41,2)</f>
        <v>30.41</v>
      </c>
      <c r="AC70" s="460" t="s">
        <v>308</v>
      </c>
      <c r="AD70" s="460"/>
      <c r="AE70" s="561">
        <f>ROUND(70.29,2)</f>
        <v>70.290000000000006</v>
      </c>
      <c r="AF70" s="460" t="s">
        <v>308</v>
      </c>
      <c r="AG70" s="561">
        <f t="shared" si="1"/>
        <v>0</v>
      </c>
      <c r="AH70" s="460" t="s">
        <v>2671</v>
      </c>
      <c r="AI70" s="460" t="s">
        <v>1214</v>
      </c>
      <c r="AJ70" s="460" t="s">
        <v>2548</v>
      </c>
      <c r="AK70" s="460" t="s">
        <v>2672</v>
      </c>
      <c r="AL70" s="560" t="s">
        <v>2673</v>
      </c>
      <c r="AM70" s="460" t="s">
        <v>2674</v>
      </c>
    </row>
    <row r="71" spans="1:39" ht="22.8">
      <c r="A71" s="460" t="s">
        <v>1810</v>
      </c>
      <c r="B71" s="460"/>
      <c r="C71" s="460" t="s">
        <v>1723</v>
      </c>
      <c r="D71" s="460" t="s">
        <v>2344</v>
      </c>
      <c r="E71" s="460" t="s">
        <v>1817</v>
      </c>
      <c r="F71" s="460" t="s">
        <v>1812</v>
      </c>
      <c r="G71" s="461" t="s">
        <v>1218</v>
      </c>
      <c r="H71" s="461" t="s">
        <v>1825</v>
      </c>
      <c r="I71" s="460" t="s">
        <v>2315</v>
      </c>
      <c r="J71" s="460" t="s">
        <v>1983</v>
      </c>
      <c r="K71" s="460" t="s">
        <v>2669</v>
      </c>
      <c r="L71" s="460" t="s">
        <v>2695</v>
      </c>
      <c r="M71" s="460" t="s">
        <v>1987</v>
      </c>
      <c r="N71" s="460" t="s">
        <v>1986</v>
      </c>
      <c r="O71" s="460" t="s">
        <v>1980</v>
      </c>
      <c r="P71" s="460" t="s">
        <v>2675</v>
      </c>
      <c r="Q71" s="460" t="s">
        <v>2676</v>
      </c>
      <c r="R71" s="460" t="s">
        <v>2677</v>
      </c>
      <c r="S71" s="460" t="s">
        <v>2676</v>
      </c>
      <c r="T71" s="460" t="s">
        <v>1827</v>
      </c>
      <c r="U71" s="461" t="s">
        <v>1824</v>
      </c>
      <c r="V71" s="460" t="s">
        <v>1843</v>
      </c>
      <c r="W71" s="560"/>
      <c r="X71" s="461" t="s">
        <v>2967</v>
      </c>
      <c r="Y71" s="461" t="s">
        <v>2967</v>
      </c>
      <c r="Z71" s="461" t="s">
        <v>170</v>
      </c>
      <c r="AA71" s="460" t="s">
        <v>1218</v>
      </c>
      <c r="AB71" s="561">
        <f>ROUND(15,2)</f>
        <v>15</v>
      </c>
      <c r="AC71" s="460" t="s">
        <v>2678</v>
      </c>
      <c r="AD71" s="460"/>
      <c r="AE71" s="561">
        <f>ROUND(1000,2)</f>
        <v>1000</v>
      </c>
      <c r="AF71" s="460" t="s">
        <v>2679</v>
      </c>
      <c r="AG71" s="561">
        <f t="shared" si="1"/>
        <v>0</v>
      </c>
      <c r="AH71" s="460" t="s">
        <v>2671</v>
      </c>
      <c r="AI71" s="460" t="s">
        <v>1214</v>
      </c>
      <c r="AJ71" s="460" t="s">
        <v>2550</v>
      </c>
      <c r="AK71" s="460" t="s">
        <v>2672</v>
      </c>
      <c r="AL71" s="560" t="s">
        <v>2693</v>
      </c>
      <c r="AM71" s="460" t="s">
        <v>2674</v>
      </c>
    </row>
    <row r="72" spans="1:39" ht="22.8">
      <c r="A72" s="460" t="s">
        <v>1810</v>
      </c>
      <c r="B72" s="460"/>
      <c r="C72" s="460" t="s">
        <v>1723</v>
      </c>
      <c r="D72" s="460" t="s">
        <v>2344</v>
      </c>
      <c r="E72" s="460" t="s">
        <v>1817</v>
      </c>
      <c r="F72" s="460" t="s">
        <v>1812</v>
      </c>
      <c r="G72" s="461" t="s">
        <v>1218</v>
      </c>
      <c r="H72" s="461" t="s">
        <v>1825</v>
      </c>
      <c r="I72" s="460" t="s">
        <v>2315</v>
      </c>
      <c r="J72" s="460" t="s">
        <v>1983</v>
      </c>
      <c r="K72" s="460" t="s">
        <v>2669</v>
      </c>
      <c r="L72" s="460" t="s">
        <v>2695</v>
      </c>
      <c r="M72" s="460" t="s">
        <v>1987</v>
      </c>
      <c r="N72" s="460" t="s">
        <v>1986</v>
      </c>
      <c r="O72" s="460" t="s">
        <v>1980</v>
      </c>
      <c r="P72" s="460" t="s">
        <v>1979</v>
      </c>
      <c r="Q72" s="460" t="s">
        <v>1978</v>
      </c>
      <c r="R72" s="460" t="s">
        <v>1977</v>
      </c>
      <c r="S72" s="460" t="s">
        <v>1826</v>
      </c>
      <c r="T72" s="460" t="s">
        <v>1827</v>
      </c>
      <c r="U72" s="461" t="s">
        <v>1976</v>
      </c>
      <c r="V72" s="460" t="s">
        <v>1967</v>
      </c>
      <c r="W72" s="560"/>
      <c r="X72" s="461" t="s">
        <v>2077</v>
      </c>
      <c r="Y72" s="461" t="s">
        <v>2967</v>
      </c>
      <c r="Z72" s="461" t="s">
        <v>170</v>
      </c>
      <c r="AA72" s="460" t="s">
        <v>1218</v>
      </c>
      <c r="AB72" s="561">
        <f>ROUND(258.44,2)</f>
        <v>258.44</v>
      </c>
      <c r="AC72" s="460" t="s">
        <v>308</v>
      </c>
      <c r="AD72" s="460"/>
      <c r="AE72" s="561">
        <f>ROUND(1523.92,2)</f>
        <v>1523.92</v>
      </c>
      <c r="AF72" s="460" t="s">
        <v>308</v>
      </c>
      <c r="AG72" s="561">
        <f t="shared" si="1"/>
        <v>0</v>
      </c>
      <c r="AH72" s="460" t="s">
        <v>2671</v>
      </c>
      <c r="AI72" s="460" t="s">
        <v>1214</v>
      </c>
      <c r="AJ72" s="460" t="s">
        <v>2549</v>
      </c>
      <c r="AK72" s="460" t="s">
        <v>2672</v>
      </c>
      <c r="AL72" s="560" t="s">
        <v>2748</v>
      </c>
      <c r="AM72" s="460" t="s">
        <v>2674</v>
      </c>
    </row>
    <row r="73" spans="1:39" ht="34.200000000000003">
      <c r="A73" s="460" t="s">
        <v>1810</v>
      </c>
      <c r="B73" s="460"/>
      <c r="C73" s="460" t="s">
        <v>2559</v>
      </c>
      <c r="D73" s="460" t="s">
        <v>2726</v>
      </c>
      <c r="E73" s="460" t="s">
        <v>1819</v>
      </c>
      <c r="F73" s="460" t="s">
        <v>1812</v>
      </c>
      <c r="G73" s="461" t="s">
        <v>1218</v>
      </c>
      <c r="H73" s="461" t="s">
        <v>2727</v>
      </c>
      <c r="I73" s="460" t="s">
        <v>2132</v>
      </c>
      <c r="J73" s="460" t="s">
        <v>1983</v>
      </c>
      <c r="K73" s="460" t="s">
        <v>2669</v>
      </c>
      <c r="L73" s="460" t="s">
        <v>2728</v>
      </c>
      <c r="M73" s="460" t="s">
        <v>1987</v>
      </c>
      <c r="N73" s="460" t="s">
        <v>1981</v>
      </c>
      <c r="O73" s="460" t="s">
        <v>1980</v>
      </c>
      <c r="P73" s="460" t="s">
        <v>1979</v>
      </c>
      <c r="Q73" s="460" t="s">
        <v>95</v>
      </c>
      <c r="R73" s="460" t="s">
        <v>1977</v>
      </c>
      <c r="S73" s="460" t="s">
        <v>1842</v>
      </c>
      <c r="T73" s="460" t="s">
        <v>1827</v>
      </c>
      <c r="U73" s="461" t="s">
        <v>1976</v>
      </c>
      <c r="V73" s="460" t="s">
        <v>1119</v>
      </c>
      <c r="W73" s="560"/>
      <c r="X73" s="461" t="s">
        <v>2729</v>
      </c>
      <c r="Y73" s="461" t="s">
        <v>2729</v>
      </c>
      <c r="Z73" s="461" t="s">
        <v>170</v>
      </c>
      <c r="AA73" s="460" t="s">
        <v>1218</v>
      </c>
      <c r="AB73" s="561">
        <f>ROUND(0,2)</f>
        <v>0</v>
      </c>
      <c r="AC73" s="460" t="s">
        <v>308</v>
      </c>
      <c r="AD73" s="460"/>
      <c r="AE73" s="561">
        <f>ROUND(36.23,2)</f>
        <v>36.229999999999997</v>
      </c>
      <c r="AF73" s="460" t="s">
        <v>308</v>
      </c>
      <c r="AG73" s="561">
        <f t="shared" si="1"/>
        <v>0</v>
      </c>
      <c r="AH73" s="460" t="s">
        <v>2671</v>
      </c>
      <c r="AI73" s="460" t="s">
        <v>1214</v>
      </c>
      <c r="AJ73" s="460"/>
      <c r="AK73" s="460"/>
      <c r="AL73" s="560"/>
      <c r="AM73" s="460"/>
    </row>
    <row r="74" spans="1:39" ht="34.200000000000003">
      <c r="A74" s="460" t="s">
        <v>1810</v>
      </c>
      <c r="B74" s="460"/>
      <c r="C74" s="460" t="s">
        <v>2559</v>
      </c>
      <c r="D74" s="460" t="s">
        <v>2726</v>
      </c>
      <c r="E74" s="460" t="s">
        <v>1819</v>
      </c>
      <c r="F74" s="460" t="s">
        <v>1812</v>
      </c>
      <c r="G74" s="461" t="s">
        <v>1218</v>
      </c>
      <c r="H74" s="461" t="s">
        <v>2727</v>
      </c>
      <c r="I74" s="460" t="s">
        <v>2132</v>
      </c>
      <c r="J74" s="460" t="s">
        <v>1983</v>
      </c>
      <c r="K74" s="460" t="s">
        <v>2669</v>
      </c>
      <c r="L74" s="460" t="s">
        <v>2728</v>
      </c>
      <c r="M74" s="460" t="s">
        <v>1987</v>
      </c>
      <c r="N74" s="460" t="s">
        <v>1981</v>
      </c>
      <c r="O74" s="460" t="s">
        <v>1980</v>
      </c>
      <c r="P74" s="460" t="s">
        <v>2675</v>
      </c>
      <c r="Q74" s="460" t="s">
        <v>2676</v>
      </c>
      <c r="R74" s="460" t="s">
        <v>2677</v>
      </c>
      <c r="S74" s="460" t="s">
        <v>2676</v>
      </c>
      <c r="T74" s="460" t="s">
        <v>1827</v>
      </c>
      <c r="U74" s="461" t="s">
        <v>1824</v>
      </c>
      <c r="V74" s="460" t="s">
        <v>1119</v>
      </c>
      <c r="W74" s="560"/>
      <c r="X74" s="461" t="s">
        <v>2729</v>
      </c>
      <c r="Y74" s="461" t="s">
        <v>2729</v>
      </c>
      <c r="Z74" s="461" t="s">
        <v>170</v>
      </c>
      <c r="AA74" s="460" t="s">
        <v>1218</v>
      </c>
      <c r="AB74" s="561">
        <f>ROUND(0,2)</f>
        <v>0</v>
      </c>
      <c r="AC74" s="460" t="s">
        <v>2678</v>
      </c>
      <c r="AD74" s="460"/>
      <c r="AE74" s="561">
        <f>ROUND(500.05,2)</f>
        <v>500.05</v>
      </c>
      <c r="AF74" s="460" t="s">
        <v>2679</v>
      </c>
      <c r="AG74" s="561">
        <f t="shared" si="1"/>
        <v>0</v>
      </c>
      <c r="AH74" s="460" t="s">
        <v>2671</v>
      </c>
      <c r="AI74" s="460" t="s">
        <v>1214</v>
      </c>
      <c r="AJ74" s="460"/>
      <c r="AK74" s="460"/>
      <c r="AL74" s="560"/>
      <c r="AM74" s="460"/>
    </row>
    <row r="75" spans="1:39" ht="34.200000000000003">
      <c r="A75" s="460" t="s">
        <v>1810</v>
      </c>
      <c r="B75" s="460"/>
      <c r="C75" s="460" t="s">
        <v>2559</v>
      </c>
      <c r="D75" s="460" t="s">
        <v>2726</v>
      </c>
      <c r="E75" s="460" t="s">
        <v>1819</v>
      </c>
      <c r="F75" s="460" t="s">
        <v>1812</v>
      </c>
      <c r="G75" s="461" t="s">
        <v>1218</v>
      </c>
      <c r="H75" s="461" t="s">
        <v>2727</v>
      </c>
      <c r="I75" s="460" t="s">
        <v>2132</v>
      </c>
      <c r="J75" s="460" t="s">
        <v>1983</v>
      </c>
      <c r="K75" s="460" t="s">
        <v>2669</v>
      </c>
      <c r="L75" s="460" t="s">
        <v>2728</v>
      </c>
      <c r="M75" s="460" t="s">
        <v>1987</v>
      </c>
      <c r="N75" s="460" t="s">
        <v>1981</v>
      </c>
      <c r="O75" s="460" t="s">
        <v>1980</v>
      </c>
      <c r="P75" s="460" t="s">
        <v>1979</v>
      </c>
      <c r="Q75" s="460" t="s">
        <v>1978</v>
      </c>
      <c r="R75" s="460" t="s">
        <v>1977</v>
      </c>
      <c r="S75" s="460" t="s">
        <v>1826</v>
      </c>
      <c r="T75" s="460" t="s">
        <v>1827</v>
      </c>
      <c r="U75" s="461" t="s">
        <v>1976</v>
      </c>
      <c r="V75" s="460" t="s">
        <v>1119</v>
      </c>
      <c r="W75" s="560"/>
      <c r="X75" s="461" t="s">
        <v>2729</v>
      </c>
      <c r="Y75" s="461" t="s">
        <v>2729</v>
      </c>
      <c r="Z75" s="461" t="s">
        <v>170</v>
      </c>
      <c r="AA75" s="460" t="s">
        <v>1218</v>
      </c>
      <c r="AB75" s="561">
        <f>ROUND(25.63,2)</f>
        <v>25.63</v>
      </c>
      <c r="AC75" s="460" t="s">
        <v>308</v>
      </c>
      <c r="AD75" s="460"/>
      <c r="AE75" s="561">
        <f>ROUND(828.65,2)</f>
        <v>828.65</v>
      </c>
      <c r="AF75" s="460" t="s">
        <v>308</v>
      </c>
      <c r="AG75" s="561">
        <f t="shared" si="1"/>
        <v>0</v>
      </c>
      <c r="AH75" s="460" t="s">
        <v>2671</v>
      </c>
      <c r="AI75" s="460" t="s">
        <v>1214</v>
      </c>
      <c r="AJ75" s="460" t="s">
        <v>2549</v>
      </c>
      <c r="AK75" s="460" t="s">
        <v>2672</v>
      </c>
      <c r="AL75" s="560" t="s">
        <v>2685</v>
      </c>
      <c r="AM75" s="460" t="s">
        <v>2674</v>
      </c>
    </row>
    <row r="76" spans="1:39" ht="22.8">
      <c r="A76" s="460" t="s">
        <v>1810</v>
      </c>
      <c r="B76" s="460"/>
      <c r="C76" s="460" t="s">
        <v>1261</v>
      </c>
      <c r="D76" s="460" t="s">
        <v>2343</v>
      </c>
      <c r="E76" s="460" t="s">
        <v>1814</v>
      </c>
      <c r="F76" s="460" t="s">
        <v>1812</v>
      </c>
      <c r="G76" s="461" t="s">
        <v>1218</v>
      </c>
      <c r="H76" s="461" t="s">
        <v>195</v>
      </c>
      <c r="I76" s="460" t="s">
        <v>2342</v>
      </c>
      <c r="J76" s="460" t="s">
        <v>1983</v>
      </c>
      <c r="K76" s="460" t="s">
        <v>2669</v>
      </c>
      <c r="L76" s="460" t="s">
        <v>2703</v>
      </c>
      <c r="M76" s="460" t="s">
        <v>1982</v>
      </c>
      <c r="N76" s="460" t="s">
        <v>1981</v>
      </c>
      <c r="O76" s="460" t="s">
        <v>1980</v>
      </c>
      <c r="P76" s="460" t="s">
        <v>1979</v>
      </c>
      <c r="Q76" s="460" t="s">
        <v>95</v>
      </c>
      <c r="R76" s="460" t="s">
        <v>1977</v>
      </c>
      <c r="S76" s="460" t="s">
        <v>1842</v>
      </c>
      <c r="T76" s="460" t="s">
        <v>1827</v>
      </c>
      <c r="U76" s="461" t="s">
        <v>1976</v>
      </c>
      <c r="V76" s="460" t="s">
        <v>1843</v>
      </c>
      <c r="W76" s="560"/>
      <c r="X76" s="461" t="s">
        <v>1824</v>
      </c>
      <c r="Y76" s="461" t="s">
        <v>1824</v>
      </c>
      <c r="Z76" s="461" t="s">
        <v>170</v>
      </c>
      <c r="AA76" s="460" t="s">
        <v>1218</v>
      </c>
      <c r="AB76" s="561">
        <f>ROUND(30.41,2)</f>
        <v>30.41</v>
      </c>
      <c r="AC76" s="460" t="s">
        <v>308</v>
      </c>
      <c r="AD76" s="460"/>
      <c r="AE76" s="561">
        <f>ROUND(70.29,2)</f>
        <v>70.290000000000006</v>
      </c>
      <c r="AF76" s="460" t="s">
        <v>308</v>
      </c>
      <c r="AG76" s="561">
        <f t="shared" si="1"/>
        <v>0</v>
      </c>
      <c r="AH76" s="460" t="s">
        <v>2671</v>
      </c>
      <c r="AI76" s="460" t="s">
        <v>1214</v>
      </c>
      <c r="AJ76" s="460" t="s">
        <v>2548</v>
      </c>
      <c r="AK76" s="460" t="s">
        <v>2672</v>
      </c>
      <c r="AL76" s="560" t="s">
        <v>2673</v>
      </c>
      <c r="AM76" s="460" t="s">
        <v>2674</v>
      </c>
    </row>
    <row r="77" spans="1:39" ht="22.8">
      <c r="A77" s="460" t="s">
        <v>1810</v>
      </c>
      <c r="B77" s="460"/>
      <c r="C77" s="460" t="s">
        <v>1261</v>
      </c>
      <c r="D77" s="460" t="s">
        <v>2343</v>
      </c>
      <c r="E77" s="460" t="s">
        <v>1814</v>
      </c>
      <c r="F77" s="460" t="s">
        <v>1812</v>
      </c>
      <c r="G77" s="461" t="s">
        <v>1218</v>
      </c>
      <c r="H77" s="461" t="s">
        <v>195</v>
      </c>
      <c r="I77" s="460" t="s">
        <v>2342</v>
      </c>
      <c r="J77" s="460" t="s">
        <v>1983</v>
      </c>
      <c r="K77" s="460" t="s">
        <v>2669</v>
      </c>
      <c r="L77" s="460" t="s">
        <v>2703</v>
      </c>
      <c r="M77" s="460" t="s">
        <v>1982</v>
      </c>
      <c r="N77" s="460" t="s">
        <v>1981</v>
      </c>
      <c r="O77" s="460" t="s">
        <v>1980</v>
      </c>
      <c r="P77" s="460" t="s">
        <v>2675</v>
      </c>
      <c r="Q77" s="460" t="s">
        <v>2676</v>
      </c>
      <c r="R77" s="460" t="s">
        <v>2677</v>
      </c>
      <c r="S77" s="460" t="s">
        <v>2676</v>
      </c>
      <c r="T77" s="460" t="s">
        <v>1827</v>
      </c>
      <c r="U77" s="461" t="s">
        <v>1824</v>
      </c>
      <c r="V77" s="460" t="s">
        <v>1843</v>
      </c>
      <c r="W77" s="560"/>
      <c r="X77" s="461" t="s">
        <v>1824</v>
      </c>
      <c r="Y77" s="461" t="s">
        <v>1824</v>
      </c>
      <c r="Z77" s="461" t="s">
        <v>170</v>
      </c>
      <c r="AA77" s="460" t="s">
        <v>1218</v>
      </c>
      <c r="AB77" s="561">
        <f>ROUND(40,2)</f>
        <v>40</v>
      </c>
      <c r="AC77" s="460" t="s">
        <v>2678</v>
      </c>
      <c r="AD77" s="460"/>
      <c r="AE77" s="561">
        <f>ROUND(1000,2)</f>
        <v>1000</v>
      </c>
      <c r="AF77" s="460" t="s">
        <v>2679</v>
      </c>
      <c r="AG77" s="561">
        <f t="shared" si="1"/>
        <v>0</v>
      </c>
      <c r="AH77" s="460" t="s">
        <v>2671</v>
      </c>
      <c r="AI77" s="460" t="s">
        <v>1214</v>
      </c>
      <c r="AJ77" s="460" t="s">
        <v>2550</v>
      </c>
      <c r="AK77" s="460" t="s">
        <v>2672</v>
      </c>
      <c r="AL77" s="560" t="s">
        <v>2704</v>
      </c>
      <c r="AM77" s="460" t="s">
        <v>2674</v>
      </c>
    </row>
    <row r="78" spans="1:39" ht="22.8">
      <c r="A78" s="460" t="s">
        <v>1810</v>
      </c>
      <c r="B78" s="460"/>
      <c r="C78" s="460" t="s">
        <v>1261</v>
      </c>
      <c r="D78" s="460" t="s">
        <v>2343</v>
      </c>
      <c r="E78" s="460" t="s">
        <v>1814</v>
      </c>
      <c r="F78" s="460" t="s">
        <v>1812</v>
      </c>
      <c r="G78" s="461" t="s">
        <v>1218</v>
      </c>
      <c r="H78" s="461" t="s">
        <v>195</v>
      </c>
      <c r="I78" s="460" t="s">
        <v>2342</v>
      </c>
      <c r="J78" s="460" t="s">
        <v>1983</v>
      </c>
      <c r="K78" s="460" t="s">
        <v>2669</v>
      </c>
      <c r="L78" s="460" t="s">
        <v>2703</v>
      </c>
      <c r="M78" s="460" t="s">
        <v>1982</v>
      </c>
      <c r="N78" s="460" t="s">
        <v>1981</v>
      </c>
      <c r="O78" s="460" t="s">
        <v>1980</v>
      </c>
      <c r="P78" s="460" t="s">
        <v>1979</v>
      </c>
      <c r="Q78" s="460" t="s">
        <v>1978</v>
      </c>
      <c r="R78" s="460" t="s">
        <v>1977</v>
      </c>
      <c r="S78" s="460" t="s">
        <v>1826</v>
      </c>
      <c r="T78" s="460" t="s">
        <v>1827</v>
      </c>
      <c r="U78" s="461" t="s">
        <v>1976</v>
      </c>
      <c r="V78" s="460" t="s">
        <v>1843</v>
      </c>
      <c r="W78" s="560"/>
      <c r="X78" s="461" t="s">
        <v>1824</v>
      </c>
      <c r="Y78" s="461" t="s">
        <v>1824</v>
      </c>
      <c r="Z78" s="461" t="s">
        <v>170</v>
      </c>
      <c r="AA78" s="460" t="s">
        <v>1218</v>
      </c>
      <c r="AB78" s="561">
        <f>ROUND(475.32,2)</f>
        <v>475.32</v>
      </c>
      <c r="AC78" s="460" t="s">
        <v>308</v>
      </c>
      <c r="AD78" s="460"/>
      <c r="AE78" s="561">
        <f>ROUND(1656.14,2)</f>
        <v>1656.14</v>
      </c>
      <c r="AF78" s="460" t="s">
        <v>308</v>
      </c>
      <c r="AG78" s="561">
        <f t="shared" si="1"/>
        <v>0</v>
      </c>
      <c r="AH78" s="460" t="s">
        <v>2671</v>
      </c>
      <c r="AI78" s="460" t="s">
        <v>1214</v>
      </c>
      <c r="AJ78" s="460" t="s">
        <v>2549</v>
      </c>
      <c r="AK78" s="460" t="s">
        <v>2672</v>
      </c>
      <c r="AL78" s="560" t="s">
        <v>2718</v>
      </c>
      <c r="AM78" s="460" t="s">
        <v>2674</v>
      </c>
    </row>
    <row r="79" spans="1:39" ht="34.200000000000003">
      <c r="A79" s="460" t="s">
        <v>1810</v>
      </c>
      <c r="B79" s="460"/>
      <c r="C79" s="460" t="s">
        <v>2482</v>
      </c>
      <c r="D79" s="460" t="s">
        <v>2730</v>
      </c>
      <c r="E79" s="460" t="s">
        <v>1835</v>
      </c>
      <c r="F79" s="460" t="s">
        <v>1812</v>
      </c>
      <c r="G79" s="461" t="s">
        <v>1218</v>
      </c>
      <c r="H79" s="461" t="s">
        <v>2731</v>
      </c>
      <c r="I79" s="460" t="s">
        <v>2732</v>
      </c>
      <c r="J79" s="460" t="s">
        <v>1983</v>
      </c>
      <c r="K79" s="460" t="s">
        <v>2669</v>
      </c>
      <c r="L79" s="460" t="s">
        <v>2733</v>
      </c>
      <c r="M79" s="460" t="s">
        <v>2002</v>
      </c>
      <c r="N79" s="460" t="s">
        <v>1986</v>
      </c>
      <c r="O79" s="460" t="s">
        <v>1980</v>
      </c>
      <c r="P79" s="460" t="s">
        <v>1979</v>
      </c>
      <c r="Q79" s="460" t="s">
        <v>95</v>
      </c>
      <c r="R79" s="460" t="s">
        <v>1977</v>
      </c>
      <c r="S79" s="460" t="s">
        <v>1842</v>
      </c>
      <c r="T79" s="460" t="s">
        <v>1827</v>
      </c>
      <c r="U79" s="461" t="s">
        <v>1976</v>
      </c>
      <c r="V79" s="460" t="s">
        <v>1119</v>
      </c>
      <c r="W79" s="560"/>
      <c r="X79" s="461" t="s">
        <v>2734</v>
      </c>
      <c r="Y79" s="461" t="s">
        <v>2734</v>
      </c>
      <c r="Z79" s="461" t="s">
        <v>170</v>
      </c>
      <c r="AA79" s="460" t="s">
        <v>1218</v>
      </c>
      <c r="AB79" s="561">
        <f>ROUND(0,2)</f>
        <v>0</v>
      </c>
      <c r="AC79" s="460" t="s">
        <v>308</v>
      </c>
      <c r="AD79" s="460"/>
      <c r="AE79" s="561">
        <f>ROUND(36.23,2)</f>
        <v>36.229999999999997</v>
      </c>
      <c r="AF79" s="460" t="s">
        <v>308</v>
      </c>
      <c r="AG79" s="561">
        <f t="shared" si="1"/>
        <v>0</v>
      </c>
      <c r="AH79" s="460" t="s">
        <v>2671</v>
      </c>
      <c r="AI79" s="460" t="s">
        <v>1214</v>
      </c>
      <c r="AJ79" s="460"/>
      <c r="AK79" s="460"/>
      <c r="AL79" s="560"/>
      <c r="AM79" s="460"/>
    </row>
    <row r="80" spans="1:39" ht="34.200000000000003">
      <c r="A80" s="460" t="s">
        <v>1810</v>
      </c>
      <c r="B80" s="460"/>
      <c r="C80" s="460" t="s">
        <v>2482</v>
      </c>
      <c r="D80" s="460" t="s">
        <v>2730</v>
      </c>
      <c r="E80" s="460" t="s">
        <v>1835</v>
      </c>
      <c r="F80" s="460" t="s">
        <v>1812</v>
      </c>
      <c r="G80" s="461" t="s">
        <v>1218</v>
      </c>
      <c r="H80" s="461" t="s">
        <v>2731</v>
      </c>
      <c r="I80" s="460" t="s">
        <v>2732</v>
      </c>
      <c r="J80" s="460" t="s">
        <v>1983</v>
      </c>
      <c r="K80" s="460" t="s">
        <v>2669</v>
      </c>
      <c r="L80" s="460" t="s">
        <v>2733</v>
      </c>
      <c r="M80" s="460" t="s">
        <v>2002</v>
      </c>
      <c r="N80" s="460" t="s">
        <v>1986</v>
      </c>
      <c r="O80" s="460" t="s">
        <v>1980</v>
      </c>
      <c r="P80" s="460" t="s">
        <v>2675</v>
      </c>
      <c r="Q80" s="460" t="s">
        <v>2676</v>
      </c>
      <c r="R80" s="460" t="s">
        <v>2677</v>
      </c>
      <c r="S80" s="460" t="s">
        <v>2676</v>
      </c>
      <c r="T80" s="460" t="s">
        <v>1827</v>
      </c>
      <c r="U80" s="461" t="s">
        <v>1824</v>
      </c>
      <c r="V80" s="460" t="s">
        <v>1119</v>
      </c>
      <c r="W80" s="560"/>
      <c r="X80" s="461" t="s">
        <v>2734</v>
      </c>
      <c r="Y80" s="461" t="s">
        <v>2734</v>
      </c>
      <c r="Z80" s="461" t="s">
        <v>170</v>
      </c>
      <c r="AA80" s="460" t="s">
        <v>1218</v>
      </c>
      <c r="AB80" s="561">
        <f>ROUND(50,2)</f>
        <v>50</v>
      </c>
      <c r="AC80" s="460" t="s">
        <v>2678</v>
      </c>
      <c r="AD80" s="460"/>
      <c r="AE80" s="561">
        <f>ROUND(500.05,2)</f>
        <v>500.05</v>
      </c>
      <c r="AF80" s="460" t="s">
        <v>2679</v>
      </c>
      <c r="AG80" s="561">
        <f t="shared" si="1"/>
        <v>0</v>
      </c>
      <c r="AH80" s="460" t="s">
        <v>2671</v>
      </c>
      <c r="AI80" s="460" t="s">
        <v>1214</v>
      </c>
      <c r="AJ80" s="460" t="s">
        <v>2550</v>
      </c>
      <c r="AK80" s="460" t="s">
        <v>2672</v>
      </c>
      <c r="AL80" s="560" t="s">
        <v>2690</v>
      </c>
      <c r="AM80" s="460" t="s">
        <v>2674</v>
      </c>
    </row>
    <row r="81" spans="1:39" ht="34.200000000000003">
      <c r="A81" s="460" t="s">
        <v>1810</v>
      </c>
      <c r="B81" s="460"/>
      <c r="C81" s="460" t="s">
        <v>2482</v>
      </c>
      <c r="D81" s="460" t="s">
        <v>2730</v>
      </c>
      <c r="E81" s="460" t="s">
        <v>1835</v>
      </c>
      <c r="F81" s="460" t="s">
        <v>1812</v>
      </c>
      <c r="G81" s="461" t="s">
        <v>1218</v>
      </c>
      <c r="H81" s="461" t="s">
        <v>2731</v>
      </c>
      <c r="I81" s="460" t="s">
        <v>2732</v>
      </c>
      <c r="J81" s="460" t="s">
        <v>1983</v>
      </c>
      <c r="K81" s="460" t="s">
        <v>2669</v>
      </c>
      <c r="L81" s="460" t="s">
        <v>2733</v>
      </c>
      <c r="M81" s="460" t="s">
        <v>2002</v>
      </c>
      <c r="N81" s="460" t="s">
        <v>1986</v>
      </c>
      <c r="O81" s="460" t="s">
        <v>1980</v>
      </c>
      <c r="P81" s="460" t="s">
        <v>1979</v>
      </c>
      <c r="Q81" s="460" t="s">
        <v>1978</v>
      </c>
      <c r="R81" s="460" t="s">
        <v>1977</v>
      </c>
      <c r="S81" s="460" t="s">
        <v>1826</v>
      </c>
      <c r="T81" s="460" t="s">
        <v>1827</v>
      </c>
      <c r="U81" s="461" t="s">
        <v>1976</v>
      </c>
      <c r="V81" s="460" t="s">
        <v>1119</v>
      </c>
      <c r="W81" s="560"/>
      <c r="X81" s="461" t="s">
        <v>2734</v>
      </c>
      <c r="Y81" s="461" t="s">
        <v>2734</v>
      </c>
      <c r="Z81" s="461" t="s">
        <v>170</v>
      </c>
      <c r="AA81" s="460" t="s">
        <v>1218</v>
      </c>
      <c r="AB81" s="561">
        <f>ROUND(25.63,2)</f>
        <v>25.63</v>
      </c>
      <c r="AC81" s="460" t="s">
        <v>308</v>
      </c>
      <c r="AD81" s="460"/>
      <c r="AE81" s="561">
        <f>ROUND(828.65,2)</f>
        <v>828.65</v>
      </c>
      <c r="AF81" s="460" t="s">
        <v>308</v>
      </c>
      <c r="AG81" s="561">
        <f t="shared" si="1"/>
        <v>0</v>
      </c>
      <c r="AH81" s="460" t="s">
        <v>2671</v>
      </c>
      <c r="AI81" s="460" t="s">
        <v>1214</v>
      </c>
      <c r="AJ81" s="460" t="s">
        <v>2549</v>
      </c>
      <c r="AK81" s="460" t="s">
        <v>2672</v>
      </c>
      <c r="AL81" s="560" t="s">
        <v>2685</v>
      </c>
      <c r="AM81" s="460" t="s">
        <v>2674</v>
      </c>
    </row>
    <row r="82" spans="1:39" ht="22.8">
      <c r="A82" s="460" t="s">
        <v>1810</v>
      </c>
      <c r="B82" s="460"/>
      <c r="C82" s="460" t="s">
        <v>1932</v>
      </c>
      <c r="D82" s="460" t="s">
        <v>2341</v>
      </c>
      <c r="E82" s="460" t="s">
        <v>1811</v>
      </c>
      <c r="F82" s="460" t="s">
        <v>1812</v>
      </c>
      <c r="G82" s="461" t="s">
        <v>1218</v>
      </c>
      <c r="H82" s="461" t="s">
        <v>1965</v>
      </c>
      <c r="I82" s="460" t="s">
        <v>2340</v>
      </c>
      <c r="J82" s="460" t="s">
        <v>1990</v>
      </c>
      <c r="K82" s="460" t="s">
        <v>2669</v>
      </c>
      <c r="L82" s="460" t="s">
        <v>2670</v>
      </c>
      <c r="M82" s="460" t="s">
        <v>2169</v>
      </c>
      <c r="N82" s="460" t="s">
        <v>1981</v>
      </c>
      <c r="O82" s="460" t="s">
        <v>1980</v>
      </c>
      <c r="P82" s="460" t="s">
        <v>1979</v>
      </c>
      <c r="Q82" s="460" t="s">
        <v>95</v>
      </c>
      <c r="R82" s="460" t="s">
        <v>1977</v>
      </c>
      <c r="S82" s="460" t="s">
        <v>1842</v>
      </c>
      <c r="T82" s="460" t="s">
        <v>1827</v>
      </c>
      <c r="U82" s="461" t="s">
        <v>1976</v>
      </c>
      <c r="V82" s="460" t="s">
        <v>1119</v>
      </c>
      <c r="W82" s="560"/>
      <c r="X82" s="461" t="s">
        <v>1993</v>
      </c>
      <c r="Y82" s="461" t="s">
        <v>1993</v>
      </c>
      <c r="Z82" s="461" t="s">
        <v>170</v>
      </c>
      <c r="AA82" s="460" t="s">
        <v>1218</v>
      </c>
      <c r="AB82" s="561">
        <f>ROUND(0,2)</f>
        <v>0</v>
      </c>
      <c r="AC82" s="460" t="s">
        <v>308</v>
      </c>
      <c r="AD82" s="460"/>
      <c r="AE82" s="561">
        <f>ROUND(36.23,2)</f>
        <v>36.229999999999997</v>
      </c>
      <c r="AF82" s="460" t="s">
        <v>308</v>
      </c>
      <c r="AG82" s="561">
        <f t="shared" si="1"/>
        <v>0</v>
      </c>
      <c r="AH82" s="460" t="s">
        <v>2671</v>
      </c>
      <c r="AI82" s="460" t="s">
        <v>1214</v>
      </c>
      <c r="AJ82" s="460"/>
      <c r="AK82" s="460"/>
      <c r="AL82" s="560"/>
      <c r="AM82" s="460"/>
    </row>
    <row r="83" spans="1:39" ht="22.8">
      <c r="A83" s="460" t="s">
        <v>1810</v>
      </c>
      <c r="B83" s="460"/>
      <c r="C83" s="460" t="s">
        <v>1932</v>
      </c>
      <c r="D83" s="460" t="s">
        <v>2341</v>
      </c>
      <c r="E83" s="460" t="s">
        <v>1811</v>
      </c>
      <c r="F83" s="460" t="s">
        <v>1812</v>
      </c>
      <c r="G83" s="461" t="s">
        <v>1218</v>
      </c>
      <c r="H83" s="461" t="s">
        <v>1965</v>
      </c>
      <c r="I83" s="460" t="s">
        <v>2340</v>
      </c>
      <c r="J83" s="460" t="s">
        <v>1990</v>
      </c>
      <c r="K83" s="460" t="s">
        <v>2669</v>
      </c>
      <c r="L83" s="460" t="s">
        <v>2670</v>
      </c>
      <c r="M83" s="460" t="s">
        <v>2169</v>
      </c>
      <c r="N83" s="460" t="s">
        <v>1981</v>
      </c>
      <c r="O83" s="460" t="s">
        <v>1980</v>
      </c>
      <c r="P83" s="460" t="s">
        <v>2675</v>
      </c>
      <c r="Q83" s="460" t="s">
        <v>2676</v>
      </c>
      <c r="R83" s="460" t="s">
        <v>2677</v>
      </c>
      <c r="S83" s="460" t="s">
        <v>2676</v>
      </c>
      <c r="T83" s="460" t="s">
        <v>1827</v>
      </c>
      <c r="U83" s="461" t="s">
        <v>1824</v>
      </c>
      <c r="V83" s="460" t="s">
        <v>1119</v>
      </c>
      <c r="W83" s="560"/>
      <c r="X83" s="461" t="s">
        <v>1993</v>
      </c>
      <c r="Y83" s="461" t="s">
        <v>1993</v>
      </c>
      <c r="Z83" s="461" t="s">
        <v>170</v>
      </c>
      <c r="AA83" s="460" t="s">
        <v>1218</v>
      </c>
      <c r="AB83" s="561">
        <f>ROUND(0,2)</f>
        <v>0</v>
      </c>
      <c r="AC83" s="460" t="s">
        <v>2678</v>
      </c>
      <c r="AD83" s="460"/>
      <c r="AE83" s="561">
        <f>ROUND(500.05,2)</f>
        <v>500.05</v>
      </c>
      <c r="AF83" s="460" t="s">
        <v>2679</v>
      </c>
      <c r="AG83" s="561">
        <f t="shared" si="1"/>
        <v>0</v>
      </c>
      <c r="AH83" s="460" t="s">
        <v>2671</v>
      </c>
      <c r="AI83" s="460" t="s">
        <v>1214</v>
      </c>
      <c r="AJ83" s="460"/>
      <c r="AK83" s="460"/>
      <c r="AL83" s="560"/>
      <c r="AM83" s="460"/>
    </row>
    <row r="84" spans="1:39" ht="22.8">
      <c r="A84" s="460" t="s">
        <v>1810</v>
      </c>
      <c r="B84" s="460"/>
      <c r="C84" s="460" t="s">
        <v>1932</v>
      </c>
      <c r="D84" s="460" t="s">
        <v>2341</v>
      </c>
      <c r="E84" s="460" t="s">
        <v>1811</v>
      </c>
      <c r="F84" s="460" t="s">
        <v>1812</v>
      </c>
      <c r="G84" s="461" t="s">
        <v>1218</v>
      </c>
      <c r="H84" s="461" t="s">
        <v>1965</v>
      </c>
      <c r="I84" s="460" t="s">
        <v>2340</v>
      </c>
      <c r="J84" s="460" t="s">
        <v>1990</v>
      </c>
      <c r="K84" s="460" t="s">
        <v>2669</v>
      </c>
      <c r="L84" s="460" t="s">
        <v>2670</v>
      </c>
      <c r="M84" s="460" t="s">
        <v>2169</v>
      </c>
      <c r="N84" s="460" t="s">
        <v>1981</v>
      </c>
      <c r="O84" s="460" t="s">
        <v>1980</v>
      </c>
      <c r="P84" s="460" t="s">
        <v>1979</v>
      </c>
      <c r="Q84" s="460" t="s">
        <v>1978</v>
      </c>
      <c r="R84" s="460" t="s">
        <v>1977</v>
      </c>
      <c r="S84" s="460" t="s">
        <v>1826</v>
      </c>
      <c r="T84" s="460" t="s">
        <v>1827</v>
      </c>
      <c r="U84" s="461" t="s">
        <v>1976</v>
      </c>
      <c r="V84" s="460" t="s">
        <v>1119</v>
      </c>
      <c r="W84" s="560"/>
      <c r="X84" s="461" t="s">
        <v>1993</v>
      </c>
      <c r="Y84" s="461" t="s">
        <v>1993</v>
      </c>
      <c r="Z84" s="461" t="s">
        <v>170</v>
      </c>
      <c r="AA84" s="460" t="s">
        <v>1218</v>
      </c>
      <c r="AB84" s="561">
        <f>ROUND(25.63,2)</f>
        <v>25.63</v>
      </c>
      <c r="AC84" s="460" t="s">
        <v>308</v>
      </c>
      <c r="AD84" s="460"/>
      <c r="AE84" s="561">
        <f>ROUND(828.65,2)</f>
        <v>828.65</v>
      </c>
      <c r="AF84" s="460" t="s">
        <v>308</v>
      </c>
      <c r="AG84" s="561">
        <f t="shared" si="1"/>
        <v>0</v>
      </c>
      <c r="AH84" s="460" t="s">
        <v>2671</v>
      </c>
      <c r="AI84" s="460" t="s">
        <v>1214</v>
      </c>
      <c r="AJ84" s="460" t="s">
        <v>2549</v>
      </c>
      <c r="AK84" s="460" t="s">
        <v>2672</v>
      </c>
      <c r="AL84" s="560" t="s">
        <v>2685</v>
      </c>
      <c r="AM84" s="460" t="s">
        <v>2674</v>
      </c>
    </row>
    <row r="85" spans="1:39" ht="34.200000000000003">
      <c r="A85" s="460" t="s">
        <v>1810</v>
      </c>
      <c r="B85" s="460"/>
      <c r="C85" s="460" t="s">
        <v>1698</v>
      </c>
      <c r="D85" s="460" t="s">
        <v>2339</v>
      </c>
      <c r="E85" s="460" t="s">
        <v>1828</v>
      </c>
      <c r="F85" s="460" t="s">
        <v>1812</v>
      </c>
      <c r="G85" s="461" t="s">
        <v>1218</v>
      </c>
      <c r="H85" s="461" t="s">
        <v>185</v>
      </c>
      <c r="I85" s="460" t="s">
        <v>2239</v>
      </c>
      <c r="J85" s="460" t="s">
        <v>1990</v>
      </c>
      <c r="K85" s="460" t="s">
        <v>2669</v>
      </c>
      <c r="L85" s="460" t="s">
        <v>2735</v>
      </c>
      <c r="M85" s="460" t="s">
        <v>2002</v>
      </c>
      <c r="N85" s="460" t="s">
        <v>1981</v>
      </c>
      <c r="O85" s="460" t="s">
        <v>1980</v>
      </c>
      <c r="P85" s="460" t="s">
        <v>1979</v>
      </c>
      <c r="Q85" s="460" t="s">
        <v>95</v>
      </c>
      <c r="R85" s="460" t="s">
        <v>1977</v>
      </c>
      <c r="S85" s="460" t="s">
        <v>1842</v>
      </c>
      <c r="T85" s="460" t="s">
        <v>1827</v>
      </c>
      <c r="U85" s="461" t="s">
        <v>1976</v>
      </c>
      <c r="V85" s="460" t="s">
        <v>1119</v>
      </c>
      <c r="W85" s="560"/>
      <c r="X85" s="461" t="s">
        <v>1824</v>
      </c>
      <c r="Y85" s="461" t="s">
        <v>1824</v>
      </c>
      <c r="Z85" s="461" t="s">
        <v>170</v>
      </c>
      <c r="AA85" s="460" t="s">
        <v>1218</v>
      </c>
      <c r="AB85" s="561">
        <f>ROUND(0,2)</f>
        <v>0</v>
      </c>
      <c r="AC85" s="460" t="s">
        <v>308</v>
      </c>
      <c r="AD85" s="460"/>
      <c r="AE85" s="561">
        <f>ROUND(36.23,2)</f>
        <v>36.229999999999997</v>
      </c>
      <c r="AF85" s="460" t="s">
        <v>308</v>
      </c>
      <c r="AG85" s="561">
        <f t="shared" si="1"/>
        <v>0</v>
      </c>
      <c r="AH85" s="460" t="s">
        <v>2671</v>
      </c>
      <c r="AI85" s="460" t="s">
        <v>1214</v>
      </c>
      <c r="AJ85" s="460"/>
      <c r="AK85" s="460"/>
      <c r="AL85" s="560"/>
      <c r="AM85" s="460"/>
    </row>
    <row r="86" spans="1:39" ht="34.200000000000003">
      <c r="A86" s="460" t="s">
        <v>1810</v>
      </c>
      <c r="B86" s="460"/>
      <c r="C86" s="460" t="s">
        <v>1698</v>
      </c>
      <c r="D86" s="460" t="s">
        <v>2339</v>
      </c>
      <c r="E86" s="460" t="s">
        <v>1828</v>
      </c>
      <c r="F86" s="460" t="s">
        <v>1812</v>
      </c>
      <c r="G86" s="461" t="s">
        <v>1218</v>
      </c>
      <c r="H86" s="461" t="s">
        <v>185</v>
      </c>
      <c r="I86" s="460" t="s">
        <v>2239</v>
      </c>
      <c r="J86" s="460" t="s">
        <v>1990</v>
      </c>
      <c r="K86" s="460" t="s">
        <v>2669</v>
      </c>
      <c r="L86" s="460" t="s">
        <v>2735</v>
      </c>
      <c r="M86" s="460" t="s">
        <v>2002</v>
      </c>
      <c r="N86" s="460" t="s">
        <v>1981</v>
      </c>
      <c r="O86" s="460" t="s">
        <v>1980</v>
      </c>
      <c r="P86" s="460" t="s">
        <v>1979</v>
      </c>
      <c r="Q86" s="460" t="s">
        <v>1978</v>
      </c>
      <c r="R86" s="460" t="s">
        <v>1977</v>
      </c>
      <c r="S86" s="460" t="s">
        <v>1826</v>
      </c>
      <c r="T86" s="460" t="s">
        <v>1827</v>
      </c>
      <c r="U86" s="461" t="s">
        <v>1976</v>
      </c>
      <c r="V86" s="460" t="s">
        <v>1119</v>
      </c>
      <c r="W86" s="560"/>
      <c r="X86" s="461" t="s">
        <v>1824</v>
      </c>
      <c r="Y86" s="461" t="s">
        <v>1824</v>
      </c>
      <c r="Z86" s="461" t="s">
        <v>170</v>
      </c>
      <c r="AA86" s="460" t="s">
        <v>1218</v>
      </c>
      <c r="AB86" s="561">
        <f>ROUND(25.63,2)</f>
        <v>25.63</v>
      </c>
      <c r="AC86" s="460" t="s">
        <v>308</v>
      </c>
      <c r="AD86" s="460"/>
      <c r="AE86" s="561">
        <f>ROUND(828.65,2)</f>
        <v>828.65</v>
      </c>
      <c r="AF86" s="460" t="s">
        <v>308</v>
      </c>
      <c r="AG86" s="561">
        <f t="shared" si="1"/>
        <v>0</v>
      </c>
      <c r="AH86" s="460" t="s">
        <v>2671</v>
      </c>
      <c r="AI86" s="460" t="s">
        <v>1214</v>
      </c>
      <c r="AJ86" s="460" t="s">
        <v>2549</v>
      </c>
      <c r="AK86" s="460" t="s">
        <v>2672</v>
      </c>
      <c r="AL86" s="560" t="s">
        <v>2685</v>
      </c>
      <c r="AM86" s="460" t="s">
        <v>2674</v>
      </c>
    </row>
    <row r="87" spans="1:39" ht="34.200000000000003">
      <c r="A87" s="460" t="s">
        <v>1810</v>
      </c>
      <c r="B87" s="460"/>
      <c r="C87" s="460" t="s">
        <v>2898</v>
      </c>
      <c r="D87" s="460" t="s">
        <v>2968</v>
      </c>
      <c r="E87" s="460" t="s">
        <v>1840</v>
      </c>
      <c r="F87" s="460" t="s">
        <v>1812</v>
      </c>
      <c r="G87" s="461" t="s">
        <v>1218</v>
      </c>
      <c r="H87" s="461" t="s">
        <v>2969</v>
      </c>
      <c r="I87" s="460" t="s">
        <v>2970</v>
      </c>
      <c r="J87" s="460" t="s">
        <v>1983</v>
      </c>
      <c r="K87" s="460" t="s">
        <v>2669</v>
      </c>
      <c r="L87" s="460" t="s">
        <v>2746</v>
      </c>
      <c r="M87" s="460" t="s">
        <v>1987</v>
      </c>
      <c r="N87" s="460" t="s">
        <v>1986</v>
      </c>
      <c r="O87" s="460" t="s">
        <v>1980</v>
      </c>
      <c r="P87" s="460" t="s">
        <v>1979</v>
      </c>
      <c r="Q87" s="460" t="s">
        <v>95</v>
      </c>
      <c r="R87" s="460" t="s">
        <v>1977</v>
      </c>
      <c r="S87" s="460" t="s">
        <v>1842</v>
      </c>
      <c r="T87" s="460" t="s">
        <v>1827</v>
      </c>
      <c r="U87" s="461" t="s">
        <v>1976</v>
      </c>
      <c r="V87" s="460" t="s">
        <v>1843</v>
      </c>
      <c r="W87" s="560"/>
      <c r="X87" s="461" t="s">
        <v>2966</v>
      </c>
      <c r="Y87" s="461" t="s">
        <v>2966</v>
      </c>
      <c r="Z87" s="461" t="s">
        <v>170</v>
      </c>
      <c r="AA87" s="460" t="s">
        <v>1218</v>
      </c>
      <c r="AB87" s="561">
        <f>ROUND(30.41,2)</f>
        <v>30.41</v>
      </c>
      <c r="AC87" s="460" t="s">
        <v>308</v>
      </c>
      <c r="AD87" s="460"/>
      <c r="AE87" s="561">
        <f>ROUND(70.29,2)</f>
        <v>70.290000000000006</v>
      </c>
      <c r="AF87" s="460" t="s">
        <v>308</v>
      </c>
      <c r="AG87" s="561">
        <f t="shared" si="1"/>
        <v>0</v>
      </c>
      <c r="AH87" s="460" t="s">
        <v>2671</v>
      </c>
      <c r="AI87" s="460" t="s">
        <v>1214</v>
      </c>
      <c r="AJ87" s="460" t="s">
        <v>2548</v>
      </c>
      <c r="AK87" s="460" t="s">
        <v>2672</v>
      </c>
      <c r="AL87" s="560" t="s">
        <v>2673</v>
      </c>
      <c r="AM87" s="460" t="s">
        <v>2674</v>
      </c>
    </row>
    <row r="88" spans="1:39" ht="34.200000000000003">
      <c r="A88" s="460" t="s">
        <v>1810</v>
      </c>
      <c r="B88" s="460"/>
      <c r="C88" s="460" t="s">
        <v>2898</v>
      </c>
      <c r="D88" s="460" t="s">
        <v>2968</v>
      </c>
      <c r="E88" s="460" t="s">
        <v>1840</v>
      </c>
      <c r="F88" s="460" t="s">
        <v>1812</v>
      </c>
      <c r="G88" s="461" t="s">
        <v>1218</v>
      </c>
      <c r="H88" s="461" t="s">
        <v>2969</v>
      </c>
      <c r="I88" s="460" t="s">
        <v>2970</v>
      </c>
      <c r="J88" s="460" t="s">
        <v>1983</v>
      </c>
      <c r="K88" s="460" t="s">
        <v>2669</v>
      </c>
      <c r="L88" s="460" t="s">
        <v>2746</v>
      </c>
      <c r="M88" s="460" t="s">
        <v>1987</v>
      </c>
      <c r="N88" s="460" t="s">
        <v>1986</v>
      </c>
      <c r="O88" s="460" t="s">
        <v>1980</v>
      </c>
      <c r="P88" s="460" t="s">
        <v>2675</v>
      </c>
      <c r="Q88" s="460" t="s">
        <v>2676</v>
      </c>
      <c r="R88" s="460" t="s">
        <v>2677</v>
      </c>
      <c r="S88" s="460" t="s">
        <v>2676</v>
      </c>
      <c r="T88" s="460" t="s">
        <v>1827</v>
      </c>
      <c r="U88" s="461" t="s">
        <v>1824</v>
      </c>
      <c r="V88" s="460" t="s">
        <v>1843</v>
      </c>
      <c r="W88" s="560"/>
      <c r="X88" s="461" t="s">
        <v>2966</v>
      </c>
      <c r="Y88" s="461" t="s">
        <v>2966</v>
      </c>
      <c r="Z88" s="461" t="s">
        <v>170</v>
      </c>
      <c r="AA88" s="460" t="s">
        <v>1218</v>
      </c>
      <c r="AB88" s="561">
        <f>ROUND(0,2)</f>
        <v>0</v>
      </c>
      <c r="AC88" s="460" t="s">
        <v>2678</v>
      </c>
      <c r="AD88" s="460"/>
      <c r="AE88" s="561">
        <f>ROUND(1000,2)</f>
        <v>1000</v>
      </c>
      <c r="AF88" s="460" t="s">
        <v>2679</v>
      </c>
      <c r="AG88" s="561">
        <f t="shared" si="1"/>
        <v>0</v>
      </c>
      <c r="AH88" s="460" t="s">
        <v>2671</v>
      </c>
      <c r="AI88" s="460" t="s">
        <v>1214</v>
      </c>
      <c r="AJ88" s="460"/>
      <c r="AK88" s="460"/>
      <c r="AL88" s="560"/>
      <c r="AM88" s="460"/>
    </row>
    <row r="89" spans="1:39" ht="34.200000000000003">
      <c r="A89" s="460" t="s">
        <v>1810</v>
      </c>
      <c r="B89" s="460"/>
      <c r="C89" s="460" t="s">
        <v>2898</v>
      </c>
      <c r="D89" s="460" t="s">
        <v>2968</v>
      </c>
      <c r="E89" s="460" t="s">
        <v>1840</v>
      </c>
      <c r="F89" s="460" t="s">
        <v>1812</v>
      </c>
      <c r="G89" s="461" t="s">
        <v>1218</v>
      </c>
      <c r="H89" s="461" t="s">
        <v>2969</v>
      </c>
      <c r="I89" s="460" t="s">
        <v>2970</v>
      </c>
      <c r="J89" s="460" t="s">
        <v>1983</v>
      </c>
      <c r="K89" s="460" t="s">
        <v>2669</v>
      </c>
      <c r="L89" s="460" t="s">
        <v>2746</v>
      </c>
      <c r="M89" s="460" t="s">
        <v>1987</v>
      </c>
      <c r="N89" s="460" t="s">
        <v>1986</v>
      </c>
      <c r="O89" s="460" t="s">
        <v>1980</v>
      </c>
      <c r="P89" s="460" t="s">
        <v>1979</v>
      </c>
      <c r="Q89" s="460" t="s">
        <v>1978</v>
      </c>
      <c r="R89" s="460" t="s">
        <v>1977</v>
      </c>
      <c r="S89" s="460" t="s">
        <v>1826</v>
      </c>
      <c r="T89" s="460" t="s">
        <v>1827</v>
      </c>
      <c r="U89" s="461" t="s">
        <v>1976</v>
      </c>
      <c r="V89" s="460" t="s">
        <v>1843</v>
      </c>
      <c r="W89" s="560"/>
      <c r="X89" s="461" t="s">
        <v>2966</v>
      </c>
      <c r="Y89" s="461" t="s">
        <v>2966</v>
      </c>
      <c r="Z89" s="461" t="s">
        <v>170</v>
      </c>
      <c r="AA89" s="460" t="s">
        <v>1218</v>
      </c>
      <c r="AB89" s="561">
        <f>ROUND(321.85,2)</f>
        <v>321.85000000000002</v>
      </c>
      <c r="AC89" s="460" t="s">
        <v>308</v>
      </c>
      <c r="AD89" s="460"/>
      <c r="AE89" s="561">
        <f>ROUND(1809.61,2)</f>
        <v>1809.61</v>
      </c>
      <c r="AF89" s="460" t="s">
        <v>308</v>
      </c>
      <c r="AG89" s="561">
        <f t="shared" si="1"/>
        <v>0</v>
      </c>
      <c r="AH89" s="460" t="s">
        <v>2671</v>
      </c>
      <c r="AI89" s="460" t="s">
        <v>1214</v>
      </c>
      <c r="AJ89" s="460" t="s">
        <v>2549</v>
      </c>
      <c r="AK89" s="460" t="s">
        <v>2672</v>
      </c>
      <c r="AL89" s="560" t="s">
        <v>2712</v>
      </c>
      <c r="AM89" s="460" t="s">
        <v>2674</v>
      </c>
    </row>
    <row r="90" spans="1:39" ht="22.8">
      <c r="A90" s="460" t="s">
        <v>1810</v>
      </c>
      <c r="B90" s="460"/>
      <c r="C90" s="460" t="s">
        <v>2915</v>
      </c>
      <c r="D90" s="460" t="s">
        <v>2971</v>
      </c>
      <c r="E90" s="460" t="s">
        <v>1811</v>
      </c>
      <c r="F90" s="460" t="s">
        <v>1812</v>
      </c>
      <c r="G90" s="461" t="s">
        <v>1218</v>
      </c>
      <c r="H90" s="461" t="s">
        <v>2972</v>
      </c>
      <c r="I90" s="460" t="s">
        <v>2037</v>
      </c>
      <c r="J90" s="460" t="s">
        <v>1983</v>
      </c>
      <c r="K90" s="460" t="s">
        <v>2669</v>
      </c>
      <c r="L90" s="460" t="s">
        <v>2757</v>
      </c>
      <c r="M90" s="460" t="s">
        <v>1987</v>
      </c>
      <c r="N90" s="460" t="s">
        <v>1981</v>
      </c>
      <c r="O90" s="460" t="s">
        <v>1980</v>
      </c>
      <c r="P90" s="460" t="s">
        <v>1979</v>
      </c>
      <c r="Q90" s="460" t="s">
        <v>95</v>
      </c>
      <c r="R90" s="460" t="s">
        <v>1977</v>
      </c>
      <c r="S90" s="460" t="s">
        <v>1842</v>
      </c>
      <c r="T90" s="460" t="s">
        <v>1827</v>
      </c>
      <c r="U90" s="461" t="s">
        <v>1976</v>
      </c>
      <c r="V90" s="460" t="s">
        <v>1843</v>
      </c>
      <c r="W90" s="560"/>
      <c r="X90" s="461" t="s">
        <v>2966</v>
      </c>
      <c r="Y90" s="461" t="s">
        <v>2966</v>
      </c>
      <c r="Z90" s="461" t="s">
        <v>170</v>
      </c>
      <c r="AA90" s="460" t="s">
        <v>1218</v>
      </c>
      <c r="AB90" s="561">
        <f>ROUND(30.41,2)</f>
        <v>30.41</v>
      </c>
      <c r="AC90" s="460" t="s">
        <v>308</v>
      </c>
      <c r="AD90" s="460"/>
      <c r="AE90" s="561">
        <f>ROUND(70.29,2)</f>
        <v>70.290000000000006</v>
      </c>
      <c r="AF90" s="460" t="s">
        <v>308</v>
      </c>
      <c r="AG90" s="561">
        <f t="shared" si="1"/>
        <v>0</v>
      </c>
      <c r="AH90" s="460" t="s">
        <v>2671</v>
      </c>
      <c r="AI90" s="460" t="s">
        <v>1214</v>
      </c>
      <c r="AJ90" s="460" t="s">
        <v>2548</v>
      </c>
      <c r="AK90" s="460" t="s">
        <v>2672</v>
      </c>
      <c r="AL90" s="560" t="s">
        <v>2673</v>
      </c>
      <c r="AM90" s="460" t="s">
        <v>2674</v>
      </c>
    </row>
    <row r="91" spans="1:39" ht="22.8">
      <c r="A91" s="460" t="s">
        <v>1810</v>
      </c>
      <c r="B91" s="460"/>
      <c r="C91" s="460" t="s">
        <v>1561</v>
      </c>
      <c r="D91" s="460" t="s">
        <v>2338</v>
      </c>
      <c r="E91" s="460" t="s">
        <v>1811</v>
      </c>
      <c r="F91" s="460" t="s">
        <v>1812</v>
      </c>
      <c r="G91" s="461" t="s">
        <v>1218</v>
      </c>
      <c r="H91" s="461" t="s">
        <v>379</v>
      </c>
      <c r="I91" s="460" t="s">
        <v>2337</v>
      </c>
      <c r="J91" s="460" t="s">
        <v>1983</v>
      </c>
      <c r="K91" s="460" t="s">
        <v>2669</v>
      </c>
      <c r="L91" s="460" t="s">
        <v>2736</v>
      </c>
      <c r="M91" s="460" t="s">
        <v>1987</v>
      </c>
      <c r="N91" s="460" t="s">
        <v>1981</v>
      </c>
      <c r="O91" s="460" t="s">
        <v>1980</v>
      </c>
      <c r="P91" s="460" t="s">
        <v>1979</v>
      </c>
      <c r="Q91" s="460" t="s">
        <v>95</v>
      </c>
      <c r="R91" s="460" t="s">
        <v>1977</v>
      </c>
      <c r="S91" s="460" t="s">
        <v>1842</v>
      </c>
      <c r="T91" s="460" t="s">
        <v>1827</v>
      </c>
      <c r="U91" s="461" t="s">
        <v>1976</v>
      </c>
      <c r="V91" s="460" t="s">
        <v>1119</v>
      </c>
      <c r="W91" s="560"/>
      <c r="X91" s="461" t="s">
        <v>1824</v>
      </c>
      <c r="Y91" s="461" t="s">
        <v>1824</v>
      </c>
      <c r="Z91" s="461" t="s">
        <v>170</v>
      </c>
      <c r="AA91" s="460" t="s">
        <v>1218</v>
      </c>
      <c r="AB91" s="561">
        <f>ROUND(0,2)</f>
        <v>0</v>
      </c>
      <c r="AC91" s="460" t="s">
        <v>308</v>
      </c>
      <c r="AD91" s="460"/>
      <c r="AE91" s="561">
        <f>ROUND(36.23,2)</f>
        <v>36.229999999999997</v>
      </c>
      <c r="AF91" s="460" t="s">
        <v>308</v>
      </c>
      <c r="AG91" s="561">
        <f t="shared" si="1"/>
        <v>0</v>
      </c>
      <c r="AH91" s="460" t="s">
        <v>2671</v>
      </c>
      <c r="AI91" s="460" t="s">
        <v>1214</v>
      </c>
      <c r="AJ91" s="460"/>
      <c r="AK91" s="460"/>
      <c r="AL91" s="560"/>
      <c r="AM91" s="460"/>
    </row>
    <row r="92" spans="1:39" ht="22.8">
      <c r="A92" s="460" t="s">
        <v>1810</v>
      </c>
      <c r="B92" s="460"/>
      <c r="C92" s="460" t="s">
        <v>1561</v>
      </c>
      <c r="D92" s="460" t="s">
        <v>2338</v>
      </c>
      <c r="E92" s="460" t="s">
        <v>1811</v>
      </c>
      <c r="F92" s="460" t="s">
        <v>1812</v>
      </c>
      <c r="G92" s="461" t="s">
        <v>1218</v>
      </c>
      <c r="H92" s="461" t="s">
        <v>379</v>
      </c>
      <c r="I92" s="460" t="s">
        <v>2337</v>
      </c>
      <c r="J92" s="460" t="s">
        <v>1983</v>
      </c>
      <c r="K92" s="460" t="s">
        <v>2669</v>
      </c>
      <c r="L92" s="460" t="s">
        <v>2736</v>
      </c>
      <c r="M92" s="460" t="s">
        <v>1987</v>
      </c>
      <c r="N92" s="460" t="s">
        <v>1981</v>
      </c>
      <c r="O92" s="460" t="s">
        <v>1980</v>
      </c>
      <c r="P92" s="460" t="s">
        <v>2675</v>
      </c>
      <c r="Q92" s="460" t="s">
        <v>2676</v>
      </c>
      <c r="R92" s="460" t="s">
        <v>2677</v>
      </c>
      <c r="S92" s="460" t="s">
        <v>2676</v>
      </c>
      <c r="T92" s="460" t="s">
        <v>1827</v>
      </c>
      <c r="U92" s="461" t="s">
        <v>1824</v>
      </c>
      <c r="V92" s="460" t="s">
        <v>1119</v>
      </c>
      <c r="W92" s="560"/>
      <c r="X92" s="461" t="s">
        <v>1824</v>
      </c>
      <c r="Y92" s="461" t="s">
        <v>1824</v>
      </c>
      <c r="Z92" s="461" t="s">
        <v>170</v>
      </c>
      <c r="AA92" s="460" t="s">
        <v>1218</v>
      </c>
      <c r="AB92" s="561">
        <f>ROUND(100,2)</f>
        <v>100</v>
      </c>
      <c r="AC92" s="460" t="s">
        <v>2678</v>
      </c>
      <c r="AD92" s="460"/>
      <c r="AE92" s="561">
        <f>ROUND(500.05,2)</f>
        <v>500.05</v>
      </c>
      <c r="AF92" s="460" t="s">
        <v>2679</v>
      </c>
      <c r="AG92" s="561">
        <f t="shared" si="1"/>
        <v>0</v>
      </c>
      <c r="AH92" s="460" t="s">
        <v>2671</v>
      </c>
      <c r="AI92" s="460" t="s">
        <v>1214</v>
      </c>
      <c r="AJ92" s="460" t="s">
        <v>2550</v>
      </c>
      <c r="AK92" s="460" t="s">
        <v>2672</v>
      </c>
      <c r="AL92" s="560" t="s">
        <v>2691</v>
      </c>
      <c r="AM92" s="460" t="s">
        <v>2674</v>
      </c>
    </row>
    <row r="93" spans="1:39" ht="22.8">
      <c r="A93" s="460" t="s">
        <v>1810</v>
      </c>
      <c r="B93" s="460"/>
      <c r="C93" s="460" t="s">
        <v>1561</v>
      </c>
      <c r="D93" s="460" t="s">
        <v>2338</v>
      </c>
      <c r="E93" s="460" t="s">
        <v>1811</v>
      </c>
      <c r="F93" s="460" t="s">
        <v>1812</v>
      </c>
      <c r="G93" s="461" t="s">
        <v>1218</v>
      </c>
      <c r="H93" s="461" t="s">
        <v>379</v>
      </c>
      <c r="I93" s="460" t="s">
        <v>2337</v>
      </c>
      <c r="J93" s="460" t="s">
        <v>1983</v>
      </c>
      <c r="K93" s="460" t="s">
        <v>2669</v>
      </c>
      <c r="L93" s="460" t="s">
        <v>2736</v>
      </c>
      <c r="M93" s="460" t="s">
        <v>1987</v>
      </c>
      <c r="N93" s="460" t="s">
        <v>1981</v>
      </c>
      <c r="O93" s="460" t="s">
        <v>1980</v>
      </c>
      <c r="P93" s="460" t="s">
        <v>1979</v>
      </c>
      <c r="Q93" s="460" t="s">
        <v>1978</v>
      </c>
      <c r="R93" s="460" t="s">
        <v>1977</v>
      </c>
      <c r="S93" s="460" t="s">
        <v>1826</v>
      </c>
      <c r="T93" s="460" t="s">
        <v>1827</v>
      </c>
      <c r="U93" s="461" t="s">
        <v>1976</v>
      </c>
      <c r="V93" s="460" t="s">
        <v>1119</v>
      </c>
      <c r="W93" s="560"/>
      <c r="X93" s="461" t="s">
        <v>1824</v>
      </c>
      <c r="Y93" s="461" t="s">
        <v>1824</v>
      </c>
      <c r="Z93" s="461" t="s">
        <v>170</v>
      </c>
      <c r="AA93" s="460" t="s">
        <v>1218</v>
      </c>
      <c r="AB93" s="561">
        <f>ROUND(25.63,2)</f>
        <v>25.63</v>
      </c>
      <c r="AC93" s="460" t="s">
        <v>308</v>
      </c>
      <c r="AD93" s="460"/>
      <c r="AE93" s="561">
        <f>ROUND(828.65,2)</f>
        <v>828.65</v>
      </c>
      <c r="AF93" s="460" t="s">
        <v>308</v>
      </c>
      <c r="AG93" s="561">
        <f t="shared" si="1"/>
        <v>0</v>
      </c>
      <c r="AH93" s="460" t="s">
        <v>2671</v>
      </c>
      <c r="AI93" s="460" t="s">
        <v>1214</v>
      </c>
      <c r="AJ93" s="460" t="s">
        <v>2549</v>
      </c>
      <c r="AK93" s="460" t="s">
        <v>2672</v>
      </c>
      <c r="AL93" s="560" t="s">
        <v>2685</v>
      </c>
      <c r="AM93" s="460" t="s">
        <v>2674</v>
      </c>
    </row>
    <row r="94" spans="1:39" ht="34.200000000000003">
      <c r="A94" s="460" t="s">
        <v>1810</v>
      </c>
      <c r="B94" s="460"/>
      <c r="C94" s="460" t="s">
        <v>1262</v>
      </c>
      <c r="D94" s="460" t="s">
        <v>2336</v>
      </c>
      <c r="E94" s="460" t="s">
        <v>1829</v>
      </c>
      <c r="F94" s="460" t="s">
        <v>1812</v>
      </c>
      <c r="G94" s="461" t="s">
        <v>1218</v>
      </c>
      <c r="H94" s="461" t="s">
        <v>285</v>
      </c>
      <c r="I94" s="460" t="s">
        <v>2335</v>
      </c>
      <c r="J94" s="460" t="s">
        <v>1983</v>
      </c>
      <c r="K94" s="460" t="s">
        <v>2669</v>
      </c>
      <c r="L94" s="460" t="s">
        <v>2737</v>
      </c>
      <c r="M94" s="460" t="s">
        <v>2002</v>
      </c>
      <c r="N94" s="460" t="s">
        <v>1986</v>
      </c>
      <c r="O94" s="460" t="s">
        <v>1980</v>
      </c>
      <c r="P94" s="460" t="s">
        <v>1979</v>
      </c>
      <c r="Q94" s="460" t="s">
        <v>95</v>
      </c>
      <c r="R94" s="460" t="s">
        <v>1977</v>
      </c>
      <c r="S94" s="460" t="s">
        <v>1842</v>
      </c>
      <c r="T94" s="460" t="s">
        <v>1827</v>
      </c>
      <c r="U94" s="461" t="s">
        <v>1976</v>
      </c>
      <c r="V94" s="460" t="s">
        <v>1843</v>
      </c>
      <c r="W94" s="560"/>
      <c r="X94" s="461" t="s">
        <v>1824</v>
      </c>
      <c r="Y94" s="461" t="s">
        <v>2738</v>
      </c>
      <c r="Z94" s="461" t="s">
        <v>170</v>
      </c>
      <c r="AA94" s="460" t="s">
        <v>1218</v>
      </c>
      <c r="AB94" s="561">
        <f>ROUND(30.41,2)</f>
        <v>30.41</v>
      </c>
      <c r="AC94" s="460" t="s">
        <v>308</v>
      </c>
      <c r="AD94" s="460"/>
      <c r="AE94" s="561">
        <f>ROUND(70.29,2)</f>
        <v>70.290000000000006</v>
      </c>
      <c r="AF94" s="460" t="s">
        <v>308</v>
      </c>
      <c r="AG94" s="561">
        <f t="shared" si="1"/>
        <v>0</v>
      </c>
      <c r="AH94" s="460" t="s">
        <v>2671</v>
      </c>
      <c r="AI94" s="460" t="s">
        <v>1214</v>
      </c>
      <c r="AJ94" s="460" t="s">
        <v>2548</v>
      </c>
      <c r="AK94" s="460" t="s">
        <v>2672</v>
      </c>
      <c r="AL94" s="560" t="s">
        <v>2673</v>
      </c>
      <c r="AM94" s="460" t="s">
        <v>2674</v>
      </c>
    </row>
    <row r="95" spans="1:39" ht="34.200000000000003">
      <c r="A95" s="460" t="s">
        <v>1810</v>
      </c>
      <c r="B95" s="460"/>
      <c r="C95" s="460" t="s">
        <v>1262</v>
      </c>
      <c r="D95" s="460" t="s">
        <v>2336</v>
      </c>
      <c r="E95" s="460" t="s">
        <v>1829</v>
      </c>
      <c r="F95" s="460" t="s">
        <v>1812</v>
      </c>
      <c r="G95" s="461" t="s">
        <v>1218</v>
      </c>
      <c r="H95" s="461" t="s">
        <v>285</v>
      </c>
      <c r="I95" s="460" t="s">
        <v>2335</v>
      </c>
      <c r="J95" s="460" t="s">
        <v>1983</v>
      </c>
      <c r="K95" s="460" t="s">
        <v>2669</v>
      </c>
      <c r="L95" s="460" t="s">
        <v>2737</v>
      </c>
      <c r="M95" s="460" t="s">
        <v>2002</v>
      </c>
      <c r="N95" s="460" t="s">
        <v>1986</v>
      </c>
      <c r="O95" s="460" t="s">
        <v>1980</v>
      </c>
      <c r="P95" s="460" t="s">
        <v>2675</v>
      </c>
      <c r="Q95" s="460" t="s">
        <v>2676</v>
      </c>
      <c r="R95" s="460" t="s">
        <v>2677</v>
      </c>
      <c r="S95" s="460" t="s">
        <v>2676</v>
      </c>
      <c r="T95" s="460" t="s">
        <v>1827</v>
      </c>
      <c r="U95" s="461" t="s">
        <v>1824</v>
      </c>
      <c r="V95" s="460" t="s">
        <v>1843</v>
      </c>
      <c r="W95" s="560"/>
      <c r="X95" s="461" t="s">
        <v>1824</v>
      </c>
      <c r="Y95" s="461" t="s">
        <v>1824</v>
      </c>
      <c r="Z95" s="461" t="s">
        <v>170</v>
      </c>
      <c r="AA95" s="460" t="s">
        <v>1218</v>
      </c>
      <c r="AB95" s="561">
        <f>ROUND(299.99,2)</f>
        <v>299.99</v>
      </c>
      <c r="AC95" s="460" t="s">
        <v>2678</v>
      </c>
      <c r="AD95" s="460"/>
      <c r="AE95" s="561">
        <f>ROUND(1000,2)</f>
        <v>1000</v>
      </c>
      <c r="AF95" s="460" t="s">
        <v>2679</v>
      </c>
      <c r="AG95" s="561">
        <f t="shared" si="1"/>
        <v>0</v>
      </c>
      <c r="AH95" s="460" t="s">
        <v>2671</v>
      </c>
      <c r="AI95" s="460" t="s">
        <v>1214</v>
      </c>
      <c r="AJ95" s="460" t="s">
        <v>2550</v>
      </c>
      <c r="AK95" s="460" t="s">
        <v>2672</v>
      </c>
      <c r="AL95" s="560" t="s">
        <v>2739</v>
      </c>
      <c r="AM95" s="460" t="s">
        <v>2674</v>
      </c>
    </row>
    <row r="96" spans="1:39" ht="34.200000000000003">
      <c r="A96" s="460" t="s">
        <v>1810</v>
      </c>
      <c r="B96" s="460"/>
      <c r="C96" s="460" t="s">
        <v>1262</v>
      </c>
      <c r="D96" s="460" t="s">
        <v>2336</v>
      </c>
      <c r="E96" s="460" t="s">
        <v>1829</v>
      </c>
      <c r="F96" s="460" t="s">
        <v>1812</v>
      </c>
      <c r="G96" s="461" t="s">
        <v>1218</v>
      </c>
      <c r="H96" s="461" t="s">
        <v>285</v>
      </c>
      <c r="I96" s="460" t="s">
        <v>2335</v>
      </c>
      <c r="J96" s="460" t="s">
        <v>1983</v>
      </c>
      <c r="K96" s="460" t="s">
        <v>2669</v>
      </c>
      <c r="L96" s="460" t="s">
        <v>2737</v>
      </c>
      <c r="M96" s="460" t="s">
        <v>2002</v>
      </c>
      <c r="N96" s="460" t="s">
        <v>1986</v>
      </c>
      <c r="O96" s="460" t="s">
        <v>1980</v>
      </c>
      <c r="P96" s="460" t="s">
        <v>1979</v>
      </c>
      <c r="Q96" s="460" t="s">
        <v>1978</v>
      </c>
      <c r="R96" s="460" t="s">
        <v>1977</v>
      </c>
      <c r="S96" s="460" t="s">
        <v>1826</v>
      </c>
      <c r="T96" s="460" t="s">
        <v>1827</v>
      </c>
      <c r="U96" s="461" t="s">
        <v>1976</v>
      </c>
      <c r="V96" s="460" t="s">
        <v>1843</v>
      </c>
      <c r="W96" s="560"/>
      <c r="X96" s="461" t="s">
        <v>1824</v>
      </c>
      <c r="Y96" s="461" t="s">
        <v>2738</v>
      </c>
      <c r="Z96" s="461" t="s">
        <v>170</v>
      </c>
      <c r="AA96" s="460" t="s">
        <v>1218</v>
      </c>
      <c r="AB96" s="561">
        <f>ROUND(383.66,2)</f>
        <v>383.66</v>
      </c>
      <c r="AC96" s="460" t="s">
        <v>308</v>
      </c>
      <c r="AD96" s="460"/>
      <c r="AE96" s="561">
        <f>ROUND(1747.8,2)</f>
        <v>1747.8</v>
      </c>
      <c r="AF96" s="460" t="s">
        <v>308</v>
      </c>
      <c r="AG96" s="561">
        <f t="shared" si="1"/>
        <v>0</v>
      </c>
      <c r="AH96" s="460" t="s">
        <v>2671</v>
      </c>
      <c r="AI96" s="460" t="s">
        <v>1214</v>
      </c>
      <c r="AJ96" s="460" t="s">
        <v>2549</v>
      </c>
      <c r="AK96" s="460" t="s">
        <v>2672</v>
      </c>
      <c r="AL96" s="560" t="s">
        <v>2696</v>
      </c>
      <c r="AM96" s="460" t="s">
        <v>2674</v>
      </c>
    </row>
    <row r="97" spans="1:39" ht="22.8">
      <c r="A97" s="460" t="s">
        <v>1810</v>
      </c>
      <c r="B97" s="460"/>
      <c r="C97" s="460" t="s">
        <v>1267</v>
      </c>
      <c r="D97" s="460" t="s">
        <v>2334</v>
      </c>
      <c r="E97" s="460" t="s">
        <v>1821</v>
      </c>
      <c r="F97" s="460" t="s">
        <v>1812</v>
      </c>
      <c r="G97" s="461" t="s">
        <v>1218</v>
      </c>
      <c r="H97" s="461" t="s">
        <v>232</v>
      </c>
      <c r="I97" s="460" t="s">
        <v>2333</v>
      </c>
      <c r="J97" s="460" t="s">
        <v>1983</v>
      </c>
      <c r="K97" s="460" t="s">
        <v>2669</v>
      </c>
      <c r="L97" s="460" t="s">
        <v>2714</v>
      </c>
      <c r="M97" s="460" t="s">
        <v>1994</v>
      </c>
      <c r="N97" s="460" t="s">
        <v>1981</v>
      </c>
      <c r="O97" s="460" t="s">
        <v>1980</v>
      </c>
      <c r="P97" s="460" t="s">
        <v>1979</v>
      </c>
      <c r="Q97" s="460" t="s">
        <v>95</v>
      </c>
      <c r="R97" s="460" t="s">
        <v>1977</v>
      </c>
      <c r="S97" s="460" t="s">
        <v>1842</v>
      </c>
      <c r="T97" s="460" t="s">
        <v>1827</v>
      </c>
      <c r="U97" s="461" t="s">
        <v>1976</v>
      </c>
      <c r="V97" s="460" t="s">
        <v>1843</v>
      </c>
      <c r="W97" s="560"/>
      <c r="X97" s="461" t="s">
        <v>1824</v>
      </c>
      <c r="Y97" s="461" t="s">
        <v>1824</v>
      </c>
      <c r="Z97" s="461" t="s">
        <v>170</v>
      </c>
      <c r="AA97" s="460" t="s">
        <v>1218</v>
      </c>
      <c r="AB97" s="561">
        <f>ROUND(30.41,2)</f>
        <v>30.41</v>
      </c>
      <c r="AC97" s="460" t="s">
        <v>308</v>
      </c>
      <c r="AD97" s="460"/>
      <c r="AE97" s="561">
        <f>ROUND(70.29,2)</f>
        <v>70.290000000000006</v>
      </c>
      <c r="AF97" s="460" t="s">
        <v>308</v>
      </c>
      <c r="AG97" s="561">
        <f t="shared" si="1"/>
        <v>0</v>
      </c>
      <c r="AH97" s="460" t="s">
        <v>2671</v>
      </c>
      <c r="AI97" s="460" t="s">
        <v>1214</v>
      </c>
      <c r="AJ97" s="460" t="s">
        <v>2548</v>
      </c>
      <c r="AK97" s="460" t="s">
        <v>2672</v>
      </c>
      <c r="AL97" s="560" t="s">
        <v>2673</v>
      </c>
      <c r="AM97" s="460" t="s">
        <v>2674</v>
      </c>
    </row>
    <row r="98" spans="1:39" ht="22.8">
      <c r="A98" s="460" t="s">
        <v>1810</v>
      </c>
      <c r="B98" s="460"/>
      <c r="C98" s="460" t="s">
        <v>1267</v>
      </c>
      <c r="D98" s="460" t="s">
        <v>2334</v>
      </c>
      <c r="E98" s="460" t="s">
        <v>1821</v>
      </c>
      <c r="F98" s="460" t="s">
        <v>1812</v>
      </c>
      <c r="G98" s="461" t="s">
        <v>1218</v>
      </c>
      <c r="H98" s="461" t="s">
        <v>232</v>
      </c>
      <c r="I98" s="460" t="s">
        <v>2333</v>
      </c>
      <c r="J98" s="460" t="s">
        <v>1983</v>
      </c>
      <c r="K98" s="460" t="s">
        <v>2669</v>
      </c>
      <c r="L98" s="460" t="s">
        <v>2714</v>
      </c>
      <c r="M98" s="460" t="s">
        <v>1994</v>
      </c>
      <c r="N98" s="460" t="s">
        <v>1981</v>
      </c>
      <c r="O98" s="460" t="s">
        <v>1980</v>
      </c>
      <c r="P98" s="460" t="s">
        <v>2675</v>
      </c>
      <c r="Q98" s="460" t="s">
        <v>2676</v>
      </c>
      <c r="R98" s="460" t="s">
        <v>2677</v>
      </c>
      <c r="S98" s="460" t="s">
        <v>2676</v>
      </c>
      <c r="T98" s="460" t="s">
        <v>1827</v>
      </c>
      <c r="U98" s="461" t="s">
        <v>1824</v>
      </c>
      <c r="V98" s="460" t="s">
        <v>1843</v>
      </c>
      <c r="W98" s="560"/>
      <c r="X98" s="461" t="s">
        <v>1824</v>
      </c>
      <c r="Y98" s="461" t="s">
        <v>1824</v>
      </c>
      <c r="Z98" s="461" t="s">
        <v>170</v>
      </c>
      <c r="AA98" s="460" t="s">
        <v>1218</v>
      </c>
      <c r="AB98" s="561">
        <f>ROUND(50,2)</f>
        <v>50</v>
      </c>
      <c r="AC98" s="460" t="s">
        <v>2678</v>
      </c>
      <c r="AD98" s="460"/>
      <c r="AE98" s="561">
        <f>ROUND(1000,2)</f>
        <v>1000</v>
      </c>
      <c r="AF98" s="460" t="s">
        <v>2679</v>
      </c>
      <c r="AG98" s="561">
        <f t="shared" si="1"/>
        <v>0</v>
      </c>
      <c r="AH98" s="460" t="s">
        <v>2671</v>
      </c>
      <c r="AI98" s="460" t="s">
        <v>1214</v>
      </c>
      <c r="AJ98" s="460" t="s">
        <v>2550</v>
      </c>
      <c r="AK98" s="460" t="s">
        <v>2672</v>
      </c>
      <c r="AL98" s="560" t="s">
        <v>2690</v>
      </c>
      <c r="AM98" s="460" t="s">
        <v>2674</v>
      </c>
    </row>
    <row r="99" spans="1:39" ht="22.8">
      <c r="A99" s="460" t="s">
        <v>1810</v>
      </c>
      <c r="B99" s="460"/>
      <c r="C99" s="460" t="s">
        <v>1267</v>
      </c>
      <c r="D99" s="460" t="s">
        <v>2334</v>
      </c>
      <c r="E99" s="460" t="s">
        <v>1821</v>
      </c>
      <c r="F99" s="460" t="s">
        <v>1812</v>
      </c>
      <c r="G99" s="461" t="s">
        <v>1218</v>
      </c>
      <c r="H99" s="461" t="s">
        <v>232</v>
      </c>
      <c r="I99" s="460" t="s">
        <v>2333</v>
      </c>
      <c r="J99" s="460" t="s">
        <v>1983</v>
      </c>
      <c r="K99" s="460" t="s">
        <v>2669</v>
      </c>
      <c r="L99" s="460" t="s">
        <v>2714</v>
      </c>
      <c r="M99" s="460" t="s">
        <v>1994</v>
      </c>
      <c r="N99" s="460" t="s">
        <v>1981</v>
      </c>
      <c r="O99" s="460" t="s">
        <v>1980</v>
      </c>
      <c r="P99" s="460" t="s">
        <v>1979</v>
      </c>
      <c r="Q99" s="460" t="s">
        <v>1978</v>
      </c>
      <c r="R99" s="460" t="s">
        <v>1977</v>
      </c>
      <c r="S99" s="460" t="s">
        <v>1826</v>
      </c>
      <c r="T99" s="460" t="s">
        <v>1827</v>
      </c>
      <c r="U99" s="461" t="s">
        <v>1976</v>
      </c>
      <c r="V99" s="460" t="s">
        <v>1851</v>
      </c>
      <c r="W99" s="560"/>
      <c r="X99" s="461" t="s">
        <v>1824</v>
      </c>
      <c r="Y99" s="461" t="s">
        <v>1824</v>
      </c>
      <c r="Z99" s="461" t="s">
        <v>170</v>
      </c>
      <c r="AA99" s="460" t="s">
        <v>1218</v>
      </c>
      <c r="AB99" s="561">
        <f>ROUND(299.81,2)</f>
        <v>299.81</v>
      </c>
      <c r="AC99" s="460" t="s">
        <v>308</v>
      </c>
      <c r="AD99" s="460"/>
      <c r="AE99" s="561">
        <f>ROUND(1320.78,2)</f>
        <v>1320.78</v>
      </c>
      <c r="AF99" s="460" t="s">
        <v>308</v>
      </c>
      <c r="AG99" s="561">
        <f t="shared" si="1"/>
        <v>0</v>
      </c>
      <c r="AH99" s="460" t="s">
        <v>2671</v>
      </c>
      <c r="AI99" s="460" t="s">
        <v>1214</v>
      </c>
      <c r="AJ99" s="460" t="s">
        <v>2549</v>
      </c>
      <c r="AK99" s="460" t="s">
        <v>2672</v>
      </c>
      <c r="AL99" s="560" t="s">
        <v>2699</v>
      </c>
      <c r="AM99" s="460" t="s">
        <v>2674</v>
      </c>
    </row>
    <row r="100" spans="1:39" ht="22.8">
      <c r="A100" s="460" t="s">
        <v>1810</v>
      </c>
      <c r="B100" s="460"/>
      <c r="C100" s="460" t="s">
        <v>1684</v>
      </c>
      <c r="D100" s="460" t="s">
        <v>2332</v>
      </c>
      <c r="E100" s="460" t="s">
        <v>1813</v>
      </c>
      <c r="F100" s="460" t="s">
        <v>1812</v>
      </c>
      <c r="G100" s="461" t="s">
        <v>1218</v>
      </c>
      <c r="H100" s="461" t="s">
        <v>1117</v>
      </c>
      <c r="I100" s="460" t="s">
        <v>2088</v>
      </c>
      <c r="J100" s="460" t="s">
        <v>1983</v>
      </c>
      <c r="K100" s="460" t="s">
        <v>2669</v>
      </c>
      <c r="L100" s="460" t="s">
        <v>2682</v>
      </c>
      <c r="M100" s="460" t="s">
        <v>2028</v>
      </c>
      <c r="N100" s="460" t="s">
        <v>1981</v>
      </c>
      <c r="O100" s="460" t="s">
        <v>2001</v>
      </c>
      <c r="P100" s="460" t="s">
        <v>1979</v>
      </c>
      <c r="Q100" s="460" t="s">
        <v>95</v>
      </c>
      <c r="R100" s="460" t="s">
        <v>1977</v>
      </c>
      <c r="S100" s="460" t="s">
        <v>1842</v>
      </c>
      <c r="T100" s="460" t="s">
        <v>1827</v>
      </c>
      <c r="U100" s="461" t="s">
        <v>1976</v>
      </c>
      <c r="V100" s="460" t="s">
        <v>1119</v>
      </c>
      <c r="W100" s="560"/>
      <c r="X100" s="461" t="s">
        <v>1824</v>
      </c>
      <c r="Y100" s="461" t="s">
        <v>1824</v>
      </c>
      <c r="Z100" s="461" t="s">
        <v>170</v>
      </c>
      <c r="AA100" s="460" t="s">
        <v>1218</v>
      </c>
      <c r="AB100" s="561">
        <f>ROUND(0,2)</f>
        <v>0</v>
      </c>
      <c r="AC100" s="460" t="s">
        <v>308</v>
      </c>
      <c r="AD100" s="460"/>
      <c r="AE100" s="561">
        <f>ROUND(36.23,2)</f>
        <v>36.229999999999997</v>
      </c>
      <c r="AF100" s="460" t="s">
        <v>308</v>
      </c>
      <c r="AG100" s="561">
        <f t="shared" si="1"/>
        <v>0</v>
      </c>
      <c r="AH100" s="460" t="s">
        <v>2671</v>
      </c>
      <c r="AI100" s="460" t="s">
        <v>1214</v>
      </c>
      <c r="AJ100" s="460"/>
      <c r="AK100" s="460"/>
      <c r="AL100" s="560"/>
      <c r="AM100" s="460"/>
    </row>
    <row r="101" spans="1:39" ht="22.8">
      <c r="A101" s="460" t="s">
        <v>1810</v>
      </c>
      <c r="B101" s="460"/>
      <c r="C101" s="460" t="s">
        <v>1684</v>
      </c>
      <c r="D101" s="460" t="s">
        <v>2332</v>
      </c>
      <c r="E101" s="460" t="s">
        <v>1813</v>
      </c>
      <c r="F101" s="460" t="s">
        <v>1812</v>
      </c>
      <c r="G101" s="461" t="s">
        <v>1218</v>
      </c>
      <c r="H101" s="461" t="s">
        <v>1117</v>
      </c>
      <c r="I101" s="460" t="s">
        <v>2088</v>
      </c>
      <c r="J101" s="460" t="s">
        <v>1983</v>
      </c>
      <c r="K101" s="460" t="s">
        <v>2669</v>
      </c>
      <c r="L101" s="460" t="s">
        <v>2682</v>
      </c>
      <c r="M101" s="460" t="s">
        <v>2028</v>
      </c>
      <c r="N101" s="460" t="s">
        <v>1981</v>
      </c>
      <c r="O101" s="460" t="s">
        <v>2001</v>
      </c>
      <c r="P101" s="460" t="s">
        <v>2675</v>
      </c>
      <c r="Q101" s="460" t="s">
        <v>2676</v>
      </c>
      <c r="R101" s="460" t="s">
        <v>2677</v>
      </c>
      <c r="S101" s="460" t="s">
        <v>2676</v>
      </c>
      <c r="T101" s="460" t="s">
        <v>1827</v>
      </c>
      <c r="U101" s="461" t="s">
        <v>1824</v>
      </c>
      <c r="V101" s="460" t="s">
        <v>1119</v>
      </c>
      <c r="W101" s="560"/>
      <c r="X101" s="461" t="s">
        <v>1824</v>
      </c>
      <c r="Y101" s="461" t="s">
        <v>1824</v>
      </c>
      <c r="Z101" s="461" t="s">
        <v>170</v>
      </c>
      <c r="AA101" s="460" t="s">
        <v>1218</v>
      </c>
      <c r="AB101" s="561">
        <f>ROUND(50,2)</f>
        <v>50</v>
      </c>
      <c r="AC101" s="460" t="s">
        <v>2678</v>
      </c>
      <c r="AD101" s="460"/>
      <c r="AE101" s="561">
        <f>ROUND(500.05,2)</f>
        <v>500.05</v>
      </c>
      <c r="AF101" s="460" t="s">
        <v>2679</v>
      </c>
      <c r="AG101" s="561">
        <f t="shared" si="1"/>
        <v>0</v>
      </c>
      <c r="AH101" s="460" t="s">
        <v>2671</v>
      </c>
      <c r="AI101" s="460" t="s">
        <v>1214</v>
      </c>
      <c r="AJ101" s="460" t="s">
        <v>2550</v>
      </c>
      <c r="AK101" s="460" t="s">
        <v>2672</v>
      </c>
      <c r="AL101" s="560" t="s">
        <v>2690</v>
      </c>
      <c r="AM101" s="460" t="s">
        <v>2674</v>
      </c>
    </row>
    <row r="102" spans="1:39" ht="22.8">
      <c r="A102" s="460" t="s">
        <v>1810</v>
      </c>
      <c r="B102" s="460"/>
      <c r="C102" s="460" t="s">
        <v>1684</v>
      </c>
      <c r="D102" s="460" t="s">
        <v>2332</v>
      </c>
      <c r="E102" s="460" t="s">
        <v>1813</v>
      </c>
      <c r="F102" s="460" t="s">
        <v>1812</v>
      </c>
      <c r="G102" s="461" t="s">
        <v>1218</v>
      </c>
      <c r="H102" s="461" t="s">
        <v>1117</v>
      </c>
      <c r="I102" s="460" t="s">
        <v>2088</v>
      </c>
      <c r="J102" s="460" t="s">
        <v>1983</v>
      </c>
      <c r="K102" s="460" t="s">
        <v>2669</v>
      </c>
      <c r="L102" s="460" t="s">
        <v>2682</v>
      </c>
      <c r="M102" s="460" t="s">
        <v>2028</v>
      </c>
      <c r="N102" s="460" t="s">
        <v>1981</v>
      </c>
      <c r="O102" s="460" t="s">
        <v>2001</v>
      </c>
      <c r="P102" s="460" t="s">
        <v>1979</v>
      </c>
      <c r="Q102" s="460" t="s">
        <v>1978</v>
      </c>
      <c r="R102" s="460" t="s">
        <v>1977</v>
      </c>
      <c r="S102" s="460" t="s">
        <v>1826</v>
      </c>
      <c r="T102" s="460" t="s">
        <v>1827</v>
      </c>
      <c r="U102" s="461" t="s">
        <v>1976</v>
      </c>
      <c r="V102" s="460" t="s">
        <v>1119</v>
      </c>
      <c r="W102" s="560"/>
      <c r="X102" s="461" t="s">
        <v>1824</v>
      </c>
      <c r="Y102" s="461" t="s">
        <v>1824</v>
      </c>
      <c r="Z102" s="461" t="s">
        <v>170</v>
      </c>
      <c r="AA102" s="460" t="s">
        <v>1218</v>
      </c>
      <c r="AB102" s="561">
        <f>ROUND(29.05,2)</f>
        <v>29.05</v>
      </c>
      <c r="AC102" s="460" t="s">
        <v>308</v>
      </c>
      <c r="AD102" s="460"/>
      <c r="AE102" s="561">
        <f>ROUND(825.23,2)</f>
        <v>825.23</v>
      </c>
      <c r="AF102" s="460" t="s">
        <v>308</v>
      </c>
      <c r="AG102" s="561">
        <f t="shared" si="1"/>
        <v>0</v>
      </c>
      <c r="AH102" s="460" t="s">
        <v>2671</v>
      </c>
      <c r="AI102" s="460" t="s">
        <v>1214</v>
      </c>
      <c r="AJ102" s="460" t="s">
        <v>2549</v>
      </c>
      <c r="AK102" s="460" t="s">
        <v>2672</v>
      </c>
      <c r="AL102" s="560" t="s">
        <v>2692</v>
      </c>
      <c r="AM102" s="460" t="s">
        <v>2674</v>
      </c>
    </row>
    <row r="103" spans="1:39" ht="34.200000000000003">
      <c r="A103" s="460" t="s">
        <v>1810</v>
      </c>
      <c r="B103" s="460"/>
      <c r="C103" s="460" t="s">
        <v>1276</v>
      </c>
      <c r="D103" s="460" t="s">
        <v>2331</v>
      </c>
      <c r="E103" s="460" t="s">
        <v>1823</v>
      </c>
      <c r="F103" s="460" t="s">
        <v>2015</v>
      </c>
      <c r="G103" s="461" t="s">
        <v>1218</v>
      </c>
      <c r="H103" s="461" t="s">
        <v>176</v>
      </c>
      <c r="I103" s="460" t="s">
        <v>2128</v>
      </c>
      <c r="J103" s="460" t="s">
        <v>1983</v>
      </c>
      <c r="K103" s="460" t="s">
        <v>2669</v>
      </c>
      <c r="L103" s="460" t="s">
        <v>2720</v>
      </c>
      <c r="M103" s="460" t="s">
        <v>2002</v>
      </c>
      <c r="N103" s="460" t="s">
        <v>1981</v>
      </c>
      <c r="O103" s="460" t="s">
        <v>2001</v>
      </c>
      <c r="P103" s="460" t="s">
        <v>1979</v>
      </c>
      <c r="Q103" s="460" t="s">
        <v>95</v>
      </c>
      <c r="R103" s="460" t="s">
        <v>1977</v>
      </c>
      <c r="S103" s="460" t="s">
        <v>1842</v>
      </c>
      <c r="T103" s="460" t="s">
        <v>1827</v>
      </c>
      <c r="U103" s="461" t="s">
        <v>1976</v>
      </c>
      <c r="V103" s="460" t="s">
        <v>1843</v>
      </c>
      <c r="W103" s="560"/>
      <c r="X103" s="461" t="s">
        <v>1824</v>
      </c>
      <c r="Y103" s="461" t="s">
        <v>1824</v>
      </c>
      <c r="Z103" s="461" t="s">
        <v>170</v>
      </c>
      <c r="AA103" s="460" t="s">
        <v>1218</v>
      </c>
      <c r="AB103" s="561">
        <f>ROUND(30.41,2)</f>
        <v>30.41</v>
      </c>
      <c r="AC103" s="460" t="s">
        <v>308</v>
      </c>
      <c r="AD103" s="460"/>
      <c r="AE103" s="561">
        <f>ROUND(70.29,2)</f>
        <v>70.290000000000006</v>
      </c>
      <c r="AF103" s="460" t="s">
        <v>308</v>
      </c>
      <c r="AG103" s="561">
        <f t="shared" si="1"/>
        <v>0</v>
      </c>
      <c r="AH103" s="460" t="s">
        <v>2671</v>
      </c>
      <c r="AI103" s="460" t="s">
        <v>1214</v>
      </c>
      <c r="AJ103" s="460" t="s">
        <v>2548</v>
      </c>
      <c r="AK103" s="460" t="s">
        <v>2672</v>
      </c>
      <c r="AL103" s="560" t="s">
        <v>2673</v>
      </c>
      <c r="AM103" s="460" t="s">
        <v>2674</v>
      </c>
    </row>
    <row r="104" spans="1:39" ht="34.200000000000003">
      <c r="A104" s="460" t="s">
        <v>1810</v>
      </c>
      <c r="B104" s="460"/>
      <c r="C104" s="460" t="s">
        <v>1276</v>
      </c>
      <c r="D104" s="460" t="s">
        <v>2331</v>
      </c>
      <c r="E104" s="460" t="s">
        <v>1823</v>
      </c>
      <c r="F104" s="460" t="s">
        <v>2015</v>
      </c>
      <c r="G104" s="461" t="s">
        <v>1218</v>
      </c>
      <c r="H104" s="461" t="s">
        <v>176</v>
      </c>
      <c r="I104" s="460" t="s">
        <v>2128</v>
      </c>
      <c r="J104" s="460" t="s">
        <v>1983</v>
      </c>
      <c r="K104" s="460" t="s">
        <v>2669</v>
      </c>
      <c r="L104" s="460" t="s">
        <v>2720</v>
      </c>
      <c r="M104" s="460" t="s">
        <v>2002</v>
      </c>
      <c r="N104" s="460" t="s">
        <v>1981</v>
      </c>
      <c r="O104" s="460" t="s">
        <v>2001</v>
      </c>
      <c r="P104" s="460" t="s">
        <v>2675</v>
      </c>
      <c r="Q104" s="460" t="s">
        <v>2676</v>
      </c>
      <c r="R104" s="460" t="s">
        <v>2677</v>
      </c>
      <c r="S104" s="460" t="s">
        <v>2676</v>
      </c>
      <c r="T104" s="460" t="s">
        <v>1827</v>
      </c>
      <c r="U104" s="461" t="s">
        <v>1824</v>
      </c>
      <c r="V104" s="460" t="s">
        <v>1119</v>
      </c>
      <c r="W104" s="560"/>
      <c r="X104" s="461" t="s">
        <v>1824</v>
      </c>
      <c r="Y104" s="461" t="s">
        <v>1824</v>
      </c>
      <c r="Z104" s="461" t="s">
        <v>170</v>
      </c>
      <c r="AA104" s="460" t="s">
        <v>1218</v>
      </c>
      <c r="AB104" s="561">
        <f>ROUND(100,2)</f>
        <v>100</v>
      </c>
      <c r="AC104" s="460" t="s">
        <v>2678</v>
      </c>
      <c r="AD104" s="460"/>
      <c r="AE104" s="561">
        <f>ROUND(500.05,2)</f>
        <v>500.05</v>
      </c>
      <c r="AF104" s="460" t="s">
        <v>2679</v>
      </c>
      <c r="AG104" s="561">
        <f t="shared" si="1"/>
        <v>0</v>
      </c>
      <c r="AH104" s="460" t="s">
        <v>2671</v>
      </c>
      <c r="AI104" s="460" t="s">
        <v>1214</v>
      </c>
      <c r="AJ104" s="460" t="s">
        <v>2550</v>
      </c>
      <c r="AK104" s="460" t="s">
        <v>2672</v>
      </c>
      <c r="AL104" s="560" t="s">
        <v>2691</v>
      </c>
      <c r="AM104" s="460" t="s">
        <v>2674</v>
      </c>
    </row>
    <row r="105" spans="1:39" ht="34.200000000000003">
      <c r="A105" s="460" t="s">
        <v>1810</v>
      </c>
      <c r="B105" s="460"/>
      <c r="C105" s="460" t="s">
        <v>1276</v>
      </c>
      <c r="D105" s="460" t="s">
        <v>2331</v>
      </c>
      <c r="E105" s="460" t="s">
        <v>1823</v>
      </c>
      <c r="F105" s="460" t="s">
        <v>2015</v>
      </c>
      <c r="G105" s="461" t="s">
        <v>1218</v>
      </c>
      <c r="H105" s="461" t="s">
        <v>176</v>
      </c>
      <c r="I105" s="460" t="s">
        <v>2128</v>
      </c>
      <c r="J105" s="460" t="s">
        <v>1983</v>
      </c>
      <c r="K105" s="460" t="s">
        <v>2669</v>
      </c>
      <c r="L105" s="460" t="s">
        <v>2720</v>
      </c>
      <c r="M105" s="460" t="s">
        <v>2002</v>
      </c>
      <c r="N105" s="460" t="s">
        <v>1981</v>
      </c>
      <c r="O105" s="460" t="s">
        <v>2001</v>
      </c>
      <c r="P105" s="460" t="s">
        <v>1979</v>
      </c>
      <c r="Q105" s="460" t="s">
        <v>1978</v>
      </c>
      <c r="R105" s="460" t="s">
        <v>1977</v>
      </c>
      <c r="S105" s="460" t="s">
        <v>1826</v>
      </c>
      <c r="T105" s="460" t="s">
        <v>1827</v>
      </c>
      <c r="U105" s="461" t="s">
        <v>1976</v>
      </c>
      <c r="V105" s="460" t="s">
        <v>1119</v>
      </c>
      <c r="W105" s="560"/>
      <c r="X105" s="461" t="s">
        <v>1824</v>
      </c>
      <c r="Y105" s="461" t="s">
        <v>1824</v>
      </c>
      <c r="Z105" s="461" t="s">
        <v>170</v>
      </c>
      <c r="AA105" s="460" t="s">
        <v>1218</v>
      </c>
      <c r="AB105" s="561">
        <f>ROUND(35.03,2)</f>
        <v>35.03</v>
      </c>
      <c r="AC105" s="460" t="s">
        <v>308</v>
      </c>
      <c r="AD105" s="460"/>
      <c r="AE105" s="561">
        <f>ROUND(819.25,2)</f>
        <v>819.25</v>
      </c>
      <c r="AF105" s="460" t="s">
        <v>308</v>
      </c>
      <c r="AG105" s="561">
        <f t="shared" si="1"/>
        <v>0</v>
      </c>
      <c r="AH105" s="460" t="s">
        <v>2671</v>
      </c>
      <c r="AI105" s="460" t="s">
        <v>1214</v>
      </c>
      <c r="AJ105" s="460" t="s">
        <v>2549</v>
      </c>
      <c r="AK105" s="460" t="s">
        <v>2672</v>
      </c>
      <c r="AL105" s="560" t="s">
        <v>2694</v>
      </c>
      <c r="AM105" s="460" t="s">
        <v>2674</v>
      </c>
    </row>
    <row r="106" spans="1:39" ht="22.8">
      <c r="A106" s="460" t="s">
        <v>1810</v>
      </c>
      <c r="B106" s="460"/>
      <c r="C106" s="460" t="s">
        <v>1760</v>
      </c>
      <c r="D106" s="460" t="s">
        <v>2330</v>
      </c>
      <c r="E106" s="460" t="s">
        <v>1814</v>
      </c>
      <c r="F106" s="460" t="s">
        <v>1812</v>
      </c>
      <c r="G106" s="461" t="s">
        <v>1218</v>
      </c>
      <c r="H106" s="461" t="s">
        <v>1830</v>
      </c>
      <c r="I106" s="460" t="s">
        <v>2329</v>
      </c>
      <c r="J106" s="460" t="s">
        <v>1983</v>
      </c>
      <c r="K106" s="460" t="s">
        <v>2669</v>
      </c>
      <c r="L106" s="460" t="s">
        <v>2703</v>
      </c>
      <c r="M106" s="460" t="s">
        <v>1982</v>
      </c>
      <c r="N106" s="460" t="s">
        <v>1981</v>
      </c>
      <c r="O106" s="460" t="s">
        <v>1980</v>
      </c>
      <c r="P106" s="460" t="s">
        <v>1979</v>
      </c>
      <c r="Q106" s="460" t="s">
        <v>95</v>
      </c>
      <c r="R106" s="460" t="s">
        <v>1977</v>
      </c>
      <c r="S106" s="460" t="s">
        <v>1842</v>
      </c>
      <c r="T106" s="460" t="s">
        <v>1827</v>
      </c>
      <c r="U106" s="461" t="s">
        <v>1976</v>
      </c>
      <c r="V106" s="460" t="s">
        <v>1843</v>
      </c>
      <c r="W106" s="560"/>
      <c r="X106" s="461" t="s">
        <v>2049</v>
      </c>
      <c r="Y106" s="461" t="s">
        <v>2049</v>
      </c>
      <c r="Z106" s="461" t="s">
        <v>170</v>
      </c>
      <c r="AA106" s="460" t="s">
        <v>1218</v>
      </c>
      <c r="AB106" s="561">
        <f>ROUND(30.41,2)</f>
        <v>30.41</v>
      </c>
      <c r="AC106" s="460" t="s">
        <v>308</v>
      </c>
      <c r="AD106" s="460"/>
      <c r="AE106" s="561">
        <f>ROUND(70.29,2)</f>
        <v>70.290000000000006</v>
      </c>
      <c r="AF106" s="460" t="s">
        <v>308</v>
      </c>
      <c r="AG106" s="561">
        <f t="shared" si="1"/>
        <v>0</v>
      </c>
      <c r="AH106" s="460" t="s">
        <v>2671</v>
      </c>
      <c r="AI106" s="460" t="s">
        <v>1214</v>
      </c>
      <c r="AJ106" s="460" t="s">
        <v>2548</v>
      </c>
      <c r="AK106" s="460" t="s">
        <v>2672</v>
      </c>
      <c r="AL106" s="560" t="s">
        <v>2673</v>
      </c>
      <c r="AM106" s="460" t="s">
        <v>2674</v>
      </c>
    </row>
    <row r="107" spans="1:39" ht="22.8">
      <c r="A107" s="460" t="s">
        <v>1810</v>
      </c>
      <c r="B107" s="460"/>
      <c r="C107" s="460" t="s">
        <v>1760</v>
      </c>
      <c r="D107" s="460" t="s">
        <v>2330</v>
      </c>
      <c r="E107" s="460" t="s">
        <v>1814</v>
      </c>
      <c r="F107" s="460" t="s">
        <v>1812</v>
      </c>
      <c r="G107" s="461" t="s">
        <v>1218</v>
      </c>
      <c r="H107" s="461" t="s">
        <v>1830</v>
      </c>
      <c r="I107" s="460" t="s">
        <v>2329</v>
      </c>
      <c r="J107" s="460" t="s">
        <v>1983</v>
      </c>
      <c r="K107" s="460" t="s">
        <v>2669</v>
      </c>
      <c r="L107" s="460" t="s">
        <v>2703</v>
      </c>
      <c r="M107" s="460" t="s">
        <v>1982</v>
      </c>
      <c r="N107" s="460" t="s">
        <v>1981</v>
      </c>
      <c r="O107" s="460" t="s">
        <v>1980</v>
      </c>
      <c r="P107" s="460" t="s">
        <v>2675</v>
      </c>
      <c r="Q107" s="460" t="s">
        <v>2676</v>
      </c>
      <c r="R107" s="460" t="s">
        <v>2677</v>
      </c>
      <c r="S107" s="460" t="s">
        <v>2676</v>
      </c>
      <c r="T107" s="460" t="s">
        <v>1827</v>
      </c>
      <c r="U107" s="461" t="s">
        <v>1824</v>
      </c>
      <c r="V107" s="460" t="s">
        <v>1119</v>
      </c>
      <c r="W107" s="560"/>
      <c r="X107" s="461" t="s">
        <v>2049</v>
      </c>
      <c r="Y107" s="461" t="s">
        <v>2049</v>
      </c>
      <c r="Z107" s="461" t="s">
        <v>170</v>
      </c>
      <c r="AA107" s="460" t="s">
        <v>1218</v>
      </c>
      <c r="AB107" s="561">
        <f>ROUND(0,2)</f>
        <v>0</v>
      </c>
      <c r="AC107" s="460" t="s">
        <v>2678</v>
      </c>
      <c r="AD107" s="460"/>
      <c r="AE107" s="561">
        <f>ROUND(500.05,2)</f>
        <v>500.05</v>
      </c>
      <c r="AF107" s="460" t="s">
        <v>2679</v>
      </c>
      <c r="AG107" s="561">
        <f t="shared" si="1"/>
        <v>0</v>
      </c>
      <c r="AH107" s="460" t="s">
        <v>2671</v>
      </c>
      <c r="AI107" s="460" t="s">
        <v>1214</v>
      </c>
      <c r="AJ107" s="460"/>
      <c r="AK107" s="460"/>
      <c r="AL107" s="560"/>
      <c r="AM107" s="460"/>
    </row>
    <row r="108" spans="1:39" ht="22.8">
      <c r="A108" s="460" t="s">
        <v>1810</v>
      </c>
      <c r="B108" s="460"/>
      <c r="C108" s="460" t="s">
        <v>1760</v>
      </c>
      <c r="D108" s="460" t="s">
        <v>2330</v>
      </c>
      <c r="E108" s="460" t="s">
        <v>1814</v>
      </c>
      <c r="F108" s="460" t="s">
        <v>1812</v>
      </c>
      <c r="G108" s="461" t="s">
        <v>1218</v>
      </c>
      <c r="H108" s="461" t="s">
        <v>1830</v>
      </c>
      <c r="I108" s="460" t="s">
        <v>2329</v>
      </c>
      <c r="J108" s="460" t="s">
        <v>1983</v>
      </c>
      <c r="K108" s="460" t="s">
        <v>2669</v>
      </c>
      <c r="L108" s="460" t="s">
        <v>2703</v>
      </c>
      <c r="M108" s="460" t="s">
        <v>1982</v>
      </c>
      <c r="N108" s="460" t="s">
        <v>1981</v>
      </c>
      <c r="O108" s="460" t="s">
        <v>1980</v>
      </c>
      <c r="P108" s="460" t="s">
        <v>1979</v>
      </c>
      <c r="Q108" s="460" t="s">
        <v>1978</v>
      </c>
      <c r="R108" s="460" t="s">
        <v>1977</v>
      </c>
      <c r="S108" s="460" t="s">
        <v>1826</v>
      </c>
      <c r="T108" s="460" t="s">
        <v>1827</v>
      </c>
      <c r="U108" s="461" t="s">
        <v>1976</v>
      </c>
      <c r="V108" s="460" t="s">
        <v>1119</v>
      </c>
      <c r="W108" s="560"/>
      <c r="X108" s="461" t="s">
        <v>2049</v>
      </c>
      <c r="Y108" s="461" t="s">
        <v>2049</v>
      </c>
      <c r="Z108" s="461" t="s">
        <v>170</v>
      </c>
      <c r="AA108" s="460" t="s">
        <v>1218</v>
      </c>
      <c r="AB108" s="561">
        <f>ROUND(29.05,2)</f>
        <v>29.05</v>
      </c>
      <c r="AC108" s="460" t="s">
        <v>308</v>
      </c>
      <c r="AD108" s="460"/>
      <c r="AE108" s="561">
        <f>ROUND(825.23,2)</f>
        <v>825.23</v>
      </c>
      <c r="AF108" s="460" t="s">
        <v>308</v>
      </c>
      <c r="AG108" s="561">
        <f t="shared" si="1"/>
        <v>0</v>
      </c>
      <c r="AH108" s="460" t="s">
        <v>2671</v>
      </c>
      <c r="AI108" s="460" t="s">
        <v>1214</v>
      </c>
      <c r="AJ108" s="460" t="s">
        <v>2549</v>
      </c>
      <c r="AK108" s="460" t="s">
        <v>2672</v>
      </c>
      <c r="AL108" s="560" t="s">
        <v>2692</v>
      </c>
      <c r="AM108" s="460" t="s">
        <v>2674</v>
      </c>
    </row>
    <row r="109" spans="1:39" ht="22.8">
      <c r="A109" s="460" t="s">
        <v>1810</v>
      </c>
      <c r="B109" s="460"/>
      <c r="C109" s="460" t="s">
        <v>1761</v>
      </c>
      <c r="D109" s="460" t="s">
        <v>2740</v>
      </c>
      <c r="E109" s="460" t="s">
        <v>1814</v>
      </c>
      <c r="F109" s="460" t="s">
        <v>1812</v>
      </c>
      <c r="G109" s="461" t="s">
        <v>1218</v>
      </c>
      <c r="H109" s="461" t="s">
        <v>1830</v>
      </c>
      <c r="I109" s="460" t="s">
        <v>2342</v>
      </c>
      <c r="J109" s="460" t="s">
        <v>1983</v>
      </c>
      <c r="K109" s="460" t="s">
        <v>2669</v>
      </c>
      <c r="L109" s="460" t="s">
        <v>2703</v>
      </c>
      <c r="M109" s="460" t="s">
        <v>1982</v>
      </c>
      <c r="N109" s="460" t="s">
        <v>1981</v>
      </c>
      <c r="O109" s="460" t="s">
        <v>1980</v>
      </c>
      <c r="P109" s="460" t="s">
        <v>1979</v>
      </c>
      <c r="Q109" s="460" t="s">
        <v>95</v>
      </c>
      <c r="R109" s="460" t="s">
        <v>1977</v>
      </c>
      <c r="S109" s="460" t="s">
        <v>1842</v>
      </c>
      <c r="T109" s="460" t="s">
        <v>1827</v>
      </c>
      <c r="U109" s="461" t="s">
        <v>1976</v>
      </c>
      <c r="V109" s="460" t="s">
        <v>1119</v>
      </c>
      <c r="W109" s="560"/>
      <c r="X109" s="461" t="s">
        <v>2724</v>
      </c>
      <c r="Y109" s="461" t="s">
        <v>2724</v>
      </c>
      <c r="Z109" s="461" t="s">
        <v>170</v>
      </c>
      <c r="AA109" s="460" t="s">
        <v>1218</v>
      </c>
      <c r="AB109" s="561">
        <f>ROUND(0,2)</f>
        <v>0</v>
      </c>
      <c r="AC109" s="460" t="s">
        <v>308</v>
      </c>
      <c r="AD109" s="460"/>
      <c r="AE109" s="561">
        <f>ROUND(36.23,2)</f>
        <v>36.229999999999997</v>
      </c>
      <c r="AF109" s="460" t="s">
        <v>308</v>
      </c>
      <c r="AG109" s="561">
        <f t="shared" si="1"/>
        <v>0</v>
      </c>
      <c r="AH109" s="460" t="s">
        <v>2671</v>
      </c>
      <c r="AI109" s="460" t="s">
        <v>1214</v>
      </c>
      <c r="AJ109" s="460"/>
      <c r="AK109" s="460"/>
      <c r="AL109" s="560"/>
      <c r="AM109" s="460"/>
    </row>
    <row r="110" spans="1:39" ht="22.8">
      <c r="A110" s="460" t="s">
        <v>1810</v>
      </c>
      <c r="B110" s="460"/>
      <c r="C110" s="460" t="s">
        <v>1761</v>
      </c>
      <c r="D110" s="460" t="s">
        <v>2740</v>
      </c>
      <c r="E110" s="460" t="s">
        <v>1814</v>
      </c>
      <c r="F110" s="460" t="s">
        <v>1812</v>
      </c>
      <c r="G110" s="461" t="s">
        <v>1218</v>
      </c>
      <c r="H110" s="461" t="s">
        <v>1830</v>
      </c>
      <c r="I110" s="460" t="s">
        <v>2342</v>
      </c>
      <c r="J110" s="460" t="s">
        <v>1983</v>
      </c>
      <c r="K110" s="460" t="s">
        <v>2669</v>
      </c>
      <c r="L110" s="460" t="s">
        <v>2703</v>
      </c>
      <c r="M110" s="460" t="s">
        <v>1982</v>
      </c>
      <c r="N110" s="460" t="s">
        <v>1981</v>
      </c>
      <c r="O110" s="460" t="s">
        <v>1980</v>
      </c>
      <c r="P110" s="460" t="s">
        <v>2675</v>
      </c>
      <c r="Q110" s="460" t="s">
        <v>2676</v>
      </c>
      <c r="R110" s="460" t="s">
        <v>2677</v>
      </c>
      <c r="S110" s="460" t="s">
        <v>2676</v>
      </c>
      <c r="T110" s="460" t="s">
        <v>1827</v>
      </c>
      <c r="U110" s="461" t="s">
        <v>1824</v>
      </c>
      <c r="V110" s="460" t="s">
        <v>1119</v>
      </c>
      <c r="W110" s="560"/>
      <c r="X110" s="461" t="s">
        <v>2724</v>
      </c>
      <c r="Y110" s="461" t="s">
        <v>2724</v>
      </c>
      <c r="Z110" s="461" t="s">
        <v>170</v>
      </c>
      <c r="AA110" s="460" t="s">
        <v>1218</v>
      </c>
      <c r="AB110" s="560"/>
      <c r="AC110" s="460"/>
      <c r="AD110" s="460"/>
      <c r="AE110" s="561">
        <f>ROUND(500.05,2)</f>
        <v>500.05</v>
      </c>
      <c r="AF110" s="460" t="s">
        <v>2679</v>
      </c>
      <c r="AG110" s="561">
        <f t="shared" si="1"/>
        <v>0</v>
      </c>
      <c r="AH110" s="460" t="s">
        <v>2671</v>
      </c>
      <c r="AI110" s="460" t="s">
        <v>1214</v>
      </c>
      <c r="AJ110" s="460"/>
      <c r="AK110" s="460"/>
      <c r="AL110" s="560"/>
      <c r="AM110" s="460"/>
    </row>
    <row r="111" spans="1:39" ht="22.8">
      <c r="A111" s="460" t="s">
        <v>1810</v>
      </c>
      <c r="B111" s="460"/>
      <c r="C111" s="460" t="s">
        <v>1761</v>
      </c>
      <c r="D111" s="460" t="s">
        <v>2740</v>
      </c>
      <c r="E111" s="460" t="s">
        <v>1814</v>
      </c>
      <c r="F111" s="460" t="s">
        <v>1812</v>
      </c>
      <c r="G111" s="461" t="s">
        <v>1218</v>
      </c>
      <c r="H111" s="461" t="s">
        <v>1830</v>
      </c>
      <c r="I111" s="460" t="s">
        <v>2342</v>
      </c>
      <c r="J111" s="460" t="s">
        <v>1983</v>
      </c>
      <c r="K111" s="460" t="s">
        <v>2669</v>
      </c>
      <c r="L111" s="460" t="s">
        <v>2703</v>
      </c>
      <c r="M111" s="460" t="s">
        <v>1982</v>
      </c>
      <c r="N111" s="460" t="s">
        <v>1981</v>
      </c>
      <c r="O111" s="460" t="s">
        <v>1980</v>
      </c>
      <c r="P111" s="460" t="s">
        <v>1979</v>
      </c>
      <c r="Q111" s="460" t="s">
        <v>1978</v>
      </c>
      <c r="R111" s="460" t="s">
        <v>1977</v>
      </c>
      <c r="S111" s="460" t="s">
        <v>1826</v>
      </c>
      <c r="T111" s="460" t="s">
        <v>1827</v>
      </c>
      <c r="U111" s="461" t="s">
        <v>1976</v>
      </c>
      <c r="V111" s="460" t="s">
        <v>1119</v>
      </c>
      <c r="W111" s="560"/>
      <c r="X111" s="461" t="s">
        <v>2724</v>
      </c>
      <c r="Y111" s="461" t="s">
        <v>2724</v>
      </c>
      <c r="Z111" s="461" t="s">
        <v>170</v>
      </c>
      <c r="AA111" s="460" t="s">
        <v>1218</v>
      </c>
      <c r="AB111" s="561">
        <f>ROUND(29.05,2)</f>
        <v>29.05</v>
      </c>
      <c r="AC111" s="460" t="s">
        <v>308</v>
      </c>
      <c r="AD111" s="460"/>
      <c r="AE111" s="561">
        <f>ROUND(825.23,2)</f>
        <v>825.23</v>
      </c>
      <c r="AF111" s="460" t="s">
        <v>308</v>
      </c>
      <c r="AG111" s="561">
        <f t="shared" si="1"/>
        <v>0</v>
      </c>
      <c r="AH111" s="460" t="s">
        <v>2671</v>
      </c>
      <c r="AI111" s="460" t="s">
        <v>1214</v>
      </c>
      <c r="AJ111" s="460" t="s">
        <v>2549</v>
      </c>
      <c r="AK111" s="460" t="s">
        <v>2672</v>
      </c>
      <c r="AL111" s="560" t="s">
        <v>2692</v>
      </c>
      <c r="AM111" s="460" t="s">
        <v>2674</v>
      </c>
    </row>
    <row r="112" spans="1:39" ht="22.8">
      <c r="A112" s="460" t="s">
        <v>1810</v>
      </c>
      <c r="B112" s="460"/>
      <c r="C112" s="460" t="s">
        <v>1280</v>
      </c>
      <c r="D112" s="460" t="s">
        <v>2328</v>
      </c>
      <c r="E112" s="460" t="s">
        <v>1814</v>
      </c>
      <c r="F112" s="460" t="s">
        <v>1812</v>
      </c>
      <c r="G112" s="461" t="s">
        <v>1218</v>
      </c>
      <c r="H112" s="461" t="s">
        <v>194</v>
      </c>
      <c r="I112" s="460" t="s">
        <v>2286</v>
      </c>
      <c r="J112" s="460" t="s">
        <v>1983</v>
      </c>
      <c r="K112" s="460" t="s">
        <v>2669</v>
      </c>
      <c r="L112" s="460" t="s">
        <v>2703</v>
      </c>
      <c r="M112" s="460" t="s">
        <v>1982</v>
      </c>
      <c r="N112" s="460" t="s">
        <v>1981</v>
      </c>
      <c r="O112" s="460" t="s">
        <v>1980</v>
      </c>
      <c r="P112" s="460" t="s">
        <v>1979</v>
      </c>
      <c r="Q112" s="460" t="s">
        <v>95</v>
      </c>
      <c r="R112" s="460" t="s">
        <v>1977</v>
      </c>
      <c r="S112" s="460" t="s">
        <v>1842</v>
      </c>
      <c r="T112" s="460" t="s">
        <v>1827</v>
      </c>
      <c r="U112" s="461" t="s">
        <v>1976</v>
      </c>
      <c r="V112" s="460" t="s">
        <v>1843</v>
      </c>
      <c r="W112" s="560"/>
      <c r="X112" s="461" t="s">
        <v>1824</v>
      </c>
      <c r="Y112" s="461" t="s">
        <v>1824</v>
      </c>
      <c r="Z112" s="461" t="s">
        <v>170</v>
      </c>
      <c r="AA112" s="460" t="s">
        <v>1218</v>
      </c>
      <c r="AB112" s="561">
        <f>ROUND(30.41,2)</f>
        <v>30.41</v>
      </c>
      <c r="AC112" s="460" t="s">
        <v>308</v>
      </c>
      <c r="AD112" s="460"/>
      <c r="AE112" s="561">
        <f>ROUND(70.29,2)</f>
        <v>70.290000000000006</v>
      </c>
      <c r="AF112" s="460" t="s">
        <v>308</v>
      </c>
      <c r="AG112" s="561">
        <f t="shared" si="1"/>
        <v>0</v>
      </c>
      <c r="AH112" s="460" t="s">
        <v>2671</v>
      </c>
      <c r="AI112" s="460" t="s">
        <v>1214</v>
      </c>
      <c r="AJ112" s="460" t="s">
        <v>2548</v>
      </c>
      <c r="AK112" s="460" t="s">
        <v>2672</v>
      </c>
      <c r="AL112" s="560" t="s">
        <v>2673</v>
      </c>
      <c r="AM112" s="460" t="s">
        <v>2674</v>
      </c>
    </row>
    <row r="113" spans="1:39" ht="22.8">
      <c r="A113" s="460" t="s">
        <v>1810</v>
      </c>
      <c r="B113" s="460"/>
      <c r="C113" s="460" t="s">
        <v>1280</v>
      </c>
      <c r="D113" s="460" t="s">
        <v>2328</v>
      </c>
      <c r="E113" s="460" t="s">
        <v>1814</v>
      </c>
      <c r="F113" s="460" t="s">
        <v>1812</v>
      </c>
      <c r="G113" s="461" t="s">
        <v>1218</v>
      </c>
      <c r="H113" s="461" t="s">
        <v>194</v>
      </c>
      <c r="I113" s="460" t="s">
        <v>2286</v>
      </c>
      <c r="J113" s="460" t="s">
        <v>1983</v>
      </c>
      <c r="K113" s="460" t="s">
        <v>2669</v>
      </c>
      <c r="L113" s="460" t="s">
        <v>2703</v>
      </c>
      <c r="M113" s="460" t="s">
        <v>1982</v>
      </c>
      <c r="N113" s="460" t="s">
        <v>1981</v>
      </c>
      <c r="O113" s="460" t="s">
        <v>1980</v>
      </c>
      <c r="P113" s="460" t="s">
        <v>2675</v>
      </c>
      <c r="Q113" s="460" t="s">
        <v>2676</v>
      </c>
      <c r="R113" s="460" t="s">
        <v>2677</v>
      </c>
      <c r="S113" s="460" t="s">
        <v>2676</v>
      </c>
      <c r="T113" s="460" t="s">
        <v>1827</v>
      </c>
      <c r="U113" s="461" t="s">
        <v>1824</v>
      </c>
      <c r="V113" s="460" t="s">
        <v>1843</v>
      </c>
      <c r="W113" s="560"/>
      <c r="X113" s="461" t="s">
        <v>1824</v>
      </c>
      <c r="Y113" s="461" t="s">
        <v>2683</v>
      </c>
      <c r="Z113" s="461" t="s">
        <v>170</v>
      </c>
      <c r="AA113" s="460" t="s">
        <v>1218</v>
      </c>
      <c r="AB113" s="561">
        <f>ROUND(50,2)</f>
        <v>50</v>
      </c>
      <c r="AC113" s="460" t="s">
        <v>2678</v>
      </c>
      <c r="AD113" s="460"/>
      <c r="AE113" s="561">
        <f>ROUND(1000,2)</f>
        <v>1000</v>
      </c>
      <c r="AF113" s="460" t="s">
        <v>2679</v>
      </c>
      <c r="AG113" s="561">
        <f t="shared" si="1"/>
        <v>0</v>
      </c>
      <c r="AH113" s="460" t="s">
        <v>2671</v>
      </c>
      <c r="AI113" s="460" t="s">
        <v>1214</v>
      </c>
      <c r="AJ113" s="460" t="s">
        <v>2550</v>
      </c>
      <c r="AK113" s="460" t="s">
        <v>2672</v>
      </c>
      <c r="AL113" s="560" t="s">
        <v>2690</v>
      </c>
      <c r="AM113" s="460" t="s">
        <v>2674</v>
      </c>
    </row>
    <row r="114" spans="1:39" ht="22.8">
      <c r="A114" s="460" t="s">
        <v>1810</v>
      </c>
      <c r="B114" s="460"/>
      <c r="C114" s="460" t="s">
        <v>1280</v>
      </c>
      <c r="D114" s="460" t="s">
        <v>2328</v>
      </c>
      <c r="E114" s="460" t="s">
        <v>1814</v>
      </c>
      <c r="F114" s="460" t="s">
        <v>1812</v>
      </c>
      <c r="G114" s="461" t="s">
        <v>1218</v>
      </c>
      <c r="H114" s="461" t="s">
        <v>194</v>
      </c>
      <c r="I114" s="460" t="s">
        <v>2286</v>
      </c>
      <c r="J114" s="460" t="s">
        <v>1983</v>
      </c>
      <c r="K114" s="460" t="s">
        <v>2669</v>
      </c>
      <c r="L114" s="460" t="s">
        <v>2703</v>
      </c>
      <c r="M114" s="460" t="s">
        <v>1982</v>
      </c>
      <c r="N114" s="460" t="s">
        <v>1981</v>
      </c>
      <c r="O114" s="460" t="s">
        <v>1980</v>
      </c>
      <c r="P114" s="460" t="s">
        <v>1979</v>
      </c>
      <c r="Q114" s="460" t="s">
        <v>1978</v>
      </c>
      <c r="R114" s="460" t="s">
        <v>1977</v>
      </c>
      <c r="S114" s="460" t="s">
        <v>1826</v>
      </c>
      <c r="T114" s="460" t="s">
        <v>1827</v>
      </c>
      <c r="U114" s="461" t="s">
        <v>1976</v>
      </c>
      <c r="V114" s="460" t="s">
        <v>1843</v>
      </c>
      <c r="W114" s="560"/>
      <c r="X114" s="461" t="s">
        <v>1824</v>
      </c>
      <c r="Y114" s="461" t="s">
        <v>1824</v>
      </c>
      <c r="Z114" s="461" t="s">
        <v>170</v>
      </c>
      <c r="AA114" s="460" t="s">
        <v>1218</v>
      </c>
      <c r="AB114" s="561">
        <f>ROUND(603.2,2)</f>
        <v>603.20000000000005</v>
      </c>
      <c r="AC114" s="460" t="s">
        <v>308</v>
      </c>
      <c r="AD114" s="460"/>
      <c r="AE114" s="561">
        <f>ROUND(1528.26,2)</f>
        <v>1528.26</v>
      </c>
      <c r="AF114" s="460" t="s">
        <v>308</v>
      </c>
      <c r="AG114" s="561">
        <f t="shared" si="1"/>
        <v>0</v>
      </c>
      <c r="AH114" s="460" t="s">
        <v>2671</v>
      </c>
      <c r="AI114" s="460" t="s">
        <v>1214</v>
      </c>
      <c r="AJ114" s="460" t="s">
        <v>2549</v>
      </c>
      <c r="AK114" s="460" t="s">
        <v>2672</v>
      </c>
      <c r="AL114" s="560" t="s">
        <v>2702</v>
      </c>
      <c r="AM114" s="460" t="s">
        <v>2674</v>
      </c>
    </row>
    <row r="115" spans="1:39" ht="22.8">
      <c r="A115" s="460" t="s">
        <v>1810</v>
      </c>
      <c r="B115" s="460"/>
      <c r="C115" s="460" t="s">
        <v>1287</v>
      </c>
      <c r="D115" s="460" t="s">
        <v>2327</v>
      </c>
      <c r="E115" s="460" t="s">
        <v>1817</v>
      </c>
      <c r="F115" s="460" t="s">
        <v>1812</v>
      </c>
      <c r="G115" s="461" t="s">
        <v>1218</v>
      </c>
      <c r="H115" s="461" t="s">
        <v>292</v>
      </c>
      <c r="I115" s="460" t="s">
        <v>2326</v>
      </c>
      <c r="J115" s="460" t="s">
        <v>1983</v>
      </c>
      <c r="K115" s="460" t="s">
        <v>2669</v>
      </c>
      <c r="L115" s="460" t="s">
        <v>2695</v>
      </c>
      <c r="M115" s="460" t="s">
        <v>1987</v>
      </c>
      <c r="N115" s="460" t="s">
        <v>1986</v>
      </c>
      <c r="O115" s="460" t="s">
        <v>1980</v>
      </c>
      <c r="P115" s="460" t="s">
        <v>1979</v>
      </c>
      <c r="Q115" s="460" t="s">
        <v>95</v>
      </c>
      <c r="R115" s="460" t="s">
        <v>1977</v>
      </c>
      <c r="S115" s="460" t="s">
        <v>1842</v>
      </c>
      <c r="T115" s="460" t="s">
        <v>1827</v>
      </c>
      <c r="U115" s="461" t="s">
        <v>1976</v>
      </c>
      <c r="V115" s="460" t="s">
        <v>1843</v>
      </c>
      <c r="W115" s="560"/>
      <c r="X115" s="461" t="s">
        <v>2061</v>
      </c>
      <c r="Y115" s="461" t="s">
        <v>2061</v>
      </c>
      <c r="Z115" s="461" t="s">
        <v>170</v>
      </c>
      <c r="AA115" s="460" t="s">
        <v>1218</v>
      </c>
      <c r="AB115" s="561">
        <f>ROUND(30.41,2)</f>
        <v>30.41</v>
      </c>
      <c r="AC115" s="460" t="s">
        <v>308</v>
      </c>
      <c r="AD115" s="460"/>
      <c r="AE115" s="561">
        <f>ROUND(70.29,2)</f>
        <v>70.290000000000006</v>
      </c>
      <c r="AF115" s="460" t="s">
        <v>308</v>
      </c>
      <c r="AG115" s="561">
        <f t="shared" si="1"/>
        <v>0</v>
      </c>
      <c r="AH115" s="460" t="s">
        <v>2671</v>
      </c>
      <c r="AI115" s="460" t="s">
        <v>1214</v>
      </c>
      <c r="AJ115" s="460" t="s">
        <v>2548</v>
      </c>
      <c r="AK115" s="460" t="s">
        <v>2672</v>
      </c>
      <c r="AL115" s="560" t="s">
        <v>2673</v>
      </c>
      <c r="AM115" s="460" t="s">
        <v>2674</v>
      </c>
    </row>
    <row r="116" spans="1:39" ht="22.8">
      <c r="A116" s="460" t="s">
        <v>1810</v>
      </c>
      <c r="B116" s="460"/>
      <c r="C116" s="460" t="s">
        <v>1287</v>
      </c>
      <c r="D116" s="460" t="s">
        <v>2327</v>
      </c>
      <c r="E116" s="460" t="s">
        <v>1817</v>
      </c>
      <c r="F116" s="460" t="s">
        <v>1812</v>
      </c>
      <c r="G116" s="461" t="s">
        <v>1218</v>
      </c>
      <c r="H116" s="461" t="s">
        <v>292</v>
      </c>
      <c r="I116" s="460" t="s">
        <v>2326</v>
      </c>
      <c r="J116" s="460" t="s">
        <v>1983</v>
      </c>
      <c r="K116" s="460" t="s">
        <v>2669</v>
      </c>
      <c r="L116" s="460" t="s">
        <v>2695</v>
      </c>
      <c r="M116" s="460" t="s">
        <v>1987</v>
      </c>
      <c r="N116" s="460" t="s">
        <v>1986</v>
      </c>
      <c r="O116" s="460" t="s">
        <v>1980</v>
      </c>
      <c r="P116" s="460" t="s">
        <v>2675</v>
      </c>
      <c r="Q116" s="460" t="s">
        <v>2676</v>
      </c>
      <c r="R116" s="460" t="s">
        <v>2677</v>
      </c>
      <c r="S116" s="460" t="s">
        <v>2676</v>
      </c>
      <c r="T116" s="460" t="s">
        <v>1827</v>
      </c>
      <c r="U116" s="461" t="s">
        <v>1824</v>
      </c>
      <c r="V116" s="460" t="s">
        <v>1843</v>
      </c>
      <c r="W116" s="560"/>
      <c r="X116" s="461" t="s">
        <v>1824</v>
      </c>
      <c r="Y116" s="461" t="s">
        <v>2683</v>
      </c>
      <c r="Z116" s="461" t="s">
        <v>170</v>
      </c>
      <c r="AA116" s="460" t="s">
        <v>1218</v>
      </c>
      <c r="AB116" s="561">
        <f>ROUND(100,2)</f>
        <v>100</v>
      </c>
      <c r="AC116" s="460" t="s">
        <v>2678</v>
      </c>
      <c r="AD116" s="460"/>
      <c r="AE116" s="561">
        <f>ROUND(1000,2)</f>
        <v>1000</v>
      </c>
      <c r="AF116" s="460" t="s">
        <v>2679</v>
      </c>
      <c r="AG116" s="561">
        <f t="shared" si="1"/>
        <v>0</v>
      </c>
      <c r="AH116" s="460" t="s">
        <v>2671</v>
      </c>
      <c r="AI116" s="460" t="s">
        <v>1214</v>
      </c>
      <c r="AJ116" s="460" t="s">
        <v>2550</v>
      </c>
      <c r="AK116" s="460" t="s">
        <v>2672</v>
      </c>
      <c r="AL116" s="560" t="s">
        <v>2691</v>
      </c>
      <c r="AM116" s="460" t="s">
        <v>2674</v>
      </c>
    </row>
    <row r="117" spans="1:39" ht="22.8">
      <c r="A117" s="460" t="s">
        <v>1810</v>
      </c>
      <c r="B117" s="460"/>
      <c r="C117" s="460" t="s">
        <v>1287</v>
      </c>
      <c r="D117" s="460" t="s">
        <v>2327</v>
      </c>
      <c r="E117" s="460" t="s">
        <v>1817</v>
      </c>
      <c r="F117" s="460" t="s">
        <v>1812</v>
      </c>
      <c r="G117" s="461" t="s">
        <v>1218</v>
      </c>
      <c r="H117" s="461" t="s">
        <v>292</v>
      </c>
      <c r="I117" s="460" t="s">
        <v>2326</v>
      </c>
      <c r="J117" s="460" t="s">
        <v>1983</v>
      </c>
      <c r="K117" s="460" t="s">
        <v>2669</v>
      </c>
      <c r="L117" s="460" t="s">
        <v>2695</v>
      </c>
      <c r="M117" s="460" t="s">
        <v>1987</v>
      </c>
      <c r="N117" s="460" t="s">
        <v>1986</v>
      </c>
      <c r="O117" s="460" t="s">
        <v>1980</v>
      </c>
      <c r="P117" s="460" t="s">
        <v>1979</v>
      </c>
      <c r="Q117" s="460" t="s">
        <v>1978</v>
      </c>
      <c r="R117" s="460" t="s">
        <v>1977</v>
      </c>
      <c r="S117" s="460" t="s">
        <v>1826</v>
      </c>
      <c r="T117" s="460" t="s">
        <v>1827</v>
      </c>
      <c r="U117" s="461" t="s">
        <v>1976</v>
      </c>
      <c r="V117" s="460" t="s">
        <v>1843</v>
      </c>
      <c r="W117" s="560"/>
      <c r="X117" s="461" t="s">
        <v>1824</v>
      </c>
      <c r="Y117" s="461" t="s">
        <v>2054</v>
      </c>
      <c r="Z117" s="461" t="s">
        <v>170</v>
      </c>
      <c r="AA117" s="460" t="s">
        <v>1218</v>
      </c>
      <c r="AB117" s="561">
        <f>ROUND(475.32,2)</f>
        <v>475.32</v>
      </c>
      <c r="AC117" s="460" t="s">
        <v>308</v>
      </c>
      <c r="AD117" s="460"/>
      <c r="AE117" s="561">
        <f>ROUND(1656.14,2)</f>
        <v>1656.14</v>
      </c>
      <c r="AF117" s="460" t="s">
        <v>308</v>
      </c>
      <c r="AG117" s="561">
        <f t="shared" si="1"/>
        <v>0</v>
      </c>
      <c r="AH117" s="460" t="s">
        <v>2671</v>
      </c>
      <c r="AI117" s="460" t="s">
        <v>1214</v>
      </c>
      <c r="AJ117" s="460" t="s">
        <v>2549</v>
      </c>
      <c r="AK117" s="460" t="s">
        <v>2672</v>
      </c>
      <c r="AL117" s="560" t="s">
        <v>2718</v>
      </c>
      <c r="AM117" s="460" t="s">
        <v>2674</v>
      </c>
    </row>
    <row r="118" spans="1:39" ht="34.200000000000003">
      <c r="A118" s="460" t="s">
        <v>1810</v>
      </c>
      <c r="B118" s="460"/>
      <c r="C118" s="460" t="s">
        <v>2923</v>
      </c>
      <c r="D118" s="460" t="s">
        <v>2973</v>
      </c>
      <c r="E118" s="460" t="s">
        <v>1844</v>
      </c>
      <c r="F118" s="460" t="s">
        <v>1812</v>
      </c>
      <c r="G118" s="461" t="s">
        <v>1218</v>
      </c>
      <c r="H118" s="461" t="s">
        <v>2964</v>
      </c>
      <c r="I118" s="460" t="s">
        <v>2337</v>
      </c>
      <c r="J118" s="460" t="s">
        <v>1983</v>
      </c>
      <c r="K118" s="460" t="s">
        <v>2669</v>
      </c>
      <c r="L118" s="460" t="s">
        <v>2767</v>
      </c>
      <c r="M118" s="460" t="s">
        <v>1987</v>
      </c>
      <c r="N118" s="460" t="s">
        <v>2025</v>
      </c>
      <c r="O118" s="460" t="s">
        <v>1980</v>
      </c>
      <c r="P118" s="460" t="s">
        <v>1979</v>
      </c>
      <c r="Q118" s="460" t="s">
        <v>95</v>
      </c>
      <c r="R118" s="460" t="s">
        <v>1977</v>
      </c>
      <c r="S118" s="460" t="s">
        <v>1842</v>
      </c>
      <c r="T118" s="460" t="s">
        <v>1827</v>
      </c>
      <c r="U118" s="461" t="s">
        <v>1976</v>
      </c>
      <c r="V118" s="460" t="s">
        <v>1119</v>
      </c>
      <c r="W118" s="560"/>
      <c r="X118" s="461" t="s">
        <v>2966</v>
      </c>
      <c r="Y118" s="461" t="s">
        <v>2966</v>
      </c>
      <c r="Z118" s="461" t="s">
        <v>170</v>
      </c>
      <c r="AA118" s="460" t="s">
        <v>1218</v>
      </c>
      <c r="AB118" s="561">
        <f>ROUND(0,2)</f>
        <v>0</v>
      </c>
      <c r="AC118" s="460" t="s">
        <v>308</v>
      </c>
      <c r="AD118" s="460"/>
      <c r="AE118" s="561">
        <f>ROUND(36.23,2)</f>
        <v>36.229999999999997</v>
      </c>
      <c r="AF118" s="460" t="s">
        <v>308</v>
      </c>
      <c r="AG118" s="561">
        <f t="shared" si="1"/>
        <v>0</v>
      </c>
      <c r="AH118" s="460" t="s">
        <v>2671</v>
      </c>
      <c r="AI118" s="460" t="s">
        <v>1214</v>
      </c>
      <c r="AJ118" s="460"/>
      <c r="AK118" s="460"/>
      <c r="AL118" s="560"/>
      <c r="AM118" s="460"/>
    </row>
    <row r="119" spans="1:39" ht="34.200000000000003">
      <c r="A119" s="460" t="s">
        <v>1810</v>
      </c>
      <c r="B119" s="460"/>
      <c r="C119" s="460" t="s">
        <v>2923</v>
      </c>
      <c r="D119" s="460" t="s">
        <v>2973</v>
      </c>
      <c r="E119" s="460" t="s">
        <v>1844</v>
      </c>
      <c r="F119" s="460" t="s">
        <v>1812</v>
      </c>
      <c r="G119" s="461" t="s">
        <v>1218</v>
      </c>
      <c r="H119" s="461" t="s">
        <v>2964</v>
      </c>
      <c r="I119" s="460" t="s">
        <v>2337</v>
      </c>
      <c r="J119" s="460" t="s">
        <v>1983</v>
      </c>
      <c r="K119" s="460" t="s">
        <v>2669</v>
      </c>
      <c r="L119" s="460" t="s">
        <v>2767</v>
      </c>
      <c r="M119" s="460" t="s">
        <v>1987</v>
      </c>
      <c r="N119" s="460" t="s">
        <v>2025</v>
      </c>
      <c r="O119" s="460" t="s">
        <v>1980</v>
      </c>
      <c r="P119" s="460" t="s">
        <v>2675</v>
      </c>
      <c r="Q119" s="460" t="s">
        <v>2676</v>
      </c>
      <c r="R119" s="460" t="s">
        <v>2677</v>
      </c>
      <c r="S119" s="460" t="s">
        <v>2676</v>
      </c>
      <c r="T119" s="460" t="s">
        <v>1827</v>
      </c>
      <c r="U119" s="461" t="s">
        <v>1824</v>
      </c>
      <c r="V119" s="460" t="s">
        <v>1119</v>
      </c>
      <c r="W119" s="560"/>
      <c r="X119" s="461" t="s">
        <v>2966</v>
      </c>
      <c r="Y119" s="461" t="s">
        <v>2966</v>
      </c>
      <c r="Z119" s="461" t="s">
        <v>170</v>
      </c>
      <c r="AA119" s="460" t="s">
        <v>1218</v>
      </c>
      <c r="AB119" s="560"/>
      <c r="AC119" s="460"/>
      <c r="AD119" s="460"/>
      <c r="AE119" s="561">
        <f>ROUND(500.05,2)</f>
        <v>500.05</v>
      </c>
      <c r="AF119" s="460" t="s">
        <v>2679</v>
      </c>
      <c r="AG119" s="561">
        <f t="shared" si="1"/>
        <v>0</v>
      </c>
      <c r="AH119" s="460" t="s">
        <v>2671</v>
      </c>
      <c r="AI119" s="460" t="s">
        <v>1214</v>
      </c>
      <c r="AJ119" s="460"/>
      <c r="AK119" s="460"/>
      <c r="AL119" s="560"/>
      <c r="AM119" s="460"/>
    </row>
    <row r="120" spans="1:39" ht="34.200000000000003">
      <c r="A120" s="460" t="s">
        <v>1810</v>
      </c>
      <c r="B120" s="460"/>
      <c r="C120" s="460" t="s">
        <v>2923</v>
      </c>
      <c r="D120" s="460" t="s">
        <v>2973</v>
      </c>
      <c r="E120" s="460" t="s">
        <v>1844</v>
      </c>
      <c r="F120" s="460" t="s">
        <v>1812</v>
      </c>
      <c r="G120" s="461" t="s">
        <v>1218</v>
      </c>
      <c r="H120" s="461" t="s">
        <v>2964</v>
      </c>
      <c r="I120" s="460" t="s">
        <v>2337</v>
      </c>
      <c r="J120" s="460" t="s">
        <v>1983</v>
      </c>
      <c r="K120" s="460" t="s">
        <v>2669</v>
      </c>
      <c r="L120" s="460" t="s">
        <v>2767</v>
      </c>
      <c r="M120" s="460" t="s">
        <v>1987</v>
      </c>
      <c r="N120" s="460" t="s">
        <v>2025</v>
      </c>
      <c r="O120" s="460" t="s">
        <v>1980</v>
      </c>
      <c r="P120" s="460" t="s">
        <v>1979</v>
      </c>
      <c r="Q120" s="460" t="s">
        <v>1978</v>
      </c>
      <c r="R120" s="460" t="s">
        <v>1977</v>
      </c>
      <c r="S120" s="460" t="s">
        <v>1826</v>
      </c>
      <c r="T120" s="460" t="s">
        <v>1827</v>
      </c>
      <c r="U120" s="461" t="s">
        <v>1976</v>
      </c>
      <c r="V120" s="460" t="s">
        <v>1119</v>
      </c>
      <c r="W120" s="560"/>
      <c r="X120" s="461" t="s">
        <v>2966</v>
      </c>
      <c r="Y120" s="461" t="s">
        <v>2966</v>
      </c>
      <c r="Z120" s="461" t="s">
        <v>170</v>
      </c>
      <c r="AA120" s="460" t="s">
        <v>1218</v>
      </c>
      <c r="AB120" s="561">
        <f>ROUND(25.63,2)</f>
        <v>25.63</v>
      </c>
      <c r="AC120" s="460" t="s">
        <v>308</v>
      </c>
      <c r="AD120" s="460"/>
      <c r="AE120" s="561">
        <f>ROUND(828.65,2)</f>
        <v>828.65</v>
      </c>
      <c r="AF120" s="460" t="s">
        <v>308</v>
      </c>
      <c r="AG120" s="561">
        <f t="shared" si="1"/>
        <v>0</v>
      </c>
      <c r="AH120" s="460" t="s">
        <v>2671</v>
      </c>
      <c r="AI120" s="460" t="s">
        <v>1214</v>
      </c>
      <c r="AJ120" s="460" t="s">
        <v>2549</v>
      </c>
      <c r="AK120" s="460" t="s">
        <v>2672</v>
      </c>
      <c r="AL120" s="560" t="s">
        <v>2685</v>
      </c>
      <c r="AM120" s="460" t="s">
        <v>2674</v>
      </c>
    </row>
    <row r="121" spans="1:39" ht="22.8">
      <c r="A121" s="460" t="s">
        <v>1810</v>
      </c>
      <c r="B121" s="460"/>
      <c r="C121" s="460" t="s">
        <v>1284</v>
      </c>
      <c r="D121" s="460" t="s">
        <v>2393</v>
      </c>
      <c r="E121" s="460" t="s">
        <v>1814</v>
      </c>
      <c r="F121" s="460" t="s">
        <v>1812</v>
      </c>
      <c r="G121" s="461" t="s">
        <v>1218</v>
      </c>
      <c r="H121" s="461" t="s">
        <v>197</v>
      </c>
      <c r="I121" s="460" t="s">
        <v>2392</v>
      </c>
      <c r="J121" s="460" t="s">
        <v>1983</v>
      </c>
      <c r="K121" s="460" t="s">
        <v>2669</v>
      </c>
      <c r="L121" s="460" t="s">
        <v>2703</v>
      </c>
      <c r="M121" s="460" t="s">
        <v>1982</v>
      </c>
      <c r="N121" s="460" t="s">
        <v>1981</v>
      </c>
      <c r="O121" s="460" t="s">
        <v>1980</v>
      </c>
      <c r="P121" s="460" t="s">
        <v>1979</v>
      </c>
      <c r="Q121" s="460" t="s">
        <v>95</v>
      </c>
      <c r="R121" s="460" t="s">
        <v>1977</v>
      </c>
      <c r="S121" s="460" t="s">
        <v>1842</v>
      </c>
      <c r="T121" s="460" t="s">
        <v>1827</v>
      </c>
      <c r="U121" s="461" t="s">
        <v>1976</v>
      </c>
      <c r="V121" s="460" t="s">
        <v>1843</v>
      </c>
      <c r="W121" s="560"/>
      <c r="X121" s="461" t="s">
        <v>1824</v>
      </c>
      <c r="Y121" s="461" t="s">
        <v>1824</v>
      </c>
      <c r="Z121" s="461" t="s">
        <v>170</v>
      </c>
      <c r="AA121" s="460" t="s">
        <v>1218</v>
      </c>
      <c r="AB121" s="561">
        <f>ROUND(30.41,2)</f>
        <v>30.41</v>
      </c>
      <c r="AC121" s="460" t="s">
        <v>308</v>
      </c>
      <c r="AD121" s="460"/>
      <c r="AE121" s="561">
        <f>ROUND(70.29,2)</f>
        <v>70.290000000000006</v>
      </c>
      <c r="AF121" s="460" t="s">
        <v>308</v>
      </c>
      <c r="AG121" s="561">
        <f t="shared" si="1"/>
        <v>0</v>
      </c>
      <c r="AH121" s="460" t="s">
        <v>2671</v>
      </c>
      <c r="AI121" s="460" t="s">
        <v>1214</v>
      </c>
      <c r="AJ121" s="460" t="s">
        <v>2548</v>
      </c>
      <c r="AK121" s="460" t="s">
        <v>2672</v>
      </c>
      <c r="AL121" s="560" t="s">
        <v>2673</v>
      </c>
      <c r="AM121" s="460" t="s">
        <v>2674</v>
      </c>
    </row>
    <row r="122" spans="1:39" ht="22.8">
      <c r="A122" s="460" t="s">
        <v>1810</v>
      </c>
      <c r="B122" s="460"/>
      <c r="C122" s="460" t="s">
        <v>1285</v>
      </c>
      <c r="D122" s="460" t="s">
        <v>2325</v>
      </c>
      <c r="E122" s="460" t="s">
        <v>1821</v>
      </c>
      <c r="F122" s="460" t="s">
        <v>1812</v>
      </c>
      <c r="G122" s="461" t="s">
        <v>1218</v>
      </c>
      <c r="H122" s="461" t="s">
        <v>233</v>
      </c>
      <c r="I122" s="460" t="s">
        <v>2324</v>
      </c>
      <c r="J122" s="460" t="s">
        <v>1983</v>
      </c>
      <c r="K122" s="460" t="s">
        <v>2669</v>
      </c>
      <c r="L122" s="460" t="s">
        <v>2714</v>
      </c>
      <c r="M122" s="460" t="s">
        <v>1994</v>
      </c>
      <c r="N122" s="460" t="s">
        <v>1981</v>
      </c>
      <c r="O122" s="460" t="s">
        <v>1980</v>
      </c>
      <c r="P122" s="460" t="s">
        <v>1979</v>
      </c>
      <c r="Q122" s="460" t="s">
        <v>95</v>
      </c>
      <c r="R122" s="460" t="s">
        <v>1977</v>
      </c>
      <c r="S122" s="460" t="s">
        <v>1842</v>
      </c>
      <c r="T122" s="460" t="s">
        <v>1827</v>
      </c>
      <c r="U122" s="461" t="s">
        <v>1976</v>
      </c>
      <c r="V122" s="460" t="s">
        <v>1843</v>
      </c>
      <c r="W122" s="560"/>
      <c r="X122" s="461" t="s">
        <v>1824</v>
      </c>
      <c r="Y122" s="461" t="s">
        <v>1824</v>
      </c>
      <c r="Z122" s="461" t="s">
        <v>170</v>
      </c>
      <c r="AA122" s="460" t="s">
        <v>1218</v>
      </c>
      <c r="AB122" s="561">
        <f>ROUND(30.41,2)</f>
        <v>30.41</v>
      </c>
      <c r="AC122" s="460" t="s">
        <v>308</v>
      </c>
      <c r="AD122" s="460"/>
      <c r="AE122" s="561">
        <f>ROUND(70.29,2)</f>
        <v>70.290000000000006</v>
      </c>
      <c r="AF122" s="460" t="s">
        <v>308</v>
      </c>
      <c r="AG122" s="561">
        <f t="shared" si="1"/>
        <v>0</v>
      </c>
      <c r="AH122" s="460" t="s">
        <v>2671</v>
      </c>
      <c r="AI122" s="460" t="s">
        <v>1214</v>
      </c>
      <c r="AJ122" s="460" t="s">
        <v>2548</v>
      </c>
      <c r="AK122" s="460" t="s">
        <v>2672</v>
      </c>
      <c r="AL122" s="560" t="s">
        <v>2673</v>
      </c>
      <c r="AM122" s="460" t="s">
        <v>2674</v>
      </c>
    </row>
    <row r="123" spans="1:39" ht="22.8">
      <c r="A123" s="460" t="s">
        <v>1810</v>
      </c>
      <c r="B123" s="460"/>
      <c r="C123" s="460" t="s">
        <v>1285</v>
      </c>
      <c r="D123" s="460" t="s">
        <v>2325</v>
      </c>
      <c r="E123" s="460" t="s">
        <v>1821</v>
      </c>
      <c r="F123" s="460" t="s">
        <v>1812</v>
      </c>
      <c r="G123" s="461" t="s">
        <v>1218</v>
      </c>
      <c r="H123" s="461" t="s">
        <v>233</v>
      </c>
      <c r="I123" s="460" t="s">
        <v>2324</v>
      </c>
      <c r="J123" s="460" t="s">
        <v>1983</v>
      </c>
      <c r="K123" s="460" t="s">
        <v>2669</v>
      </c>
      <c r="L123" s="460" t="s">
        <v>2714</v>
      </c>
      <c r="M123" s="460" t="s">
        <v>1994</v>
      </c>
      <c r="N123" s="460" t="s">
        <v>1981</v>
      </c>
      <c r="O123" s="460" t="s">
        <v>1980</v>
      </c>
      <c r="P123" s="460" t="s">
        <v>2675</v>
      </c>
      <c r="Q123" s="460" t="s">
        <v>2676</v>
      </c>
      <c r="R123" s="460" t="s">
        <v>2677</v>
      </c>
      <c r="S123" s="460" t="s">
        <v>2676</v>
      </c>
      <c r="T123" s="460" t="s">
        <v>1827</v>
      </c>
      <c r="U123" s="461" t="s">
        <v>1824</v>
      </c>
      <c r="V123" s="460" t="s">
        <v>1843</v>
      </c>
      <c r="W123" s="560"/>
      <c r="X123" s="461" t="s">
        <v>1824</v>
      </c>
      <c r="Y123" s="461" t="s">
        <v>1824</v>
      </c>
      <c r="Z123" s="461" t="s">
        <v>170</v>
      </c>
      <c r="AA123" s="460" t="s">
        <v>1218</v>
      </c>
      <c r="AB123" s="561">
        <f>ROUND(150,2)</f>
        <v>150</v>
      </c>
      <c r="AC123" s="460" t="s">
        <v>2678</v>
      </c>
      <c r="AD123" s="460"/>
      <c r="AE123" s="561">
        <f>ROUND(1000,2)</f>
        <v>1000</v>
      </c>
      <c r="AF123" s="460" t="s">
        <v>2679</v>
      </c>
      <c r="AG123" s="561">
        <f t="shared" si="1"/>
        <v>0</v>
      </c>
      <c r="AH123" s="460" t="s">
        <v>2671</v>
      </c>
      <c r="AI123" s="460" t="s">
        <v>1214</v>
      </c>
      <c r="AJ123" s="460" t="s">
        <v>2550</v>
      </c>
      <c r="AK123" s="460" t="s">
        <v>2672</v>
      </c>
      <c r="AL123" s="560" t="s">
        <v>2741</v>
      </c>
      <c r="AM123" s="460" t="s">
        <v>2674</v>
      </c>
    </row>
    <row r="124" spans="1:39" ht="22.8">
      <c r="A124" s="460" t="s">
        <v>1810</v>
      </c>
      <c r="B124" s="460"/>
      <c r="C124" s="460" t="s">
        <v>1285</v>
      </c>
      <c r="D124" s="460" t="s">
        <v>2325</v>
      </c>
      <c r="E124" s="460" t="s">
        <v>1821</v>
      </c>
      <c r="F124" s="460" t="s">
        <v>1812</v>
      </c>
      <c r="G124" s="461" t="s">
        <v>1218</v>
      </c>
      <c r="H124" s="461" t="s">
        <v>233</v>
      </c>
      <c r="I124" s="460" t="s">
        <v>2324</v>
      </c>
      <c r="J124" s="460" t="s">
        <v>1983</v>
      </c>
      <c r="K124" s="460" t="s">
        <v>2669</v>
      </c>
      <c r="L124" s="460" t="s">
        <v>2714</v>
      </c>
      <c r="M124" s="460" t="s">
        <v>1994</v>
      </c>
      <c r="N124" s="460" t="s">
        <v>1981</v>
      </c>
      <c r="O124" s="460" t="s">
        <v>1980</v>
      </c>
      <c r="P124" s="460" t="s">
        <v>1979</v>
      </c>
      <c r="Q124" s="460" t="s">
        <v>1978</v>
      </c>
      <c r="R124" s="460" t="s">
        <v>1977</v>
      </c>
      <c r="S124" s="460" t="s">
        <v>1826</v>
      </c>
      <c r="T124" s="460" t="s">
        <v>1827</v>
      </c>
      <c r="U124" s="461" t="s">
        <v>1976</v>
      </c>
      <c r="V124" s="460" t="s">
        <v>1843</v>
      </c>
      <c r="W124" s="560"/>
      <c r="X124" s="461" t="s">
        <v>1824</v>
      </c>
      <c r="Y124" s="461" t="s">
        <v>1824</v>
      </c>
      <c r="Z124" s="461" t="s">
        <v>170</v>
      </c>
      <c r="AA124" s="460" t="s">
        <v>1218</v>
      </c>
      <c r="AB124" s="561">
        <f>ROUND(475.32,2)</f>
        <v>475.32</v>
      </c>
      <c r="AC124" s="460" t="s">
        <v>308</v>
      </c>
      <c r="AD124" s="460"/>
      <c r="AE124" s="561">
        <f>ROUND(1656.14,2)</f>
        <v>1656.14</v>
      </c>
      <c r="AF124" s="460" t="s">
        <v>308</v>
      </c>
      <c r="AG124" s="561">
        <f t="shared" si="1"/>
        <v>0</v>
      </c>
      <c r="AH124" s="460" t="s">
        <v>2671</v>
      </c>
      <c r="AI124" s="460" t="s">
        <v>1214</v>
      </c>
      <c r="AJ124" s="460" t="s">
        <v>2549</v>
      </c>
      <c r="AK124" s="460" t="s">
        <v>2672</v>
      </c>
      <c r="AL124" s="560" t="s">
        <v>2718</v>
      </c>
      <c r="AM124" s="460" t="s">
        <v>2674</v>
      </c>
    </row>
    <row r="125" spans="1:39" ht="22.8">
      <c r="A125" s="460" t="s">
        <v>1810</v>
      </c>
      <c r="B125" s="460"/>
      <c r="C125" s="460" t="s">
        <v>1273</v>
      </c>
      <c r="D125" s="460" t="s">
        <v>2323</v>
      </c>
      <c r="E125" s="460" t="s">
        <v>1821</v>
      </c>
      <c r="F125" s="460" t="s">
        <v>1812</v>
      </c>
      <c r="G125" s="461" t="s">
        <v>1218</v>
      </c>
      <c r="H125" s="461" t="s">
        <v>234</v>
      </c>
      <c r="I125" s="460" t="s">
        <v>2137</v>
      </c>
      <c r="J125" s="460" t="s">
        <v>1983</v>
      </c>
      <c r="K125" s="460" t="s">
        <v>2669</v>
      </c>
      <c r="L125" s="460" t="s">
        <v>2714</v>
      </c>
      <c r="M125" s="460" t="s">
        <v>1994</v>
      </c>
      <c r="N125" s="460" t="s">
        <v>1981</v>
      </c>
      <c r="O125" s="460" t="s">
        <v>1980</v>
      </c>
      <c r="P125" s="460" t="s">
        <v>1979</v>
      </c>
      <c r="Q125" s="460" t="s">
        <v>95</v>
      </c>
      <c r="R125" s="460" t="s">
        <v>1977</v>
      </c>
      <c r="S125" s="460" t="s">
        <v>1842</v>
      </c>
      <c r="T125" s="460" t="s">
        <v>1827</v>
      </c>
      <c r="U125" s="461" t="s">
        <v>1976</v>
      </c>
      <c r="V125" s="460" t="s">
        <v>1843</v>
      </c>
      <c r="W125" s="560"/>
      <c r="X125" s="461" t="s">
        <v>1824</v>
      </c>
      <c r="Y125" s="461" t="s">
        <v>1824</v>
      </c>
      <c r="Z125" s="461" t="s">
        <v>170</v>
      </c>
      <c r="AA125" s="460" t="s">
        <v>1218</v>
      </c>
      <c r="AB125" s="561">
        <f>ROUND(30.41,2)</f>
        <v>30.41</v>
      </c>
      <c r="AC125" s="460" t="s">
        <v>308</v>
      </c>
      <c r="AD125" s="460"/>
      <c r="AE125" s="561">
        <f>ROUND(70.29,2)</f>
        <v>70.290000000000006</v>
      </c>
      <c r="AF125" s="460" t="s">
        <v>308</v>
      </c>
      <c r="AG125" s="561">
        <f t="shared" si="1"/>
        <v>0</v>
      </c>
      <c r="AH125" s="460" t="s">
        <v>2671</v>
      </c>
      <c r="AI125" s="460" t="s">
        <v>1214</v>
      </c>
      <c r="AJ125" s="460" t="s">
        <v>2548</v>
      </c>
      <c r="AK125" s="460" t="s">
        <v>2672</v>
      </c>
      <c r="AL125" s="560" t="s">
        <v>2673</v>
      </c>
      <c r="AM125" s="460" t="s">
        <v>2674</v>
      </c>
    </row>
    <row r="126" spans="1:39" ht="22.8">
      <c r="A126" s="460" t="s">
        <v>1810</v>
      </c>
      <c r="B126" s="460"/>
      <c r="C126" s="460" t="s">
        <v>1273</v>
      </c>
      <c r="D126" s="460" t="s">
        <v>2323</v>
      </c>
      <c r="E126" s="460" t="s">
        <v>1821</v>
      </c>
      <c r="F126" s="460" t="s">
        <v>1812</v>
      </c>
      <c r="G126" s="461" t="s">
        <v>1218</v>
      </c>
      <c r="H126" s="461" t="s">
        <v>234</v>
      </c>
      <c r="I126" s="460" t="s">
        <v>2137</v>
      </c>
      <c r="J126" s="460" t="s">
        <v>1983</v>
      </c>
      <c r="K126" s="460" t="s">
        <v>2669</v>
      </c>
      <c r="L126" s="460" t="s">
        <v>2714</v>
      </c>
      <c r="M126" s="460" t="s">
        <v>1994</v>
      </c>
      <c r="N126" s="460" t="s">
        <v>1981</v>
      </c>
      <c r="O126" s="460" t="s">
        <v>1980</v>
      </c>
      <c r="P126" s="460" t="s">
        <v>2675</v>
      </c>
      <c r="Q126" s="460" t="s">
        <v>2676</v>
      </c>
      <c r="R126" s="460" t="s">
        <v>2677</v>
      </c>
      <c r="S126" s="460" t="s">
        <v>2676</v>
      </c>
      <c r="T126" s="460" t="s">
        <v>1827</v>
      </c>
      <c r="U126" s="461" t="s">
        <v>1824</v>
      </c>
      <c r="V126" s="460" t="s">
        <v>1843</v>
      </c>
      <c r="W126" s="560"/>
      <c r="X126" s="461" t="s">
        <v>1824</v>
      </c>
      <c r="Y126" s="461" t="s">
        <v>1824</v>
      </c>
      <c r="Z126" s="461" t="s">
        <v>170</v>
      </c>
      <c r="AA126" s="460" t="s">
        <v>1218</v>
      </c>
      <c r="AB126" s="561">
        <f>ROUND(125,2)</f>
        <v>125</v>
      </c>
      <c r="AC126" s="460" t="s">
        <v>2678</v>
      </c>
      <c r="AD126" s="460"/>
      <c r="AE126" s="561">
        <f>ROUND(1000,2)</f>
        <v>1000</v>
      </c>
      <c r="AF126" s="460" t="s">
        <v>2679</v>
      </c>
      <c r="AG126" s="561">
        <f t="shared" si="1"/>
        <v>0</v>
      </c>
      <c r="AH126" s="460" t="s">
        <v>2671</v>
      </c>
      <c r="AI126" s="460" t="s">
        <v>1214</v>
      </c>
      <c r="AJ126" s="460" t="s">
        <v>2550</v>
      </c>
      <c r="AK126" s="460" t="s">
        <v>2672</v>
      </c>
      <c r="AL126" s="560" t="s">
        <v>2701</v>
      </c>
      <c r="AM126" s="460" t="s">
        <v>2674</v>
      </c>
    </row>
    <row r="127" spans="1:39" ht="22.8">
      <c r="A127" s="460" t="s">
        <v>1810</v>
      </c>
      <c r="B127" s="460"/>
      <c r="C127" s="460" t="s">
        <v>1273</v>
      </c>
      <c r="D127" s="460" t="s">
        <v>2323</v>
      </c>
      <c r="E127" s="460" t="s">
        <v>1821</v>
      </c>
      <c r="F127" s="460" t="s">
        <v>1812</v>
      </c>
      <c r="G127" s="461" t="s">
        <v>1218</v>
      </c>
      <c r="H127" s="461" t="s">
        <v>234</v>
      </c>
      <c r="I127" s="460" t="s">
        <v>2137</v>
      </c>
      <c r="J127" s="460" t="s">
        <v>1983</v>
      </c>
      <c r="K127" s="460" t="s">
        <v>2669</v>
      </c>
      <c r="L127" s="460" t="s">
        <v>2714</v>
      </c>
      <c r="M127" s="460" t="s">
        <v>1994</v>
      </c>
      <c r="N127" s="460" t="s">
        <v>1981</v>
      </c>
      <c r="O127" s="460" t="s">
        <v>1980</v>
      </c>
      <c r="P127" s="460" t="s">
        <v>1979</v>
      </c>
      <c r="Q127" s="460" t="s">
        <v>1978</v>
      </c>
      <c r="R127" s="460" t="s">
        <v>1977</v>
      </c>
      <c r="S127" s="460" t="s">
        <v>1826</v>
      </c>
      <c r="T127" s="460" t="s">
        <v>1827</v>
      </c>
      <c r="U127" s="461" t="s">
        <v>1976</v>
      </c>
      <c r="V127" s="460" t="s">
        <v>1843</v>
      </c>
      <c r="W127" s="560"/>
      <c r="X127" s="461" t="s">
        <v>1824</v>
      </c>
      <c r="Y127" s="461" t="s">
        <v>1824</v>
      </c>
      <c r="Z127" s="461" t="s">
        <v>170</v>
      </c>
      <c r="AA127" s="460" t="s">
        <v>1218</v>
      </c>
      <c r="AB127" s="561">
        <f>ROUND(475.32,2)</f>
        <v>475.32</v>
      </c>
      <c r="AC127" s="460" t="s">
        <v>308</v>
      </c>
      <c r="AD127" s="460"/>
      <c r="AE127" s="561">
        <f>ROUND(1656.14,2)</f>
        <v>1656.14</v>
      </c>
      <c r="AF127" s="460" t="s">
        <v>308</v>
      </c>
      <c r="AG127" s="561">
        <f t="shared" si="1"/>
        <v>0</v>
      </c>
      <c r="AH127" s="460" t="s">
        <v>2671</v>
      </c>
      <c r="AI127" s="460" t="s">
        <v>1214</v>
      </c>
      <c r="AJ127" s="460" t="s">
        <v>2549</v>
      </c>
      <c r="AK127" s="460" t="s">
        <v>2672</v>
      </c>
      <c r="AL127" s="560" t="s">
        <v>2718</v>
      </c>
      <c r="AM127" s="460" t="s">
        <v>2674</v>
      </c>
    </row>
    <row r="128" spans="1:39" ht="34.200000000000003">
      <c r="A128" s="460" t="s">
        <v>1810</v>
      </c>
      <c r="B128" s="460"/>
      <c r="C128" s="460" t="s">
        <v>1271</v>
      </c>
      <c r="D128" s="460" t="s">
        <v>2322</v>
      </c>
      <c r="E128" s="460" t="s">
        <v>1828</v>
      </c>
      <c r="F128" s="460" t="s">
        <v>1812</v>
      </c>
      <c r="G128" s="461" t="s">
        <v>1218</v>
      </c>
      <c r="H128" s="461" t="s">
        <v>186</v>
      </c>
      <c r="I128" s="460" t="s">
        <v>2288</v>
      </c>
      <c r="J128" s="460" t="s">
        <v>1983</v>
      </c>
      <c r="K128" s="460" t="s">
        <v>2669</v>
      </c>
      <c r="L128" s="460" t="s">
        <v>2742</v>
      </c>
      <c r="M128" s="460" t="s">
        <v>2002</v>
      </c>
      <c r="N128" s="460" t="s">
        <v>1981</v>
      </c>
      <c r="O128" s="460" t="s">
        <v>1980</v>
      </c>
      <c r="P128" s="460" t="s">
        <v>1979</v>
      </c>
      <c r="Q128" s="460" t="s">
        <v>95</v>
      </c>
      <c r="R128" s="460" t="s">
        <v>1977</v>
      </c>
      <c r="S128" s="460" t="s">
        <v>1842</v>
      </c>
      <c r="T128" s="460" t="s">
        <v>1827</v>
      </c>
      <c r="U128" s="461" t="s">
        <v>1976</v>
      </c>
      <c r="V128" s="460" t="s">
        <v>1119</v>
      </c>
      <c r="W128" s="560"/>
      <c r="X128" s="461" t="s">
        <v>1824</v>
      </c>
      <c r="Y128" s="461" t="s">
        <v>1824</v>
      </c>
      <c r="Z128" s="461" t="s">
        <v>170</v>
      </c>
      <c r="AA128" s="460" t="s">
        <v>1218</v>
      </c>
      <c r="AB128" s="561">
        <f>ROUND(0,2)</f>
        <v>0</v>
      </c>
      <c r="AC128" s="460" t="s">
        <v>308</v>
      </c>
      <c r="AD128" s="460"/>
      <c r="AE128" s="561">
        <f>ROUND(36.23,2)</f>
        <v>36.229999999999997</v>
      </c>
      <c r="AF128" s="460" t="s">
        <v>308</v>
      </c>
      <c r="AG128" s="561">
        <f t="shared" si="1"/>
        <v>0</v>
      </c>
      <c r="AH128" s="460" t="s">
        <v>2671</v>
      </c>
      <c r="AI128" s="460" t="s">
        <v>1214</v>
      </c>
      <c r="AJ128" s="460"/>
      <c r="AK128" s="460"/>
      <c r="AL128" s="560"/>
      <c r="AM128" s="460"/>
    </row>
    <row r="129" spans="1:39" ht="34.200000000000003">
      <c r="A129" s="460" t="s">
        <v>1810</v>
      </c>
      <c r="B129" s="460"/>
      <c r="C129" s="460" t="s">
        <v>1271</v>
      </c>
      <c r="D129" s="460" t="s">
        <v>2322</v>
      </c>
      <c r="E129" s="460" t="s">
        <v>1828</v>
      </c>
      <c r="F129" s="460" t="s">
        <v>1812</v>
      </c>
      <c r="G129" s="461" t="s">
        <v>1218</v>
      </c>
      <c r="H129" s="461" t="s">
        <v>186</v>
      </c>
      <c r="I129" s="460" t="s">
        <v>2288</v>
      </c>
      <c r="J129" s="460" t="s">
        <v>1983</v>
      </c>
      <c r="K129" s="460" t="s">
        <v>2669</v>
      </c>
      <c r="L129" s="460" t="s">
        <v>2742</v>
      </c>
      <c r="M129" s="460" t="s">
        <v>2002</v>
      </c>
      <c r="N129" s="460" t="s">
        <v>1981</v>
      </c>
      <c r="O129" s="460" t="s">
        <v>1980</v>
      </c>
      <c r="P129" s="460" t="s">
        <v>2675</v>
      </c>
      <c r="Q129" s="460" t="s">
        <v>2676</v>
      </c>
      <c r="R129" s="460" t="s">
        <v>2677</v>
      </c>
      <c r="S129" s="460" t="s">
        <v>2676</v>
      </c>
      <c r="T129" s="460" t="s">
        <v>1827</v>
      </c>
      <c r="U129" s="461" t="s">
        <v>1824</v>
      </c>
      <c r="V129" s="460" t="s">
        <v>1119</v>
      </c>
      <c r="W129" s="560"/>
      <c r="X129" s="461" t="s">
        <v>1824</v>
      </c>
      <c r="Y129" s="461" t="s">
        <v>1824</v>
      </c>
      <c r="Z129" s="461" t="s">
        <v>170</v>
      </c>
      <c r="AA129" s="460" t="s">
        <v>1218</v>
      </c>
      <c r="AB129" s="561">
        <f>ROUND(20.84,2)</f>
        <v>20.84</v>
      </c>
      <c r="AC129" s="460" t="s">
        <v>2678</v>
      </c>
      <c r="AD129" s="460"/>
      <c r="AE129" s="561">
        <f>ROUND(500.05,2)</f>
        <v>500.05</v>
      </c>
      <c r="AF129" s="460" t="s">
        <v>2679</v>
      </c>
      <c r="AG129" s="561">
        <f t="shared" si="1"/>
        <v>0</v>
      </c>
      <c r="AH129" s="460" t="s">
        <v>2671</v>
      </c>
      <c r="AI129" s="460" t="s">
        <v>1214</v>
      </c>
      <c r="AJ129" s="460" t="s">
        <v>2550</v>
      </c>
      <c r="AK129" s="460" t="s">
        <v>2672</v>
      </c>
      <c r="AL129" s="560" t="s">
        <v>2743</v>
      </c>
      <c r="AM129" s="460" t="s">
        <v>2674</v>
      </c>
    </row>
    <row r="130" spans="1:39" ht="34.200000000000003">
      <c r="A130" s="460" t="s">
        <v>1810</v>
      </c>
      <c r="B130" s="460"/>
      <c r="C130" s="460" t="s">
        <v>1271</v>
      </c>
      <c r="D130" s="460" t="s">
        <v>2322</v>
      </c>
      <c r="E130" s="460" t="s">
        <v>1828</v>
      </c>
      <c r="F130" s="460" t="s">
        <v>1812</v>
      </c>
      <c r="G130" s="461" t="s">
        <v>1218</v>
      </c>
      <c r="H130" s="461" t="s">
        <v>186</v>
      </c>
      <c r="I130" s="460" t="s">
        <v>2288</v>
      </c>
      <c r="J130" s="460" t="s">
        <v>1983</v>
      </c>
      <c r="K130" s="460" t="s">
        <v>2669</v>
      </c>
      <c r="L130" s="460" t="s">
        <v>2742</v>
      </c>
      <c r="M130" s="460" t="s">
        <v>2002</v>
      </c>
      <c r="N130" s="460" t="s">
        <v>1981</v>
      </c>
      <c r="O130" s="460" t="s">
        <v>1980</v>
      </c>
      <c r="P130" s="460" t="s">
        <v>1979</v>
      </c>
      <c r="Q130" s="460" t="s">
        <v>1978</v>
      </c>
      <c r="R130" s="460" t="s">
        <v>1977</v>
      </c>
      <c r="S130" s="460" t="s">
        <v>1826</v>
      </c>
      <c r="T130" s="460" t="s">
        <v>1827</v>
      </c>
      <c r="U130" s="461" t="s">
        <v>1976</v>
      </c>
      <c r="V130" s="460" t="s">
        <v>1119</v>
      </c>
      <c r="W130" s="560"/>
      <c r="X130" s="461" t="s">
        <v>1824</v>
      </c>
      <c r="Y130" s="461" t="s">
        <v>1824</v>
      </c>
      <c r="Z130" s="461" t="s">
        <v>170</v>
      </c>
      <c r="AA130" s="460" t="s">
        <v>1218</v>
      </c>
      <c r="AB130" s="561">
        <f>ROUND(29.05,2)</f>
        <v>29.05</v>
      </c>
      <c r="AC130" s="460" t="s">
        <v>308</v>
      </c>
      <c r="AD130" s="460"/>
      <c r="AE130" s="561">
        <f>ROUND(825.23,2)</f>
        <v>825.23</v>
      </c>
      <c r="AF130" s="460" t="s">
        <v>308</v>
      </c>
      <c r="AG130" s="561">
        <f t="shared" ref="AG130:AG196" si="2">ROUND(0,2)</f>
        <v>0</v>
      </c>
      <c r="AH130" s="460" t="s">
        <v>2671</v>
      </c>
      <c r="AI130" s="460" t="s">
        <v>1214</v>
      </c>
      <c r="AJ130" s="460" t="s">
        <v>2549</v>
      </c>
      <c r="AK130" s="460" t="s">
        <v>2672</v>
      </c>
      <c r="AL130" s="560" t="s">
        <v>2692</v>
      </c>
      <c r="AM130" s="460" t="s">
        <v>2674</v>
      </c>
    </row>
    <row r="131" spans="1:39" ht="34.200000000000003">
      <c r="A131" s="460" t="s">
        <v>1810</v>
      </c>
      <c r="B131" s="460"/>
      <c r="C131" s="460" t="s">
        <v>2498</v>
      </c>
      <c r="D131" s="460" t="s">
        <v>2744</v>
      </c>
      <c r="E131" s="460" t="s">
        <v>1840</v>
      </c>
      <c r="F131" s="460" t="s">
        <v>1812</v>
      </c>
      <c r="G131" s="461" t="s">
        <v>1218</v>
      </c>
      <c r="H131" s="461" t="s">
        <v>2745</v>
      </c>
      <c r="I131" s="460" t="s">
        <v>2239</v>
      </c>
      <c r="J131" s="460" t="s">
        <v>1983</v>
      </c>
      <c r="K131" s="460" t="s">
        <v>2669</v>
      </c>
      <c r="L131" s="460" t="s">
        <v>2746</v>
      </c>
      <c r="M131" s="460" t="s">
        <v>1987</v>
      </c>
      <c r="N131" s="460" t="s">
        <v>1986</v>
      </c>
      <c r="O131" s="460" t="s">
        <v>1980</v>
      </c>
      <c r="P131" s="460" t="s">
        <v>1979</v>
      </c>
      <c r="Q131" s="460" t="s">
        <v>95</v>
      </c>
      <c r="R131" s="460" t="s">
        <v>1977</v>
      </c>
      <c r="S131" s="460" t="s">
        <v>1842</v>
      </c>
      <c r="T131" s="460" t="s">
        <v>1827</v>
      </c>
      <c r="U131" s="461" t="s">
        <v>1976</v>
      </c>
      <c r="V131" s="460" t="s">
        <v>1119</v>
      </c>
      <c r="W131" s="560"/>
      <c r="X131" s="461" t="s">
        <v>2747</v>
      </c>
      <c r="Y131" s="461" t="s">
        <v>2747</v>
      </c>
      <c r="Z131" s="461" t="s">
        <v>170</v>
      </c>
      <c r="AA131" s="460" t="s">
        <v>1218</v>
      </c>
      <c r="AB131" s="561">
        <f>ROUND(0,2)</f>
        <v>0</v>
      </c>
      <c r="AC131" s="460" t="s">
        <v>308</v>
      </c>
      <c r="AD131" s="460"/>
      <c r="AE131" s="561">
        <f>ROUND(36.23,2)</f>
        <v>36.229999999999997</v>
      </c>
      <c r="AF131" s="460" t="s">
        <v>308</v>
      </c>
      <c r="AG131" s="561">
        <f t="shared" si="2"/>
        <v>0</v>
      </c>
      <c r="AH131" s="460" t="s">
        <v>2671</v>
      </c>
      <c r="AI131" s="460" t="s">
        <v>1214</v>
      </c>
      <c r="AJ131" s="460"/>
      <c r="AK131" s="460"/>
      <c r="AL131" s="560"/>
      <c r="AM131" s="460"/>
    </row>
    <row r="132" spans="1:39" ht="34.200000000000003">
      <c r="A132" s="460" t="s">
        <v>1810</v>
      </c>
      <c r="B132" s="460"/>
      <c r="C132" s="460" t="s">
        <v>2498</v>
      </c>
      <c r="D132" s="460" t="s">
        <v>2744</v>
      </c>
      <c r="E132" s="460" t="s">
        <v>1840</v>
      </c>
      <c r="F132" s="460" t="s">
        <v>1812</v>
      </c>
      <c r="G132" s="461" t="s">
        <v>1218</v>
      </c>
      <c r="H132" s="461" t="s">
        <v>2745</v>
      </c>
      <c r="I132" s="460" t="s">
        <v>2239</v>
      </c>
      <c r="J132" s="460" t="s">
        <v>1983</v>
      </c>
      <c r="K132" s="460" t="s">
        <v>2669</v>
      </c>
      <c r="L132" s="460" t="s">
        <v>2746</v>
      </c>
      <c r="M132" s="460" t="s">
        <v>1987</v>
      </c>
      <c r="N132" s="460" t="s">
        <v>1986</v>
      </c>
      <c r="O132" s="460" t="s">
        <v>1980</v>
      </c>
      <c r="P132" s="460" t="s">
        <v>2675</v>
      </c>
      <c r="Q132" s="460" t="s">
        <v>2676</v>
      </c>
      <c r="R132" s="460" t="s">
        <v>2677</v>
      </c>
      <c r="S132" s="460" t="s">
        <v>2676</v>
      </c>
      <c r="T132" s="460" t="s">
        <v>1827</v>
      </c>
      <c r="U132" s="461" t="s">
        <v>1824</v>
      </c>
      <c r="V132" s="460" t="s">
        <v>1119</v>
      </c>
      <c r="W132" s="560"/>
      <c r="X132" s="461" t="s">
        <v>2747</v>
      </c>
      <c r="Y132" s="461" t="s">
        <v>2747</v>
      </c>
      <c r="Z132" s="461" t="s">
        <v>170</v>
      </c>
      <c r="AA132" s="460" t="s">
        <v>1218</v>
      </c>
      <c r="AB132" s="561">
        <f>ROUND(10,2)</f>
        <v>10</v>
      </c>
      <c r="AC132" s="460" t="s">
        <v>2678</v>
      </c>
      <c r="AD132" s="460"/>
      <c r="AE132" s="561">
        <f>ROUND(500.05,2)</f>
        <v>500.05</v>
      </c>
      <c r="AF132" s="460" t="s">
        <v>2679</v>
      </c>
      <c r="AG132" s="561">
        <f t="shared" si="2"/>
        <v>0</v>
      </c>
      <c r="AH132" s="460" t="s">
        <v>2671</v>
      </c>
      <c r="AI132" s="460" t="s">
        <v>1214</v>
      </c>
      <c r="AJ132" s="460" t="s">
        <v>2550</v>
      </c>
      <c r="AK132" s="460" t="s">
        <v>2672</v>
      </c>
      <c r="AL132" s="560" t="s">
        <v>2725</v>
      </c>
      <c r="AM132" s="460" t="s">
        <v>2674</v>
      </c>
    </row>
    <row r="133" spans="1:39" ht="34.200000000000003">
      <c r="A133" s="460" t="s">
        <v>1810</v>
      </c>
      <c r="B133" s="460"/>
      <c r="C133" s="460" t="s">
        <v>2498</v>
      </c>
      <c r="D133" s="460" t="s">
        <v>2744</v>
      </c>
      <c r="E133" s="460" t="s">
        <v>1840</v>
      </c>
      <c r="F133" s="460" t="s">
        <v>1812</v>
      </c>
      <c r="G133" s="461" t="s">
        <v>1218</v>
      </c>
      <c r="H133" s="461" t="s">
        <v>2745</v>
      </c>
      <c r="I133" s="460" t="s">
        <v>2239</v>
      </c>
      <c r="J133" s="460" t="s">
        <v>1983</v>
      </c>
      <c r="K133" s="460" t="s">
        <v>2669</v>
      </c>
      <c r="L133" s="460" t="s">
        <v>2746</v>
      </c>
      <c r="M133" s="460" t="s">
        <v>1987</v>
      </c>
      <c r="N133" s="460" t="s">
        <v>1986</v>
      </c>
      <c r="O133" s="460" t="s">
        <v>1980</v>
      </c>
      <c r="P133" s="460" t="s">
        <v>1979</v>
      </c>
      <c r="Q133" s="460" t="s">
        <v>1978</v>
      </c>
      <c r="R133" s="460" t="s">
        <v>1977</v>
      </c>
      <c r="S133" s="460" t="s">
        <v>1826</v>
      </c>
      <c r="T133" s="460" t="s">
        <v>1827</v>
      </c>
      <c r="U133" s="461" t="s">
        <v>1976</v>
      </c>
      <c r="V133" s="460" t="s">
        <v>1119</v>
      </c>
      <c r="W133" s="560"/>
      <c r="X133" s="461" t="s">
        <v>2747</v>
      </c>
      <c r="Y133" s="461" t="s">
        <v>2747</v>
      </c>
      <c r="Z133" s="461" t="s">
        <v>170</v>
      </c>
      <c r="AA133" s="460" t="s">
        <v>1218</v>
      </c>
      <c r="AB133" s="561">
        <f>ROUND(25.63,2)</f>
        <v>25.63</v>
      </c>
      <c r="AC133" s="460" t="s">
        <v>308</v>
      </c>
      <c r="AD133" s="460"/>
      <c r="AE133" s="561">
        <f>ROUND(828.65,2)</f>
        <v>828.65</v>
      </c>
      <c r="AF133" s="460" t="s">
        <v>308</v>
      </c>
      <c r="AG133" s="561">
        <f t="shared" si="2"/>
        <v>0</v>
      </c>
      <c r="AH133" s="460" t="s">
        <v>2671</v>
      </c>
      <c r="AI133" s="460" t="s">
        <v>1214</v>
      </c>
      <c r="AJ133" s="460" t="s">
        <v>2549</v>
      </c>
      <c r="AK133" s="460" t="s">
        <v>2672</v>
      </c>
      <c r="AL133" s="560" t="s">
        <v>2685</v>
      </c>
      <c r="AM133" s="460" t="s">
        <v>2674</v>
      </c>
    </row>
    <row r="134" spans="1:39" ht="34.200000000000003">
      <c r="A134" s="460" t="s">
        <v>1810</v>
      </c>
      <c r="B134" s="460"/>
      <c r="C134" s="460" t="s">
        <v>1583</v>
      </c>
      <c r="D134" s="460" t="s">
        <v>2321</v>
      </c>
      <c r="E134" s="460" t="s">
        <v>1828</v>
      </c>
      <c r="F134" s="460" t="s">
        <v>1812</v>
      </c>
      <c r="G134" s="461" t="s">
        <v>1218</v>
      </c>
      <c r="H134" s="461" t="s">
        <v>653</v>
      </c>
      <c r="I134" s="460" t="s">
        <v>2059</v>
      </c>
      <c r="J134" s="460" t="s">
        <v>1990</v>
      </c>
      <c r="K134" s="460" t="s">
        <v>2669</v>
      </c>
      <c r="L134" s="460" t="s">
        <v>2735</v>
      </c>
      <c r="M134" s="460" t="s">
        <v>2002</v>
      </c>
      <c r="N134" s="460" t="s">
        <v>1981</v>
      </c>
      <c r="O134" s="460" t="s">
        <v>1980</v>
      </c>
      <c r="P134" s="460" t="s">
        <v>1979</v>
      </c>
      <c r="Q134" s="460" t="s">
        <v>95</v>
      </c>
      <c r="R134" s="460" t="s">
        <v>1977</v>
      </c>
      <c r="S134" s="460" t="s">
        <v>1842</v>
      </c>
      <c r="T134" s="460" t="s">
        <v>1827</v>
      </c>
      <c r="U134" s="461" t="s">
        <v>1976</v>
      </c>
      <c r="V134" s="460" t="s">
        <v>1843</v>
      </c>
      <c r="W134" s="560"/>
      <c r="X134" s="461" t="s">
        <v>1824</v>
      </c>
      <c r="Y134" s="461" t="s">
        <v>1824</v>
      </c>
      <c r="Z134" s="461" t="s">
        <v>170</v>
      </c>
      <c r="AA134" s="460" t="s">
        <v>1218</v>
      </c>
      <c r="AB134" s="561">
        <f>ROUND(30.41,2)</f>
        <v>30.41</v>
      </c>
      <c r="AC134" s="460" t="s">
        <v>308</v>
      </c>
      <c r="AD134" s="460"/>
      <c r="AE134" s="561">
        <f>ROUND(70.29,2)</f>
        <v>70.290000000000006</v>
      </c>
      <c r="AF134" s="460" t="s">
        <v>308</v>
      </c>
      <c r="AG134" s="561">
        <f t="shared" si="2"/>
        <v>0</v>
      </c>
      <c r="AH134" s="460" t="s">
        <v>2671</v>
      </c>
      <c r="AI134" s="460" t="s">
        <v>1214</v>
      </c>
      <c r="AJ134" s="460" t="s">
        <v>2548</v>
      </c>
      <c r="AK134" s="460" t="s">
        <v>2672</v>
      </c>
      <c r="AL134" s="560" t="s">
        <v>2673</v>
      </c>
      <c r="AM134" s="460" t="s">
        <v>2674</v>
      </c>
    </row>
    <row r="135" spans="1:39" ht="34.200000000000003">
      <c r="A135" s="460" t="s">
        <v>1810</v>
      </c>
      <c r="B135" s="460"/>
      <c r="C135" s="460" t="s">
        <v>1583</v>
      </c>
      <c r="D135" s="460" t="s">
        <v>2321</v>
      </c>
      <c r="E135" s="460" t="s">
        <v>1828</v>
      </c>
      <c r="F135" s="460" t="s">
        <v>1812</v>
      </c>
      <c r="G135" s="461" t="s">
        <v>1218</v>
      </c>
      <c r="H135" s="461" t="s">
        <v>653</v>
      </c>
      <c r="I135" s="460" t="s">
        <v>2059</v>
      </c>
      <c r="J135" s="460" t="s">
        <v>1990</v>
      </c>
      <c r="K135" s="460" t="s">
        <v>2669</v>
      </c>
      <c r="L135" s="460" t="s">
        <v>2735</v>
      </c>
      <c r="M135" s="460" t="s">
        <v>2002</v>
      </c>
      <c r="N135" s="460" t="s">
        <v>1981</v>
      </c>
      <c r="O135" s="460" t="s">
        <v>1980</v>
      </c>
      <c r="P135" s="460" t="s">
        <v>2675</v>
      </c>
      <c r="Q135" s="460" t="s">
        <v>2676</v>
      </c>
      <c r="R135" s="460" t="s">
        <v>2677</v>
      </c>
      <c r="S135" s="460" t="s">
        <v>2676</v>
      </c>
      <c r="T135" s="460" t="s">
        <v>1827</v>
      </c>
      <c r="U135" s="461" t="s">
        <v>1824</v>
      </c>
      <c r="V135" s="460" t="s">
        <v>1843</v>
      </c>
      <c r="W135" s="560"/>
      <c r="X135" s="461" t="s">
        <v>1824</v>
      </c>
      <c r="Y135" s="461" t="s">
        <v>2683</v>
      </c>
      <c r="Z135" s="461" t="s">
        <v>170</v>
      </c>
      <c r="AA135" s="460" t="s">
        <v>1218</v>
      </c>
      <c r="AB135" s="561">
        <f>ROUND(100,2)</f>
        <v>100</v>
      </c>
      <c r="AC135" s="460" t="s">
        <v>2678</v>
      </c>
      <c r="AD135" s="460"/>
      <c r="AE135" s="561">
        <f>ROUND(1000,2)</f>
        <v>1000</v>
      </c>
      <c r="AF135" s="460" t="s">
        <v>2679</v>
      </c>
      <c r="AG135" s="561">
        <f t="shared" si="2"/>
        <v>0</v>
      </c>
      <c r="AH135" s="460" t="s">
        <v>2671</v>
      </c>
      <c r="AI135" s="460" t="s">
        <v>1214</v>
      </c>
      <c r="AJ135" s="460" t="s">
        <v>2550</v>
      </c>
      <c r="AK135" s="460" t="s">
        <v>2672</v>
      </c>
      <c r="AL135" s="560" t="s">
        <v>2691</v>
      </c>
      <c r="AM135" s="460" t="s">
        <v>2674</v>
      </c>
    </row>
    <row r="136" spans="1:39" ht="34.200000000000003">
      <c r="A136" s="460" t="s">
        <v>1810</v>
      </c>
      <c r="B136" s="460"/>
      <c r="C136" s="460" t="s">
        <v>1583</v>
      </c>
      <c r="D136" s="460" t="s">
        <v>2321</v>
      </c>
      <c r="E136" s="460" t="s">
        <v>1828</v>
      </c>
      <c r="F136" s="460" t="s">
        <v>1812</v>
      </c>
      <c r="G136" s="461" t="s">
        <v>1218</v>
      </c>
      <c r="H136" s="461" t="s">
        <v>653</v>
      </c>
      <c r="I136" s="460" t="s">
        <v>2059</v>
      </c>
      <c r="J136" s="460" t="s">
        <v>1990</v>
      </c>
      <c r="K136" s="460" t="s">
        <v>2669</v>
      </c>
      <c r="L136" s="460" t="s">
        <v>2735</v>
      </c>
      <c r="M136" s="460" t="s">
        <v>2002</v>
      </c>
      <c r="N136" s="460" t="s">
        <v>1981</v>
      </c>
      <c r="O136" s="460" t="s">
        <v>1980</v>
      </c>
      <c r="P136" s="460" t="s">
        <v>1979</v>
      </c>
      <c r="Q136" s="460" t="s">
        <v>1978</v>
      </c>
      <c r="R136" s="460" t="s">
        <v>1977</v>
      </c>
      <c r="S136" s="460" t="s">
        <v>1826</v>
      </c>
      <c r="T136" s="460" t="s">
        <v>1827</v>
      </c>
      <c r="U136" s="461" t="s">
        <v>1976</v>
      </c>
      <c r="V136" s="460" t="s">
        <v>1967</v>
      </c>
      <c r="W136" s="560"/>
      <c r="X136" s="461" t="s">
        <v>1824</v>
      </c>
      <c r="Y136" s="461" t="s">
        <v>1824</v>
      </c>
      <c r="Z136" s="461" t="s">
        <v>170</v>
      </c>
      <c r="AA136" s="460" t="s">
        <v>1218</v>
      </c>
      <c r="AB136" s="561">
        <f>ROUND(258.44,2)</f>
        <v>258.44</v>
      </c>
      <c r="AC136" s="460" t="s">
        <v>308</v>
      </c>
      <c r="AD136" s="460"/>
      <c r="AE136" s="561">
        <f>ROUND(1523.92,2)</f>
        <v>1523.92</v>
      </c>
      <c r="AF136" s="460" t="s">
        <v>308</v>
      </c>
      <c r="AG136" s="561">
        <f t="shared" si="2"/>
        <v>0</v>
      </c>
      <c r="AH136" s="460" t="s">
        <v>2671</v>
      </c>
      <c r="AI136" s="460" t="s">
        <v>1214</v>
      </c>
      <c r="AJ136" s="460" t="s">
        <v>2549</v>
      </c>
      <c r="AK136" s="460" t="s">
        <v>2672</v>
      </c>
      <c r="AL136" s="560" t="s">
        <v>2748</v>
      </c>
      <c r="AM136" s="460" t="s">
        <v>2674</v>
      </c>
    </row>
    <row r="137" spans="1:39" ht="22.8">
      <c r="A137" s="460" t="s">
        <v>1810</v>
      </c>
      <c r="B137" s="460"/>
      <c r="C137" s="460" t="s">
        <v>1550</v>
      </c>
      <c r="D137" s="460" t="s">
        <v>2320</v>
      </c>
      <c r="E137" s="460" t="s">
        <v>1834</v>
      </c>
      <c r="F137" s="460" t="s">
        <v>1812</v>
      </c>
      <c r="G137" s="461" t="s">
        <v>1218</v>
      </c>
      <c r="H137" s="461" t="s">
        <v>381</v>
      </c>
      <c r="I137" s="460" t="s">
        <v>2319</v>
      </c>
      <c r="J137" s="460" t="s">
        <v>1990</v>
      </c>
      <c r="K137" s="460" t="s">
        <v>2669</v>
      </c>
      <c r="L137" s="460" t="s">
        <v>2749</v>
      </c>
      <c r="M137" s="460" t="s">
        <v>2002</v>
      </c>
      <c r="N137" s="460" t="s">
        <v>1981</v>
      </c>
      <c r="O137" s="460" t="s">
        <v>1980</v>
      </c>
      <c r="P137" s="460" t="s">
        <v>1979</v>
      </c>
      <c r="Q137" s="460" t="s">
        <v>95</v>
      </c>
      <c r="R137" s="460" t="s">
        <v>1977</v>
      </c>
      <c r="S137" s="460" t="s">
        <v>1842</v>
      </c>
      <c r="T137" s="460" t="s">
        <v>1827</v>
      </c>
      <c r="U137" s="461" t="s">
        <v>1976</v>
      </c>
      <c r="V137" s="460" t="s">
        <v>1843</v>
      </c>
      <c r="W137" s="560"/>
      <c r="X137" s="461" t="s">
        <v>1824</v>
      </c>
      <c r="Y137" s="461" t="s">
        <v>1824</v>
      </c>
      <c r="Z137" s="461" t="s">
        <v>170</v>
      </c>
      <c r="AA137" s="460" t="s">
        <v>1218</v>
      </c>
      <c r="AB137" s="561">
        <f>ROUND(30.41,2)</f>
        <v>30.41</v>
      </c>
      <c r="AC137" s="460" t="s">
        <v>308</v>
      </c>
      <c r="AD137" s="460"/>
      <c r="AE137" s="561">
        <f>ROUND(70.29,2)</f>
        <v>70.290000000000006</v>
      </c>
      <c r="AF137" s="460" t="s">
        <v>308</v>
      </c>
      <c r="AG137" s="561">
        <f t="shared" si="2"/>
        <v>0</v>
      </c>
      <c r="AH137" s="460" t="s">
        <v>2671</v>
      </c>
      <c r="AI137" s="460" t="s">
        <v>1214</v>
      </c>
      <c r="AJ137" s="460" t="s">
        <v>2548</v>
      </c>
      <c r="AK137" s="460" t="s">
        <v>2672</v>
      </c>
      <c r="AL137" s="560" t="s">
        <v>2673</v>
      </c>
      <c r="AM137" s="460" t="s">
        <v>2674</v>
      </c>
    </row>
    <row r="138" spans="1:39" ht="22.8">
      <c r="A138" s="460" t="s">
        <v>1810</v>
      </c>
      <c r="B138" s="460"/>
      <c r="C138" s="460" t="s">
        <v>1550</v>
      </c>
      <c r="D138" s="460" t="s">
        <v>2320</v>
      </c>
      <c r="E138" s="460" t="s">
        <v>1834</v>
      </c>
      <c r="F138" s="460" t="s">
        <v>1812</v>
      </c>
      <c r="G138" s="461" t="s">
        <v>1218</v>
      </c>
      <c r="H138" s="461" t="s">
        <v>381</v>
      </c>
      <c r="I138" s="460" t="s">
        <v>2319</v>
      </c>
      <c r="J138" s="460" t="s">
        <v>1990</v>
      </c>
      <c r="K138" s="460" t="s">
        <v>2669</v>
      </c>
      <c r="L138" s="460" t="s">
        <v>2749</v>
      </c>
      <c r="M138" s="460" t="s">
        <v>2002</v>
      </c>
      <c r="N138" s="460" t="s">
        <v>1981</v>
      </c>
      <c r="O138" s="460" t="s">
        <v>1980</v>
      </c>
      <c r="P138" s="460" t="s">
        <v>2675</v>
      </c>
      <c r="Q138" s="460" t="s">
        <v>2676</v>
      </c>
      <c r="R138" s="460" t="s">
        <v>2677</v>
      </c>
      <c r="S138" s="460" t="s">
        <v>2676</v>
      </c>
      <c r="T138" s="460" t="s">
        <v>1827</v>
      </c>
      <c r="U138" s="461" t="s">
        <v>1824</v>
      </c>
      <c r="V138" s="460" t="s">
        <v>1843</v>
      </c>
      <c r="W138" s="560"/>
      <c r="X138" s="461" t="s">
        <v>1824</v>
      </c>
      <c r="Y138" s="461" t="s">
        <v>1824</v>
      </c>
      <c r="Z138" s="461" t="s">
        <v>170</v>
      </c>
      <c r="AA138" s="460" t="s">
        <v>1218</v>
      </c>
      <c r="AB138" s="561">
        <f>ROUND(50,2)</f>
        <v>50</v>
      </c>
      <c r="AC138" s="460" t="s">
        <v>2678</v>
      </c>
      <c r="AD138" s="460"/>
      <c r="AE138" s="561">
        <f>ROUND(1000,2)</f>
        <v>1000</v>
      </c>
      <c r="AF138" s="460" t="s">
        <v>2679</v>
      </c>
      <c r="AG138" s="561">
        <f t="shared" si="2"/>
        <v>0</v>
      </c>
      <c r="AH138" s="460" t="s">
        <v>2671</v>
      </c>
      <c r="AI138" s="460" t="s">
        <v>1214</v>
      </c>
      <c r="AJ138" s="460" t="s">
        <v>2550</v>
      </c>
      <c r="AK138" s="460" t="s">
        <v>2672</v>
      </c>
      <c r="AL138" s="560" t="s">
        <v>2690</v>
      </c>
      <c r="AM138" s="460" t="s">
        <v>2674</v>
      </c>
    </row>
    <row r="139" spans="1:39" ht="22.8">
      <c r="A139" s="460" t="s">
        <v>1810</v>
      </c>
      <c r="B139" s="460"/>
      <c r="C139" s="460" t="s">
        <v>1550</v>
      </c>
      <c r="D139" s="460" t="s">
        <v>2320</v>
      </c>
      <c r="E139" s="460" t="s">
        <v>1834</v>
      </c>
      <c r="F139" s="460" t="s">
        <v>1812</v>
      </c>
      <c r="G139" s="461" t="s">
        <v>1218</v>
      </c>
      <c r="H139" s="461" t="s">
        <v>381</v>
      </c>
      <c r="I139" s="460" t="s">
        <v>2319</v>
      </c>
      <c r="J139" s="460" t="s">
        <v>1990</v>
      </c>
      <c r="K139" s="460" t="s">
        <v>2669</v>
      </c>
      <c r="L139" s="460" t="s">
        <v>2749</v>
      </c>
      <c r="M139" s="460" t="s">
        <v>2002</v>
      </c>
      <c r="N139" s="460" t="s">
        <v>1981</v>
      </c>
      <c r="O139" s="460" t="s">
        <v>1980</v>
      </c>
      <c r="P139" s="460" t="s">
        <v>1979</v>
      </c>
      <c r="Q139" s="460" t="s">
        <v>1978</v>
      </c>
      <c r="R139" s="460" t="s">
        <v>1977</v>
      </c>
      <c r="S139" s="460" t="s">
        <v>1826</v>
      </c>
      <c r="T139" s="460" t="s">
        <v>1827</v>
      </c>
      <c r="U139" s="461" t="s">
        <v>1976</v>
      </c>
      <c r="V139" s="460" t="s">
        <v>1967</v>
      </c>
      <c r="W139" s="560"/>
      <c r="X139" s="461" t="s">
        <v>1824</v>
      </c>
      <c r="Y139" s="461" t="s">
        <v>1824</v>
      </c>
      <c r="Z139" s="461" t="s">
        <v>170</v>
      </c>
      <c r="AA139" s="460" t="s">
        <v>1218</v>
      </c>
      <c r="AB139" s="561">
        <f>ROUND(258.44,2)</f>
        <v>258.44</v>
      </c>
      <c r="AC139" s="460" t="s">
        <v>308</v>
      </c>
      <c r="AD139" s="460"/>
      <c r="AE139" s="561">
        <f>ROUND(1523.92,2)</f>
        <v>1523.92</v>
      </c>
      <c r="AF139" s="460" t="s">
        <v>308</v>
      </c>
      <c r="AG139" s="561">
        <f t="shared" si="2"/>
        <v>0</v>
      </c>
      <c r="AH139" s="460" t="s">
        <v>2671</v>
      </c>
      <c r="AI139" s="460" t="s">
        <v>1214</v>
      </c>
      <c r="AJ139" s="460" t="s">
        <v>2549</v>
      </c>
      <c r="AK139" s="460" t="s">
        <v>2672</v>
      </c>
      <c r="AL139" s="560" t="s">
        <v>2748</v>
      </c>
      <c r="AM139" s="460" t="s">
        <v>2674</v>
      </c>
    </row>
    <row r="140" spans="1:39" ht="22.8">
      <c r="A140" s="460" t="s">
        <v>1810</v>
      </c>
      <c r="B140" s="460"/>
      <c r="C140" s="460" t="s">
        <v>1292</v>
      </c>
      <c r="D140" s="460" t="s">
        <v>2318</v>
      </c>
      <c r="E140" s="460" t="s">
        <v>1814</v>
      </c>
      <c r="F140" s="460" t="s">
        <v>1812</v>
      </c>
      <c r="G140" s="461" t="s">
        <v>1218</v>
      </c>
      <c r="H140" s="461" t="s">
        <v>198</v>
      </c>
      <c r="I140" s="460" t="s">
        <v>2317</v>
      </c>
      <c r="J140" s="460" t="s">
        <v>1983</v>
      </c>
      <c r="K140" s="460" t="s">
        <v>2669</v>
      </c>
      <c r="L140" s="460" t="s">
        <v>2703</v>
      </c>
      <c r="M140" s="460" t="s">
        <v>1982</v>
      </c>
      <c r="N140" s="460" t="s">
        <v>1981</v>
      </c>
      <c r="O140" s="460" t="s">
        <v>1980</v>
      </c>
      <c r="P140" s="460" t="s">
        <v>1979</v>
      </c>
      <c r="Q140" s="460" t="s">
        <v>95</v>
      </c>
      <c r="R140" s="460" t="s">
        <v>1977</v>
      </c>
      <c r="S140" s="460" t="s">
        <v>1842</v>
      </c>
      <c r="T140" s="460" t="s">
        <v>1827</v>
      </c>
      <c r="U140" s="461" t="s">
        <v>1976</v>
      </c>
      <c r="V140" s="460" t="s">
        <v>1843</v>
      </c>
      <c r="W140" s="560"/>
      <c r="X140" s="461" t="s">
        <v>1824</v>
      </c>
      <c r="Y140" s="461" t="s">
        <v>1824</v>
      </c>
      <c r="Z140" s="461" t="s">
        <v>170</v>
      </c>
      <c r="AA140" s="460" t="s">
        <v>1218</v>
      </c>
      <c r="AB140" s="561">
        <f>ROUND(30.41,2)</f>
        <v>30.41</v>
      </c>
      <c r="AC140" s="460" t="s">
        <v>308</v>
      </c>
      <c r="AD140" s="460"/>
      <c r="AE140" s="561">
        <f>ROUND(70.29,2)</f>
        <v>70.290000000000006</v>
      </c>
      <c r="AF140" s="460" t="s">
        <v>308</v>
      </c>
      <c r="AG140" s="561">
        <f t="shared" si="2"/>
        <v>0</v>
      </c>
      <c r="AH140" s="460" t="s">
        <v>2671</v>
      </c>
      <c r="AI140" s="460" t="s">
        <v>1214</v>
      </c>
      <c r="AJ140" s="460" t="s">
        <v>2548</v>
      </c>
      <c r="AK140" s="460" t="s">
        <v>2672</v>
      </c>
      <c r="AL140" s="560" t="s">
        <v>2673</v>
      </c>
      <c r="AM140" s="460" t="s">
        <v>2674</v>
      </c>
    </row>
    <row r="141" spans="1:39" ht="22.8">
      <c r="A141" s="460" t="s">
        <v>1810</v>
      </c>
      <c r="B141" s="460"/>
      <c r="C141" s="460" t="s">
        <v>1292</v>
      </c>
      <c r="D141" s="460" t="s">
        <v>2318</v>
      </c>
      <c r="E141" s="460" t="s">
        <v>1814</v>
      </c>
      <c r="F141" s="460" t="s">
        <v>1812</v>
      </c>
      <c r="G141" s="461" t="s">
        <v>1218</v>
      </c>
      <c r="H141" s="461" t="s">
        <v>198</v>
      </c>
      <c r="I141" s="460" t="s">
        <v>2317</v>
      </c>
      <c r="J141" s="460" t="s">
        <v>1983</v>
      </c>
      <c r="K141" s="460" t="s">
        <v>2669</v>
      </c>
      <c r="L141" s="460" t="s">
        <v>2703</v>
      </c>
      <c r="M141" s="460" t="s">
        <v>1982</v>
      </c>
      <c r="N141" s="460" t="s">
        <v>1981</v>
      </c>
      <c r="O141" s="460" t="s">
        <v>1980</v>
      </c>
      <c r="P141" s="460" t="s">
        <v>2675</v>
      </c>
      <c r="Q141" s="460" t="s">
        <v>2676</v>
      </c>
      <c r="R141" s="460" t="s">
        <v>2677</v>
      </c>
      <c r="S141" s="460" t="s">
        <v>2676</v>
      </c>
      <c r="T141" s="460" t="s">
        <v>1827</v>
      </c>
      <c r="U141" s="461" t="s">
        <v>1824</v>
      </c>
      <c r="V141" s="460" t="s">
        <v>1843</v>
      </c>
      <c r="W141" s="560"/>
      <c r="X141" s="461" t="s">
        <v>1824</v>
      </c>
      <c r="Y141" s="461" t="s">
        <v>1824</v>
      </c>
      <c r="Z141" s="461" t="s">
        <v>170</v>
      </c>
      <c r="AA141" s="460" t="s">
        <v>1218</v>
      </c>
      <c r="AB141" s="561">
        <f>ROUND(0,2)</f>
        <v>0</v>
      </c>
      <c r="AC141" s="460" t="s">
        <v>2678</v>
      </c>
      <c r="AD141" s="460"/>
      <c r="AE141" s="561">
        <f>ROUND(1000,2)</f>
        <v>1000</v>
      </c>
      <c r="AF141" s="460" t="s">
        <v>2679</v>
      </c>
      <c r="AG141" s="561">
        <f t="shared" si="2"/>
        <v>0</v>
      </c>
      <c r="AH141" s="460" t="s">
        <v>2671</v>
      </c>
      <c r="AI141" s="460" t="s">
        <v>1214</v>
      </c>
      <c r="AJ141" s="460"/>
      <c r="AK141" s="460"/>
      <c r="AL141" s="560"/>
      <c r="AM141" s="460"/>
    </row>
    <row r="142" spans="1:39" ht="22.8">
      <c r="A142" s="460" t="s">
        <v>1810</v>
      </c>
      <c r="B142" s="460"/>
      <c r="C142" s="460" t="s">
        <v>1292</v>
      </c>
      <c r="D142" s="460" t="s">
        <v>2318</v>
      </c>
      <c r="E142" s="460" t="s">
        <v>1814</v>
      </c>
      <c r="F142" s="460" t="s">
        <v>1812</v>
      </c>
      <c r="G142" s="461" t="s">
        <v>1218</v>
      </c>
      <c r="H142" s="461" t="s">
        <v>198</v>
      </c>
      <c r="I142" s="460" t="s">
        <v>2317</v>
      </c>
      <c r="J142" s="460" t="s">
        <v>1983</v>
      </c>
      <c r="K142" s="460" t="s">
        <v>2669</v>
      </c>
      <c r="L142" s="460" t="s">
        <v>2703</v>
      </c>
      <c r="M142" s="460" t="s">
        <v>1982</v>
      </c>
      <c r="N142" s="460" t="s">
        <v>1981</v>
      </c>
      <c r="O142" s="460" t="s">
        <v>1980</v>
      </c>
      <c r="P142" s="460" t="s">
        <v>1979</v>
      </c>
      <c r="Q142" s="460" t="s">
        <v>1978</v>
      </c>
      <c r="R142" s="460" t="s">
        <v>1977</v>
      </c>
      <c r="S142" s="460" t="s">
        <v>1826</v>
      </c>
      <c r="T142" s="460" t="s">
        <v>1827</v>
      </c>
      <c r="U142" s="461" t="s">
        <v>1976</v>
      </c>
      <c r="V142" s="460" t="s">
        <v>1851</v>
      </c>
      <c r="W142" s="560"/>
      <c r="X142" s="461" t="s">
        <v>1824</v>
      </c>
      <c r="Y142" s="461" t="s">
        <v>1824</v>
      </c>
      <c r="Z142" s="461" t="s">
        <v>170</v>
      </c>
      <c r="AA142" s="460" t="s">
        <v>1218</v>
      </c>
      <c r="AB142" s="561">
        <f>ROUND(403.53,2)</f>
        <v>403.53</v>
      </c>
      <c r="AC142" s="460" t="s">
        <v>308</v>
      </c>
      <c r="AD142" s="460"/>
      <c r="AE142" s="561">
        <f>ROUND(1217.06,2)</f>
        <v>1217.06</v>
      </c>
      <c r="AF142" s="460" t="s">
        <v>308</v>
      </c>
      <c r="AG142" s="561">
        <f t="shared" si="2"/>
        <v>0</v>
      </c>
      <c r="AH142" s="460" t="s">
        <v>2671</v>
      </c>
      <c r="AI142" s="460" t="s">
        <v>1214</v>
      </c>
      <c r="AJ142" s="460" t="s">
        <v>2549</v>
      </c>
      <c r="AK142" s="460" t="s">
        <v>2672</v>
      </c>
      <c r="AL142" s="560" t="s">
        <v>2706</v>
      </c>
      <c r="AM142" s="460" t="s">
        <v>2674</v>
      </c>
    </row>
    <row r="143" spans="1:39" ht="22.8">
      <c r="A143" s="460" t="s">
        <v>1810</v>
      </c>
      <c r="B143" s="460"/>
      <c r="C143" s="460" t="s">
        <v>1598</v>
      </c>
      <c r="D143" s="460" t="s">
        <v>2316</v>
      </c>
      <c r="E143" s="460" t="s">
        <v>1821</v>
      </c>
      <c r="F143" s="460" t="s">
        <v>1812</v>
      </c>
      <c r="G143" s="461" t="s">
        <v>1218</v>
      </c>
      <c r="H143" s="461" t="s">
        <v>1030</v>
      </c>
      <c r="I143" s="460" t="s">
        <v>2315</v>
      </c>
      <c r="J143" s="460" t="s">
        <v>1990</v>
      </c>
      <c r="K143" s="460" t="s">
        <v>2669</v>
      </c>
      <c r="L143" s="460" t="s">
        <v>2714</v>
      </c>
      <c r="M143" s="460" t="s">
        <v>1994</v>
      </c>
      <c r="N143" s="460" t="s">
        <v>1981</v>
      </c>
      <c r="O143" s="460" t="s">
        <v>1980</v>
      </c>
      <c r="P143" s="460" t="s">
        <v>1979</v>
      </c>
      <c r="Q143" s="460" t="s">
        <v>95</v>
      </c>
      <c r="R143" s="460" t="s">
        <v>1977</v>
      </c>
      <c r="S143" s="460" t="s">
        <v>1842</v>
      </c>
      <c r="T143" s="460" t="s">
        <v>1827</v>
      </c>
      <c r="U143" s="461" t="s">
        <v>1976</v>
      </c>
      <c r="V143" s="460" t="s">
        <v>1119</v>
      </c>
      <c r="W143" s="560"/>
      <c r="X143" s="461" t="s">
        <v>1824</v>
      </c>
      <c r="Y143" s="461" t="s">
        <v>1824</v>
      </c>
      <c r="Z143" s="461" t="s">
        <v>170</v>
      </c>
      <c r="AA143" s="460" t="s">
        <v>1218</v>
      </c>
      <c r="AB143" s="561">
        <f>ROUND(0,2)</f>
        <v>0</v>
      </c>
      <c r="AC143" s="460" t="s">
        <v>308</v>
      </c>
      <c r="AD143" s="460"/>
      <c r="AE143" s="561">
        <f>ROUND(36.23,2)</f>
        <v>36.229999999999997</v>
      </c>
      <c r="AF143" s="460" t="s">
        <v>308</v>
      </c>
      <c r="AG143" s="561">
        <f t="shared" si="2"/>
        <v>0</v>
      </c>
      <c r="AH143" s="460" t="s">
        <v>2671</v>
      </c>
      <c r="AI143" s="460" t="s">
        <v>1214</v>
      </c>
      <c r="AJ143" s="460"/>
      <c r="AK143" s="460"/>
      <c r="AL143" s="560"/>
      <c r="AM143" s="460"/>
    </row>
    <row r="144" spans="1:39" ht="22.8">
      <c r="A144" s="460" t="s">
        <v>1810</v>
      </c>
      <c r="B144" s="460"/>
      <c r="C144" s="460" t="s">
        <v>1598</v>
      </c>
      <c r="D144" s="460" t="s">
        <v>2316</v>
      </c>
      <c r="E144" s="460" t="s">
        <v>1821</v>
      </c>
      <c r="F144" s="460" t="s">
        <v>1812</v>
      </c>
      <c r="G144" s="461" t="s">
        <v>1218</v>
      </c>
      <c r="H144" s="461" t="s">
        <v>1030</v>
      </c>
      <c r="I144" s="460" t="s">
        <v>2315</v>
      </c>
      <c r="J144" s="460" t="s">
        <v>1990</v>
      </c>
      <c r="K144" s="460" t="s">
        <v>2669</v>
      </c>
      <c r="L144" s="460" t="s">
        <v>2714</v>
      </c>
      <c r="M144" s="460" t="s">
        <v>1994</v>
      </c>
      <c r="N144" s="460" t="s">
        <v>1981</v>
      </c>
      <c r="O144" s="460" t="s">
        <v>1980</v>
      </c>
      <c r="P144" s="460" t="s">
        <v>2675</v>
      </c>
      <c r="Q144" s="460" t="s">
        <v>2676</v>
      </c>
      <c r="R144" s="460" t="s">
        <v>2677</v>
      </c>
      <c r="S144" s="460" t="s">
        <v>2676</v>
      </c>
      <c r="T144" s="460" t="s">
        <v>1827</v>
      </c>
      <c r="U144" s="461" t="s">
        <v>1824</v>
      </c>
      <c r="V144" s="460" t="s">
        <v>1119</v>
      </c>
      <c r="W144" s="560"/>
      <c r="X144" s="461" t="s">
        <v>1824</v>
      </c>
      <c r="Y144" s="461" t="s">
        <v>1824</v>
      </c>
      <c r="Z144" s="461" t="s">
        <v>170</v>
      </c>
      <c r="AA144" s="460" t="s">
        <v>1218</v>
      </c>
      <c r="AB144" s="561">
        <f>ROUND(0,2)</f>
        <v>0</v>
      </c>
      <c r="AC144" s="460" t="s">
        <v>2678</v>
      </c>
      <c r="AD144" s="460"/>
      <c r="AE144" s="561">
        <f>ROUND(500.05,2)</f>
        <v>500.05</v>
      </c>
      <c r="AF144" s="460" t="s">
        <v>2679</v>
      </c>
      <c r="AG144" s="561">
        <f t="shared" si="2"/>
        <v>0</v>
      </c>
      <c r="AH144" s="460" t="s">
        <v>2671</v>
      </c>
      <c r="AI144" s="460" t="s">
        <v>1214</v>
      </c>
      <c r="AJ144" s="460"/>
      <c r="AK144" s="460"/>
      <c r="AL144" s="560"/>
      <c r="AM144" s="460"/>
    </row>
    <row r="145" spans="1:39" ht="22.8">
      <c r="A145" s="460" t="s">
        <v>1810</v>
      </c>
      <c r="B145" s="460"/>
      <c r="C145" s="460" t="s">
        <v>1598</v>
      </c>
      <c r="D145" s="460" t="s">
        <v>2316</v>
      </c>
      <c r="E145" s="460" t="s">
        <v>1821</v>
      </c>
      <c r="F145" s="460" t="s">
        <v>1812</v>
      </c>
      <c r="G145" s="461" t="s">
        <v>1218</v>
      </c>
      <c r="H145" s="461" t="s">
        <v>1030</v>
      </c>
      <c r="I145" s="460" t="s">
        <v>2315</v>
      </c>
      <c r="J145" s="460" t="s">
        <v>1990</v>
      </c>
      <c r="K145" s="460" t="s">
        <v>2669</v>
      </c>
      <c r="L145" s="460" t="s">
        <v>2714</v>
      </c>
      <c r="M145" s="460" t="s">
        <v>1994</v>
      </c>
      <c r="N145" s="460" t="s">
        <v>1981</v>
      </c>
      <c r="O145" s="460" t="s">
        <v>1980</v>
      </c>
      <c r="P145" s="460" t="s">
        <v>1979</v>
      </c>
      <c r="Q145" s="460" t="s">
        <v>1978</v>
      </c>
      <c r="R145" s="460" t="s">
        <v>1977</v>
      </c>
      <c r="S145" s="460" t="s">
        <v>1826</v>
      </c>
      <c r="T145" s="460" t="s">
        <v>1827</v>
      </c>
      <c r="U145" s="461" t="s">
        <v>1976</v>
      </c>
      <c r="V145" s="460" t="s">
        <v>1119</v>
      </c>
      <c r="W145" s="560"/>
      <c r="X145" s="461" t="s">
        <v>1824</v>
      </c>
      <c r="Y145" s="461" t="s">
        <v>1824</v>
      </c>
      <c r="Z145" s="461" t="s">
        <v>170</v>
      </c>
      <c r="AA145" s="460" t="s">
        <v>1218</v>
      </c>
      <c r="AB145" s="561">
        <f>ROUND(35.03,2)</f>
        <v>35.03</v>
      </c>
      <c r="AC145" s="460" t="s">
        <v>308</v>
      </c>
      <c r="AD145" s="460"/>
      <c r="AE145" s="561">
        <f>ROUND(819.25,2)</f>
        <v>819.25</v>
      </c>
      <c r="AF145" s="460" t="s">
        <v>308</v>
      </c>
      <c r="AG145" s="561">
        <f t="shared" si="2"/>
        <v>0</v>
      </c>
      <c r="AH145" s="460" t="s">
        <v>2671</v>
      </c>
      <c r="AI145" s="460" t="s">
        <v>1214</v>
      </c>
      <c r="AJ145" s="460" t="s">
        <v>2549</v>
      </c>
      <c r="AK145" s="460" t="s">
        <v>2672</v>
      </c>
      <c r="AL145" s="560" t="s">
        <v>2694</v>
      </c>
      <c r="AM145" s="460" t="s">
        <v>2674</v>
      </c>
    </row>
    <row r="146" spans="1:39" ht="22.8">
      <c r="A146" s="460" t="s">
        <v>1810</v>
      </c>
      <c r="B146" s="460"/>
      <c r="C146" s="460" t="s">
        <v>1925</v>
      </c>
      <c r="D146" s="460" t="s">
        <v>2314</v>
      </c>
      <c r="E146" s="460" t="s">
        <v>1821</v>
      </c>
      <c r="F146" s="460" t="s">
        <v>1812</v>
      </c>
      <c r="G146" s="461" t="s">
        <v>1218</v>
      </c>
      <c r="H146" s="461" t="s">
        <v>1969</v>
      </c>
      <c r="I146" s="460" t="s">
        <v>2081</v>
      </c>
      <c r="J146" s="460" t="s">
        <v>1983</v>
      </c>
      <c r="K146" s="460" t="s">
        <v>2669</v>
      </c>
      <c r="L146" s="460" t="s">
        <v>2714</v>
      </c>
      <c r="M146" s="460" t="s">
        <v>1994</v>
      </c>
      <c r="N146" s="460" t="s">
        <v>1981</v>
      </c>
      <c r="O146" s="460" t="s">
        <v>1980</v>
      </c>
      <c r="P146" s="460" t="s">
        <v>1979</v>
      </c>
      <c r="Q146" s="460" t="s">
        <v>95</v>
      </c>
      <c r="R146" s="460" t="s">
        <v>1977</v>
      </c>
      <c r="S146" s="460" t="s">
        <v>1842</v>
      </c>
      <c r="T146" s="460" t="s">
        <v>1827</v>
      </c>
      <c r="U146" s="461" t="s">
        <v>1976</v>
      </c>
      <c r="V146" s="460" t="s">
        <v>1119</v>
      </c>
      <c r="W146" s="560"/>
      <c r="X146" s="461" t="s">
        <v>1993</v>
      </c>
      <c r="Y146" s="461" t="s">
        <v>1993</v>
      </c>
      <c r="Z146" s="461" t="s">
        <v>170</v>
      </c>
      <c r="AA146" s="460" t="s">
        <v>1218</v>
      </c>
      <c r="AB146" s="561">
        <f>ROUND(0,2)</f>
        <v>0</v>
      </c>
      <c r="AC146" s="460" t="s">
        <v>308</v>
      </c>
      <c r="AD146" s="460"/>
      <c r="AE146" s="561">
        <f>ROUND(36.23,2)</f>
        <v>36.229999999999997</v>
      </c>
      <c r="AF146" s="460" t="s">
        <v>308</v>
      </c>
      <c r="AG146" s="561">
        <f t="shared" si="2"/>
        <v>0</v>
      </c>
      <c r="AH146" s="460" t="s">
        <v>2671</v>
      </c>
      <c r="AI146" s="460" t="s">
        <v>1214</v>
      </c>
      <c r="AJ146" s="460"/>
      <c r="AK146" s="460"/>
      <c r="AL146" s="560"/>
      <c r="AM146" s="460"/>
    </row>
    <row r="147" spans="1:39" ht="22.8">
      <c r="A147" s="460" t="s">
        <v>1810</v>
      </c>
      <c r="B147" s="460"/>
      <c r="C147" s="460" t="s">
        <v>1925</v>
      </c>
      <c r="D147" s="460" t="s">
        <v>2314</v>
      </c>
      <c r="E147" s="460" t="s">
        <v>1821</v>
      </c>
      <c r="F147" s="460" t="s">
        <v>1812</v>
      </c>
      <c r="G147" s="461" t="s">
        <v>1218</v>
      </c>
      <c r="H147" s="461" t="s">
        <v>1969</v>
      </c>
      <c r="I147" s="460" t="s">
        <v>2081</v>
      </c>
      <c r="J147" s="460" t="s">
        <v>1983</v>
      </c>
      <c r="K147" s="460" t="s">
        <v>2669</v>
      </c>
      <c r="L147" s="460" t="s">
        <v>2714</v>
      </c>
      <c r="M147" s="460" t="s">
        <v>1994</v>
      </c>
      <c r="N147" s="460" t="s">
        <v>1981</v>
      </c>
      <c r="O147" s="460" t="s">
        <v>1980</v>
      </c>
      <c r="P147" s="460" t="s">
        <v>2675</v>
      </c>
      <c r="Q147" s="460" t="s">
        <v>2676</v>
      </c>
      <c r="R147" s="460" t="s">
        <v>2677</v>
      </c>
      <c r="S147" s="460" t="s">
        <v>2676</v>
      </c>
      <c r="T147" s="460" t="s">
        <v>1827</v>
      </c>
      <c r="U147" s="461" t="s">
        <v>1824</v>
      </c>
      <c r="V147" s="460" t="s">
        <v>1119</v>
      </c>
      <c r="W147" s="560"/>
      <c r="X147" s="461" t="s">
        <v>1993</v>
      </c>
      <c r="Y147" s="461" t="s">
        <v>1993</v>
      </c>
      <c r="Z147" s="461" t="s">
        <v>170</v>
      </c>
      <c r="AA147" s="460" t="s">
        <v>1218</v>
      </c>
      <c r="AB147" s="561">
        <f>ROUND(10,2)</f>
        <v>10</v>
      </c>
      <c r="AC147" s="460" t="s">
        <v>2678</v>
      </c>
      <c r="AD147" s="460"/>
      <c r="AE147" s="561">
        <f>ROUND(500.05,2)</f>
        <v>500.05</v>
      </c>
      <c r="AF147" s="460" t="s">
        <v>2679</v>
      </c>
      <c r="AG147" s="561">
        <f t="shared" si="2"/>
        <v>0</v>
      </c>
      <c r="AH147" s="460" t="s">
        <v>2671</v>
      </c>
      <c r="AI147" s="460" t="s">
        <v>1214</v>
      </c>
      <c r="AJ147" s="460" t="s">
        <v>2550</v>
      </c>
      <c r="AK147" s="460" t="s">
        <v>2672</v>
      </c>
      <c r="AL147" s="560" t="s">
        <v>2725</v>
      </c>
      <c r="AM147" s="460" t="s">
        <v>2674</v>
      </c>
    </row>
    <row r="148" spans="1:39" ht="22.8">
      <c r="A148" s="460" t="s">
        <v>1810</v>
      </c>
      <c r="B148" s="460"/>
      <c r="C148" s="460" t="s">
        <v>1925</v>
      </c>
      <c r="D148" s="460" t="s">
        <v>2314</v>
      </c>
      <c r="E148" s="460" t="s">
        <v>1821</v>
      </c>
      <c r="F148" s="460" t="s">
        <v>1812</v>
      </c>
      <c r="G148" s="461" t="s">
        <v>1218</v>
      </c>
      <c r="H148" s="461" t="s">
        <v>1969</v>
      </c>
      <c r="I148" s="460" t="s">
        <v>2081</v>
      </c>
      <c r="J148" s="460" t="s">
        <v>1983</v>
      </c>
      <c r="K148" s="460" t="s">
        <v>2669</v>
      </c>
      <c r="L148" s="460" t="s">
        <v>2714</v>
      </c>
      <c r="M148" s="460" t="s">
        <v>1994</v>
      </c>
      <c r="N148" s="460" t="s">
        <v>1981</v>
      </c>
      <c r="O148" s="460" t="s">
        <v>1980</v>
      </c>
      <c r="P148" s="460" t="s">
        <v>1979</v>
      </c>
      <c r="Q148" s="460" t="s">
        <v>1978</v>
      </c>
      <c r="R148" s="460" t="s">
        <v>1977</v>
      </c>
      <c r="S148" s="460" t="s">
        <v>1826</v>
      </c>
      <c r="T148" s="460" t="s">
        <v>1827</v>
      </c>
      <c r="U148" s="461" t="s">
        <v>1976</v>
      </c>
      <c r="V148" s="460" t="s">
        <v>1119</v>
      </c>
      <c r="W148" s="560"/>
      <c r="X148" s="461" t="s">
        <v>1993</v>
      </c>
      <c r="Y148" s="461" t="s">
        <v>1993</v>
      </c>
      <c r="Z148" s="461" t="s">
        <v>170</v>
      </c>
      <c r="AA148" s="460" t="s">
        <v>1218</v>
      </c>
      <c r="AB148" s="561">
        <f>ROUND(29.05,2)</f>
        <v>29.05</v>
      </c>
      <c r="AC148" s="460" t="s">
        <v>308</v>
      </c>
      <c r="AD148" s="460"/>
      <c r="AE148" s="561">
        <f>ROUND(825.23,2)</f>
        <v>825.23</v>
      </c>
      <c r="AF148" s="460" t="s">
        <v>308</v>
      </c>
      <c r="AG148" s="561">
        <f t="shared" si="2"/>
        <v>0</v>
      </c>
      <c r="AH148" s="460" t="s">
        <v>2671</v>
      </c>
      <c r="AI148" s="460" t="s">
        <v>1214</v>
      </c>
      <c r="AJ148" s="460" t="s">
        <v>2549</v>
      </c>
      <c r="AK148" s="460" t="s">
        <v>2672</v>
      </c>
      <c r="AL148" s="560" t="s">
        <v>2692</v>
      </c>
      <c r="AM148" s="460" t="s">
        <v>2674</v>
      </c>
    </row>
    <row r="149" spans="1:39" ht="22.8">
      <c r="A149" s="460" t="s">
        <v>1810</v>
      </c>
      <c r="B149" s="460"/>
      <c r="C149" s="460" t="s">
        <v>1298</v>
      </c>
      <c r="D149" s="460" t="s">
        <v>2313</v>
      </c>
      <c r="E149" s="460" t="s">
        <v>1814</v>
      </c>
      <c r="F149" s="460" t="s">
        <v>1812</v>
      </c>
      <c r="G149" s="461" t="s">
        <v>1218</v>
      </c>
      <c r="H149" s="461" t="s">
        <v>199</v>
      </c>
      <c r="I149" s="460" t="s">
        <v>2101</v>
      </c>
      <c r="J149" s="460" t="s">
        <v>1983</v>
      </c>
      <c r="K149" s="460" t="s">
        <v>2669</v>
      </c>
      <c r="L149" s="460" t="s">
        <v>2703</v>
      </c>
      <c r="M149" s="460" t="s">
        <v>1982</v>
      </c>
      <c r="N149" s="460" t="s">
        <v>1981</v>
      </c>
      <c r="O149" s="460" t="s">
        <v>1980</v>
      </c>
      <c r="P149" s="460" t="s">
        <v>1979</v>
      </c>
      <c r="Q149" s="460" t="s">
        <v>95</v>
      </c>
      <c r="R149" s="460" t="s">
        <v>1977</v>
      </c>
      <c r="S149" s="460" t="s">
        <v>1842</v>
      </c>
      <c r="T149" s="460" t="s">
        <v>1827</v>
      </c>
      <c r="U149" s="461" t="s">
        <v>1976</v>
      </c>
      <c r="V149" s="460" t="s">
        <v>1843</v>
      </c>
      <c r="W149" s="560"/>
      <c r="X149" s="461" t="s">
        <v>1824</v>
      </c>
      <c r="Y149" s="461" t="s">
        <v>1824</v>
      </c>
      <c r="Z149" s="461" t="s">
        <v>170</v>
      </c>
      <c r="AA149" s="460" t="s">
        <v>1218</v>
      </c>
      <c r="AB149" s="561">
        <f>ROUND(30.41,2)</f>
        <v>30.41</v>
      </c>
      <c r="AC149" s="460" t="s">
        <v>308</v>
      </c>
      <c r="AD149" s="460"/>
      <c r="AE149" s="561">
        <f>ROUND(70.29,2)</f>
        <v>70.290000000000006</v>
      </c>
      <c r="AF149" s="460" t="s">
        <v>308</v>
      </c>
      <c r="AG149" s="561">
        <f t="shared" si="2"/>
        <v>0</v>
      </c>
      <c r="AH149" s="460" t="s">
        <v>2671</v>
      </c>
      <c r="AI149" s="460" t="s">
        <v>1214</v>
      </c>
      <c r="AJ149" s="460" t="s">
        <v>2548</v>
      </c>
      <c r="AK149" s="460" t="s">
        <v>2672</v>
      </c>
      <c r="AL149" s="560" t="s">
        <v>2673</v>
      </c>
      <c r="AM149" s="460" t="s">
        <v>2674</v>
      </c>
    </row>
    <row r="150" spans="1:39" ht="22.8">
      <c r="A150" s="460" t="s">
        <v>1810</v>
      </c>
      <c r="B150" s="460"/>
      <c r="C150" s="460" t="s">
        <v>1298</v>
      </c>
      <c r="D150" s="460" t="s">
        <v>2313</v>
      </c>
      <c r="E150" s="460" t="s">
        <v>1814</v>
      </c>
      <c r="F150" s="460" t="s">
        <v>1812</v>
      </c>
      <c r="G150" s="461" t="s">
        <v>1218</v>
      </c>
      <c r="H150" s="461" t="s">
        <v>199</v>
      </c>
      <c r="I150" s="460" t="s">
        <v>2101</v>
      </c>
      <c r="J150" s="460" t="s">
        <v>1983</v>
      </c>
      <c r="K150" s="460" t="s">
        <v>2669</v>
      </c>
      <c r="L150" s="460" t="s">
        <v>2703</v>
      </c>
      <c r="M150" s="460" t="s">
        <v>1982</v>
      </c>
      <c r="N150" s="460" t="s">
        <v>1981</v>
      </c>
      <c r="O150" s="460" t="s">
        <v>1980</v>
      </c>
      <c r="P150" s="460" t="s">
        <v>2675</v>
      </c>
      <c r="Q150" s="460" t="s">
        <v>2676</v>
      </c>
      <c r="R150" s="460" t="s">
        <v>2677</v>
      </c>
      <c r="S150" s="460" t="s">
        <v>2676</v>
      </c>
      <c r="T150" s="460" t="s">
        <v>1827</v>
      </c>
      <c r="U150" s="461" t="s">
        <v>1824</v>
      </c>
      <c r="V150" s="460" t="s">
        <v>1119</v>
      </c>
      <c r="W150" s="560"/>
      <c r="X150" s="461" t="s">
        <v>1824</v>
      </c>
      <c r="Y150" s="461" t="s">
        <v>1824</v>
      </c>
      <c r="Z150" s="461" t="s">
        <v>170</v>
      </c>
      <c r="AA150" s="460" t="s">
        <v>1218</v>
      </c>
      <c r="AB150" s="561">
        <f>ROUND(50,2)</f>
        <v>50</v>
      </c>
      <c r="AC150" s="460" t="s">
        <v>2678</v>
      </c>
      <c r="AD150" s="460"/>
      <c r="AE150" s="561">
        <f>ROUND(500.05,2)</f>
        <v>500.05</v>
      </c>
      <c r="AF150" s="460" t="s">
        <v>2679</v>
      </c>
      <c r="AG150" s="561">
        <f t="shared" si="2"/>
        <v>0</v>
      </c>
      <c r="AH150" s="460" t="s">
        <v>2671</v>
      </c>
      <c r="AI150" s="460" t="s">
        <v>1214</v>
      </c>
      <c r="AJ150" s="460" t="s">
        <v>2550</v>
      </c>
      <c r="AK150" s="460" t="s">
        <v>2672</v>
      </c>
      <c r="AL150" s="560" t="s">
        <v>2690</v>
      </c>
      <c r="AM150" s="460" t="s">
        <v>2674</v>
      </c>
    </row>
    <row r="151" spans="1:39" ht="22.8">
      <c r="A151" s="460" t="s">
        <v>1810</v>
      </c>
      <c r="B151" s="460"/>
      <c r="C151" s="460" t="s">
        <v>1298</v>
      </c>
      <c r="D151" s="460" t="s">
        <v>2313</v>
      </c>
      <c r="E151" s="460" t="s">
        <v>1814</v>
      </c>
      <c r="F151" s="460" t="s">
        <v>1812</v>
      </c>
      <c r="G151" s="461" t="s">
        <v>1218</v>
      </c>
      <c r="H151" s="461" t="s">
        <v>199</v>
      </c>
      <c r="I151" s="460" t="s">
        <v>2101</v>
      </c>
      <c r="J151" s="460" t="s">
        <v>1983</v>
      </c>
      <c r="K151" s="460" t="s">
        <v>2669</v>
      </c>
      <c r="L151" s="460" t="s">
        <v>2703</v>
      </c>
      <c r="M151" s="460" t="s">
        <v>1982</v>
      </c>
      <c r="N151" s="460" t="s">
        <v>1981</v>
      </c>
      <c r="O151" s="460" t="s">
        <v>1980</v>
      </c>
      <c r="P151" s="460" t="s">
        <v>1979</v>
      </c>
      <c r="Q151" s="460" t="s">
        <v>1978</v>
      </c>
      <c r="R151" s="460" t="s">
        <v>1977</v>
      </c>
      <c r="S151" s="460" t="s">
        <v>1826</v>
      </c>
      <c r="T151" s="460" t="s">
        <v>1827</v>
      </c>
      <c r="U151" s="461" t="s">
        <v>1976</v>
      </c>
      <c r="V151" s="460" t="s">
        <v>1119</v>
      </c>
      <c r="W151" s="560"/>
      <c r="X151" s="461" t="s">
        <v>1824</v>
      </c>
      <c r="Y151" s="461" t="s">
        <v>1824</v>
      </c>
      <c r="Z151" s="461" t="s">
        <v>170</v>
      </c>
      <c r="AA151" s="460" t="s">
        <v>1218</v>
      </c>
      <c r="AB151" s="561">
        <f>ROUND(35.03,2)</f>
        <v>35.03</v>
      </c>
      <c r="AC151" s="460" t="s">
        <v>308</v>
      </c>
      <c r="AD151" s="460"/>
      <c r="AE151" s="561">
        <f>ROUND(819.25,2)</f>
        <v>819.25</v>
      </c>
      <c r="AF151" s="460" t="s">
        <v>308</v>
      </c>
      <c r="AG151" s="561">
        <f t="shared" si="2"/>
        <v>0</v>
      </c>
      <c r="AH151" s="460" t="s">
        <v>2671</v>
      </c>
      <c r="AI151" s="460" t="s">
        <v>1214</v>
      </c>
      <c r="AJ151" s="460" t="s">
        <v>2549</v>
      </c>
      <c r="AK151" s="460" t="s">
        <v>2672</v>
      </c>
      <c r="AL151" s="560" t="s">
        <v>2694</v>
      </c>
      <c r="AM151" s="460" t="s">
        <v>2674</v>
      </c>
    </row>
    <row r="152" spans="1:39" ht="22.8">
      <c r="A152" s="460" t="s">
        <v>1810</v>
      </c>
      <c r="B152" s="460"/>
      <c r="C152" s="460" t="s">
        <v>1466</v>
      </c>
      <c r="D152" s="460" t="s">
        <v>2312</v>
      </c>
      <c r="E152" s="460" t="s">
        <v>1821</v>
      </c>
      <c r="F152" s="460" t="s">
        <v>1812</v>
      </c>
      <c r="G152" s="461" t="s">
        <v>1218</v>
      </c>
      <c r="H152" s="461" t="s">
        <v>228</v>
      </c>
      <c r="I152" s="460" t="s">
        <v>2029</v>
      </c>
      <c r="J152" s="460" t="s">
        <v>1990</v>
      </c>
      <c r="K152" s="460" t="s">
        <v>2669</v>
      </c>
      <c r="L152" s="460" t="s">
        <v>2750</v>
      </c>
      <c r="M152" s="460" t="s">
        <v>1994</v>
      </c>
      <c r="N152" s="460" t="s">
        <v>1981</v>
      </c>
      <c r="O152" s="460" t="s">
        <v>1980</v>
      </c>
      <c r="P152" s="460" t="s">
        <v>1979</v>
      </c>
      <c r="Q152" s="460" t="s">
        <v>95</v>
      </c>
      <c r="R152" s="460" t="s">
        <v>1977</v>
      </c>
      <c r="S152" s="460" t="s">
        <v>1842</v>
      </c>
      <c r="T152" s="460" t="s">
        <v>1827</v>
      </c>
      <c r="U152" s="461" t="s">
        <v>1976</v>
      </c>
      <c r="V152" s="460" t="s">
        <v>1119</v>
      </c>
      <c r="W152" s="560"/>
      <c r="X152" s="461" t="s">
        <v>1824</v>
      </c>
      <c r="Y152" s="461" t="s">
        <v>1824</v>
      </c>
      <c r="Z152" s="461" t="s">
        <v>170</v>
      </c>
      <c r="AA152" s="460" t="s">
        <v>1218</v>
      </c>
      <c r="AB152" s="561">
        <f>ROUND(0,2)</f>
        <v>0</v>
      </c>
      <c r="AC152" s="460" t="s">
        <v>308</v>
      </c>
      <c r="AD152" s="460"/>
      <c r="AE152" s="561">
        <f>ROUND(36.23,2)</f>
        <v>36.229999999999997</v>
      </c>
      <c r="AF152" s="460" t="s">
        <v>308</v>
      </c>
      <c r="AG152" s="561">
        <f t="shared" si="2"/>
        <v>0</v>
      </c>
      <c r="AH152" s="460" t="s">
        <v>2671</v>
      </c>
      <c r="AI152" s="460" t="s">
        <v>1214</v>
      </c>
      <c r="AJ152" s="460"/>
      <c r="AK152" s="460"/>
      <c r="AL152" s="560"/>
      <c r="AM152" s="460"/>
    </row>
    <row r="153" spans="1:39" ht="22.8">
      <c r="A153" s="460" t="s">
        <v>1810</v>
      </c>
      <c r="B153" s="460"/>
      <c r="C153" s="460" t="s">
        <v>1466</v>
      </c>
      <c r="D153" s="460" t="s">
        <v>2312</v>
      </c>
      <c r="E153" s="460" t="s">
        <v>1821</v>
      </c>
      <c r="F153" s="460" t="s">
        <v>1812</v>
      </c>
      <c r="G153" s="461" t="s">
        <v>1218</v>
      </c>
      <c r="H153" s="461" t="s">
        <v>228</v>
      </c>
      <c r="I153" s="460" t="s">
        <v>2029</v>
      </c>
      <c r="J153" s="460" t="s">
        <v>1990</v>
      </c>
      <c r="K153" s="460" t="s">
        <v>2669</v>
      </c>
      <c r="L153" s="460" t="s">
        <v>2750</v>
      </c>
      <c r="M153" s="460" t="s">
        <v>1994</v>
      </c>
      <c r="N153" s="460" t="s">
        <v>1981</v>
      </c>
      <c r="O153" s="460" t="s">
        <v>1980</v>
      </c>
      <c r="P153" s="460" t="s">
        <v>2675</v>
      </c>
      <c r="Q153" s="460" t="s">
        <v>2676</v>
      </c>
      <c r="R153" s="460" t="s">
        <v>2677</v>
      </c>
      <c r="S153" s="460" t="s">
        <v>2676</v>
      </c>
      <c r="T153" s="460" t="s">
        <v>1827</v>
      </c>
      <c r="U153" s="461" t="s">
        <v>1824</v>
      </c>
      <c r="V153" s="460" t="s">
        <v>1119</v>
      </c>
      <c r="W153" s="560"/>
      <c r="X153" s="461" t="s">
        <v>1824</v>
      </c>
      <c r="Y153" s="461" t="s">
        <v>2751</v>
      </c>
      <c r="Z153" s="461" t="s">
        <v>170</v>
      </c>
      <c r="AA153" s="460" t="s">
        <v>1218</v>
      </c>
      <c r="AB153" s="561">
        <f>ROUND(100,2)</f>
        <v>100</v>
      </c>
      <c r="AC153" s="460" t="s">
        <v>2678</v>
      </c>
      <c r="AD153" s="460"/>
      <c r="AE153" s="561">
        <f>ROUND(500.05,2)</f>
        <v>500.05</v>
      </c>
      <c r="AF153" s="460" t="s">
        <v>2679</v>
      </c>
      <c r="AG153" s="561">
        <f t="shared" si="2"/>
        <v>0</v>
      </c>
      <c r="AH153" s="460" t="s">
        <v>2671</v>
      </c>
      <c r="AI153" s="460" t="s">
        <v>1214</v>
      </c>
      <c r="AJ153" s="460" t="s">
        <v>2550</v>
      </c>
      <c r="AK153" s="460" t="s">
        <v>2672</v>
      </c>
      <c r="AL153" s="560" t="s">
        <v>2691</v>
      </c>
      <c r="AM153" s="460" t="s">
        <v>2674</v>
      </c>
    </row>
    <row r="154" spans="1:39" ht="22.8">
      <c r="A154" s="460" t="s">
        <v>1810</v>
      </c>
      <c r="B154" s="460"/>
      <c r="C154" s="460" t="s">
        <v>1466</v>
      </c>
      <c r="D154" s="460" t="s">
        <v>2312</v>
      </c>
      <c r="E154" s="460" t="s">
        <v>1821</v>
      </c>
      <c r="F154" s="460" t="s">
        <v>1812</v>
      </c>
      <c r="G154" s="461" t="s">
        <v>1218</v>
      </c>
      <c r="H154" s="461" t="s">
        <v>228</v>
      </c>
      <c r="I154" s="460" t="s">
        <v>2029</v>
      </c>
      <c r="J154" s="460" t="s">
        <v>1990</v>
      </c>
      <c r="K154" s="460" t="s">
        <v>2669</v>
      </c>
      <c r="L154" s="460" t="s">
        <v>2750</v>
      </c>
      <c r="M154" s="460" t="s">
        <v>1994</v>
      </c>
      <c r="N154" s="460" t="s">
        <v>1981</v>
      </c>
      <c r="O154" s="460" t="s">
        <v>1980</v>
      </c>
      <c r="P154" s="460" t="s">
        <v>1979</v>
      </c>
      <c r="Q154" s="460" t="s">
        <v>1978</v>
      </c>
      <c r="R154" s="460" t="s">
        <v>1977</v>
      </c>
      <c r="S154" s="460" t="s">
        <v>1826</v>
      </c>
      <c r="T154" s="460" t="s">
        <v>1827</v>
      </c>
      <c r="U154" s="461" t="s">
        <v>1976</v>
      </c>
      <c r="V154" s="460" t="s">
        <v>1119</v>
      </c>
      <c r="W154" s="560"/>
      <c r="X154" s="461" t="s">
        <v>1824</v>
      </c>
      <c r="Y154" s="461" t="s">
        <v>1824</v>
      </c>
      <c r="Z154" s="461" t="s">
        <v>170</v>
      </c>
      <c r="AA154" s="460" t="s">
        <v>1218</v>
      </c>
      <c r="AB154" s="561">
        <f>ROUND(45.28,2)</f>
        <v>45.28</v>
      </c>
      <c r="AC154" s="460" t="s">
        <v>308</v>
      </c>
      <c r="AD154" s="460"/>
      <c r="AE154" s="561">
        <f>ROUND(809,2)</f>
        <v>809</v>
      </c>
      <c r="AF154" s="460" t="s">
        <v>308</v>
      </c>
      <c r="AG154" s="561">
        <f t="shared" si="2"/>
        <v>0</v>
      </c>
      <c r="AH154" s="460" t="s">
        <v>2671</v>
      </c>
      <c r="AI154" s="460" t="s">
        <v>1214</v>
      </c>
      <c r="AJ154" s="460" t="s">
        <v>2549</v>
      </c>
      <c r="AK154" s="460" t="s">
        <v>2672</v>
      </c>
      <c r="AL154" s="560" t="s">
        <v>2752</v>
      </c>
      <c r="AM154" s="460" t="s">
        <v>2674</v>
      </c>
    </row>
    <row r="155" spans="1:39" ht="22.8">
      <c r="A155" s="460" t="s">
        <v>1810</v>
      </c>
      <c r="B155" s="460"/>
      <c r="C155" s="460" t="s">
        <v>1628</v>
      </c>
      <c r="D155" s="460" t="s">
        <v>2311</v>
      </c>
      <c r="E155" s="460" t="s">
        <v>1814</v>
      </c>
      <c r="F155" s="460" t="s">
        <v>1812</v>
      </c>
      <c r="G155" s="461" t="s">
        <v>1218</v>
      </c>
      <c r="H155" s="461" t="s">
        <v>1036</v>
      </c>
      <c r="I155" s="460" t="s">
        <v>2310</v>
      </c>
      <c r="J155" s="460" t="s">
        <v>1983</v>
      </c>
      <c r="K155" s="460" t="s">
        <v>2669</v>
      </c>
      <c r="L155" s="460" t="s">
        <v>2703</v>
      </c>
      <c r="M155" s="460" t="s">
        <v>1982</v>
      </c>
      <c r="N155" s="460" t="s">
        <v>1981</v>
      </c>
      <c r="O155" s="460" t="s">
        <v>1980</v>
      </c>
      <c r="P155" s="460" t="s">
        <v>1979</v>
      </c>
      <c r="Q155" s="460" t="s">
        <v>95</v>
      </c>
      <c r="R155" s="460" t="s">
        <v>1977</v>
      </c>
      <c r="S155" s="460" t="s">
        <v>1842</v>
      </c>
      <c r="T155" s="460" t="s">
        <v>1827</v>
      </c>
      <c r="U155" s="461" t="s">
        <v>1976</v>
      </c>
      <c r="V155" s="460" t="s">
        <v>1119</v>
      </c>
      <c r="W155" s="560"/>
      <c r="X155" s="461" t="s">
        <v>1824</v>
      </c>
      <c r="Y155" s="461" t="s">
        <v>1824</v>
      </c>
      <c r="Z155" s="461" t="s">
        <v>170</v>
      </c>
      <c r="AA155" s="460" t="s">
        <v>1218</v>
      </c>
      <c r="AB155" s="561">
        <f>ROUND(0,2)</f>
        <v>0</v>
      </c>
      <c r="AC155" s="460" t="s">
        <v>308</v>
      </c>
      <c r="AD155" s="460"/>
      <c r="AE155" s="561">
        <f>ROUND(36.23,2)</f>
        <v>36.229999999999997</v>
      </c>
      <c r="AF155" s="460" t="s">
        <v>308</v>
      </c>
      <c r="AG155" s="561">
        <f t="shared" si="2"/>
        <v>0</v>
      </c>
      <c r="AH155" s="460" t="s">
        <v>2671</v>
      </c>
      <c r="AI155" s="460" t="s">
        <v>1214</v>
      </c>
      <c r="AJ155" s="460"/>
      <c r="AK155" s="460"/>
      <c r="AL155" s="560"/>
      <c r="AM155" s="460"/>
    </row>
    <row r="156" spans="1:39" ht="22.8">
      <c r="A156" s="460" t="s">
        <v>1810</v>
      </c>
      <c r="B156" s="460"/>
      <c r="C156" s="460" t="s">
        <v>1628</v>
      </c>
      <c r="D156" s="460" t="s">
        <v>2311</v>
      </c>
      <c r="E156" s="460" t="s">
        <v>1814</v>
      </c>
      <c r="F156" s="460" t="s">
        <v>1812</v>
      </c>
      <c r="G156" s="461" t="s">
        <v>1218</v>
      </c>
      <c r="H156" s="461" t="s">
        <v>1036</v>
      </c>
      <c r="I156" s="460" t="s">
        <v>2310</v>
      </c>
      <c r="J156" s="460" t="s">
        <v>1983</v>
      </c>
      <c r="K156" s="460" t="s">
        <v>2669</v>
      </c>
      <c r="L156" s="460" t="s">
        <v>2703</v>
      </c>
      <c r="M156" s="460" t="s">
        <v>1982</v>
      </c>
      <c r="N156" s="460" t="s">
        <v>1981</v>
      </c>
      <c r="O156" s="460" t="s">
        <v>1980</v>
      </c>
      <c r="P156" s="460" t="s">
        <v>2675</v>
      </c>
      <c r="Q156" s="460" t="s">
        <v>2676</v>
      </c>
      <c r="R156" s="460" t="s">
        <v>2677</v>
      </c>
      <c r="S156" s="460" t="s">
        <v>2676</v>
      </c>
      <c r="T156" s="460" t="s">
        <v>1827</v>
      </c>
      <c r="U156" s="461" t="s">
        <v>1824</v>
      </c>
      <c r="V156" s="460" t="s">
        <v>1119</v>
      </c>
      <c r="W156" s="560"/>
      <c r="X156" s="461" t="s">
        <v>1824</v>
      </c>
      <c r="Y156" s="461" t="s">
        <v>1824</v>
      </c>
      <c r="Z156" s="461" t="s">
        <v>170</v>
      </c>
      <c r="AA156" s="460" t="s">
        <v>1218</v>
      </c>
      <c r="AB156" s="561">
        <f>ROUND(25,2)</f>
        <v>25</v>
      </c>
      <c r="AC156" s="460" t="s">
        <v>2678</v>
      </c>
      <c r="AD156" s="460"/>
      <c r="AE156" s="561">
        <f>ROUND(500.05,2)</f>
        <v>500.05</v>
      </c>
      <c r="AF156" s="460" t="s">
        <v>2679</v>
      </c>
      <c r="AG156" s="561">
        <f t="shared" si="2"/>
        <v>0</v>
      </c>
      <c r="AH156" s="460" t="s">
        <v>2671</v>
      </c>
      <c r="AI156" s="460" t="s">
        <v>1214</v>
      </c>
      <c r="AJ156" s="460" t="s">
        <v>2550</v>
      </c>
      <c r="AK156" s="460" t="s">
        <v>2672</v>
      </c>
      <c r="AL156" s="560" t="s">
        <v>2680</v>
      </c>
      <c r="AM156" s="460" t="s">
        <v>2674</v>
      </c>
    </row>
    <row r="157" spans="1:39" ht="22.8">
      <c r="A157" s="460" t="s">
        <v>1810</v>
      </c>
      <c r="B157" s="460"/>
      <c r="C157" s="460" t="s">
        <v>1628</v>
      </c>
      <c r="D157" s="460" t="s">
        <v>2311</v>
      </c>
      <c r="E157" s="460" t="s">
        <v>1814</v>
      </c>
      <c r="F157" s="460" t="s">
        <v>1812</v>
      </c>
      <c r="G157" s="461" t="s">
        <v>1218</v>
      </c>
      <c r="H157" s="461" t="s">
        <v>1036</v>
      </c>
      <c r="I157" s="460" t="s">
        <v>2310</v>
      </c>
      <c r="J157" s="460" t="s">
        <v>1983</v>
      </c>
      <c r="K157" s="460" t="s">
        <v>2669</v>
      </c>
      <c r="L157" s="460" t="s">
        <v>2703</v>
      </c>
      <c r="M157" s="460" t="s">
        <v>1982</v>
      </c>
      <c r="N157" s="460" t="s">
        <v>1981</v>
      </c>
      <c r="O157" s="460" t="s">
        <v>1980</v>
      </c>
      <c r="P157" s="460" t="s">
        <v>1979</v>
      </c>
      <c r="Q157" s="460" t="s">
        <v>1978</v>
      </c>
      <c r="R157" s="460" t="s">
        <v>1977</v>
      </c>
      <c r="S157" s="460" t="s">
        <v>1826</v>
      </c>
      <c r="T157" s="460" t="s">
        <v>1827</v>
      </c>
      <c r="U157" s="461" t="s">
        <v>1976</v>
      </c>
      <c r="V157" s="460" t="s">
        <v>1119</v>
      </c>
      <c r="W157" s="560"/>
      <c r="X157" s="461" t="s">
        <v>1824</v>
      </c>
      <c r="Y157" s="461" t="s">
        <v>1824</v>
      </c>
      <c r="Z157" s="461" t="s">
        <v>170</v>
      </c>
      <c r="AA157" s="460" t="s">
        <v>1218</v>
      </c>
      <c r="AB157" s="561">
        <f>ROUND(35.03,2)</f>
        <v>35.03</v>
      </c>
      <c r="AC157" s="460" t="s">
        <v>308</v>
      </c>
      <c r="AD157" s="460"/>
      <c r="AE157" s="561">
        <f>ROUND(819.25,2)</f>
        <v>819.25</v>
      </c>
      <c r="AF157" s="460" t="s">
        <v>308</v>
      </c>
      <c r="AG157" s="561">
        <f t="shared" si="2"/>
        <v>0</v>
      </c>
      <c r="AH157" s="460" t="s">
        <v>2671</v>
      </c>
      <c r="AI157" s="460" t="s">
        <v>1214</v>
      </c>
      <c r="AJ157" s="460" t="s">
        <v>2549</v>
      </c>
      <c r="AK157" s="460" t="s">
        <v>2672</v>
      </c>
      <c r="AL157" s="560" t="s">
        <v>2694</v>
      </c>
      <c r="AM157" s="460" t="s">
        <v>2674</v>
      </c>
    </row>
    <row r="158" spans="1:39" ht="22.8">
      <c r="A158" s="460" t="s">
        <v>1810</v>
      </c>
      <c r="B158" s="460"/>
      <c r="C158" s="460" t="s">
        <v>1538</v>
      </c>
      <c r="D158" s="460" t="s">
        <v>2309</v>
      </c>
      <c r="E158" s="460" t="s">
        <v>1813</v>
      </c>
      <c r="F158" s="460" t="s">
        <v>1812</v>
      </c>
      <c r="G158" s="461" t="s">
        <v>1218</v>
      </c>
      <c r="H158" s="461" t="s">
        <v>355</v>
      </c>
      <c r="I158" s="460" t="s">
        <v>2107</v>
      </c>
      <c r="J158" s="460" t="s">
        <v>1990</v>
      </c>
      <c r="K158" s="460" t="s">
        <v>2669</v>
      </c>
      <c r="L158" s="460" t="s">
        <v>2682</v>
      </c>
      <c r="M158" s="460" t="s">
        <v>2028</v>
      </c>
      <c r="N158" s="460" t="s">
        <v>1981</v>
      </c>
      <c r="O158" s="460" t="s">
        <v>1980</v>
      </c>
      <c r="P158" s="460" t="s">
        <v>1979</v>
      </c>
      <c r="Q158" s="460" t="s">
        <v>95</v>
      </c>
      <c r="R158" s="460" t="s">
        <v>1977</v>
      </c>
      <c r="S158" s="460" t="s">
        <v>1842</v>
      </c>
      <c r="T158" s="460" t="s">
        <v>1827</v>
      </c>
      <c r="U158" s="461" t="s">
        <v>1976</v>
      </c>
      <c r="V158" s="460" t="s">
        <v>1119</v>
      </c>
      <c r="W158" s="560"/>
      <c r="X158" s="461" t="s">
        <v>1824</v>
      </c>
      <c r="Y158" s="461" t="s">
        <v>1824</v>
      </c>
      <c r="Z158" s="461" t="s">
        <v>170</v>
      </c>
      <c r="AA158" s="460" t="s">
        <v>1218</v>
      </c>
      <c r="AB158" s="561">
        <f>ROUND(0,2)</f>
        <v>0</v>
      </c>
      <c r="AC158" s="460" t="s">
        <v>308</v>
      </c>
      <c r="AD158" s="460"/>
      <c r="AE158" s="561">
        <f>ROUND(36.23,2)</f>
        <v>36.229999999999997</v>
      </c>
      <c r="AF158" s="460" t="s">
        <v>308</v>
      </c>
      <c r="AG158" s="561">
        <f t="shared" si="2"/>
        <v>0</v>
      </c>
      <c r="AH158" s="460" t="s">
        <v>2671</v>
      </c>
      <c r="AI158" s="460" t="s">
        <v>1214</v>
      </c>
      <c r="AJ158" s="460"/>
      <c r="AK158" s="460"/>
      <c r="AL158" s="560"/>
      <c r="AM158" s="460"/>
    </row>
    <row r="159" spans="1:39" ht="22.8">
      <c r="A159" s="460" t="s">
        <v>1810</v>
      </c>
      <c r="B159" s="460"/>
      <c r="C159" s="460" t="s">
        <v>1538</v>
      </c>
      <c r="D159" s="460" t="s">
        <v>2309</v>
      </c>
      <c r="E159" s="460" t="s">
        <v>1813</v>
      </c>
      <c r="F159" s="460" t="s">
        <v>1812</v>
      </c>
      <c r="G159" s="461" t="s">
        <v>1218</v>
      </c>
      <c r="H159" s="461" t="s">
        <v>355</v>
      </c>
      <c r="I159" s="460" t="s">
        <v>2107</v>
      </c>
      <c r="J159" s="460" t="s">
        <v>1990</v>
      </c>
      <c r="K159" s="460" t="s">
        <v>2669</v>
      </c>
      <c r="L159" s="460" t="s">
        <v>2682</v>
      </c>
      <c r="M159" s="460" t="s">
        <v>2028</v>
      </c>
      <c r="N159" s="460" t="s">
        <v>1981</v>
      </c>
      <c r="O159" s="460" t="s">
        <v>1980</v>
      </c>
      <c r="P159" s="460" t="s">
        <v>2675</v>
      </c>
      <c r="Q159" s="460" t="s">
        <v>2676</v>
      </c>
      <c r="R159" s="460" t="s">
        <v>2677</v>
      </c>
      <c r="S159" s="460" t="s">
        <v>2676</v>
      </c>
      <c r="T159" s="460" t="s">
        <v>1827</v>
      </c>
      <c r="U159" s="461" t="s">
        <v>1824</v>
      </c>
      <c r="V159" s="460" t="s">
        <v>1119</v>
      </c>
      <c r="W159" s="560"/>
      <c r="X159" s="461" t="s">
        <v>1824</v>
      </c>
      <c r="Y159" s="461" t="s">
        <v>1824</v>
      </c>
      <c r="Z159" s="461" t="s">
        <v>170</v>
      </c>
      <c r="AA159" s="460" t="s">
        <v>1218</v>
      </c>
      <c r="AB159" s="561">
        <f>ROUND(15,2)</f>
        <v>15</v>
      </c>
      <c r="AC159" s="460" t="s">
        <v>2678</v>
      </c>
      <c r="AD159" s="460"/>
      <c r="AE159" s="561">
        <f>ROUND(500.05,2)</f>
        <v>500.05</v>
      </c>
      <c r="AF159" s="460" t="s">
        <v>2679</v>
      </c>
      <c r="AG159" s="561">
        <f t="shared" si="2"/>
        <v>0</v>
      </c>
      <c r="AH159" s="460" t="s">
        <v>2671</v>
      </c>
      <c r="AI159" s="460" t="s">
        <v>1214</v>
      </c>
      <c r="AJ159" s="460" t="s">
        <v>2550</v>
      </c>
      <c r="AK159" s="460" t="s">
        <v>2672</v>
      </c>
      <c r="AL159" s="560" t="s">
        <v>2693</v>
      </c>
      <c r="AM159" s="460" t="s">
        <v>2674</v>
      </c>
    </row>
    <row r="160" spans="1:39" ht="22.8">
      <c r="A160" s="460" t="s">
        <v>1810</v>
      </c>
      <c r="B160" s="460"/>
      <c r="C160" s="460" t="s">
        <v>1538</v>
      </c>
      <c r="D160" s="460" t="s">
        <v>2309</v>
      </c>
      <c r="E160" s="460" t="s">
        <v>1813</v>
      </c>
      <c r="F160" s="460" t="s">
        <v>1812</v>
      </c>
      <c r="G160" s="461" t="s">
        <v>1218</v>
      </c>
      <c r="H160" s="461" t="s">
        <v>355</v>
      </c>
      <c r="I160" s="460" t="s">
        <v>2107</v>
      </c>
      <c r="J160" s="460" t="s">
        <v>1990</v>
      </c>
      <c r="K160" s="460" t="s">
        <v>2669</v>
      </c>
      <c r="L160" s="460" t="s">
        <v>2682</v>
      </c>
      <c r="M160" s="460" t="s">
        <v>2028</v>
      </c>
      <c r="N160" s="460" t="s">
        <v>1981</v>
      </c>
      <c r="O160" s="460" t="s">
        <v>1980</v>
      </c>
      <c r="P160" s="460" t="s">
        <v>1979</v>
      </c>
      <c r="Q160" s="460" t="s">
        <v>1978</v>
      </c>
      <c r="R160" s="460" t="s">
        <v>1977</v>
      </c>
      <c r="S160" s="460" t="s">
        <v>1826</v>
      </c>
      <c r="T160" s="460" t="s">
        <v>1827</v>
      </c>
      <c r="U160" s="461" t="s">
        <v>1976</v>
      </c>
      <c r="V160" s="460" t="s">
        <v>1119</v>
      </c>
      <c r="W160" s="560"/>
      <c r="X160" s="461" t="s">
        <v>1824</v>
      </c>
      <c r="Y160" s="461" t="s">
        <v>1824</v>
      </c>
      <c r="Z160" s="461" t="s">
        <v>170</v>
      </c>
      <c r="AA160" s="460" t="s">
        <v>1218</v>
      </c>
      <c r="AB160" s="561">
        <f>ROUND(25.63,2)</f>
        <v>25.63</v>
      </c>
      <c r="AC160" s="460" t="s">
        <v>308</v>
      </c>
      <c r="AD160" s="460"/>
      <c r="AE160" s="561">
        <f>ROUND(828.65,2)</f>
        <v>828.65</v>
      </c>
      <c r="AF160" s="460" t="s">
        <v>308</v>
      </c>
      <c r="AG160" s="561">
        <f t="shared" si="2"/>
        <v>0</v>
      </c>
      <c r="AH160" s="460" t="s">
        <v>2671</v>
      </c>
      <c r="AI160" s="460" t="s">
        <v>1214</v>
      </c>
      <c r="AJ160" s="460" t="s">
        <v>2549</v>
      </c>
      <c r="AK160" s="460" t="s">
        <v>2672</v>
      </c>
      <c r="AL160" s="560" t="s">
        <v>2685</v>
      </c>
      <c r="AM160" s="460" t="s">
        <v>2674</v>
      </c>
    </row>
    <row r="161" spans="1:39" ht="22.8">
      <c r="A161" s="460" t="s">
        <v>1810</v>
      </c>
      <c r="B161" s="460"/>
      <c r="C161" s="460" t="s">
        <v>1300</v>
      </c>
      <c r="D161" s="460" t="s">
        <v>2308</v>
      </c>
      <c r="E161" s="460" t="s">
        <v>1814</v>
      </c>
      <c r="F161" s="460" t="s">
        <v>1812</v>
      </c>
      <c r="G161" s="461" t="s">
        <v>1218</v>
      </c>
      <c r="H161" s="461" t="s">
        <v>200</v>
      </c>
      <c r="I161" s="460" t="s">
        <v>2307</v>
      </c>
      <c r="J161" s="460" t="s">
        <v>1983</v>
      </c>
      <c r="K161" s="460" t="s">
        <v>2669</v>
      </c>
      <c r="L161" s="460" t="s">
        <v>2703</v>
      </c>
      <c r="M161" s="460" t="s">
        <v>1982</v>
      </c>
      <c r="N161" s="460" t="s">
        <v>1981</v>
      </c>
      <c r="O161" s="460" t="s">
        <v>1980</v>
      </c>
      <c r="P161" s="460" t="s">
        <v>1979</v>
      </c>
      <c r="Q161" s="460" t="s">
        <v>95</v>
      </c>
      <c r="R161" s="460" t="s">
        <v>1977</v>
      </c>
      <c r="S161" s="460" t="s">
        <v>1842</v>
      </c>
      <c r="T161" s="460" t="s">
        <v>1827</v>
      </c>
      <c r="U161" s="461" t="s">
        <v>1976</v>
      </c>
      <c r="V161" s="460" t="s">
        <v>1119</v>
      </c>
      <c r="W161" s="560"/>
      <c r="X161" s="461" t="s">
        <v>1824</v>
      </c>
      <c r="Y161" s="461" t="s">
        <v>1824</v>
      </c>
      <c r="Z161" s="461" t="s">
        <v>170</v>
      </c>
      <c r="AA161" s="460" t="s">
        <v>1218</v>
      </c>
      <c r="AB161" s="561">
        <f>ROUND(0,2)</f>
        <v>0</v>
      </c>
      <c r="AC161" s="460" t="s">
        <v>308</v>
      </c>
      <c r="AD161" s="460"/>
      <c r="AE161" s="561">
        <f>ROUND(36.23,2)</f>
        <v>36.229999999999997</v>
      </c>
      <c r="AF161" s="460" t="s">
        <v>308</v>
      </c>
      <c r="AG161" s="561">
        <f t="shared" si="2"/>
        <v>0</v>
      </c>
      <c r="AH161" s="460" t="s">
        <v>2671</v>
      </c>
      <c r="AI161" s="460" t="s">
        <v>1214</v>
      </c>
      <c r="AJ161" s="460"/>
      <c r="AK161" s="460"/>
      <c r="AL161" s="560"/>
      <c r="AM161" s="460"/>
    </row>
    <row r="162" spans="1:39" ht="22.8">
      <c r="A162" s="460" t="s">
        <v>1810</v>
      </c>
      <c r="B162" s="460"/>
      <c r="C162" s="460" t="s">
        <v>1300</v>
      </c>
      <c r="D162" s="460" t="s">
        <v>2308</v>
      </c>
      <c r="E162" s="460" t="s">
        <v>1814</v>
      </c>
      <c r="F162" s="460" t="s">
        <v>1812</v>
      </c>
      <c r="G162" s="461" t="s">
        <v>1218</v>
      </c>
      <c r="H162" s="461" t="s">
        <v>200</v>
      </c>
      <c r="I162" s="460" t="s">
        <v>2307</v>
      </c>
      <c r="J162" s="460" t="s">
        <v>1983</v>
      </c>
      <c r="K162" s="460" t="s">
        <v>2669</v>
      </c>
      <c r="L162" s="460" t="s">
        <v>2703</v>
      </c>
      <c r="M162" s="460" t="s">
        <v>1982</v>
      </c>
      <c r="N162" s="460" t="s">
        <v>1981</v>
      </c>
      <c r="O162" s="460" t="s">
        <v>1980</v>
      </c>
      <c r="P162" s="460" t="s">
        <v>2675</v>
      </c>
      <c r="Q162" s="460" t="s">
        <v>2676</v>
      </c>
      <c r="R162" s="460" t="s">
        <v>2677</v>
      </c>
      <c r="S162" s="460" t="s">
        <v>2676</v>
      </c>
      <c r="T162" s="460" t="s">
        <v>1827</v>
      </c>
      <c r="U162" s="461" t="s">
        <v>1824</v>
      </c>
      <c r="V162" s="460" t="s">
        <v>1119</v>
      </c>
      <c r="W162" s="560"/>
      <c r="X162" s="461" t="s">
        <v>1824</v>
      </c>
      <c r="Y162" s="461" t="s">
        <v>1824</v>
      </c>
      <c r="Z162" s="461" t="s">
        <v>170</v>
      </c>
      <c r="AA162" s="460" t="s">
        <v>1218</v>
      </c>
      <c r="AB162" s="561">
        <f>ROUND(0,2)</f>
        <v>0</v>
      </c>
      <c r="AC162" s="460" t="s">
        <v>2678</v>
      </c>
      <c r="AD162" s="460"/>
      <c r="AE162" s="561">
        <f>ROUND(500.05,2)</f>
        <v>500.05</v>
      </c>
      <c r="AF162" s="460" t="s">
        <v>2679</v>
      </c>
      <c r="AG162" s="561">
        <f t="shared" si="2"/>
        <v>0</v>
      </c>
      <c r="AH162" s="460" t="s">
        <v>2671</v>
      </c>
      <c r="AI162" s="460" t="s">
        <v>1214</v>
      </c>
      <c r="AJ162" s="460"/>
      <c r="AK162" s="460"/>
      <c r="AL162" s="560"/>
      <c r="AM162" s="460"/>
    </row>
    <row r="163" spans="1:39" ht="22.8">
      <c r="A163" s="460" t="s">
        <v>1810</v>
      </c>
      <c r="B163" s="460"/>
      <c r="C163" s="460" t="s">
        <v>1300</v>
      </c>
      <c r="D163" s="460" t="s">
        <v>2308</v>
      </c>
      <c r="E163" s="460" t="s">
        <v>1814</v>
      </c>
      <c r="F163" s="460" t="s">
        <v>1812</v>
      </c>
      <c r="G163" s="461" t="s">
        <v>1218</v>
      </c>
      <c r="H163" s="461" t="s">
        <v>200</v>
      </c>
      <c r="I163" s="460" t="s">
        <v>2307</v>
      </c>
      <c r="J163" s="460" t="s">
        <v>1983</v>
      </c>
      <c r="K163" s="460" t="s">
        <v>2669</v>
      </c>
      <c r="L163" s="460" t="s">
        <v>2703</v>
      </c>
      <c r="M163" s="460" t="s">
        <v>1982</v>
      </c>
      <c r="N163" s="460" t="s">
        <v>1981</v>
      </c>
      <c r="O163" s="460" t="s">
        <v>1980</v>
      </c>
      <c r="P163" s="460" t="s">
        <v>1979</v>
      </c>
      <c r="Q163" s="460" t="s">
        <v>1978</v>
      </c>
      <c r="R163" s="460" t="s">
        <v>1977</v>
      </c>
      <c r="S163" s="460" t="s">
        <v>1826</v>
      </c>
      <c r="T163" s="460" t="s">
        <v>1827</v>
      </c>
      <c r="U163" s="461" t="s">
        <v>1976</v>
      </c>
      <c r="V163" s="460" t="s">
        <v>1119</v>
      </c>
      <c r="W163" s="560"/>
      <c r="X163" s="461" t="s">
        <v>1824</v>
      </c>
      <c r="Y163" s="461" t="s">
        <v>1824</v>
      </c>
      <c r="Z163" s="461" t="s">
        <v>170</v>
      </c>
      <c r="AA163" s="460" t="s">
        <v>1218</v>
      </c>
      <c r="AB163" s="561">
        <f>ROUND(35.03,2)</f>
        <v>35.03</v>
      </c>
      <c r="AC163" s="460" t="s">
        <v>308</v>
      </c>
      <c r="AD163" s="460"/>
      <c r="AE163" s="561">
        <f>ROUND(819.25,2)</f>
        <v>819.25</v>
      </c>
      <c r="AF163" s="460" t="s">
        <v>308</v>
      </c>
      <c r="AG163" s="561">
        <f t="shared" si="2"/>
        <v>0</v>
      </c>
      <c r="AH163" s="460" t="s">
        <v>2671</v>
      </c>
      <c r="AI163" s="460" t="s">
        <v>1214</v>
      </c>
      <c r="AJ163" s="460" t="s">
        <v>2549</v>
      </c>
      <c r="AK163" s="460" t="s">
        <v>2672</v>
      </c>
      <c r="AL163" s="560" t="s">
        <v>2694</v>
      </c>
      <c r="AM163" s="460" t="s">
        <v>2674</v>
      </c>
    </row>
    <row r="164" spans="1:39" ht="34.200000000000003">
      <c r="A164" s="460" t="s">
        <v>1810</v>
      </c>
      <c r="B164" s="460"/>
      <c r="C164" s="20" t="s">
        <v>1551</v>
      </c>
      <c r="D164" s="460" t="s">
        <v>2173</v>
      </c>
      <c r="E164" s="460" t="s">
        <v>1846</v>
      </c>
      <c r="F164" s="460" t="s">
        <v>2015</v>
      </c>
      <c r="G164" s="461" t="s">
        <v>1218</v>
      </c>
      <c r="H164" s="461" t="s">
        <v>184</v>
      </c>
      <c r="I164" s="460" t="s">
        <v>2172</v>
      </c>
      <c r="J164" s="460" t="s">
        <v>1990</v>
      </c>
      <c r="K164" s="460" t="s">
        <v>2669</v>
      </c>
      <c r="L164" s="460" t="s">
        <v>2754</v>
      </c>
      <c r="M164" s="460" t="s">
        <v>2002</v>
      </c>
      <c r="N164" s="460" t="s">
        <v>1981</v>
      </c>
      <c r="O164" s="460" t="s">
        <v>2001</v>
      </c>
      <c r="P164" s="460" t="s">
        <v>1979</v>
      </c>
      <c r="Q164" s="460" t="s">
        <v>95</v>
      </c>
      <c r="R164" s="460" t="s">
        <v>1977</v>
      </c>
      <c r="S164" s="460" t="s">
        <v>1842</v>
      </c>
      <c r="T164" s="460" t="s">
        <v>1827</v>
      </c>
      <c r="U164" s="461" t="s">
        <v>1976</v>
      </c>
      <c r="V164" s="460" t="s">
        <v>1843</v>
      </c>
      <c r="W164" s="560"/>
      <c r="X164" s="461" t="s">
        <v>1824</v>
      </c>
      <c r="Y164" s="461" t="s">
        <v>2755</v>
      </c>
      <c r="Z164" s="461" t="s">
        <v>170</v>
      </c>
      <c r="AA164" s="460" t="s">
        <v>1218</v>
      </c>
      <c r="AB164" s="561">
        <f>ROUND(30.41,2)</f>
        <v>30.41</v>
      </c>
      <c r="AC164" s="460" t="s">
        <v>308</v>
      </c>
      <c r="AD164" s="460"/>
      <c r="AE164" s="561">
        <f>ROUND(70.29,2)</f>
        <v>70.290000000000006</v>
      </c>
      <c r="AF164" s="460" t="s">
        <v>308</v>
      </c>
      <c r="AG164" s="561">
        <f t="shared" si="2"/>
        <v>0</v>
      </c>
      <c r="AH164" s="460" t="s">
        <v>2671</v>
      </c>
      <c r="AI164" s="460" t="s">
        <v>1214</v>
      </c>
      <c r="AJ164" s="460" t="s">
        <v>2548</v>
      </c>
      <c r="AK164" s="460" t="s">
        <v>2672</v>
      </c>
      <c r="AL164" s="560" t="s">
        <v>2673</v>
      </c>
      <c r="AM164" s="460" t="s">
        <v>2674</v>
      </c>
    </row>
    <row r="165" spans="1:39" ht="34.200000000000003">
      <c r="A165" s="460" t="s">
        <v>1810</v>
      </c>
      <c r="B165" s="460"/>
      <c r="C165" s="20" t="s">
        <v>1551</v>
      </c>
      <c r="D165" s="460" t="s">
        <v>2173</v>
      </c>
      <c r="E165" s="460" t="s">
        <v>1846</v>
      </c>
      <c r="F165" s="460" t="s">
        <v>2015</v>
      </c>
      <c r="G165" s="461" t="s">
        <v>1218</v>
      </c>
      <c r="H165" s="461" t="s">
        <v>184</v>
      </c>
      <c r="I165" s="460" t="s">
        <v>2172</v>
      </c>
      <c r="J165" s="460" t="s">
        <v>1990</v>
      </c>
      <c r="K165" s="460" t="s">
        <v>2669</v>
      </c>
      <c r="L165" s="460" t="s">
        <v>2754</v>
      </c>
      <c r="M165" s="460" t="s">
        <v>2002</v>
      </c>
      <c r="N165" s="460" t="s">
        <v>1981</v>
      </c>
      <c r="O165" s="460" t="s">
        <v>2001</v>
      </c>
      <c r="P165" s="460" t="s">
        <v>2675</v>
      </c>
      <c r="Q165" s="460" t="s">
        <v>2676</v>
      </c>
      <c r="R165" s="460" t="s">
        <v>2677</v>
      </c>
      <c r="S165" s="460" t="s">
        <v>2676</v>
      </c>
      <c r="T165" s="460" t="s">
        <v>1827</v>
      </c>
      <c r="U165" s="461" t="s">
        <v>1824</v>
      </c>
      <c r="V165" s="460" t="s">
        <v>1843</v>
      </c>
      <c r="W165" s="560"/>
      <c r="X165" s="461" t="s">
        <v>1824</v>
      </c>
      <c r="Y165" s="461" t="s">
        <v>2683</v>
      </c>
      <c r="Z165" s="461" t="s">
        <v>170</v>
      </c>
      <c r="AA165" s="460" t="s">
        <v>1218</v>
      </c>
      <c r="AB165" s="561">
        <f>ROUND(6750,2)</f>
        <v>6750</v>
      </c>
      <c r="AC165" s="460" t="s">
        <v>2679</v>
      </c>
      <c r="AD165" s="460"/>
      <c r="AE165" s="561">
        <f>ROUND(1000,2)</f>
        <v>1000</v>
      </c>
      <c r="AF165" s="460" t="s">
        <v>2679</v>
      </c>
      <c r="AG165" s="561">
        <f t="shared" si="2"/>
        <v>0</v>
      </c>
      <c r="AH165" s="460" t="s">
        <v>2671</v>
      </c>
      <c r="AI165" s="460" t="s">
        <v>1214</v>
      </c>
      <c r="AJ165" s="460" t="s">
        <v>2550</v>
      </c>
      <c r="AK165" s="460" t="s">
        <v>2672</v>
      </c>
      <c r="AL165" s="560" t="s">
        <v>2756</v>
      </c>
      <c r="AM165" s="460" t="s">
        <v>2674</v>
      </c>
    </row>
    <row r="166" spans="1:39" ht="34.200000000000003">
      <c r="A166" s="460" t="s">
        <v>1810</v>
      </c>
      <c r="B166" s="460"/>
      <c r="C166" s="20" t="s">
        <v>1551</v>
      </c>
      <c r="D166" s="460" t="s">
        <v>2173</v>
      </c>
      <c r="E166" s="460" t="s">
        <v>1846</v>
      </c>
      <c r="F166" s="460" t="s">
        <v>2015</v>
      </c>
      <c r="G166" s="461" t="s">
        <v>1218</v>
      </c>
      <c r="H166" s="461" t="s">
        <v>184</v>
      </c>
      <c r="I166" s="460" t="s">
        <v>2172</v>
      </c>
      <c r="J166" s="460" t="s">
        <v>1990</v>
      </c>
      <c r="K166" s="460" t="s">
        <v>2669</v>
      </c>
      <c r="L166" s="460" t="s">
        <v>2754</v>
      </c>
      <c r="M166" s="460" t="s">
        <v>2002</v>
      </c>
      <c r="N166" s="460" t="s">
        <v>1981</v>
      </c>
      <c r="O166" s="460" t="s">
        <v>2001</v>
      </c>
      <c r="P166" s="460" t="s">
        <v>1979</v>
      </c>
      <c r="Q166" s="460" t="s">
        <v>1978</v>
      </c>
      <c r="R166" s="460" t="s">
        <v>1977</v>
      </c>
      <c r="S166" s="460" t="s">
        <v>1826</v>
      </c>
      <c r="T166" s="460" t="s">
        <v>1827</v>
      </c>
      <c r="U166" s="461" t="s">
        <v>1976</v>
      </c>
      <c r="V166" s="460" t="s">
        <v>1843</v>
      </c>
      <c r="W166" s="560"/>
      <c r="X166" s="461" t="s">
        <v>1824</v>
      </c>
      <c r="Y166" s="461" t="s">
        <v>2755</v>
      </c>
      <c r="Z166" s="461" t="s">
        <v>170</v>
      </c>
      <c r="AA166" s="460" t="s">
        <v>1218</v>
      </c>
      <c r="AB166" s="561">
        <f>ROUND(603.2,2)</f>
        <v>603.20000000000005</v>
      </c>
      <c r="AC166" s="460" t="s">
        <v>308</v>
      </c>
      <c r="AD166" s="460"/>
      <c r="AE166" s="561">
        <f>ROUND(1528.26,2)</f>
        <v>1528.26</v>
      </c>
      <c r="AF166" s="460" t="s">
        <v>308</v>
      </c>
      <c r="AG166" s="561">
        <f t="shared" si="2"/>
        <v>0</v>
      </c>
      <c r="AH166" s="460" t="s">
        <v>2671</v>
      </c>
      <c r="AI166" s="460" t="s">
        <v>1214</v>
      </c>
      <c r="AJ166" s="460" t="s">
        <v>2549</v>
      </c>
      <c r="AK166" s="460" t="s">
        <v>2672</v>
      </c>
      <c r="AL166" s="560" t="s">
        <v>2702</v>
      </c>
      <c r="AM166" s="460" t="s">
        <v>2674</v>
      </c>
    </row>
    <row r="167" spans="1:39" ht="34.200000000000003">
      <c r="A167" s="460" t="s">
        <v>1810</v>
      </c>
      <c r="B167" s="460"/>
      <c r="C167" s="460" t="s">
        <v>1690</v>
      </c>
      <c r="D167" s="460" t="s">
        <v>2173</v>
      </c>
      <c r="E167" s="460" t="s">
        <v>1846</v>
      </c>
      <c r="F167" s="460" t="s">
        <v>2015</v>
      </c>
      <c r="G167" s="461" t="s">
        <v>1218</v>
      </c>
      <c r="H167" s="461" t="s">
        <v>184</v>
      </c>
      <c r="I167" s="460" t="s">
        <v>2172</v>
      </c>
      <c r="J167" s="460" t="s">
        <v>1990</v>
      </c>
      <c r="K167" s="460" t="s">
        <v>2669</v>
      </c>
      <c r="L167" s="460" t="s">
        <v>2754</v>
      </c>
      <c r="M167" s="460" t="s">
        <v>2002</v>
      </c>
      <c r="N167" s="460" t="s">
        <v>1981</v>
      </c>
      <c r="O167" s="460" t="s">
        <v>2001</v>
      </c>
      <c r="P167" s="460" t="s">
        <v>1979</v>
      </c>
      <c r="Q167" s="460" t="s">
        <v>95</v>
      </c>
      <c r="R167" s="460" t="s">
        <v>1977</v>
      </c>
      <c r="S167" s="460" t="s">
        <v>1842</v>
      </c>
      <c r="T167" s="460" t="s">
        <v>1827</v>
      </c>
      <c r="U167" s="461" t="s">
        <v>1976</v>
      </c>
      <c r="V167" s="460" t="s">
        <v>1843</v>
      </c>
      <c r="W167" s="560"/>
      <c r="X167" s="461" t="s">
        <v>1824</v>
      </c>
      <c r="Y167" s="461" t="s">
        <v>2755</v>
      </c>
      <c r="Z167" s="461" t="s">
        <v>170</v>
      </c>
      <c r="AA167" s="460" t="s">
        <v>1218</v>
      </c>
      <c r="AB167" s="561">
        <f>ROUND(30.41,2)</f>
        <v>30.41</v>
      </c>
      <c r="AC167" s="460" t="s">
        <v>308</v>
      </c>
      <c r="AD167" s="460"/>
      <c r="AE167" s="561">
        <f>ROUND(70.29,2)</f>
        <v>70.290000000000006</v>
      </c>
      <c r="AF167" s="460" t="s">
        <v>308</v>
      </c>
      <c r="AG167" s="561">
        <f t="shared" si="2"/>
        <v>0</v>
      </c>
      <c r="AH167" s="460" t="s">
        <v>2671</v>
      </c>
      <c r="AI167" s="460" t="s">
        <v>1214</v>
      </c>
      <c r="AJ167" s="460" t="s">
        <v>2548</v>
      </c>
      <c r="AK167" s="460" t="s">
        <v>2672</v>
      </c>
      <c r="AL167" s="560" t="s">
        <v>2673</v>
      </c>
      <c r="AM167" s="460" t="s">
        <v>2674</v>
      </c>
    </row>
    <row r="168" spans="1:39" ht="34.200000000000003">
      <c r="A168" s="460" t="s">
        <v>1810</v>
      </c>
      <c r="B168" s="460"/>
      <c r="C168" s="460" t="s">
        <v>1690</v>
      </c>
      <c r="D168" s="460" t="s">
        <v>2173</v>
      </c>
      <c r="E168" s="460" t="s">
        <v>1846</v>
      </c>
      <c r="F168" s="460" t="s">
        <v>2015</v>
      </c>
      <c r="G168" s="461" t="s">
        <v>1218</v>
      </c>
      <c r="H168" s="461" t="s">
        <v>184</v>
      </c>
      <c r="I168" s="460" t="s">
        <v>2172</v>
      </c>
      <c r="J168" s="460" t="s">
        <v>1990</v>
      </c>
      <c r="K168" s="460" t="s">
        <v>2669</v>
      </c>
      <c r="L168" s="460" t="s">
        <v>2754</v>
      </c>
      <c r="M168" s="460" t="s">
        <v>2002</v>
      </c>
      <c r="N168" s="460" t="s">
        <v>1981</v>
      </c>
      <c r="O168" s="460" t="s">
        <v>2001</v>
      </c>
      <c r="P168" s="460" t="s">
        <v>2675</v>
      </c>
      <c r="Q168" s="460" t="s">
        <v>2676</v>
      </c>
      <c r="R168" s="460" t="s">
        <v>2677</v>
      </c>
      <c r="S168" s="460" t="s">
        <v>2676</v>
      </c>
      <c r="T168" s="460" t="s">
        <v>1827</v>
      </c>
      <c r="U168" s="461" t="s">
        <v>1824</v>
      </c>
      <c r="V168" s="460" t="s">
        <v>1843</v>
      </c>
      <c r="W168" s="560"/>
      <c r="X168" s="461" t="s">
        <v>1824</v>
      </c>
      <c r="Y168" s="461" t="s">
        <v>2683</v>
      </c>
      <c r="Z168" s="461" t="s">
        <v>170</v>
      </c>
      <c r="AA168" s="460" t="s">
        <v>1218</v>
      </c>
      <c r="AB168" s="561">
        <f>ROUND(6750,2)</f>
        <v>6750</v>
      </c>
      <c r="AC168" s="460" t="s">
        <v>2679</v>
      </c>
      <c r="AD168" s="460"/>
      <c r="AE168" s="561">
        <f>ROUND(1000,2)</f>
        <v>1000</v>
      </c>
      <c r="AF168" s="460" t="s">
        <v>2679</v>
      </c>
      <c r="AG168" s="561">
        <f t="shared" si="2"/>
        <v>0</v>
      </c>
      <c r="AH168" s="460" t="s">
        <v>2671</v>
      </c>
      <c r="AI168" s="460" t="s">
        <v>1214</v>
      </c>
      <c r="AJ168" s="460" t="s">
        <v>2550</v>
      </c>
      <c r="AK168" s="460" t="s">
        <v>2672</v>
      </c>
      <c r="AL168" s="560" t="s">
        <v>2756</v>
      </c>
      <c r="AM168" s="460" t="s">
        <v>2674</v>
      </c>
    </row>
    <row r="169" spans="1:39" ht="34.200000000000003">
      <c r="A169" s="460" t="s">
        <v>1810</v>
      </c>
      <c r="B169" s="460"/>
      <c r="C169" s="460" t="s">
        <v>1690</v>
      </c>
      <c r="D169" s="460" t="s">
        <v>2173</v>
      </c>
      <c r="E169" s="460" t="s">
        <v>1846</v>
      </c>
      <c r="F169" s="460" t="s">
        <v>2015</v>
      </c>
      <c r="G169" s="461" t="s">
        <v>1218</v>
      </c>
      <c r="H169" s="461" t="s">
        <v>184</v>
      </c>
      <c r="I169" s="460" t="s">
        <v>2172</v>
      </c>
      <c r="J169" s="460" t="s">
        <v>1990</v>
      </c>
      <c r="K169" s="460" t="s">
        <v>2669</v>
      </c>
      <c r="L169" s="460" t="s">
        <v>2754</v>
      </c>
      <c r="M169" s="460" t="s">
        <v>2002</v>
      </c>
      <c r="N169" s="460" t="s">
        <v>1981</v>
      </c>
      <c r="O169" s="460" t="s">
        <v>2001</v>
      </c>
      <c r="P169" s="460" t="s">
        <v>1979</v>
      </c>
      <c r="Q169" s="460" t="s">
        <v>1978</v>
      </c>
      <c r="R169" s="460" t="s">
        <v>1977</v>
      </c>
      <c r="S169" s="460" t="s">
        <v>1826</v>
      </c>
      <c r="T169" s="460" t="s">
        <v>1827</v>
      </c>
      <c r="U169" s="461" t="s">
        <v>1976</v>
      </c>
      <c r="V169" s="460" t="s">
        <v>1843</v>
      </c>
      <c r="W169" s="560"/>
      <c r="X169" s="461" t="s">
        <v>1824</v>
      </c>
      <c r="Y169" s="461" t="s">
        <v>2755</v>
      </c>
      <c r="Z169" s="461" t="s">
        <v>170</v>
      </c>
      <c r="AA169" s="460" t="s">
        <v>1218</v>
      </c>
      <c r="AB169" s="561">
        <f>ROUND(603.2,2)</f>
        <v>603.20000000000005</v>
      </c>
      <c r="AC169" s="460" t="s">
        <v>308</v>
      </c>
      <c r="AD169" s="460"/>
      <c r="AE169" s="561">
        <f>ROUND(1528.26,2)</f>
        <v>1528.26</v>
      </c>
      <c r="AF169" s="460" t="s">
        <v>308</v>
      </c>
      <c r="AG169" s="561">
        <f t="shared" si="2"/>
        <v>0</v>
      </c>
      <c r="AH169" s="460" t="s">
        <v>2671</v>
      </c>
      <c r="AI169" s="460" t="s">
        <v>1214</v>
      </c>
      <c r="AJ169" s="460" t="s">
        <v>2549</v>
      </c>
      <c r="AK169" s="460" t="s">
        <v>2672</v>
      </c>
      <c r="AL169" s="560" t="s">
        <v>2702</v>
      </c>
      <c r="AM169" s="460" t="s">
        <v>2674</v>
      </c>
    </row>
    <row r="170" spans="1:39" ht="34.200000000000003">
      <c r="A170" s="460" t="s">
        <v>1810</v>
      </c>
      <c r="B170" s="460"/>
      <c r="C170" s="460" t="s">
        <v>1714</v>
      </c>
      <c r="D170" s="460" t="s">
        <v>2306</v>
      </c>
      <c r="E170" s="460" t="s">
        <v>1819</v>
      </c>
      <c r="F170" s="460" t="s">
        <v>1812</v>
      </c>
      <c r="G170" s="461" t="s">
        <v>1218</v>
      </c>
      <c r="H170" s="461" t="s">
        <v>1832</v>
      </c>
      <c r="I170" s="460" t="s">
        <v>2003</v>
      </c>
      <c r="J170" s="460" t="s">
        <v>1983</v>
      </c>
      <c r="K170" s="460" t="s">
        <v>2669</v>
      </c>
      <c r="L170" s="460" t="s">
        <v>2728</v>
      </c>
      <c r="M170" s="460" t="s">
        <v>1987</v>
      </c>
      <c r="N170" s="460" t="s">
        <v>1981</v>
      </c>
      <c r="O170" s="460" t="s">
        <v>1980</v>
      </c>
      <c r="P170" s="460" t="s">
        <v>1979</v>
      </c>
      <c r="Q170" s="460" t="s">
        <v>95</v>
      </c>
      <c r="R170" s="460" t="s">
        <v>1977</v>
      </c>
      <c r="S170" s="460" t="s">
        <v>1842</v>
      </c>
      <c r="T170" s="460" t="s">
        <v>1827</v>
      </c>
      <c r="U170" s="461" t="s">
        <v>1976</v>
      </c>
      <c r="V170" s="460" t="s">
        <v>1119</v>
      </c>
      <c r="W170" s="560"/>
      <c r="X170" s="461" t="s">
        <v>1824</v>
      </c>
      <c r="Y170" s="461" t="s">
        <v>1824</v>
      </c>
      <c r="Z170" s="461" t="s">
        <v>170</v>
      </c>
      <c r="AA170" s="460" t="s">
        <v>1218</v>
      </c>
      <c r="AB170" s="561">
        <f>ROUND(0,2)</f>
        <v>0</v>
      </c>
      <c r="AC170" s="460" t="s">
        <v>308</v>
      </c>
      <c r="AD170" s="460"/>
      <c r="AE170" s="561">
        <f>ROUND(36.23,2)</f>
        <v>36.229999999999997</v>
      </c>
      <c r="AF170" s="460" t="s">
        <v>308</v>
      </c>
      <c r="AG170" s="561">
        <f t="shared" si="2"/>
        <v>0</v>
      </c>
      <c r="AH170" s="460" t="s">
        <v>2671</v>
      </c>
      <c r="AI170" s="460" t="s">
        <v>1214</v>
      </c>
      <c r="AJ170" s="460"/>
      <c r="AK170" s="460"/>
      <c r="AL170" s="560"/>
      <c r="AM170" s="460"/>
    </row>
    <row r="171" spans="1:39" ht="34.200000000000003">
      <c r="A171" s="460" t="s">
        <v>1810</v>
      </c>
      <c r="B171" s="460"/>
      <c r="C171" s="460" t="s">
        <v>1714</v>
      </c>
      <c r="D171" s="460" t="s">
        <v>2306</v>
      </c>
      <c r="E171" s="460" t="s">
        <v>1819</v>
      </c>
      <c r="F171" s="460" t="s">
        <v>1812</v>
      </c>
      <c r="G171" s="461" t="s">
        <v>1218</v>
      </c>
      <c r="H171" s="461" t="s">
        <v>1832</v>
      </c>
      <c r="I171" s="460" t="s">
        <v>2003</v>
      </c>
      <c r="J171" s="460" t="s">
        <v>1983</v>
      </c>
      <c r="K171" s="460" t="s">
        <v>2669</v>
      </c>
      <c r="L171" s="460" t="s">
        <v>2728</v>
      </c>
      <c r="M171" s="460" t="s">
        <v>1987</v>
      </c>
      <c r="N171" s="460" t="s">
        <v>1981</v>
      </c>
      <c r="O171" s="460" t="s">
        <v>1980</v>
      </c>
      <c r="P171" s="460" t="s">
        <v>2675</v>
      </c>
      <c r="Q171" s="460" t="s">
        <v>2676</v>
      </c>
      <c r="R171" s="460" t="s">
        <v>2677</v>
      </c>
      <c r="S171" s="460" t="s">
        <v>2676</v>
      </c>
      <c r="T171" s="460" t="s">
        <v>1827</v>
      </c>
      <c r="U171" s="461" t="s">
        <v>1824</v>
      </c>
      <c r="V171" s="460" t="s">
        <v>1119</v>
      </c>
      <c r="W171" s="560"/>
      <c r="X171" s="461" t="s">
        <v>1824</v>
      </c>
      <c r="Y171" s="461" t="s">
        <v>1824</v>
      </c>
      <c r="Z171" s="461" t="s">
        <v>170</v>
      </c>
      <c r="AA171" s="460" t="s">
        <v>1218</v>
      </c>
      <c r="AB171" s="561">
        <f>ROUND(0,2)</f>
        <v>0</v>
      </c>
      <c r="AC171" s="460" t="s">
        <v>2678</v>
      </c>
      <c r="AD171" s="460"/>
      <c r="AE171" s="561">
        <f>ROUND(500.05,2)</f>
        <v>500.05</v>
      </c>
      <c r="AF171" s="460" t="s">
        <v>2679</v>
      </c>
      <c r="AG171" s="561">
        <f t="shared" si="2"/>
        <v>0</v>
      </c>
      <c r="AH171" s="460" t="s">
        <v>2671</v>
      </c>
      <c r="AI171" s="460" t="s">
        <v>1214</v>
      </c>
      <c r="AJ171" s="460"/>
      <c r="AK171" s="460"/>
      <c r="AL171" s="560"/>
      <c r="AM171" s="460"/>
    </row>
    <row r="172" spans="1:39" ht="34.200000000000003">
      <c r="A172" s="460" t="s">
        <v>1810</v>
      </c>
      <c r="B172" s="460"/>
      <c r="C172" s="460" t="s">
        <v>1714</v>
      </c>
      <c r="D172" s="460" t="s">
        <v>2306</v>
      </c>
      <c r="E172" s="460" t="s">
        <v>1819</v>
      </c>
      <c r="F172" s="460" t="s">
        <v>1812</v>
      </c>
      <c r="G172" s="461" t="s">
        <v>1218</v>
      </c>
      <c r="H172" s="461" t="s">
        <v>1832</v>
      </c>
      <c r="I172" s="460" t="s">
        <v>2003</v>
      </c>
      <c r="J172" s="460" t="s">
        <v>1983</v>
      </c>
      <c r="K172" s="460" t="s">
        <v>2669</v>
      </c>
      <c r="L172" s="460" t="s">
        <v>2728</v>
      </c>
      <c r="M172" s="460" t="s">
        <v>1987</v>
      </c>
      <c r="N172" s="460" t="s">
        <v>1981</v>
      </c>
      <c r="O172" s="460" t="s">
        <v>1980</v>
      </c>
      <c r="P172" s="460" t="s">
        <v>1979</v>
      </c>
      <c r="Q172" s="460" t="s">
        <v>1978</v>
      </c>
      <c r="R172" s="460" t="s">
        <v>1977</v>
      </c>
      <c r="S172" s="460" t="s">
        <v>1826</v>
      </c>
      <c r="T172" s="460" t="s">
        <v>1827</v>
      </c>
      <c r="U172" s="461" t="s">
        <v>1976</v>
      </c>
      <c r="V172" s="460" t="s">
        <v>1119</v>
      </c>
      <c r="W172" s="560"/>
      <c r="X172" s="461" t="s">
        <v>1824</v>
      </c>
      <c r="Y172" s="461" t="s">
        <v>1824</v>
      </c>
      <c r="Z172" s="461" t="s">
        <v>170</v>
      </c>
      <c r="AA172" s="460" t="s">
        <v>1218</v>
      </c>
      <c r="AB172" s="561">
        <f>ROUND(25.63,2)</f>
        <v>25.63</v>
      </c>
      <c r="AC172" s="460" t="s">
        <v>308</v>
      </c>
      <c r="AD172" s="460"/>
      <c r="AE172" s="561">
        <f>ROUND(828.65,2)</f>
        <v>828.65</v>
      </c>
      <c r="AF172" s="460" t="s">
        <v>308</v>
      </c>
      <c r="AG172" s="561">
        <f t="shared" si="2"/>
        <v>0</v>
      </c>
      <c r="AH172" s="460" t="s">
        <v>2671</v>
      </c>
      <c r="AI172" s="460" t="s">
        <v>1214</v>
      </c>
      <c r="AJ172" s="460" t="s">
        <v>2549</v>
      </c>
      <c r="AK172" s="460" t="s">
        <v>2672</v>
      </c>
      <c r="AL172" s="560" t="s">
        <v>2685</v>
      </c>
      <c r="AM172" s="460" t="s">
        <v>2674</v>
      </c>
    </row>
    <row r="173" spans="1:39" ht="22.8">
      <c r="A173" s="460" t="s">
        <v>1810</v>
      </c>
      <c r="B173" s="460"/>
      <c r="C173" s="460" t="s">
        <v>1313</v>
      </c>
      <c r="D173" s="460" t="s">
        <v>2305</v>
      </c>
      <c r="E173" s="460" t="s">
        <v>1814</v>
      </c>
      <c r="F173" s="460" t="s">
        <v>1812</v>
      </c>
      <c r="G173" s="461" t="s">
        <v>1218</v>
      </c>
      <c r="H173" s="461" t="s">
        <v>214</v>
      </c>
      <c r="I173" s="460" t="s">
        <v>2279</v>
      </c>
      <c r="J173" s="460" t="s">
        <v>1990</v>
      </c>
      <c r="K173" s="460" t="s">
        <v>2669</v>
      </c>
      <c r="L173" s="460" t="s">
        <v>2715</v>
      </c>
      <c r="M173" s="460" t="s">
        <v>1982</v>
      </c>
      <c r="N173" s="460" t="s">
        <v>1981</v>
      </c>
      <c r="O173" s="460" t="s">
        <v>1980</v>
      </c>
      <c r="P173" s="460" t="s">
        <v>1979</v>
      </c>
      <c r="Q173" s="460" t="s">
        <v>95</v>
      </c>
      <c r="R173" s="460" t="s">
        <v>1977</v>
      </c>
      <c r="S173" s="460" t="s">
        <v>1842</v>
      </c>
      <c r="T173" s="460" t="s">
        <v>1827</v>
      </c>
      <c r="U173" s="461" t="s">
        <v>1976</v>
      </c>
      <c r="V173" s="460" t="s">
        <v>1119</v>
      </c>
      <c r="W173" s="560"/>
      <c r="X173" s="461" t="s">
        <v>2282</v>
      </c>
      <c r="Y173" s="461" t="s">
        <v>2683</v>
      </c>
      <c r="Z173" s="461" t="s">
        <v>170</v>
      </c>
      <c r="AA173" s="460" t="s">
        <v>1218</v>
      </c>
      <c r="AB173" s="561">
        <f>ROUND(0,2)</f>
        <v>0</v>
      </c>
      <c r="AC173" s="460" t="s">
        <v>308</v>
      </c>
      <c r="AD173" s="460"/>
      <c r="AE173" s="561">
        <f>ROUND(36.23,2)</f>
        <v>36.229999999999997</v>
      </c>
      <c r="AF173" s="460" t="s">
        <v>308</v>
      </c>
      <c r="AG173" s="561">
        <f t="shared" si="2"/>
        <v>0</v>
      </c>
      <c r="AH173" s="460" t="s">
        <v>2671</v>
      </c>
      <c r="AI173" s="460" t="s">
        <v>1214</v>
      </c>
      <c r="AJ173" s="460"/>
      <c r="AK173" s="460"/>
      <c r="AL173" s="560"/>
      <c r="AM173" s="460"/>
    </row>
    <row r="174" spans="1:39" ht="22.8">
      <c r="A174" s="460" t="s">
        <v>1810</v>
      </c>
      <c r="B174" s="460"/>
      <c r="C174" s="460" t="s">
        <v>1313</v>
      </c>
      <c r="D174" s="460" t="s">
        <v>2305</v>
      </c>
      <c r="E174" s="460" t="s">
        <v>1814</v>
      </c>
      <c r="F174" s="460" t="s">
        <v>1812</v>
      </c>
      <c r="G174" s="461" t="s">
        <v>1218</v>
      </c>
      <c r="H174" s="461" t="s">
        <v>214</v>
      </c>
      <c r="I174" s="460" t="s">
        <v>2279</v>
      </c>
      <c r="J174" s="460" t="s">
        <v>1990</v>
      </c>
      <c r="K174" s="460" t="s">
        <v>2669</v>
      </c>
      <c r="L174" s="460" t="s">
        <v>2715</v>
      </c>
      <c r="M174" s="460" t="s">
        <v>1982</v>
      </c>
      <c r="N174" s="460" t="s">
        <v>1981</v>
      </c>
      <c r="O174" s="460" t="s">
        <v>1980</v>
      </c>
      <c r="P174" s="460" t="s">
        <v>2675</v>
      </c>
      <c r="Q174" s="460" t="s">
        <v>2676</v>
      </c>
      <c r="R174" s="460" t="s">
        <v>2677</v>
      </c>
      <c r="S174" s="460" t="s">
        <v>2676</v>
      </c>
      <c r="T174" s="460" t="s">
        <v>1827</v>
      </c>
      <c r="U174" s="461" t="s">
        <v>1824</v>
      </c>
      <c r="V174" s="460" t="s">
        <v>1119</v>
      </c>
      <c r="W174" s="560"/>
      <c r="X174" s="461" t="s">
        <v>2974</v>
      </c>
      <c r="Y174" s="461" t="s">
        <v>2974</v>
      </c>
      <c r="Z174" s="461" t="s">
        <v>170</v>
      </c>
      <c r="AA174" s="460" t="s">
        <v>1218</v>
      </c>
      <c r="AB174" s="561">
        <f>ROUND(80,2)</f>
        <v>80</v>
      </c>
      <c r="AC174" s="460" t="s">
        <v>2678</v>
      </c>
      <c r="AD174" s="460"/>
      <c r="AE174" s="561">
        <f>ROUND(500.05,2)</f>
        <v>500.05</v>
      </c>
      <c r="AF174" s="460" t="s">
        <v>2679</v>
      </c>
      <c r="AG174" s="561">
        <f t="shared" si="2"/>
        <v>0</v>
      </c>
      <c r="AH174" s="460" t="s">
        <v>2671</v>
      </c>
      <c r="AI174" s="460" t="s">
        <v>1214</v>
      </c>
      <c r="AJ174" s="460" t="s">
        <v>2550</v>
      </c>
      <c r="AK174" s="460" t="s">
        <v>2672</v>
      </c>
      <c r="AL174" s="560" t="s">
        <v>2753</v>
      </c>
      <c r="AM174" s="460" t="s">
        <v>2674</v>
      </c>
    </row>
    <row r="175" spans="1:39" ht="22.8">
      <c r="A175" s="460" t="s">
        <v>1810</v>
      </c>
      <c r="B175" s="460"/>
      <c r="C175" s="460" t="s">
        <v>1313</v>
      </c>
      <c r="D175" s="460" t="s">
        <v>2305</v>
      </c>
      <c r="E175" s="460" t="s">
        <v>1814</v>
      </c>
      <c r="F175" s="460" t="s">
        <v>1812</v>
      </c>
      <c r="G175" s="461" t="s">
        <v>1218</v>
      </c>
      <c r="H175" s="461" t="s">
        <v>214</v>
      </c>
      <c r="I175" s="460" t="s">
        <v>2279</v>
      </c>
      <c r="J175" s="460" t="s">
        <v>1990</v>
      </c>
      <c r="K175" s="460" t="s">
        <v>2669</v>
      </c>
      <c r="L175" s="460" t="s">
        <v>2715</v>
      </c>
      <c r="M175" s="460" t="s">
        <v>1982</v>
      </c>
      <c r="N175" s="460" t="s">
        <v>1981</v>
      </c>
      <c r="O175" s="460" t="s">
        <v>1980</v>
      </c>
      <c r="P175" s="460" t="s">
        <v>1979</v>
      </c>
      <c r="Q175" s="460" t="s">
        <v>1978</v>
      </c>
      <c r="R175" s="460" t="s">
        <v>1977</v>
      </c>
      <c r="S175" s="460" t="s">
        <v>1826</v>
      </c>
      <c r="T175" s="460" t="s">
        <v>1827</v>
      </c>
      <c r="U175" s="461" t="s">
        <v>1976</v>
      </c>
      <c r="V175" s="460" t="s">
        <v>1119</v>
      </c>
      <c r="W175" s="560"/>
      <c r="X175" s="461" t="s">
        <v>2304</v>
      </c>
      <c r="Y175" s="461" t="s">
        <v>2304</v>
      </c>
      <c r="Z175" s="461" t="s">
        <v>170</v>
      </c>
      <c r="AA175" s="460" t="s">
        <v>1218</v>
      </c>
      <c r="AB175" s="561">
        <f>ROUND(29.05,2)</f>
        <v>29.05</v>
      </c>
      <c r="AC175" s="460" t="s">
        <v>308</v>
      </c>
      <c r="AD175" s="460"/>
      <c r="AE175" s="561">
        <f>ROUND(825.23,2)</f>
        <v>825.23</v>
      </c>
      <c r="AF175" s="460" t="s">
        <v>308</v>
      </c>
      <c r="AG175" s="561">
        <f t="shared" si="2"/>
        <v>0</v>
      </c>
      <c r="AH175" s="460" t="s">
        <v>2671</v>
      </c>
      <c r="AI175" s="460" t="s">
        <v>1214</v>
      </c>
      <c r="AJ175" s="460" t="s">
        <v>2549</v>
      </c>
      <c r="AK175" s="460" t="s">
        <v>2672</v>
      </c>
      <c r="AL175" s="560" t="s">
        <v>2692</v>
      </c>
      <c r="AM175" s="460" t="s">
        <v>2674</v>
      </c>
    </row>
    <row r="176" spans="1:39" ht="22.8">
      <c r="A176" s="460" t="s">
        <v>1810</v>
      </c>
      <c r="B176" s="460"/>
      <c r="C176" s="460" t="s">
        <v>1308</v>
      </c>
      <c r="D176" s="460" t="s">
        <v>2303</v>
      </c>
      <c r="E176" s="460" t="s">
        <v>1811</v>
      </c>
      <c r="F176" s="460" t="s">
        <v>1812</v>
      </c>
      <c r="G176" s="461" t="s">
        <v>1218</v>
      </c>
      <c r="H176" s="461" t="s">
        <v>380</v>
      </c>
      <c r="I176" s="460" t="s">
        <v>2302</v>
      </c>
      <c r="J176" s="460" t="s">
        <v>1983</v>
      </c>
      <c r="K176" s="460" t="s">
        <v>2669</v>
      </c>
      <c r="L176" s="460" t="s">
        <v>2757</v>
      </c>
      <c r="M176" s="460" t="s">
        <v>1987</v>
      </c>
      <c r="N176" s="460" t="s">
        <v>1981</v>
      </c>
      <c r="O176" s="460" t="s">
        <v>1980</v>
      </c>
      <c r="P176" s="460" t="s">
        <v>1979</v>
      </c>
      <c r="Q176" s="460" t="s">
        <v>95</v>
      </c>
      <c r="R176" s="460" t="s">
        <v>1977</v>
      </c>
      <c r="S176" s="460" t="s">
        <v>1842</v>
      </c>
      <c r="T176" s="460" t="s">
        <v>1827</v>
      </c>
      <c r="U176" s="461" t="s">
        <v>1976</v>
      </c>
      <c r="V176" s="460" t="s">
        <v>1119</v>
      </c>
      <c r="W176" s="560"/>
      <c r="X176" s="461" t="s">
        <v>1824</v>
      </c>
      <c r="Y176" s="461" t="s">
        <v>1824</v>
      </c>
      <c r="Z176" s="461" t="s">
        <v>170</v>
      </c>
      <c r="AA176" s="460" t="s">
        <v>1218</v>
      </c>
      <c r="AB176" s="561">
        <f>ROUND(0,2)</f>
        <v>0</v>
      </c>
      <c r="AC176" s="460" t="s">
        <v>308</v>
      </c>
      <c r="AD176" s="460"/>
      <c r="AE176" s="561">
        <f>ROUND(36.23,2)</f>
        <v>36.229999999999997</v>
      </c>
      <c r="AF176" s="460" t="s">
        <v>308</v>
      </c>
      <c r="AG176" s="561">
        <f t="shared" si="2"/>
        <v>0</v>
      </c>
      <c r="AH176" s="460" t="s">
        <v>2671</v>
      </c>
      <c r="AI176" s="460" t="s">
        <v>1214</v>
      </c>
      <c r="AJ176" s="460"/>
      <c r="AK176" s="460"/>
      <c r="AL176" s="560"/>
      <c r="AM176" s="460"/>
    </row>
    <row r="177" spans="1:39" ht="22.8">
      <c r="A177" s="460" t="s">
        <v>1810</v>
      </c>
      <c r="B177" s="460"/>
      <c r="C177" s="460" t="s">
        <v>1308</v>
      </c>
      <c r="D177" s="460" t="s">
        <v>2303</v>
      </c>
      <c r="E177" s="460" t="s">
        <v>1811</v>
      </c>
      <c r="F177" s="460" t="s">
        <v>1812</v>
      </c>
      <c r="G177" s="461" t="s">
        <v>1218</v>
      </c>
      <c r="H177" s="461" t="s">
        <v>380</v>
      </c>
      <c r="I177" s="460" t="s">
        <v>2302</v>
      </c>
      <c r="J177" s="460" t="s">
        <v>1983</v>
      </c>
      <c r="K177" s="460" t="s">
        <v>2669</v>
      </c>
      <c r="L177" s="460" t="s">
        <v>2757</v>
      </c>
      <c r="M177" s="460" t="s">
        <v>1987</v>
      </c>
      <c r="N177" s="460" t="s">
        <v>1981</v>
      </c>
      <c r="O177" s="460" t="s">
        <v>1980</v>
      </c>
      <c r="P177" s="460" t="s">
        <v>2675</v>
      </c>
      <c r="Q177" s="460" t="s">
        <v>2676</v>
      </c>
      <c r="R177" s="460" t="s">
        <v>2677</v>
      </c>
      <c r="S177" s="460" t="s">
        <v>2676</v>
      </c>
      <c r="T177" s="460" t="s">
        <v>1827</v>
      </c>
      <c r="U177" s="461" t="s">
        <v>1824</v>
      </c>
      <c r="V177" s="460" t="s">
        <v>1119</v>
      </c>
      <c r="W177" s="560"/>
      <c r="X177" s="461" t="s">
        <v>1824</v>
      </c>
      <c r="Y177" s="461" t="s">
        <v>1824</v>
      </c>
      <c r="Z177" s="461" t="s">
        <v>170</v>
      </c>
      <c r="AA177" s="460" t="s">
        <v>1218</v>
      </c>
      <c r="AB177" s="561">
        <f>ROUND(0,2)</f>
        <v>0</v>
      </c>
      <c r="AC177" s="460" t="s">
        <v>2678</v>
      </c>
      <c r="AD177" s="460"/>
      <c r="AE177" s="561">
        <f>ROUND(500.05,2)</f>
        <v>500.05</v>
      </c>
      <c r="AF177" s="460" t="s">
        <v>2679</v>
      </c>
      <c r="AG177" s="561">
        <f t="shared" si="2"/>
        <v>0</v>
      </c>
      <c r="AH177" s="460" t="s">
        <v>2671</v>
      </c>
      <c r="AI177" s="460" t="s">
        <v>1214</v>
      </c>
      <c r="AJ177" s="460"/>
      <c r="AK177" s="460"/>
      <c r="AL177" s="560"/>
      <c r="AM177" s="460"/>
    </row>
    <row r="178" spans="1:39" ht="22.8">
      <c r="A178" s="460" t="s">
        <v>1810</v>
      </c>
      <c r="B178" s="460"/>
      <c r="C178" s="460" t="s">
        <v>1308</v>
      </c>
      <c r="D178" s="460" t="s">
        <v>2303</v>
      </c>
      <c r="E178" s="460" t="s">
        <v>1811</v>
      </c>
      <c r="F178" s="460" t="s">
        <v>1812</v>
      </c>
      <c r="G178" s="461" t="s">
        <v>1218</v>
      </c>
      <c r="H178" s="461" t="s">
        <v>380</v>
      </c>
      <c r="I178" s="460" t="s">
        <v>2302</v>
      </c>
      <c r="J178" s="460" t="s">
        <v>1983</v>
      </c>
      <c r="K178" s="460" t="s">
        <v>2669</v>
      </c>
      <c r="L178" s="460" t="s">
        <v>2757</v>
      </c>
      <c r="M178" s="460" t="s">
        <v>1987</v>
      </c>
      <c r="N178" s="460" t="s">
        <v>1981</v>
      </c>
      <c r="O178" s="460" t="s">
        <v>1980</v>
      </c>
      <c r="P178" s="460" t="s">
        <v>1979</v>
      </c>
      <c r="Q178" s="460" t="s">
        <v>1978</v>
      </c>
      <c r="R178" s="460" t="s">
        <v>1977</v>
      </c>
      <c r="S178" s="460" t="s">
        <v>1826</v>
      </c>
      <c r="T178" s="460" t="s">
        <v>1827</v>
      </c>
      <c r="U178" s="461" t="s">
        <v>1976</v>
      </c>
      <c r="V178" s="460" t="s">
        <v>1119</v>
      </c>
      <c r="W178" s="560"/>
      <c r="X178" s="461" t="s">
        <v>1824</v>
      </c>
      <c r="Y178" s="461" t="s">
        <v>1824</v>
      </c>
      <c r="Z178" s="461" t="s">
        <v>170</v>
      </c>
      <c r="AA178" s="460" t="s">
        <v>1218</v>
      </c>
      <c r="AB178" s="561">
        <f>ROUND(25.63,2)</f>
        <v>25.63</v>
      </c>
      <c r="AC178" s="460" t="s">
        <v>308</v>
      </c>
      <c r="AD178" s="460"/>
      <c r="AE178" s="561">
        <f>ROUND(828.65,2)</f>
        <v>828.65</v>
      </c>
      <c r="AF178" s="460" t="s">
        <v>308</v>
      </c>
      <c r="AG178" s="561">
        <f t="shared" si="2"/>
        <v>0</v>
      </c>
      <c r="AH178" s="460" t="s">
        <v>2671</v>
      </c>
      <c r="AI178" s="460" t="s">
        <v>1214</v>
      </c>
      <c r="AJ178" s="460" t="s">
        <v>2549</v>
      </c>
      <c r="AK178" s="460" t="s">
        <v>2672</v>
      </c>
      <c r="AL178" s="560" t="s">
        <v>2685</v>
      </c>
      <c r="AM178" s="460" t="s">
        <v>2674</v>
      </c>
    </row>
    <row r="179" spans="1:39" ht="22.8">
      <c r="A179" s="460" t="s">
        <v>1810</v>
      </c>
      <c r="B179" s="460"/>
      <c r="C179" s="460" t="s">
        <v>2510</v>
      </c>
      <c r="D179" s="460" t="s">
        <v>2758</v>
      </c>
      <c r="E179" s="460" t="s">
        <v>1814</v>
      </c>
      <c r="F179" s="460" t="s">
        <v>1812</v>
      </c>
      <c r="G179" s="461" t="s">
        <v>1218</v>
      </c>
      <c r="H179" s="461" t="s">
        <v>2723</v>
      </c>
      <c r="I179" s="460" t="s">
        <v>2052</v>
      </c>
      <c r="J179" s="460" t="s">
        <v>1990</v>
      </c>
      <c r="K179" s="460" t="s">
        <v>2669</v>
      </c>
      <c r="L179" s="460" t="s">
        <v>2715</v>
      </c>
      <c r="M179" s="460" t="s">
        <v>1982</v>
      </c>
      <c r="N179" s="460" t="s">
        <v>1981</v>
      </c>
      <c r="O179" s="460" t="s">
        <v>1980</v>
      </c>
      <c r="P179" s="460" t="s">
        <v>1979</v>
      </c>
      <c r="Q179" s="460" t="s">
        <v>95</v>
      </c>
      <c r="R179" s="460" t="s">
        <v>1977</v>
      </c>
      <c r="S179" s="460" t="s">
        <v>1842</v>
      </c>
      <c r="T179" s="460" t="s">
        <v>1827</v>
      </c>
      <c r="U179" s="461" t="s">
        <v>1976</v>
      </c>
      <c r="V179" s="460" t="s">
        <v>1119</v>
      </c>
      <c r="W179" s="560"/>
      <c r="X179" s="461" t="s">
        <v>2724</v>
      </c>
      <c r="Y179" s="461" t="s">
        <v>2724</v>
      </c>
      <c r="Z179" s="461" t="s">
        <v>170</v>
      </c>
      <c r="AA179" s="460" t="s">
        <v>1218</v>
      </c>
      <c r="AB179" s="561">
        <f>ROUND(0,2)</f>
        <v>0</v>
      </c>
      <c r="AC179" s="460" t="s">
        <v>308</v>
      </c>
      <c r="AD179" s="460"/>
      <c r="AE179" s="561">
        <f>ROUND(36.23,2)</f>
        <v>36.229999999999997</v>
      </c>
      <c r="AF179" s="460" t="s">
        <v>308</v>
      </c>
      <c r="AG179" s="561">
        <f t="shared" si="2"/>
        <v>0</v>
      </c>
      <c r="AH179" s="460" t="s">
        <v>2671</v>
      </c>
      <c r="AI179" s="460" t="s">
        <v>1214</v>
      </c>
      <c r="AJ179" s="460"/>
      <c r="AK179" s="460"/>
      <c r="AL179" s="560"/>
      <c r="AM179" s="460"/>
    </row>
    <row r="180" spans="1:39" ht="22.8">
      <c r="A180" s="460" t="s">
        <v>1810</v>
      </c>
      <c r="B180" s="460"/>
      <c r="C180" s="460" t="s">
        <v>2510</v>
      </c>
      <c r="D180" s="460" t="s">
        <v>2758</v>
      </c>
      <c r="E180" s="460" t="s">
        <v>1814</v>
      </c>
      <c r="F180" s="460" t="s">
        <v>1812</v>
      </c>
      <c r="G180" s="461" t="s">
        <v>1218</v>
      </c>
      <c r="H180" s="461" t="s">
        <v>2723</v>
      </c>
      <c r="I180" s="460" t="s">
        <v>2052</v>
      </c>
      <c r="J180" s="460" t="s">
        <v>1990</v>
      </c>
      <c r="K180" s="460" t="s">
        <v>2669</v>
      </c>
      <c r="L180" s="460" t="s">
        <v>2715</v>
      </c>
      <c r="M180" s="460" t="s">
        <v>1982</v>
      </c>
      <c r="N180" s="460" t="s">
        <v>1981</v>
      </c>
      <c r="O180" s="460" t="s">
        <v>1980</v>
      </c>
      <c r="P180" s="460" t="s">
        <v>2675</v>
      </c>
      <c r="Q180" s="460" t="s">
        <v>2676</v>
      </c>
      <c r="R180" s="460" t="s">
        <v>2677</v>
      </c>
      <c r="S180" s="460" t="s">
        <v>2676</v>
      </c>
      <c r="T180" s="460" t="s">
        <v>1827</v>
      </c>
      <c r="U180" s="461" t="s">
        <v>1824</v>
      </c>
      <c r="V180" s="460" t="s">
        <v>1119</v>
      </c>
      <c r="W180" s="560"/>
      <c r="X180" s="461" t="s">
        <v>2724</v>
      </c>
      <c r="Y180" s="461" t="s">
        <v>2724</v>
      </c>
      <c r="Z180" s="461" t="s">
        <v>170</v>
      </c>
      <c r="AA180" s="460" t="s">
        <v>1218</v>
      </c>
      <c r="AB180" s="561">
        <f>ROUND(0,2)</f>
        <v>0</v>
      </c>
      <c r="AC180" s="460" t="s">
        <v>2678</v>
      </c>
      <c r="AD180" s="460"/>
      <c r="AE180" s="561">
        <f>ROUND(500.05,2)</f>
        <v>500.05</v>
      </c>
      <c r="AF180" s="460" t="s">
        <v>2679</v>
      </c>
      <c r="AG180" s="561">
        <f t="shared" si="2"/>
        <v>0</v>
      </c>
      <c r="AH180" s="460" t="s">
        <v>2671</v>
      </c>
      <c r="AI180" s="460" t="s">
        <v>1214</v>
      </c>
      <c r="AJ180" s="460"/>
      <c r="AK180" s="460"/>
      <c r="AL180" s="560"/>
      <c r="AM180" s="460"/>
    </row>
    <row r="181" spans="1:39" ht="22.8">
      <c r="A181" s="460" t="s">
        <v>1810</v>
      </c>
      <c r="B181" s="460"/>
      <c r="C181" s="460" t="s">
        <v>2510</v>
      </c>
      <c r="D181" s="460" t="s">
        <v>2758</v>
      </c>
      <c r="E181" s="460" t="s">
        <v>1814</v>
      </c>
      <c r="F181" s="460" t="s">
        <v>1812</v>
      </c>
      <c r="G181" s="461" t="s">
        <v>1218</v>
      </c>
      <c r="H181" s="461" t="s">
        <v>2723</v>
      </c>
      <c r="I181" s="460" t="s">
        <v>2052</v>
      </c>
      <c r="J181" s="460" t="s">
        <v>1990</v>
      </c>
      <c r="K181" s="460" t="s">
        <v>2669</v>
      </c>
      <c r="L181" s="460" t="s">
        <v>2715</v>
      </c>
      <c r="M181" s="460" t="s">
        <v>1982</v>
      </c>
      <c r="N181" s="460" t="s">
        <v>1981</v>
      </c>
      <c r="O181" s="460" t="s">
        <v>1980</v>
      </c>
      <c r="P181" s="460" t="s">
        <v>1979</v>
      </c>
      <c r="Q181" s="460" t="s">
        <v>1978</v>
      </c>
      <c r="R181" s="460" t="s">
        <v>1977</v>
      </c>
      <c r="S181" s="460" t="s">
        <v>1826</v>
      </c>
      <c r="T181" s="460" t="s">
        <v>1827</v>
      </c>
      <c r="U181" s="461" t="s">
        <v>1976</v>
      </c>
      <c r="V181" s="460" t="s">
        <v>1119</v>
      </c>
      <c r="W181" s="560"/>
      <c r="X181" s="461" t="s">
        <v>2724</v>
      </c>
      <c r="Y181" s="461" t="s">
        <v>2724</v>
      </c>
      <c r="Z181" s="461" t="s">
        <v>170</v>
      </c>
      <c r="AA181" s="460" t="s">
        <v>1218</v>
      </c>
      <c r="AB181" s="561">
        <f>ROUND(29.05,2)</f>
        <v>29.05</v>
      </c>
      <c r="AC181" s="460" t="s">
        <v>308</v>
      </c>
      <c r="AD181" s="460"/>
      <c r="AE181" s="561">
        <f>ROUND(825.23,2)</f>
        <v>825.23</v>
      </c>
      <c r="AF181" s="460" t="s">
        <v>308</v>
      </c>
      <c r="AG181" s="561">
        <f t="shared" si="2"/>
        <v>0</v>
      </c>
      <c r="AH181" s="460" t="s">
        <v>2671</v>
      </c>
      <c r="AI181" s="460" t="s">
        <v>1214</v>
      </c>
      <c r="AJ181" s="460" t="s">
        <v>2549</v>
      </c>
      <c r="AK181" s="460" t="s">
        <v>2672</v>
      </c>
      <c r="AL181" s="560" t="s">
        <v>2692</v>
      </c>
      <c r="AM181" s="460" t="s">
        <v>2674</v>
      </c>
    </row>
    <row r="182" spans="1:39" ht="22.8">
      <c r="A182" s="460" t="s">
        <v>1810</v>
      </c>
      <c r="B182" s="460"/>
      <c r="C182" s="460" t="s">
        <v>2497</v>
      </c>
      <c r="D182" s="460" t="s">
        <v>2759</v>
      </c>
      <c r="E182" s="460" t="s">
        <v>1813</v>
      </c>
      <c r="F182" s="460" t="s">
        <v>1812</v>
      </c>
      <c r="G182" s="461" t="s">
        <v>1218</v>
      </c>
      <c r="H182" s="461" t="s">
        <v>2760</v>
      </c>
      <c r="I182" s="460" t="s">
        <v>2086</v>
      </c>
      <c r="J182" s="460" t="s">
        <v>1983</v>
      </c>
      <c r="K182" s="460" t="s">
        <v>2669</v>
      </c>
      <c r="L182" s="460" t="s">
        <v>2682</v>
      </c>
      <c r="M182" s="460" t="s">
        <v>2028</v>
      </c>
      <c r="N182" s="460" t="s">
        <v>1981</v>
      </c>
      <c r="O182" s="460" t="s">
        <v>2001</v>
      </c>
      <c r="P182" s="460" t="s">
        <v>1979</v>
      </c>
      <c r="Q182" s="460" t="s">
        <v>95</v>
      </c>
      <c r="R182" s="460" t="s">
        <v>1977</v>
      </c>
      <c r="S182" s="460" t="s">
        <v>1842</v>
      </c>
      <c r="T182" s="460" t="s">
        <v>1827</v>
      </c>
      <c r="U182" s="461" t="s">
        <v>1976</v>
      </c>
      <c r="V182" s="460" t="s">
        <v>1119</v>
      </c>
      <c r="W182" s="560"/>
      <c r="X182" s="461" t="s">
        <v>2747</v>
      </c>
      <c r="Y182" s="461" t="s">
        <v>2747</v>
      </c>
      <c r="Z182" s="461" t="s">
        <v>170</v>
      </c>
      <c r="AA182" s="460" t="s">
        <v>1218</v>
      </c>
      <c r="AB182" s="561">
        <f>ROUND(0,2)</f>
        <v>0</v>
      </c>
      <c r="AC182" s="460" t="s">
        <v>308</v>
      </c>
      <c r="AD182" s="460"/>
      <c r="AE182" s="561">
        <f>ROUND(36.23,2)</f>
        <v>36.229999999999997</v>
      </c>
      <c r="AF182" s="460" t="s">
        <v>308</v>
      </c>
      <c r="AG182" s="561">
        <f t="shared" si="2"/>
        <v>0</v>
      </c>
      <c r="AH182" s="460" t="s">
        <v>2671</v>
      </c>
      <c r="AI182" s="460" t="s">
        <v>1214</v>
      </c>
      <c r="AJ182" s="460"/>
      <c r="AK182" s="460"/>
      <c r="AL182" s="560"/>
      <c r="AM182" s="460"/>
    </row>
    <row r="183" spans="1:39" ht="22.8">
      <c r="A183" s="460" t="s">
        <v>1810</v>
      </c>
      <c r="B183" s="460"/>
      <c r="C183" s="460" t="s">
        <v>2497</v>
      </c>
      <c r="D183" s="460" t="s">
        <v>2759</v>
      </c>
      <c r="E183" s="460" t="s">
        <v>1813</v>
      </c>
      <c r="F183" s="460" t="s">
        <v>1812</v>
      </c>
      <c r="G183" s="461" t="s">
        <v>1218</v>
      </c>
      <c r="H183" s="461" t="s">
        <v>2760</v>
      </c>
      <c r="I183" s="460" t="s">
        <v>2086</v>
      </c>
      <c r="J183" s="460" t="s">
        <v>1983</v>
      </c>
      <c r="K183" s="460" t="s">
        <v>2669</v>
      </c>
      <c r="L183" s="460" t="s">
        <v>2682</v>
      </c>
      <c r="M183" s="460" t="s">
        <v>2028</v>
      </c>
      <c r="N183" s="460" t="s">
        <v>1981</v>
      </c>
      <c r="O183" s="460" t="s">
        <v>2001</v>
      </c>
      <c r="P183" s="460" t="s">
        <v>2675</v>
      </c>
      <c r="Q183" s="460" t="s">
        <v>2676</v>
      </c>
      <c r="R183" s="460" t="s">
        <v>2677</v>
      </c>
      <c r="S183" s="460" t="s">
        <v>2676</v>
      </c>
      <c r="T183" s="460" t="s">
        <v>1827</v>
      </c>
      <c r="U183" s="461" t="s">
        <v>1824</v>
      </c>
      <c r="V183" s="460" t="s">
        <v>1119</v>
      </c>
      <c r="W183" s="560"/>
      <c r="X183" s="461" t="s">
        <v>2966</v>
      </c>
      <c r="Y183" s="461" t="s">
        <v>2966</v>
      </c>
      <c r="Z183" s="461" t="s">
        <v>170</v>
      </c>
      <c r="AA183" s="460" t="s">
        <v>1218</v>
      </c>
      <c r="AB183" s="560"/>
      <c r="AC183" s="460"/>
      <c r="AD183" s="460"/>
      <c r="AE183" s="561">
        <f>ROUND(500.05,2)</f>
        <v>500.05</v>
      </c>
      <c r="AF183" s="460" t="s">
        <v>2679</v>
      </c>
      <c r="AG183" s="561">
        <f t="shared" si="2"/>
        <v>0</v>
      </c>
      <c r="AH183" s="460" t="s">
        <v>2671</v>
      </c>
      <c r="AI183" s="460" t="s">
        <v>1214</v>
      </c>
      <c r="AJ183" s="460"/>
      <c r="AK183" s="460"/>
      <c r="AL183" s="560"/>
      <c r="AM183" s="460"/>
    </row>
    <row r="184" spans="1:39" ht="22.8">
      <c r="A184" s="460" t="s">
        <v>1810</v>
      </c>
      <c r="B184" s="460"/>
      <c r="C184" s="460" t="s">
        <v>2497</v>
      </c>
      <c r="D184" s="460" t="s">
        <v>2759</v>
      </c>
      <c r="E184" s="460" t="s">
        <v>1813</v>
      </c>
      <c r="F184" s="460" t="s">
        <v>1812</v>
      </c>
      <c r="G184" s="461" t="s">
        <v>1218</v>
      </c>
      <c r="H184" s="461" t="s">
        <v>2760</v>
      </c>
      <c r="I184" s="460" t="s">
        <v>2086</v>
      </c>
      <c r="J184" s="460" t="s">
        <v>1983</v>
      </c>
      <c r="K184" s="460" t="s">
        <v>2669</v>
      </c>
      <c r="L184" s="460" t="s">
        <v>2682</v>
      </c>
      <c r="M184" s="460" t="s">
        <v>2028</v>
      </c>
      <c r="N184" s="460" t="s">
        <v>1981</v>
      </c>
      <c r="O184" s="460" t="s">
        <v>2001</v>
      </c>
      <c r="P184" s="460" t="s">
        <v>1979</v>
      </c>
      <c r="Q184" s="460" t="s">
        <v>1978</v>
      </c>
      <c r="R184" s="460" t="s">
        <v>1977</v>
      </c>
      <c r="S184" s="460" t="s">
        <v>1826</v>
      </c>
      <c r="T184" s="460" t="s">
        <v>1827</v>
      </c>
      <c r="U184" s="461" t="s">
        <v>1976</v>
      </c>
      <c r="V184" s="460" t="s">
        <v>1119</v>
      </c>
      <c r="W184" s="560"/>
      <c r="X184" s="461" t="s">
        <v>2747</v>
      </c>
      <c r="Y184" s="461" t="s">
        <v>2966</v>
      </c>
      <c r="Z184" s="461" t="s">
        <v>170</v>
      </c>
      <c r="AA184" s="460" t="s">
        <v>1218</v>
      </c>
      <c r="AB184" s="561">
        <f>ROUND(29.05,2)</f>
        <v>29.05</v>
      </c>
      <c r="AC184" s="460" t="s">
        <v>308</v>
      </c>
      <c r="AD184" s="460"/>
      <c r="AE184" s="561">
        <f>ROUND(825.23,2)</f>
        <v>825.23</v>
      </c>
      <c r="AF184" s="460" t="s">
        <v>308</v>
      </c>
      <c r="AG184" s="561">
        <f t="shared" si="2"/>
        <v>0</v>
      </c>
      <c r="AH184" s="460" t="s">
        <v>2671</v>
      </c>
      <c r="AI184" s="460" t="s">
        <v>1214</v>
      </c>
      <c r="AJ184" s="460" t="s">
        <v>2549</v>
      </c>
      <c r="AK184" s="460" t="s">
        <v>2672</v>
      </c>
      <c r="AL184" s="560" t="s">
        <v>2692</v>
      </c>
      <c r="AM184" s="460" t="s">
        <v>2674</v>
      </c>
    </row>
    <row r="185" spans="1:39" ht="22.8">
      <c r="A185" s="460" t="s">
        <v>1810</v>
      </c>
      <c r="B185" s="460"/>
      <c r="C185" s="460" t="s">
        <v>1315</v>
      </c>
      <c r="D185" s="460" t="s">
        <v>2301</v>
      </c>
      <c r="E185" s="460" t="s">
        <v>1821</v>
      </c>
      <c r="F185" s="460" t="s">
        <v>1812</v>
      </c>
      <c r="G185" s="461" t="s">
        <v>1218</v>
      </c>
      <c r="H185" s="461" t="s">
        <v>235</v>
      </c>
      <c r="I185" s="460" t="s">
        <v>2300</v>
      </c>
      <c r="J185" s="460" t="s">
        <v>1983</v>
      </c>
      <c r="K185" s="460" t="s">
        <v>2669</v>
      </c>
      <c r="L185" s="460" t="s">
        <v>2714</v>
      </c>
      <c r="M185" s="460" t="s">
        <v>1994</v>
      </c>
      <c r="N185" s="460" t="s">
        <v>1981</v>
      </c>
      <c r="O185" s="460" t="s">
        <v>1980</v>
      </c>
      <c r="P185" s="460" t="s">
        <v>1979</v>
      </c>
      <c r="Q185" s="460" t="s">
        <v>95</v>
      </c>
      <c r="R185" s="460" t="s">
        <v>1977</v>
      </c>
      <c r="S185" s="460" t="s">
        <v>1842</v>
      </c>
      <c r="T185" s="460" t="s">
        <v>1827</v>
      </c>
      <c r="U185" s="461" t="s">
        <v>1976</v>
      </c>
      <c r="V185" s="460" t="s">
        <v>1843</v>
      </c>
      <c r="W185" s="560"/>
      <c r="X185" s="461" t="s">
        <v>1824</v>
      </c>
      <c r="Y185" s="461" t="s">
        <v>1824</v>
      </c>
      <c r="Z185" s="461" t="s">
        <v>170</v>
      </c>
      <c r="AA185" s="460" t="s">
        <v>1218</v>
      </c>
      <c r="AB185" s="561">
        <f>ROUND(30.41,2)</f>
        <v>30.41</v>
      </c>
      <c r="AC185" s="460" t="s">
        <v>308</v>
      </c>
      <c r="AD185" s="460"/>
      <c r="AE185" s="561">
        <f>ROUND(70.29,2)</f>
        <v>70.290000000000006</v>
      </c>
      <c r="AF185" s="460" t="s">
        <v>308</v>
      </c>
      <c r="AG185" s="561">
        <f t="shared" si="2"/>
        <v>0</v>
      </c>
      <c r="AH185" s="460" t="s">
        <v>2671</v>
      </c>
      <c r="AI185" s="460" t="s">
        <v>1214</v>
      </c>
      <c r="AJ185" s="460" t="s">
        <v>2548</v>
      </c>
      <c r="AK185" s="460" t="s">
        <v>2672</v>
      </c>
      <c r="AL185" s="560" t="s">
        <v>2673</v>
      </c>
      <c r="AM185" s="460" t="s">
        <v>2674</v>
      </c>
    </row>
    <row r="186" spans="1:39" ht="22.8">
      <c r="A186" s="460" t="s">
        <v>1810</v>
      </c>
      <c r="B186" s="460"/>
      <c r="C186" s="460" t="s">
        <v>1315</v>
      </c>
      <c r="D186" s="460" t="s">
        <v>2301</v>
      </c>
      <c r="E186" s="460" t="s">
        <v>1821</v>
      </c>
      <c r="F186" s="460" t="s">
        <v>1812</v>
      </c>
      <c r="G186" s="461" t="s">
        <v>1218</v>
      </c>
      <c r="H186" s="461" t="s">
        <v>235</v>
      </c>
      <c r="I186" s="460" t="s">
        <v>2300</v>
      </c>
      <c r="J186" s="460" t="s">
        <v>1983</v>
      </c>
      <c r="K186" s="460" t="s">
        <v>2669</v>
      </c>
      <c r="L186" s="460" t="s">
        <v>2714</v>
      </c>
      <c r="M186" s="460" t="s">
        <v>1994</v>
      </c>
      <c r="N186" s="460" t="s">
        <v>1981</v>
      </c>
      <c r="O186" s="460" t="s">
        <v>1980</v>
      </c>
      <c r="P186" s="460" t="s">
        <v>2675</v>
      </c>
      <c r="Q186" s="460" t="s">
        <v>2676</v>
      </c>
      <c r="R186" s="460" t="s">
        <v>2677</v>
      </c>
      <c r="S186" s="460" t="s">
        <v>2676</v>
      </c>
      <c r="T186" s="460" t="s">
        <v>1827</v>
      </c>
      <c r="U186" s="461" t="s">
        <v>1824</v>
      </c>
      <c r="V186" s="460" t="s">
        <v>1843</v>
      </c>
      <c r="W186" s="560"/>
      <c r="X186" s="461" t="s">
        <v>1824</v>
      </c>
      <c r="Y186" s="461" t="s">
        <v>1824</v>
      </c>
      <c r="Z186" s="461" t="s">
        <v>170</v>
      </c>
      <c r="AA186" s="460" t="s">
        <v>1218</v>
      </c>
      <c r="AB186" s="561">
        <f>ROUND(200,2)</f>
        <v>200</v>
      </c>
      <c r="AC186" s="460" t="s">
        <v>2678</v>
      </c>
      <c r="AD186" s="460"/>
      <c r="AE186" s="561">
        <f>ROUND(1000,2)</f>
        <v>1000</v>
      </c>
      <c r="AF186" s="460" t="s">
        <v>2679</v>
      </c>
      <c r="AG186" s="561">
        <f t="shared" si="2"/>
        <v>0</v>
      </c>
      <c r="AH186" s="460" t="s">
        <v>2671</v>
      </c>
      <c r="AI186" s="460" t="s">
        <v>1214</v>
      </c>
      <c r="AJ186" s="460" t="s">
        <v>2550</v>
      </c>
      <c r="AK186" s="460" t="s">
        <v>2672</v>
      </c>
      <c r="AL186" s="560" t="s">
        <v>2762</v>
      </c>
      <c r="AM186" s="460" t="s">
        <v>2674</v>
      </c>
    </row>
    <row r="187" spans="1:39" ht="22.8">
      <c r="A187" s="460" t="s">
        <v>1810</v>
      </c>
      <c r="B187" s="460"/>
      <c r="C187" s="460" t="s">
        <v>1315</v>
      </c>
      <c r="D187" s="460" t="s">
        <v>2301</v>
      </c>
      <c r="E187" s="460" t="s">
        <v>1821</v>
      </c>
      <c r="F187" s="460" t="s">
        <v>1812</v>
      </c>
      <c r="G187" s="461" t="s">
        <v>1218</v>
      </c>
      <c r="H187" s="461" t="s">
        <v>235</v>
      </c>
      <c r="I187" s="460" t="s">
        <v>2300</v>
      </c>
      <c r="J187" s="460" t="s">
        <v>1983</v>
      </c>
      <c r="K187" s="460" t="s">
        <v>2669</v>
      </c>
      <c r="L187" s="460" t="s">
        <v>2714</v>
      </c>
      <c r="M187" s="460" t="s">
        <v>1994</v>
      </c>
      <c r="N187" s="460" t="s">
        <v>1981</v>
      </c>
      <c r="O187" s="460" t="s">
        <v>1980</v>
      </c>
      <c r="P187" s="460" t="s">
        <v>1979</v>
      </c>
      <c r="Q187" s="460" t="s">
        <v>1978</v>
      </c>
      <c r="R187" s="460" t="s">
        <v>1977</v>
      </c>
      <c r="S187" s="460" t="s">
        <v>1826</v>
      </c>
      <c r="T187" s="460" t="s">
        <v>1827</v>
      </c>
      <c r="U187" s="461" t="s">
        <v>1976</v>
      </c>
      <c r="V187" s="460" t="s">
        <v>1843</v>
      </c>
      <c r="W187" s="560"/>
      <c r="X187" s="461" t="s">
        <v>1824</v>
      </c>
      <c r="Y187" s="461" t="s">
        <v>1824</v>
      </c>
      <c r="Z187" s="461" t="s">
        <v>170</v>
      </c>
      <c r="AA187" s="460" t="s">
        <v>1218</v>
      </c>
      <c r="AB187" s="561">
        <f>ROUND(603.2,2)</f>
        <v>603.20000000000005</v>
      </c>
      <c r="AC187" s="460" t="s">
        <v>308</v>
      </c>
      <c r="AD187" s="460"/>
      <c r="AE187" s="561">
        <f>ROUND(1528.26,2)</f>
        <v>1528.26</v>
      </c>
      <c r="AF187" s="460" t="s">
        <v>308</v>
      </c>
      <c r="AG187" s="561">
        <f t="shared" si="2"/>
        <v>0</v>
      </c>
      <c r="AH187" s="460" t="s">
        <v>2671</v>
      </c>
      <c r="AI187" s="460" t="s">
        <v>1214</v>
      </c>
      <c r="AJ187" s="460" t="s">
        <v>2549</v>
      </c>
      <c r="AK187" s="460" t="s">
        <v>2672</v>
      </c>
      <c r="AL187" s="560" t="s">
        <v>2702</v>
      </c>
      <c r="AM187" s="460" t="s">
        <v>2674</v>
      </c>
    </row>
    <row r="188" spans="1:39" ht="22.8">
      <c r="A188" s="460" t="s">
        <v>1810</v>
      </c>
      <c r="B188" s="460"/>
      <c r="C188" s="460" t="s">
        <v>1750</v>
      </c>
      <c r="D188" s="460" t="s">
        <v>2299</v>
      </c>
      <c r="E188" s="460" t="s">
        <v>1811</v>
      </c>
      <c r="F188" s="460" t="s">
        <v>1812</v>
      </c>
      <c r="G188" s="461" t="s">
        <v>1218</v>
      </c>
      <c r="H188" s="461" t="s">
        <v>1833</v>
      </c>
      <c r="I188" s="460" t="s">
        <v>2298</v>
      </c>
      <c r="J188" s="460" t="s">
        <v>1990</v>
      </c>
      <c r="K188" s="460" t="s">
        <v>2669</v>
      </c>
      <c r="L188" s="460" t="s">
        <v>2763</v>
      </c>
      <c r="M188" s="460" t="s">
        <v>2002</v>
      </c>
      <c r="N188" s="460" t="s">
        <v>1981</v>
      </c>
      <c r="O188" s="460" t="s">
        <v>1980</v>
      </c>
      <c r="P188" s="460" t="s">
        <v>1979</v>
      </c>
      <c r="Q188" s="460" t="s">
        <v>95</v>
      </c>
      <c r="R188" s="460" t="s">
        <v>1977</v>
      </c>
      <c r="S188" s="460" t="s">
        <v>1842</v>
      </c>
      <c r="T188" s="460" t="s">
        <v>1827</v>
      </c>
      <c r="U188" s="461" t="s">
        <v>1976</v>
      </c>
      <c r="V188" s="460" t="s">
        <v>1119</v>
      </c>
      <c r="W188" s="560"/>
      <c r="X188" s="461" t="s">
        <v>2049</v>
      </c>
      <c r="Y188" s="461" t="s">
        <v>2049</v>
      </c>
      <c r="Z188" s="461" t="s">
        <v>170</v>
      </c>
      <c r="AA188" s="460" t="s">
        <v>1218</v>
      </c>
      <c r="AB188" s="561">
        <f>ROUND(0,2)</f>
        <v>0</v>
      </c>
      <c r="AC188" s="460" t="s">
        <v>308</v>
      </c>
      <c r="AD188" s="460"/>
      <c r="AE188" s="561">
        <f>ROUND(36.23,2)</f>
        <v>36.229999999999997</v>
      </c>
      <c r="AF188" s="460" t="s">
        <v>308</v>
      </c>
      <c r="AG188" s="561">
        <f t="shared" si="2"/>
        <v>0</v>
      </c>
      <c r="AH188" s="460" t="s">
        <v>2671</v>
      </c>
      <c r="AI188" s="460" t="s">
        <v>1214</v>
      </c>
      <c r="AJ188" s="460"/>
      <c r="AK188" s="460"/>
      <c r="AL188" s="560"/>
      <c r="AM188" s="460"/>
    </row>
    <row r="189" spans="1:39" ht="22.8">
      <c r="A189" s="460" t="s">
        <v>1810</v>
      </c>
      <c r="B189" s="460"/>
      <c r="C189" s="460" t="s">
        <v>1750</v>
      </c>
      <c r="D189" s="460" t="s">
        <v>2299</v>
      </c>
      <c r="E189" s="460" t="s">
        <v>1811</v>
      </c>
      <c r="F189" s="460" t="s">
        <v>1812</v>
      </c>
      <c r="G189" s="461" t="s">
        <v>1218</v>
      </c>
      <c r="H189" s="461" t="s">
        <v>1833</v>
      </c>
      <c r="I189" s="460" t="s">
        <v>2298</v>
      </c>
      <c r="J189" s="460" t="s">
        <v>1990</v>
      </c>
      <c r="K189" s="460" t="s">
        <v>2669</v>
      </c>
      <c r="L189" s="460" t="s">
        <v>2763</v>
      </c>
      <c r="M189" s="460" t="s">
        <v>2002</v>
      </c>
      <c r="N189" s="460" t="s">
        <v>1981</v>
      </c>
      <c r="O189" s="460" t="s">
        <v>1980</v>
      </c>
      <c r="P189" s="460" t="s">
        <v>2675</v>
      </c>
      <c r="Q189" s="460" t="s">
        <v>2676</v>
      </c>
      <c r="R189" s="460" t="s">
        <v>2677</v>
      </c>
      <c r="S189" s="460" t="s">
        <v>2676</v>
      </c>
      <c r="T189" s="460" t="s">
        <v>1827</v>
      </c>
      <c r="U189" s="461" t="s">
        <v>1824</v>
      </c>
      <c r="V189" s="460" t="s">
        <v>1119</v>
      </c>
      <c r="W189" s="560"/>
      <c r="X189" s="461" t="s">
        <v>2049</v>
      </c>
      <c r="Y189" s="461" t="s">
        <v>2049</v>
      </c>
      <c r="Z189" s="461" t="s">
        <v>170</v>
      </c>
      <c r="AA189" s="460" t="s">
        <v>1218</v>
      </c>
      <c r="AB189" s="561">
        <f>ROUND(0,2)</f>
        <v>0</v>
      </c>
      <c r="AC189" s="460" t="s">
        <v>2678</v>
      </c>
      <c r="AD189" s="460"/>
      <c r="AE189" s="561">
        <f>ROUND(500.05,2)</f>
        <v>500.05</v>
      </c>
      <c r="AF189" s="460" t="s">
        <v>2679</v>
      </c>
      <c r="AG189" s="561">
        <f t="shared" si="2"/>
        <v>0</v>
      </c>
      <c r="AH189" s="460" t="s">
        <v>2671</v>
      </c>
      <c r="AI189" s="460" t="s">
        <v>1214</v>
      </c>
      <c r="AJ189" s="460"/>
      <c r="AK189" s="460"/>
      <c r="AL189" s="560"/>
      <c r="AM189" s="460"/>
    </row>
    <row r="190" spans="1:39" ht="22.8">
      <c r="A190" s="460" t="s">
        <v>1810</v>
      </c>
      <c r="B190" s="460"/>
      <c r="C190" s="460" t="s">
        <v>1750</v>
      </c>
      <c r="D190" s="460" t="s">
        <v>2299</v>
      </c>
      <c r="E190" s="460" t="s">
        <v>1811</v>
      </c>
      <c r="F190" s="460" t="s">
        <v>1812</v>
      </c>
      <c r="G190" s="461" t="s">
        <v>1218</v>
      </c>
      <c r="H190" s="461" t="s">
        <v>1833</v>
      </c>
      <c r="I190" s="460" t="s">
        <v>2298</v>
      </c>
      <c r="J190" s="460" t="s">
        <v>1990</v>
      </c>
      <c r="K190" s="460" t="s">
        <v>2669</v>
      </c>
      <c r="L190" s="460" t="s">
        <v>2763</v>
      </c>
      <c r="M190" s="460" t="s">
        <v>2002</v>
      </c>
      <c r="N190" s="460" t="s">
        <v>1981</v>
      </c>
      <c r="O190" s="460" t="s">
        <v>1980</v>
      </c>
      <c r="P190" s="460" t="s">
        <v>1979</v>
      </c>
      <c r="Q190" s="460" t="s">
        <v>1978</v>
      </c>
      <c r="R190" s="460" t="s">
        <v>1977</v>
      </c>
      <c r="S190" s="460" t="s">
        <v>1826</v>
      </c>
      <c r="T190" s="460" t="s">
        <v>1827</v>
      </c>
      <c r="U190" s="461" t="s">
        <v>1976</v>
      </c>
      <c r="V190" s="460" t="s">
        <v>1119</v>
      </c>
      <c r="W190" s="560"/>
      <c r="X190" s="461" t="s">
        <v>2049</v>
      </c>
      <c r="Y190" s="461" t="s">
        <v>2049</v>
      </c>
      <c r="Z190" s="461" t="s">
        <v>170</v>
      </c>
      <c r="AA190" s="460" t="s">
        <v>1218</v>
      </c>
      <c r="AB190" s="561">
        <f>ROUND(25.63,2)</f>
        <v>25.63</v>
      </c>
      <c r="AC190" s="460" t="s">
        <v>308</v>
      </c>
      <c r="AD190" s="460"/>
      <c r="AE190" s="561">
        <f>ROUND(828.65,2)</f>
        <v>828.65</v>
      </c>
      <c r="AF190" s="460" t="s">
        <v>308</v>
      </c>
      <c r="AG190" s="561">
        <f t="shared" si="2"/>
        <v>0</v>
      </c>
      <c r="AH190" s="460" t="s">
        <v>2671</v>
      </c>
      <c r="AI190" s="460" t="s">
        <v>1214</v>
      </c>
      <c r="AJ190" s="460" t="s">
        <v>2549</v>
      </c>
      <c r="AK190" s="460" t="s">
        <v>2672</v>
      </c>
      <c r="AL190" s="560" t="s">
        <v>2685</v>
      </c>
      <c r="AM190" s="460" t="s">
        <v>2674</v>
      </c>
    </row>
    <row r="191" spans="1:39" ht="22.8">
      <c r="A191" s="460" t="s">
        <v>1810</v>
      </c>
      <c r="B191" s="460"/>
      <c r="C191" s="460" t="s">
        <v>2436</v>
      </c>
      <c r="D191" s="460" t="s">
        <v>2764</v>
      </c>
      <c r="E191" s="460" t="s">
        <v>1814</v>
      </c>
      <c r="F191" s="460" t="s">
        <v>1812</v>
      </c>
      <c r="G191" s="461" t="s">
        <v>1218</v>
      </c>
      <c r="H191" s="461" t="s">
        <v>2765</v>
      </c>
      <c r="I191" s="460" t="s">
        <v>1991</v>
      </c>
      <c r="J191" s="460" t="s">
        <v>1983</v>
      </c>
      <c r="K191" s="460" t="s">
        <v>2669</v>
      </c>
      <c r="L191" s="460" t="s">
        <v>2703</v>
      </c>
      <c r="M191" s="460" t="s">
        <v>1982</v>
      </c>
      <c r="N191" s="460" t="s">
        <v>1981</v>
      </c>
      <c r="O191" s="460" t="s">
        <v>1980</v>
      </c>
      <c r="P191" s="460" t="s">
        <v>2675</v>
      </c>
      <c r="Q191" s="460" t="s">
        <v>2676</v>
      </c>
      <c r="R191" s="460" t="s">
        <v>2677</v>
      </c>
      <c r="S191" s="460" t="s">
        <v>2676</v>
      </c>
      <c r="T191" s="460" t="s">
        <v>1827</v>
      </c>
      <c r="U191" s="461" t="s">
        <v>1824</v>
      </c>
      <c r="V191" s="460" t="s">
        <v>1119</v>
      </c>
      <c r="W191" s="560"/>
      <c r="X191" s="461" t="s">
        <v>2724</v>
      </c>
      <c r="Y191" s="461" t="s">
        <v>2766</v>
      </c>
      <c r="Z191" s="461" t="s">
        <v>170</v>
      </c>
      <c r="AA191" s="460" t="s">
        <v>1218</v>
      </c>
      <c r="AB191" s="561">
        <f>ROUND(20,2)</f>
        <v>20</v>
      </c>
      <c r="AC191" s="460" t="s">
        <v>2678</v>
      </c>
      <c r="AD191" s="460"/>
      <c r="AE191" s="561">
        <f>ROUND(500.05,2)</f>
        <v>500.05</v>
      </c>
      <c r="AF191" s="460" t="s">
        <v>2679</v>
      </c>
      <c r="AG191" s="561">
        <f t="shared" si="2"/>
        <v>0</v>
      </c>
      <c r="AH191" s="460" t="s">
        <v>2671</v>
      </c>
      <c r="AI191" s="460" t="s">
        <v>1214</v>
      </c>
      <c r="AJ191" s="460" t="s">
        <v>2550</v>
      </c>
      <c r="AK191" s="460" t="s">
        <v>2672</v>
      </c>
      <c r="AL191" s="560" t="s">
        <v>2711</v>
      </c>
      <c r="AM191" s="460" t="s">
        <v>2674</v>
      </c>
    </row>
    <row r="192" spans="1:39" ht="22.8">
      <c r="A192" s="460" t="s">
        <v>1810</v>
      </c>
      <c r="B192" s="460"/>
      <c r="C192" s="460" t="s">
        <v>2436</v>
      </c>
      <c r="D192" s="460" t="s">
        <v>2764</v>
      </c>
      <c r="E192" s="460" t="s">
        <v>1814</v>
      </c>
      <c r="F192" s="460" t="s">
        <v>1812</v>
      </c>
      <c r="G192" s="461" t="s">
        <v>1218</v>
      </c>
      <c r="H192" s="461" t="s">
        <v>2765</v>
      </c>
      <c r="I192" s="460" t="s">
        <v>1991</v>
      </c>
      <c r="J192" s="460" t="s">
        <v>1983</v>
      </c>
      <c r="K192" s="460" t="s">
        <v>2669</v>
      </c>
      <c r="L192" s="460" t="s">
        <v>2703</v>
      </c>
      <c r="M192" s="460" t="s">
        <v>1982</v>
      </c>
      <c r="N192" s="460" t="s">
        <v>1981</v>
      </c>
      <c r="O192" s="460" t="s">
        <v>1980</v>
      </c>
      <c r="P192" s="460" t="s">
        <v>1979</v>
      </c>
      <c r="Q192" s="460" t="s">
        <v>1978</v>
      </c>
      <c r="R192" s="460" t="s">
        <v>1977</v>
      </c>
      <c r="S192" s="460" t="s">
        <v>1826</v>
      </c>
      <c r="T192" s="460" t="s">
        <v>1827</v>
      </c>
      <c r="U192" s="461" t="s">
        <v>1976</v>
      </c>
      <c r="V192" s="460" t="s">
        <v>1119</v>
      </c>
      <c r="W192" s="560"/>
      <c r="X192" s="461" t="s">
        <v>2724</v>
      </c>
      <c r="Y192" s="461" t="s">
        <v>2724</v>
      </c>
      <c r="Z192" s="461" t="s">
        <v>170</v>
      </c>
      <c r="AA192" s="460" t="s">
        <v>1218</v>
      </c>
      <c r="AB192" s="561">
        <f>ROUND(29.05,2)</f>
        <v>29.05</v>
      </c>
      <c r="AC192" s="460" t="s">
        <v>308</v>
      </c>
      <c r="AD192" s="460"/>
      <c r="AE192" s="561">
        <f>ROUND(825.23,2)</f>
        <v>825.23</v>
      </c>
      <c r="AF192" s="460" t="s">
        <v>308</v>
      </c>
      <c r="AG192" s="561">
        <f t="shared" si="2"/>
        <v>0</v>
      </c>
      <c r="AH192" s="460" t="s">
        <v>2671</v>
      </c>
      <c r="AI192" s="460" t="s">
        <v>1214</v>
      </c>
      <c r="AJ192" s="460" t="s">
        <v>2549</v>
      </c>
      <c r="AK192" s="460" t="s">
        <v>2672</v>
      </c>
      <c r="AL192" s="560" t="s">
        <v>2692</v>
      </c>
      <c r="AM192" s="460" t="s">
        <v>2674</v>
      </c>
    </row>
    <row r="193" spans="1:39" ht="34.200000000000003">
      <c r="A193" s="460" t="s">
        <v>1810</v>
      </c>
      <c r="B193" s="460"/>
      <c r="C193" s="460" t="s">
        <v>1937</v>
      </c>
      <c r="D193" s="460" t="s">
        <v>2297</v>
      </c>
      <c r="E193" s="460" t="s">
        <v>1844</v>
      </c>
      <c r="F193" s="460" t="s">
        <v>1812</v>
      </c>
      <c r="G193" s="461" t="s">
        <v>1218</v>
      </c>
      <c r="H193" s="461" t="s">
        <v>1966</v>
      </c>
      <c r="I193" s="460" t="s">
        <v>2204</v>
      </c>
      <c r="J193" s="460" t="s">
        <v>1983</v>
      </c>
      <c r="K193" s="460" t="s">
        <v>2669</v>
      </c>
      <c r="L193" s="460" t="s">
        <v>2767</v>
      </c>
      <c r="M193" s="460" t="s">
        <v>1987</v>
      </c>
      <c r="N193" s="460" t="s">
        <v>2025</v>
      </c>
      <c r="O193" s="460" t="s">
        <v>1980</v>
      </c>
      <c r="P193" s="460" t="s">
        <v>1979</v>
      </c>
      <c r="Q193" s="460" t="s">
        <v>95</v>
      </c>
      <c r="R193" s="460" t="s">
        <v>1977</v>
      </c>
      <c r="S193" s="460" t="s">
        <v>1842</v>
      </c>
      <c r="T193" s="460" t="s">
        <v>1827</v>
      </c>
      <c r="U193" s="461" t="s">
        <v>1976</v>
      </c>
      <c r="V193" s="460" t="s">
        <v>1119</v>
      </c>
      <c r="W193" s="560"/>
      <c r="X193" s="461" t="s">
        <v>2054</v>
      </c>
      <c r="Y193" s="461" t="s">
        <v>2054</v>
      </c>
      <c r="Z193" s="461" t="s">
        <v>170</v>
      </c>
      <c r="AA193" s="460" t="s">
        <v>1218</v>
      </c>
      <c r="AB193" s="561">
        <f>ROUND(0,2)</f>
        <v>0</v>
      </c>
      <c r="AC193" s="460" t="s">
        <v>308</v>
      </c>
      <c r="AD193" s="460"/>
      <c r="AE193" s="561">
        <f>ROUND(36.23,2)</f>
        <v>36.229999999999997</v>
      </c>
      <c r="AF193" s="460" t="s">
        <v>308</v>
      </c>
      <c r="AG193" s="561">
        <f t="shared" si="2"/>
        <v>0</v>
      </c>
      <c r="AH193" s="460" t="s">
        <v>2671</v>
      </c>
      <c r="AI193" s="460" t="s">
        <v>1214</v>
      </c>
      <c r="AJ193" s="460"/>
      <c r="AK193" s="460"/>
      <c r="AL193" s="560"/>
      <c r="AM193" s="460"/>
    </row>
    <row r="194" spans="1:39" ht="34.200000000000003">
      <c r="A194" s="460" t="s">
        <v>1810</v>
      </c>
      <c r="B194" s="460"/>
      <c r="C194" s="460" t="s">
        <v>1937</v>
      </c>
      <c r="D194" s="460" t="s">
        <v>2297</v>
      </c>
      <c r="E194" s="460" t="s">
        <v>1844</v>
      </c>
      <c r="F194" s="460" t="s">
        <v>1812</v>
      </c>
      <c r="G194" s="461" t="s">
        <v>1218</v>
      </c>
      <c r="H194" s="461" t="s">
        <v>1966</v>
      </c>
      <c r="I194" s="460" t="s">
        <v>2204</v>
      </c>
      <c r="J194" s="460" t="s">
        <v>1983</v>
      </c>
      <c r="K194" s="460" t="s">
        <v>2669</v>
      </c>
      <c r="L194" s="460" t="s">
        <v>2767</v>
      </c>
      <c r="M194" s="460" t="s">
        <v>1987</v>
      </c>
      <c r="N194" s="460" t="s">
        <v>2025</v>
      </c>
      <c r="O194" s="460" t="s">
        <v>1980</v>
      </c>
      <c r="P194" s="460" t="s">
        <v>2675</v>
      </c>
      <c r="Q194" s="460" t="s">
        <v>2676</v>
      </c>
      <c r="R194" s="460" t="s">
        <v>2677</v>
      </c>
      <c r="S194" s="460" t="s">
        <v>2676</v>
      </c>
      <c r="T194" s="460" t="s">
        <v>1827</v>
      </c>
      <c r="U194" s="461" t="s">
        <v>1824</v>
      </c>
      <c r="V194" s="460" t="s">
        <v>1119</v>
      </c>
      <c r="W194" s="560"/>
      <c r="X194" s="461" t="s">
        <v>2054</v>
      </c>
      <c r="Y194" s="461" t="s">
        <v>2054</v>
      </c>
      <c r="Z194" s="461" t="s">
        <v>170</v>
      </c>
      <c r="AA194" s="460" t="s">
        <v>1218</v>
      </c>
      <c r="AB194" s="560"/>
      <c r="AC194" s="460"/>
      <c r="AD194" s="460"/>
      <c r="AE194" s="561">
        <f>ROUND(500.05,2)</f>
        <v>500.05</v>
      </c>
      <c r="AF194" s="460" t="s">
        <v>2679</v>
      </c>
      <c r="AG194" s="561">
        <f t="shared" si="2"/>
        <v>0</v>
      </c>
      <c r="AH194" s="460" t="s">
        <v>2671</v>
      </c>
      <c r="AI194" s="460" t="s">
        <v>1214</v>
      </c>
      <c r="AJ194" s="460"/>
      <c r="AK194" s="460"/>
      <c r="AL194" s="560"/>
      <c r="AM194" s="460"/>
    </row>
    <row r="195" spans="1:39" ht="34.200000000000003">
      <c r="A195" s="460" t="s">
        <v>1810</v>
      </c>
      <c r="B195" s="460"/>
      <c r="C195" s="460" t="s">
        <v>1937</v>
      </c>
      <c r="D195" s="460" t="s">
        <v>2297</v>
      </c>
      <c r="E195" s="460" t="s">
        <v>1844</v>
      </c>
      <c r="F195" s="460" t="s">
        <v>1812</v>
      </c>
      <c r="G195" s="461" t="s">
        <v>1218</v>
      </c>
      <c r="H195" s="461" t="s">
        <v>1966</v>
      </c>
      <c r="I195" s="460" t="s">
        <v>2204</v>
      </c>
      <c r="J195" s="460" t="s">
        <v>1983</v>
      </c>
      <c r="K195" s="460" t="s">
        <v>2669</v>
      </c>
      <c r="L195" s="460" t="s">
        <v>2767</v>
      </c>
      <c r="M195" s="460" t="s">
        <v>1987</v>
      </c>
      <c r="N195" s="460" t="s">
        <v>2025</v>
      </c>
      <c r="O195" s="460" t="s">
        <v>1980</v>
      </c>
      <c r="P195" s="460" t="s">
        <v>1979</v>
      </c>
      <c r="Q195" s="460" t="s">
        <v>1978</v>
      </c>
      <c r="R195" s="460" t="s">
        <v>1977</v>
      </c>
      <c r="S195" s="460" t="s">
        <v>1826</v>
      </c>
      <c r="T195" s="460" t="s">
        <v>1827</v>
      </c>
      <c r="U195" s="461" t="s">
        <v>1976</v>
      </c>
      <c r="V195" s="460" t="s">
        <v>1119</v>
      </c>
      <c r="W195" s="560"/>
      <c r="X195" s="461" t="s">
        <v>2054</v>
      </c>
      <c r="Y195" s="461" t="s">
        <v>2054</v>
      </c>
      <c r="Z195" s="461" t="s">
        <v>170</v>
      </c>
      <c r="AA195" s="460" t="s">
        <v>1218</v>
      </c>
      <c r="AB195" s="561">
        <f>ROUND(25.63,2)</f>
        <v>25.63</v>
      </c>
      <c r="AC195" s="460" t="s">
        <v>308</v>
      </c>
      <c r="AD195" s="460"/>
      <c r="AE195" s="561">
        <f>ROUND(828.65,2)</f>
        <v>828.65</v>
      </c>
      <c r="AF195" s="460" t="s">
        <v>308</v>
      </c>
      <c r="AG195" s="561">
        <f t="shared" si="2"/>
        <v>0</v>
      </c>
      <c r="AH195" s="460" t="s">
        <v>2671</v>
      </c>
      <c r="AI195" s="460" t="s">
        <v>1214</v>
      </c>
      <c r="AJ195" s="460" t="s">
        <v>2549</v>
      </c>
      <c r="AK195" s="460" t="s">
        <v>2672</v>
      </c>
      <c r="AL195" s="560" t="s">
        <v>2685</v>
      </c>
      <c r="AM195" s="460" t="s">
        <v>2674</v>
      </c>
    </row>
    <row r="196" spans="1:39" ht="22.8">
      <c r="A196" s="460" t="s">
        <v>1810</v>
      </c>
      <c r="B196" s="460"/>
      <c r="C196" s="460" t="s">
        <v>1668</v>
      </c>
      <c r="D196" s="460" t="s">
        <v>2296</v>
      </c>
      <c r="E196" s="460" t="s">
        <v>1834</v>
      </c>
      <c r="F196" s="460" t="s">
        <v>1812</v>
      </c>
      <c r="G196" s="461" t="s">
        <v>1218</v>
      </c>
      <c r="H196" s="461" t="s">
        <v>1028</v>
      </c>
      <c r="I196" s="460" t="s">
        <v>2196</v>
      </c>
      <c r="J196" s="460" t="s">
        <v>1983</v>
      </c>
      <c r="K196" s="460" t="s">
        <v>2669</v>
      </c>
      <c r="L196" s="460" t="s">
        <v>2749</v>
      </c>
      <c r="M196" s="460" t="s">
        <v>2002</v>
      </c>
      <c r="N196" s="460" t="s">
        <v>1981</v>
      </c>
      <c r="O196" s="460" t="s">
        <v>2001</v>
      </c>
      <c r="P196" s="460" t="s">
        <v>1979</v>
      </c>
      <c r="Q196" s="460" t="s">
        <v>95</v>
      </c>
      <c r="R196" s="460" t="s">
        <v>1977</v>
      </c>
      <c r="S196" s="460" t="s">
        <v>1842</v>
      </c>
      <c r="T196" s="460" t="s">
        <v>1827</v>
      </c>
      <c r="U196" s="461" t="s">
        <v>1976</v>
      </c>
      <c r="V196" s="460" t="s">
        <v>1119</v>
      </c>
      <c r="W196" s="560"/>
      <c r="X196" s="461" t="s">
        <v>1824</v>
      </c>
      <c r="Y196" s="461" t="s">
        <v>1824</v>
      </c>
      <c r="Z196" s="461" t="s">
        <v>170</v>
      </c>
      <c r="AA196" s="460" t="s">
        <v>1218</v>
      </c>
      <c r="AB196" s="561">
        <f>ROUND(0,2)</f>
        <v>0</v>
      </c>
      <c r="AC196" s="460" t="s">
        <v>308</v>
      </c>
      <c r="AD196" s="460"/>
      <c r="AE196" s="561">
        <f>ROUND(36.23,2)</f>
        <v>36.229999999999997</v>
      </c>
      <c r="AF196" s="460" t="s">
        <v>308</v>
      </c>
      <c r="AG196" s="561">
        <f t="shared" si="2"/>
        <v>0</v>
      </c>
      <c r="AH196" s="460" t="s">
        <v>2671</v>
      </c>
      <c r="AI196" s="460" t="s">
        <v>1214</v>
      </c>
      <c r="AJ196" s="460"/>
      <c r="AK196" s="460"/>
      <c r="AL196" s="560"/>
      <c r="AM196" s="460"/>
    </row>
    <row r="197" spans="1:39" ht="22.8">
      <c r="A197" s="460" t="s">
        <v>1810</v>
      </c>
      <c r="B197" s="460"/>
      <c r="C197" s="460" t="s">
        <v>1668</v>
      </c>
      <c r="D197" s="460" t="s">
        <v>2296</v>
      </c>
      <c r="E197" s="460" t="s">
        <v>1834</v>
      </c>
      <c r="F197" s="460" t="s">
        <v>1812</v>
      </c>
      <c r="G197" s="461" t="s">
        <v>1218</v>
      </c>
      <c r="H197" s="461" t="s">
        <v>1028</v>
      </c>
      <c r="I197" s="460" t="s">
        <v>2196</v>
      </c>
      <c r="J197" s="460" t="s">
        <v>1983</v>
      </c>
      <c r="K197" s="460" t="s">
        <v>2669</v>
      </c>
      <c r="L197" s="460" t="s">
        <v>2749</v>
      </c>
      <c r="M197" s="460" t="s">
        <v>2002</v>
      </c>
      <c r="N197" s="460" t="s">
        <v>1981</v>
      </c>
      <c r="O197" s="460" t="s">
        <v>2001</v>
      </c>
      <c r="P197" s="460" t="s">
        <v>2675</v>
      </c>
      <c r="Q197" s="460" t="s">
        <v>2676</v>
      </c>
      <c r="R197" s="460" t="s">
        <v>2677</v>
      </c>
      <c r="S197" s="460" t="s">
        <v>2676</v>
      </c>
      <c r="T197" s="460" t="s">
        <v>1827</v>
      </c>
      <c r="U197" s="461" t="s">
        <v>1824</v>
      </c>
      <c r="V197" s="460" t="s">
        <v>1119</v>
      </c>
      <c r="W197" s="560"/>
      <c r="X197" s="461" t="s">
        <v>1824</v>
      </c>
      <c r="Y197" s="461" t="s">
        <v>1824</v>
      </c>
      <c r="Z197" s="461" t="s">
        <v>170</v>
      </c>
      <c r="AA197" s="460" t="s">
        <v>1218</v>
      </c>
      <c r="AB197" s="561">
        <f>ROUND(25,2)</f>
        <v>25</v>
      </c>
      <c r="AC197" s="460" t="s">
        <v>2678</v>
      </c>
      <c r="AD197" s="460"/>
      <c r="AE197" s="561">
        <f>ROUND(500.05,2)</f>
        <v>500.05</v>
      </c>
      <c r="AF197" s="460" t="s">
        <v>2679</v>
      </c>
      <c r="AG197" s="561">
        <f t="shared" ref="AG197:AG260" si="3">ROUND(0,2)</f>
        <v>0</v>
      </c>
      <c r="AH197" s="460" t="s">
        <v>2671</v>
      </c>
      <c r="AI197" s="460" t="s">
        <v>1214</v>
      </c>
      <c r="AJ197" s="460" t="s">
        <v>2550</v>
      </c>
      <c r="AK197" s="460" t="s">
        <v>2672</v>
      </c>
      <c r="AL197" s="560" t="s">
        <v>2680</v>
      </c>
      <c r="AM197" s="460" t="s">
        <v>2674</v>
      </c>
    </row>
    <row r="198" spans="1:39" ht="22.8">
      <c r="A198" s="460" t="s">
        <v>1810</v>
      </c>
      <c r="B198" s="460"/>
      <c r="C198" s="460" t="s">
        <v>1668</v>
      </c>
      <c r="D198" s="460" t="s">
        <v>2296</v>
      </c>
      <c r="E198" s="460" t="s">
        <v>1834</v>
      </c>
      <c r="F198" s="460" t="s">
        <v>1812</v>
      </c>
      <c r="G198" s="461" t="s">
        <v>1218</v>
      </c>
      <c r="H198" s="461" t="s">
        <v>1028</v>
      </c>
      <c r="I198" s="460" t="s">
        <v>2196</v>
      </c>
      <c r="J198" s="460" t="s">
        <v>1983</v>
      </c>
      <c r="K198" s="460" t="s">
        <v>2669</v>
      </c>
      <c r="L198" s="460" t="s">
        <v>2749</v>
      </c>
      <c r="M198" s="460" t="s">
        <v>2002</v>
      </c>
      <c r="N198" s="460" t="s">
        <v>1981</v>
      </c>
      <c r="O198" s="460" t="s">
        <v>2001</v>
      </c>
      <c r="P198" s="460" t="s">
        <v>1979</v>
      </c>
      <c r="Q198" s="460" t="s">
        <v>1978</v>
      </c>
      <c r="R198" s="460" t="s">
        <v>1977</v>
      </c>
      <c r="S198" s="460" t="s">
        <v>1826</v>
      </c>
      <c r="T198" s="460" t="s">
        <v>1827</v>
      </c>
      <c r="U198" s="461" t="s">
        <v>1976</v>
      </c>
      <c r="V198" s="460" t="s">
        <v>1119</v>
      </c>
      <c r="W198" s="560"/>
      <c r="X198" s="461" t="s">
        <v>1824</v>
      </c>
      <c r="Y198" s="461" t="s">
        <v>1824</v>
      </c>
      <c r="Z198" s="461" t="s">
        <v>170</v>
      </c>
      <c r="AA198" s="460" t="s">
        <v>1218</v>
      </c>
      <c r="AB198" s="561">
        <f>ROUND(29.05,2)</f>
        <v>29.05</v>
      </c>
      <c r="AC198" s="460" t="s">
        <v>308</v>
      </c>
      <c r="AD198" s="460"/>
      <c r="AE198" s="561">
        <f>ROUND(825.23,2)</f>
        <v>825.23</v>
      </c>
      <c r="AF198" s="460" t="s">
        <v>308</v>
      </c>
      <c r="AG198" s="561">
        <f t="shared" si="3"/>
        <v>0</v>
      </c>
      <c r="AH198" s="460" t="s">
        <v>2671</v>
      </c>
      <c r="AI198" s="460" t="s">
        <v>1214</v>
      </c>
      <c r="AJ198" s="460" t="s">
        <v>2549</v>
      </c>
      <c r="AK198" s="460" t="s">
        <v>2672</v>
      </c>
      <c r="AL198" s="560" t="s">
        <v>2692</v>
      </c>
      <c r="AM198" s="460" t="s">
        <v>2674</v>
      </c>
    </row>
    <row r="199" spans="1:39" ht="22.8">
      <c r="A199" s="460" t="s">
        <v>1810</v>
      </c>
      <c r="B199" s="460"/>
      <c r="C199" s="460" t="s">
        <v>1402</v>
      </c>
      <c r="D199" s="460" t="s">
        <v>2295</v>
      </c>
      <c r="E199" s="460" t="s">
        <v>1811</v>
      </c>
      <c r="F199" s="460" t="s">
        <v>1812</v>
      </c>
      <c r="G199" s="461" t="s">
        <v>1218</v>
      </c>
      <c r="H199" s="461" t="s">
        <v>265</v>
      </c>
      <c r="I199" s="460" t="s">
        <v>2033</v>
      </c>
      <c r="J199" s="460" t="s">
        <v>1990</v>
      </c>
      <c r="K199" s="460" t="s">
        <v>2669</v>
      </c>
      <c r="L199" s="460" t="s">
        <v>2768</v>
      </c>
      <c r="M199" s="460" t="s">
        <v>2002</v>
      </c>
      <c r="N199" s="460" t="s">
        <v>1981</v>
      </c>
      <c r="O199" s="460" t="s">
        <v>2001</v>
      </c>
      <c r="P199" s="460" t="s">
        <v>1979</v>
      </c>
      <c r="Q199" s="460" t="s">
        <v>95</v>
      </c>
      <c r="R199" s="460" t="s">
        <v>1977</v>
      </c>
      <c r="S199" s="460" t="s">
        <v>1842</v>
      </c>
      <c r="T199" s="460" t="s">
        <v>1827</v>
      </c>
      <c r="U199" s="461" t="s">
        <v>1976</v>
      </c>
      <c r="V199" s="460" t="s">
        <v>1119</v>
      </c>
      <c r="W199" s="560"/>
      <c r="X199" s="461" t="s">
        <v>1824</v>
      </c>
      <c r="Y199" s="461" t="s">
        <v>1824</v>
      </c>
      <c r="Z199" s="461" t="s">
        <v>170</v>
      </c>
      <c r="AA199" s="460" t="s">
        <v>1218</v>
      </c>
      <c r="AB199" s="561">
        <f>ROUND(0,2)</f>
        <v>0</v>
      </c>
      <c r="AC199" s="460" t="s">
        <v>308</v>
      </c>
      <c r="AD199" s="460"/>
      <c r="AE199" s="561">
        <f>ROUND(36.23,2)</f>
        <v>36.229999999999997</v>
      </c>
      <c r="AF199" s="460" t="s">
        <v>308</v>
      </c>
      <c r="AG199" s="561">
        <f t="shared" si="3"/>
        <v>0</v>
      </c>
      <c r="AH199" s="460" t="s">
        <v>2671</v>
      </c>
      <c r="AI199" s="460" t="s">
        <v>1214</v>
      </c>
      <c r="AJ199" s="460"/>
      <c r="AK199" s="460"/>
      <c r="AL199" s="560"/>
      <c r="AM199" s="460"/>
    </row>
    <row r="200" spans="1:39" ht="22.8">
      <c r="A200" s="460" t="s">
        <v>1810</v>
      </c>
      <c r="B200" s="460"/>
      <c r="C200" s="460" t="s">
        <v>1402</v>
      </c>
      <c r="D200" s="460" t="s">
        <v>2295</v>
      </c>
      <c r="E200" s="460" t="s">
        <v>1811</v>
      </c>
      <c r="F200" s="460" t="s">
        <v>1812</v>
      </c>
      <c r="G200" s="461" t="s">
        <v>1218</v>
      </c>
      <c r="H200" s="461" t="s">
        <v>265</v>
      </c>
      <c r="I200" s="460" t="s">
        <v>2033</v>
      </c>
      <c r="J200" s="460" t="s">
        <v>1990</v>
      </c>
      <c r="K200" s="460" t="s">
        <v>2669</v>
      </c>
      <c r="L200" s="460" t="s">
        <v>2768</v>
      </c>
      <c r="M200" s="460" t="s">
        <v>2002</v>
      </c>
      <c r="N200" s="460" t="s">
        <v>1981</v>
      </c>
      <c r="O200" s="460" t="s">
        <v>2001</v>
      </c>
      <c r="P200" s="460" t="s">
        <v>2675</v>
      </c>
      <c r="Q200" s="460" t="s">
        <v>2676</v>
      </c>
      <c r="R200" s="460" t="s">
        <v>2677</v>
      </c>
      <c r="S200" s="460" t="s">
        <v>2676</v>
      </c>
      <c r="T200" s="460" t="s">
        <v>1827</v>
      </c>
      <c r="U200" s="461" t="s">
        <v>1824</v>
      </c>
      <c r="V200" s="460" t="s">
        <v>1119</v>
      </c>
      <c r="W200" s="560"/>
      <c r="X200" s="461" t="s">
        <v>1824</v>
      </c>
      <c r="Y200" s="461" t="s">
        <v>1824</v>
      </c>
      <c r="Z200" s="461" t="s">
        <v>170</v>
      </c>
      <c r="AA200" s="460" t="s">
        <v>1218</v>
      </c>
      <c r="AB200" s="561">
        <f>ROUND(125,2)</f>
        <v>125</v>
      </c>
      <c r="AC200" s="460" t="s">
        <v>2678</v>
      </c>
      <c r="AD200" s="460"/>
      <c r="AE200" s="561">
        <f>ROUND(500.05,2)</f>
        <v>500.05</v>
      </c>
      <c r="AF200" s="460" t="s">
        <v>2679</v>
      </c>
      <c r="AG200" s="561">
        <f t="shared" si="3"/>
        <v>0</v>
      </c>
      <c r="AH200" s="460" t="s">
        <v>2671</v>
      </c>
      <c r="AI200" s="460" t="s">
        <v>1214</v>
      </c>
      <c r="AJ200" s="460" t="s">
        <v>2550</v>
      </c>
      <c r="AK200" s="460" t="s">
        <v>2672</v>
      </c>
      <c r="AL200" s="560" t="s">
        <v>2701</v>
      </c>
      <c r="AM200" s="460" t="s">
        <v>2674</v>
      </c>
    </row>
    <row r="201" spans="1:39" ht="22.8">
      <c r="A201" s="460" t="s">
        <v>1810</v>
      </c>
      <c r="B201" s="460"/>
      <c r="C201" s="460" t="s">
        <v>1402</v>
      </c>
      <c r="D201" s="460" t="s">
        <v>2295</v>
      </c>
      <c r="E201" s="460" t="s">
        <v>1811</v>
      </c>
      <c r="F201" s="460" t="s">
        <v>1812</v>
      </c>
      <c r="G201" s="461" t="s">
        <v>1218</v>
      </c>
      <c r="H201" s="461" t="s">
        <v>265</v>
      </c>
      <c r="I201" s="460" t="s">
        <v>2033</v>
      </c>
      <c r="J201" s="460" t="s">
        <v>1990</v>
      </c>
      <c r="K201" s="460" t="s">
        <v>2669</v>
      </c>
      <c r="L201" s="460" t="s">
        <v>2768</v>
      </c>
      <c r="M201" s="460" t="s">
        <v>2002</v>
      </c>
      <c r="N201" s="460" t="s">
        <v>1981</v>
      </c>
      <c r="O201" s="460" t="s">
        <v>2001</v>
      </c>
      <c r="P201" s="460" t="s">
        <v>1979</v>
      </c>
      <c r="Q201" s="460" t="s">
        <v>1978</v>
      </c>
      <c r="R201" s="460" t="s">
        <v>1977</v>
      </c>
      <c r="S201" s="460" t="s">
        <v>1826</v>
      </c>
      <c r="T201" s="460" t="s">
        <v>1827</v>
      </c>
      <c r="U201" s="461" t="s">
        <v>1976</v>
      </c>
      <c r="V201" s="460" t="s">
        <v>1119</v>
      </c>
      <c r="W201" s="560"/>
      <c r="X201" s="461" t="s">
        <v>1824</v>
      </c>
      <c r="Y201" s="461" t="s">
        <v>1824</v>
      </c>
      <c r="Z201" s="461" t="s">
        <v>170</v>
      </c>
      <c r="AA201" s="460" t="s">
        <v>1218</v>
      </c>
      <c r="AB201" s="561">
        <f>ROUND(29.05,2)</f>
        <v>29.05</v>
      </c>
      <c r="AC201" s="460" t="s">
        <v>308</v>
      </c>
      <c r="AD201" s="460"/>
      <c r="AE201" s="561">
        <f>ROUND(825.23,2)</f>
        <v>825.23</v>
      </c>
      <c r="AF201" s="460" t="s">
        <v>308</v>
      </c>
      <c r="AG201" s="561">
        <f t="shared" si="3"/>
        <v>0</v>
      </c>
      <c r="AH201" s="460" t="s">
        <v>2671</v>
      </c>
      <c r="AI201" s="460" t="s">
        <v>1214</v>
      </c>
      <c r="AJ201" s="460" t="s">
        <v>2549</v>
      </c>
      <c r="AK201" s="460" t="s">
        <v>2672</v>
      </c>
      <c r="AL201" s="560" t="s">
        <v>2692</v>
      </c>
      <c r="AM201" s="460" t="s">
        <v>2674</v>
      </c>
    </row>
    <row r="202" spans="1:39" ht="34.200000000000003">
      <c r="A202" s="460" t="s">
        <v>1810</v>
      </c>
      <c r="B202" s="460"/>
      <c r="C202" s="460" t="s">
        <v>1610</v>
      </c>
      <c r="D202" s="460" t="s">
        <v>2294</v>
      </c>
      <c r="E202" s="460" t="s">
        <v>1835</v>
      </c>
      <c r="F202" s="460" t="s">
        <v>1812</v>
      </c>
      <c r="G202" s="461" t="s">
        <v>1218</v>
      </c>
      <c r="H202" s="461" t="s">
        <v>1033</v>
      </c>
      <c r="I202" s="460" t="s">
        <v>2293</v>
      </c>
      <c r="J202" s="460" t="s">
        <v>1990</v>
      </c>
      <c r="K202" s="460" t="s">
        <v>2669</v>
      </c>
      <c r="L202" s="460" t="s">
        <v>2769</v>
      </c>
      <c r="M202" s="460" t="s">
        <v>2002</v>
      </c>
      <c r="N202" s="460" t="s">
        <v>1986</v>
      </c>
      <c r="O202" s="460" t="s">
        <v>1980</v>
      </c>
      <c r="P202" s="460" t="s">
        <v>1979</v>
      </c>
      <c r="Q202" s="460" t="s">
        <v>95</v>
      </c>
      <c r="R202" s="460" t="s">
        <v>1977</v>
      </c>
      <c r="S202" s="460" t="s">
        <v>1842</v>
      </c>
      <c r="T202" s="460" t="s">
        <v>1827</v>
      </c>
      <c r="U202" s="461" t="s">
        <v>1976</v>
      </c>
      <c r="V202" s="460" t="s">
        <v>1119</v>
      </c>
      <c r="W202" s="560"/>
      <c r="X202" s="461" t="s">
        <v>1824</v>
      </c>
      <c r="Y202" s="461" t="s">
        <v>1824</v>
      </c>
      <c r="Z202" s="461" t="s">
        <v>170</v>
      </c>
      <c r="AA202" s="460" t="s">
        <v>1218</v>
      </c>
      <c r="AB202" s="561">
        <f>ROUND(0,2)</f>
        <v>0</v>
      </c>
      <c r="AC202" s="460" t="s">
        <v>308</v>
      </c>
      <c r="AD202" s="460"/>
      <c r="AE202" s="561">
        <f>ROUND(36.23,2)</f>
        <v>36.229999999999997</v>
      </c>
      <c r="AF202" s="460" t="s">
        <v>308</v>
      </c>
      <c r="AG202" s="561">
        <f t="shared" si="3"/>
        <v>0</v>
      </c>
      <c r="AH202" s="460" t="s">
        <v>2671</v>
      </c>
      <c r="AI202" s="460" t="s">
        <v>1214</v>
      </c>
      <c r="AJ202" s="460"/>
      <c r="AK202" s="460"/>
      <c r="AL202" s="560"/>
      <c r="AM202" s="460"/>
    </row>
    <row r="203" spans="1:39" ht="34.200000000000003">
      <c r="A203" s="460" t="s">
        <v>1810</v>
      </c>
      <c r="B203" s="460"/>
      <c r="C203" s="460" t="s">
        <v>1610</v>
      </c>
      <c r="D203" s="460" t="s">
        <v>2294</v>
      </c>
      <c r="E203" s="460" t="s">
        <v>1835</v>
      </c>
      <c r="F203" s="460" t="s">
        <v>1812</v>
      </c>
      <c r="G203" s="461" t="s">
        <v>1218</v>
      </c>
      <c r="H203" s="461" t="s">
        <v>1033</v>
      </c>
      <c r="I203" s="460" t="s">
        <v>2293</v>
      </c>
      <c r="J203" s="460" t="s">
        <v>1990</v>
      </c>
      <c r="K203" s="460" t="s">
        <v>2669</v>
      </c>
      <c r="L203" s="460" t="s">
        <v>2769</v>
      </c>
      <c r="M203" s="460" t="s">
        <v>2002</v>
      </c>
      <c r="N203" s="460" t="s">
        <v>1986</v>
      </c>
      <c r="O203" s="460" t="s">
        <v>1980</v>
      </c>
      <c r="P203" s="460" t="s">
        <v>2675</v>
      </c>
      <c r="Q203" s="460" t="s">
        <v>2676</v>
      </c>
      <c r="R203" s="460" t="s">
        <v>2677</v>
      </c>
      <c r="S203" s="460" t="s">
        <v>2676</v>
      </c>
      <c r="T203" s="460" t="s">
        <v>1827</v>
      </c>
      <c r="U203" s="461" t="s">
        <v>1824</v>
      </c>
      <c r="V203" s="460" t="s">
        <v>1119</v>
      </c>
      <c r="W203" s="560"/>
      <c r="X203" s="461" t="s">
        <v>1824</v>
      </c>
      <c r="Y203" s="461" t="s">
        <v>1824</v>
      </c>
      <c r="Z203" s="461" t="s">
        <v>170</v>
      </c>
      <c r="AA203" s="460" t="s">
        <v>1218</v>
      </c>
      <c r="AB203" s="561">
        <f>ROUND(20,2)</f>
        <v>20</v>
      </c>
      <c r="AC203" s="460" t="s">
        <v>2678</v>
      </c>
      <c r="AD203" s="460"/>
      <c r="AE203" s="561">
        <f>ROUND(500.05,2)</f>
        <v>500.05</v>
      </c>
      <c r="AF203" s="460" t="s">
        <v>2679</v>
      </c>
      <c r="AG203" s="561">
        <f t="shared" si="3"/>
        <v>0</v>
      </c>
      <c r="AH203" s="460" t="s">
        <v>2671</v>
      </c>
      <c r="AI203" s="460" t="s">
        <v>1214</v>
      </c>
      <c r="AJ203" s="460" t="s">
        <v>2550</v>
      </c>
      <c r="AK203" s="460" t="s">
        <v>2672</v>
      </c>
      <c r="AL203" s="560" t="s">
        <v>2711</v>
      </c>
      <c r="AM203" s="460" t="s">
        <v>2674</v>
      </c>
    </row>
    <row r="204" spans="1:39" ht="34.200000000000003">
      <c r="A204" s="460" t="s">
        <v>1810</v>
      </c>
      <c r="B204" s="460"/>
      <c r="C204" s="460" t="s">
        <v>1610</v>
      </c>
      <c r="D204" s="460" t="s">
        <v>2294</v>
      </c>
      <c r="E204" s="460" t="s">
        <v>1835</v>
      </c>
      <c r="F204" s="460" t="s">
        <v>1812</v>
      </c>
      <c r="G204" s="461" t="s">
        <v>1218</v>
      </c>
      <c r="H204" s="461" t="s">
        <v>1033</v>
      </c>
      <c r="I204" s="460" t="s">
        <v>2293</v>
      </c>
      <c r="J204" s="460" t="s">
        <v>1990</v>
      </c>
      <c r="K204" s="460" t="s">
        <v>2669</v>
      </c>
      <c r="L204" s="460" t="s">
        <v>2769</v>
      </c>
      <c r="M204" s="460" t="s">
        <v>2002</v>
      </c>
      <c r="N204" s="460" t="s">
        <v>1986</v>
      </c>
      <c r="O204" s="460" t="s">
        <v>1980</v>
      </c>
      <c r="P204" s="460" t="s">
        <v>1979</v>
      </c>
      <c r="Q204" s="460" t="s">
        <v>1978</v>
      </c>
      <c r="R204" s="460" t="s">
        <v>1977</v>
      </c>
      <c r="S204" s="460" t="s">
        <v>1826</v>
      </c>
      <c r="T204" s="460" t="s">
        <v>1827</v>
      </c>
      <c r="U204" s="461" t="s">
        <v>1976</v>
      </c>
      <c r="V204" s="460" t="s">
        <v>1119</v>
      </c>
      <c r="W204" s="560"/>
      <c r="X204" s="461" t="s">
        <v>1824</v>
      </c>
      <c r="Y204" s="461" t="s">
        <v>1824</v>
      </c>
      <c r="Z204" s="461" t="s">
        <v>170</v>
      </c>
      <c r="AA204" s="460" t="s">
        <v>1218</v>
      </c>
      <c r="AB204" s="561">
        <f>ROUND(25.63,2)</f>
        <v>25.63</v>
      </c>
      <c r="AC204" s="460" t="s">
        <v>308</v>
      </c>
      <c r="AD204" s="460"/>
      <c r="AE204" s="561">
        <f>ROUND(828.65,2)</f>
        <v>828.65</v>
      </c>
      <c r="AF204" s="460" t="s">
        <v>308</v>
      </c>
      <c r="AG204" s="561">
        <f t="shared" si="3"/>
        <v>0</v>
      </c>
      <c r="AH204" s="460" t="s">
        <v>2671</v>
      </c>
      <c r="AI204" s="460" t="s">
        <v>1214</v>
      </c>
      <c r="AJ204" s="460" t="s">
        <v>2549</v>
      </c>
      <c r="AK204" s="460" t="s">
        <v>2672</v>
      </c>
      <c r="AL204" s="560" t="s">
        <v>2685</v>
      </c>
      <c r="AM204" s="460" t="s">
        <v>2674</v>
      </c>
    </row>
    <row r="205" spans="1:39" ht="22.8">
      <c r="A205" s="460" t="s">
        <v>1810</v>
      </c>
      <c r="B205" s="460"/>
      <c r="C205" s="460" t="s">
        <v>2922</v>
      </c>
      <c r="D205" s="460" t="s">
        <v>2975</v>
      </c>
      <c r="E205" s="460" t="s">
        <v>1811</v>
      </c>
      <c r="F205" s="460" t="s">
        <v>1812</v>
      </c>
      <c r="G205" s="461" t="s">
        <v>1218</v>
      </c>
      <c r="H205" s="461" t="s">
        <v>2964</v>
      </c>
      <c r="I205" s="460" t="s">
        <v>2976</v>
      </c>
      <c r="J205" s="460" t="s">
        <v>1983</v>
      </c>
      <c r="K205" s="460" t="s">
        <v>2669</v>
      </c>
      <c r="L205" s="460" t="s">
        <v>2757</v>
      </c>
      <c r="M205" s="460" t="s">
        <v>1987</v>
      </c>
      <c r="N205" s="460" t="s">
        <v>1981</v>
      </c>
      <c r="O205" s="460" t="s">
        <v>1980</v>
      </c>
      <c r="P205" s="460" t="s">
        <v>1979</v>
      </c>
      <c r="Q205" s="460" t="s">
        <v>95</v>
      </c>
      <c r="R205" s="460" t="s">
        <v>1977</v>
      </c>
      <c r="S205" s="460" t="s">
        <v>1842</v>
      </c>
      <c r="T205" s="460" t="s">
        <v>1827</v>
      </c>
      <c r="U205" s="461" t="s">
        <v>1976</v>
      </c>
      <c r="V205" s="460" t="s">
        <v>1851</v>
      </c>
      <c r="W205" s="560"/>
      <c r="X205" s="461" t="s">
        <v>2966</v>
      </c>
      <c r="Y205" s="461" t="s">
        <v>2966</v>
      </c>
      <c r="Z205" s="461" t="s">
        <v>170</v>
      </c>
      <c r="AA205" s="460" t="s">
        <v>1218</v>
      </c>
      <c r="AB205" s="561">
        <f>ROUND(30.41,2)</f>
        <v>30.41</v>
      </c>
      <c r="AC205" s="460" t="s">
        <v>308</v>
      </c>
      <c r="AD205" s="460"/>
      <c r="AE205" s="561">
        <f>ROUND(70.29,2)</f>
        <v>70.290000000000006</v>
      </c>
      <c r="AF205" s="460" t="s">
        <v>308</v>
      </c>
      <c r="AG205" s="561">
        <f t="shared" si="3"/>
        <v>0</v>
      </c>
      <c r="AH205" s="460" t="s">
        <v>2671</v>
      </c>
      <c r="AI205" s="460" t="s">
        <v>1214</v>
      </c>
      <c r="AJ205" s="460" t="s">
        <v>2548</v>
      </c>
      <c r="AK205" s="460" t="s">
        <v>2672</v>
      </c>
      <c r="AL205" s="560" t="s">
        <v>2673</v>
      </c>
      <c r="AM205" s="460" t="s">
        <v>2674</v>
      </c>
    </row>
    <row r="206" spans="1:39" ht="22.8">
      <c r="A206" s="460" t="s">
        <v>1810</v>
      </c>
      <c r="B206" s="460"/>
      <c r="C206" s="460" t="s">
        <v>2922</v>
      </c>
      <c r="D206" s="460" t="s">
        <v>2975</v>
      </c>
      <c r="E206" s="460" t="s">
        <v>1811</v>
      </c>
      <c r="F206" s="460" t="s">
        <v>1812</v>
      </c>
      <c r="G206" s="461" t="s">
        <v>1218</v>
      </c>
      <c r="H206" s="461" t="s">
        <v>2964</v>
      </c>
      <c r="I206" s="460" t="s">
        <v>2976</v>
      </c>
      <c r="J206" s="460" t="s">
        <v>1983</v>
      </c>
      <c r="K206" s="460" t="s">
        <v>2669</v>
      </c>
      <c r="L206" s="460" t="s">
        <v>2757</v>
      </c>
      <c r="M206" s="460" t="s">
        <v>1987</v>
      </c>
      <c r="N206" s="460" t="s">
        <v>1981</v>
      </c>
      <c r="O206" s="460" t="s">
        <v>1980</v>
      </c>
      <c r="P206" s="460" t="s">
        <v>2675</v>
      </c>
      <c r="Q206" s="460" t="s">
        <v>2676</v>
      </c>
      <c r="R206" s="460" t="s">
        <v>2677</v>
      </c>
      <c r="S206" s="460" t="s">
        <v>2676</v>
      </c>
      <c r="T206" s="460" t="s">
        <v>1827</v>
      </c>
      <c r="U206" s="461" t="s">
        <v>1824</v>
      </c>
      <c r="V206" s="460" t="s">
        <v>1843</v>
      </c>
      <c r="W206" s="560"/>
      <c r="X206" s="461" t="s">
        <v>2966</v>
      </c>
      <c r="Y206" s="461" t="s">
        <v>2966</v>
      </c>
      <c r="Z206" s="461" t="s">
        <v>170</v>
      </c>
      <c r="AA206" s="460" t="s">
        <v>1218</v>
      </c>
      <c r="AB206" s="561">
        <f>ROUND(5,2)</f>
        <v>5</v>
      </c>
      <c r="AC206" s="460" t="s">
        <v>2678</v>
      </c>
      <c r="AD206" s="460"/>
      <c r="AE206" s="561">
        <f>ROUND(1000,2)</f>
        <v>1000</v>
      </c>
      <c r="AF206" s="460" t="s">
        <v>2679</v>
      </c>
      <c r="AG206" s="561">
        <f t="shared" si="3"/>
        <v>0</v>
      </c>
      <c r="AH206" s="460" t="s">
        <v>2671</v>
      </c>
      <c r="AI206" s="460" t="s">
        <v>1214</v>
      </c>
      <c r="AJ206" s="460" t="s">
        <v>2550</v>
      </c>
      <c r="AK206" s="460" t="s">
        <v>2672</v>
      </c>
      <c r="AL206" s="560" t="s">
        <v>2713</v>
      </c>
      <c r="AM206" s="460" t="s">
        <v>2674</v>
      </c>
    </row>
    <row r="207" spans="1:39" ht="22.8">
      <c r="A207" s="460" t="s">
        <v>1810</v>
      </c>
      <c r="B207" s="460"/>
      <c r="C207" s="460" t="s">
        <v>2922</v>
      </c>
      <c r="D207" s="460" t="s">
        <v>2975</v>
      </c>
      <c r="E207" s="460" t="s">
        <v>1811</v>
      </c>
      <c r="F207" s="460" t="s">
        <v>1812</v>
      </c>
      <c r="G207" s="461" t="s">
        <v>1218</v>
      </c>
      <c r="H207" s="461" t="s">
        <v>2964</v>
      </c>
      <c r="I207" s="460" t="s">
        <v>2976</v>
      </c>
      <c r="J207" s="460" t="s">
        <v>1983</v>
      </c>
      <c r="K207" s="460" t="s">
        <v>2669</v>
      </c>
      <c r="L207" s="460" t="s">
        <v>2757</v>
      </c>
      <c r="M207" s="460" t="s">
        <v>1987</v>
      </c>
      <c r="N207" s="460" t="s">
        <v>1981</v>
      </c>
      <c r="O207" s="460" t="s">
        <v>1980</v>
      </c>
      <c r="P207" s="460" t="s">
        <v>1979</v>
      </c>
      <c r="Q207" s="460" t="s">
        <v>1978</v>
      </c>
      <c r="R207" s="460" t="s">
        <v>1977</v>
      </c>
      <c r="S207" s="460" t="s">
        <v>1826</v>
      </c>
      <c r="T207" s="460" t="s">
        <v>1827</v>
      </c>
      <c r="U207" s="461" t="s">
        <v>1976</v>
      </c>
      <c r="V207" s="460" t="s">
        <v>1843</v>
      </c>
      <c r="W207" s="560"/>
      <c r="X207" s="461" t="s">
        <v>2966</v>
      </c>
      <c r="Y207" s="461" t="s">
        <v>2966</v>
      </c>
      <c r="Z207" s="461" t="s">
        <v>170</v>
      </c>
      <c r="AA207" s="460" t="s">
        <v>1218</v>
      </c>
      <c r="AB207" s="561">
        <f>ROUND(321.85,2)</f>
        <v>321.85000000000002</v>
      </c>
      <c r="AC207" s="460" t="s">
        <v>308</v>
      </c>
      <c r="AD207" s="460"/>
      <c r="AE207" s="561">
        <f>ROUND(1809.61,2)</f>
        <v>1809.61</v>
      </c>
      <c r="AF207" s="460" t="s">
        <v>308</v>
      </c>
      <c r="AG207" s="561">
        <f t="shared" si="3"/>
        <v>0</v>
      </c>
      <c r="AH207" s="460" t="s">
        <v>2671</v>
      </c>
      <c r="AI207" s="460" t="s">
        <v>1214</v>
      </c>
      <c r="AJ207" s="460" t="s">
        <v>2549</v>
      </c>
      <c r="AK207" s="460" t="s">
        <v>2672</v>
      </c>
      <c r="AL207" s="560" t="s">
        <v>2712</v>
      </c>
      <c r="AM207" s="460" t="s">
        <v>2674</v>
      </c>
    </row>
    <row r="208" spans="1:39" ht="34.200000000000003">
      <c r="A208" s="460" t="s">
        <v>1810</v>
      </c>
      <c r="B208" s="460"/>
      <c r="C208" s="460" t="s">
        <v>2502</v>
      </c>
      <c r="D208" s="460" t="s">
        <v>2770</v>
      </c>
      <c r="E208" s="460" t="s">
        <v>1819</v>
      </c>
      <c r="F208" s="460" t="s">
        <v>1812</v>
      </c>
      <c r="G208" s="461" t="s">
        <v>1218</v>
      </c>
      <c r="H208" s="461" t="s">
        <v>2771</v>
      </c>
      <c r="I208" s="460" t="s">
        <v>2772</v>
      </c>
      <c r="J208" s="460" t="s">
        <v>1983</v>
      </c>
      <c r="K208" s="460" t="s">
        <v>2669</v>
      </c>
      <c r="L208" s="460" t="s">
        <v>2728</v>
      </c>
      <c r="M208" s="460" t="s">
        <v>2002</v>
      </c>
      <c r="N208" s="460" t="s">
        <v>1981</v>
      </c>
      <c r="O208" s="460" t="s">
        <v>1980</v>
      </c>
      <c r="P208" s="460" t="s">
        <v>1979</v>
      </c>
      <c r="Q208" s="460" t="s">
        <v>95</v>
      </c>
      <c r="R208" s="460" t="s">
        <v>1977</v>
      </c>
      <c r="S208" s="460" t="s">
        <v>1842</v>
      </c>
      <c r="T208" s="460" t="s">
        <v>1827</v>
      </c>
      <c r="U208" s="461" t="s">
        <v>1976</v>
      </c>
      <c r="V208" s="460" t="s">
        <v>1119</v>
      </c>
      <c r="W208" s="560"/>
      <c r="X208" s="461" t="s">
        <v>2773</v>
      </c>
      <c r="Y208" s="461" t="s">
        <v>2773</v>
      </c>
      <c r="Z208" s="461" t="s">
        <v>170</v>
      </c>
      <c r="AA208" s="460" t="s">
        <v>1218</v>
      </c>
      <c r="AB208" s="561">
        <f>ROUND(0,2)</f>
        <v>0</v>
      </c>
      <c r="AC208" s="460" t="s">
        <v>308</v>
      </c>
      <c r="AD208" s="460"/>
      <c r="AE208" s="561">
        <f>ROUND(36.23,2)</f>
        <v>36.229999999999997</v>
      </c>
      <c r="AF208" s="460" t="s">
        <v>308</v>
      </c>
      <c r="AG208" s="561">
        <f t="shared" si="3"/>
        <v>0</v>
      </c>
      <c r="AH208" s="460" t="s">
        <v>2671</v>
      </c>
      <c r="AI208" s="460" t="s">
        <v>1214</v>
      </c>
      <c r="AJ208" s="460"/>
      <c r="AK208" s="460"/>
      <c r="AL208" s="560"/>
      <c r="AM208" s="460"/>
    </row>
    <row r="209" spans="1:39" ht="34.200000000000003">
      <c r="A209" s="460" t="s">
        <v>1810</v>
      </c>
      <c r="B209" s="460"/>
      <c r="C209" s="460" t="s">
        <v>2502</v>
      </c>
      <c r="D209" s="460" t="s">
        <v>2770</v>
      </c>
      <c r="E209" s="460" t="s">
        <v>1819</v>
      </c>
      <c r="F209" s="460" t="s">
        <v>1812</v>
      </c>
      <c r="G209" s="461" t="s">
        <v>1218</v>
      </c>
      <c r="H209" s="461" t="s">
        <v>2771</v>
      </c>
      <c r="I209" s="460" t="s">
        <v>2772</v>
      </c>
      <c r="J209" s="460" t="s">
        <v>1983</v>
      </c>
      <c r="K209" s="460" t="s">
        <v>2669</v>
      </c>
      <c r="L209" s="460" t="s">
        <v>2728</v>
      </c>
      <c r="M209" s="460" t="s">
        <v>2002</v>
      </c>
      <c r="N209" s="460" t="s">
        <v>1981</v>
      </c>
      <c r="O209" s="460" t="s">
        <v>1980</v>
      </c>
      <c r="P209" s="460" t="s">
        <v>2675</v>
      </c>
      <c r="Q209" s="460" t="s">
        <v>2676</v>
      </c>
      <c r="R209" s="460" t="s">
        <v>2677</v>
      </c>
      <c r="S209" s="460" t="s">
        <v>2676</v>
      </c>
      <c r="T209" s="460" t="s">
        <v>1827</v>
      </c>
      <c r="U209" s="461" t="s">
        <v>1824</v>
      </c>
      <c r="V209" s="460" t="s">
        <v>1119</v>
      </c>
      <c r="W209" s="560"/>
      <c r="X209" s="461" t="s">
        <v>2773</v>
      </c>
      <c r="Y209" s="461" t="s">
        <v>2773</v>
      </c>
      <c r="Z209" s="461" t="s">
        <v>170</v>
      </c>
      <c r="AA209" s="460" t="s">
        <v>1218</v>
      </c>
      <c r="AB209" s="561">
        <f>ROUND(0,2)</f>
        <v>0</v>
      </c>
      <c r="AC209" s="460" t="s">
        <v>2678</v>
      </c>
      <c r="AD209" s="460"/>
      <c r="AE209" s="561">
        <f>ROUND(500.05,2)</f>
        <v>500.05</v>
      </c>
      <c r="AF209" s="460" t="s">
        <v>2679</v>
      </c>
      <c r="AG209" s="561">
        <f t="shared" si="3"/>
        <v>0</v>
      </c>
      <c r="AH209" s="460" t="s">
        <v>2671</v>
      </c>
      <c r="AI209" s="460" t="s">
        <v>1214</v>
      </c>
      <c r="AJ209" s="460"/>
      <c r="AK209" s="460"/>
      <c r="AL209" s="560"/>
      <c r="AM209" s="460"/>
    </row>
    <row r="210" spans="1:39" ht="34.200000000000003">
      <c r="A210" s="460" t="s">
        <v>1810</v>
      </c>
      <c r="B210" s="460"/>
      <c r="C210" s="460" t="s">
        <v>2502</v>
      </c>
      <c r="D210" s="460" t="s">
        <v>2770</v>
      </c>
      <c r="E210" s="460" t="s">
        <v>1819</v>
      </c>
      <c r="F210" s="460" t="s">
        <v>1812</v>
      </c>
      <c r="G210" s="461" t="s">
        <v>1218</v>
      </c>
      <c r="H210" s="461" t="s">
        <v>2771</v>
      </c>
      <c r="I210" s="460" t="s">
        <v>2772</v>
      </c>
      <c r="J210" s="460" t="s">
        <v>1983</v>
      </c>
      <c r="K210" s="460" t="s">
        <v>2669</v>
      </c>
      <c r="L210" s="460" t="s">
        <v>2728</v>
      </c>
      <c r="M210" s="460" t="s">
        <v>2002</v>
      </c>
      <c r="N210" s="460" t="s">
        <v>1981</v>
      </c>
      <c r="O210" s="460" t="s">
        <v>1980</v>
      </c>
      <c r="P210" s="460" t="s">
        <v>1979</v>
      </c>
      <c r="Q210" s="460" t="s">
        <v>1978</v>
      </c>
      <c r="R210" s="460" t="s">
        <v>1977</v>
      </c>
      <c r="S210" s="460" t="s">
        <v>1826</v>
      </c>
      <c r="T210" s="460" t="s">
        <v>1827</v>
      </c>
      <c r="U210" s="461" t="s">
        <v>1976</v>
      </c>
      <c r="V210" s="460" t="s">
        <v>1119</v>
      </c>
      <c r="W210" s="560"/>
      <c r="X210" s="461" t="s">
        <v>2773</v>
      </c>
      <c r="Y210" s="461" t="s">
        <v>2773</v>
      </c>
      <c r="Z210" s="461" t="s">
        <v>170</v>
      </c>
      <c r="AA210" s="460" t="s">
        <v>1218</v>
      </c>
      <c r="AB210" s="561">
        <f>ROUND(29.05,2)</f>
        <v>29.05</v>
      </c>
      <c r="AC210" s="460" t="s">
        <v>308</v>
      </c>
      <c r="AD210" s="460"/>
      <c r="AE210" s="561">
        <f>ROUND(825.23,2)</f>
        <v>825.23</v>
      </c>
      <c r="AF210" s="460" t="s">
        <v>308</v>
      </c>
      <c r="AG210" s="561">
        <f t="shared" si="3"/>
        <v>0</v>
      </c>
      <c r="AH210" s="460" t="s">
        <v>2671</v>
      </c>
      <c r="AI210" s="460" t="s">
        <v>1214</v>
      </c>
      <c r="AJ210" s="460" t="s">
        <v>2549</v>
      </c>
      <c r="AK210" s="460" t="s">
        <v>2672</v>
      </c>
      <c r="AL210" s="560" t="s">
        <v>2692</v>
      </c>
      <c r="AM210" s="460" t="s">
        <v>2674</v>
      </c>
    </row>
    <row r="211" spans="1:39" ht="22.8">
      <c r="A211" s="460" t="s">
        <v>1810</v>
      </c>
      <c r="B211" s="460"/>
      <c r="C211" s="460" t="s">
        <v>1626</v>
      </c>
      <c r="D211" s="460" t="s">
        <v>2292</v>
      </c>
      <c r="E211" s="460" t="s">
        <v>1814</v>
      </c>
      <c r="F211" s="460" t="s">
        <v>1812</v>
      </c>
      <c r="G211" s="461" t="s">
        <v>1218</v>
      </c>
      <c r="H211" s="461" t="s">
        <v>1034</v>
      </c>
      <c r="I211" s="460" t="s">
        <v>2291</v>
      </c>
      <c r="J211" s="460" t="s">
        <v>1983</v>
      </c>
      <c r="K211" s="460" t="s">
        <v>2669</v>
      </c>
      <c r="L211" s="460" t="s">
        <v>2703</v>
      </c>
      <c r="M211" s="460" t="s">
        <v>1982</v>
      </c>
      <c r="N211" s="460" t="s">
        <v>1981</v>
      </c>
      <c r="O211" s="460" t="s">
        <v>1980</v>
      </c>
      <c r="P211" s="460" t="s">
        <v>1979</v>
      </c>
      <c r="Q211" s="460" t="s">
        <v>95</v>
      </c>
      <c r="R211" s="460" t="s">
        <v>1977</v>
      </c>
      <c r="S211" s="460" t="s">
        <v>1842</v>
      </c>
      <c r="T211" s="460" t="s">
        <v>1827</v>
      </c>
      <c r="U211" s="461" t="s">
        <v>1976</v>
      </c>
      <c r="V211" s="460" t="s">
        <v>1843</v>
      </c>
      <c r="W211" s="560"/>
      <c r="X211" s="461" t="s">
        <v>1824</v>
      </c>
      <c r="Y211" s="461" t="s">
        <v>1824</v>
      </c>
      <c r="Z211" s="461" t="s">
        <v>170</v>
      </c>
      <c r="AA211" s="460" t="s">
        <v>1218</v>
      </c>
      <c r="AB211" s="561">
        <f>ROUND(30.41,2)</f>
        <v>30.41</v>
      </c>
      <c r="AC211" s="460" t="s">
        <v>308</v>
      </c>
      <c r="AD211" s="460"/>
      <c r="AE211" s="561">
        <f>ROUND(70.29,2)</f>
        <v>70.290000000000006</v>
      </c>
      <c r="AF211" s="460" t="s">
        <v>308</v>
      </c>
      <c r="AG211" s="561">
        <f t="shared" si="3"/>
        <v>0</v>
      </c>
      <c r="AH211" s="460" t="s">
        <v>2671</v>
      </c>
      <c r="AI211" s="460" t="s">
        <v>1214</v>
      </c>
      <c r="AJ211" s="460" t="s">
        <v>2548</v>
      </c>
      <c r="AK211" s="460" t="s">
        <v>2672</v>
      </c>
      <c r="AL211" s="560" t="s">
        <v>2673</v>
      </c>
      <c r="AM211" s="460" t="s">
        <v>2674</v>
      </c>
    </row>
    <row r="212" spans="1:39" ht="22.8">
      <c r="A212" s="460" t="s">
        <v>1810</v>
      </c>
      <c r="B212" s="460"/>
      <c r="C212" s="460" t="s">
        <v>1626</v>
      </c>
      <c r="D212" s="460" t="s">
        <v>2292</v>
      </c>
      <c r="E212" s="460" t="s">
        <v>1814</v>
      </c>
      <c r="F212" s="460" t="s">
        <v>1812</v>
      </c>
      <c r="G212" s="461" t="s">
        <v>1218</v>
      </c>
      <c r="H212" s="461" t="s">
        <v>1034</v>
      </c>
      <c r="I212" s="460" t="s">
        <v>2291</v>
      </c>
      <c r="J212" s="460" t="s">
        <v>1983</v>
      </c>
      <c r="K212" s="460" t="s">
        <v>2669</v>
      </c>
      <c r="L212" s="460" t="s">
        <v>2703</v>
      </c>
      <c r="M212" s="460" t="s">
        <v>1982</v>
      </c>
      <c r="N212" s="460" t="s">
        <v>1981</v>
      </c>
      <c r="O212" s="460" t="s">
        <v>1980</v>
      </c>
      <c r="P212" s="460" t="s">
        <v>2675</v>
      </c>
      <c r="Q212" s="460" t="s">
        <v>2676</v>
      </c>
      <c r="R212" s="460" t="s">
        <v>2677</v>
      </c>
      <c r="S212" s="460" t="s">
        <v>2676</v>
      </c>
      <c r="T212" s="460" t="s">
        <v>1827</v>
      </c>
      <c r="U212" s="461" t="s">
        <v>1824</v>
      </c>
      <c r="V212" s="460" t="s">
        <v>1843</v>
      </c>
      <c r="W212" s="560"/>
      <c r="X212" s="461" t="s">
        <v>1824</v>
      </c>
      <c r="Y212" s="461" t="s">
        <v>1824</v>
      </c>
      <c r="Z212" s="461" t="s">
        <v>170</v>
      </c>
      <c r="AA212" s="460" t="s">
        <v>1218</v>
      </c>
      <c r="AB212" s="561">
        <f>ROUND(0,2)</f>
        <v>0</v>
      </c>
      <c r="AC212" s="460" t="s">
        <v>2678</v>
      </c>
      <c r="AD212" s="460"/>
      <c r="AE212" s="561">
        <f>ROUND(1000,2)</f>
        <v>1000</v>
      </c>
      <c r="AF212" s="460" t="s">
        <v>2679</v>
      </c>
      <c r="AG212" s="561">
        <f t="shared" si="3"/>
        <v>0</v>
      </c>
      <c r="AH212" s="460" t="s">
        <v>2671</v>
      </c>
      <c r="AI212" s="460" t="s">
        <v>1214</v>
      </c>
      <c r="AJ212" s="460"/>
      <c r="AK212" s="460"/>
      <c r="AL212" s="560"/>
      <c r="AM212" s="460"/>
    </row>
    <row r="213" spans="1:39" ht="22.8">
      <c r="A213" s="460" t="s">
        <v>1810</v>
      </c>
      <c r="B213" s="460"/>
      <c r="C213" s="460" t="s">
        <v>1626</v>
      </c>
      <c r="D213" s="460" t="s">
        <v>2292</v>
      </c>
      <c r="E213" s="460" t="s">
        <v>1814</v>
      </c>
      <c r="F213" s="460" t="s">
        <v>1812</v>
      </c>
      <c r="G213" s="461" t="s">
        <v>1218</v>
      </c>
      <c r="H213" s="461" t="s">
        <v>1034</v>
      </c>
      <c r="I213" s="460" t="s">
        <v>2291</v>
      </c>
      <c r="J213" s="460" t="s">
        <v>1983</v>
      </c>
      <c r="K213" s="460" t="s">
        <v>2669</v>
      </c>
      <c r="L213" s="460" t="s">
        <v>2703</v>
      </c>
      <c r="M213" s="460" t="s">
        <v>1982</v>
      </c>
      <c r="N213" s="460" t="s">
        <v>1981</v>
      </c>
      <c r="O213" s="460" t="s">
        <v>1980</v>
      </c>
      <c r="P213" s="460" t="s">
        <v>1979</v>
      </c>
      <c r="Q213" s="460" t="s">
        <v>1978</v>
      </c>
      <c r="R213" s="460" t="s">
        <v>1977</v>
      </c>
      <c r="S213" s="460" t="s">
        <v>1826</v>
      </c>
      <c r="T213" s="460" t="s">
        <v>1827</v>
      </c>
      <c r="U213" s="461" t="s">
        <v>1976</v>
      </c>
      <c r="V213" s="460" t="s">
        <v>1851</v>
      </c>
      <c r="W213" s="560"/>
      <c r="X213" s="461" t="s">
        <v>1824</v>
      </c>
      <c r="Y213" s="461" t="s">
        <v>1824</v>
      </c>
      <c r="Z213" s="461" t="s">
        <v>170</v>
      </c>
      <c r="AA213" s="460" t="s">
        <v>1218</v>
      </c>
      <c r="AB213" s="561">
        <f>ROUND(299.81,2)</f>
        <v>299.81</v>
      </c>
      <c r="AC213" s="460" t="s">
        <v>308</v>
      </c>
      <c r="AD213" s="460"/>
      <c r="AE213" s="561">
        <f>ROUND(1320.78,2)</f>
        <v>1320.78</v>
      </c>
      <c r="AF213" s="460" t="s">
        <v>308</v>
      </c>
      <c r="AG213" s="561">
        <f t="shared" si="3"/>
        <v>0</v>
      </c>
      <c r="AH213" s="460" t="s">
        <v>2671</v>
      </c>
      <c r="AI213" s="460" t="s">
        <v>1214</v>
      </c>
      <c r="AJ213" s="460" t="s">
        <v>2549</v>
      </c>
      <c r="AK213" s="460" t="s">
        <v>2672</v>
      </c>
      <c r="AL213" s="560" t="s">
        <v>2699</v>
      </c>
      <c r="AM213" s="460" t="s">
        <v>2674</v>
      </c>
    </row>
    <row r="214" spans="1:39" ht="22.8">
      <c r="A214" s="460" t="s">
        <v>1810</v>
      </c>
      <c r="B214" s="460"/>
      <c r="C214" s="460" t="s">
        <v>1316</v>
      </c>
      <c r="D214" s="460" t="s">
        <v>2290</v>
      </c>
      <c r="E214" s="460" t="s">
        <v>1814</v>
      </c>
      <c r="F214" s="460" t="s">
        <v>1812</v>
      </c>
      <c r="G214" s="461" t="s">
        <v>1218</v>
      </c>
      <c r="H214" s="461" t="s">
        <v>181</v>
      </c>
      <c r="I214" s="460" t="s">
        <v>2289</v>
      </c>
      <c r="J214" s="460" t="s">
        <v>1983</v>
      </c>
      <c r="K214" s="460" t="s">
        <v>2669</v>
      </c>
      <c r="L214" s="460" t="s">
        <v>2703</v>
      </c>
      <c r="M214" s="460" t="s">
        <v>1982</v>
      </c>
      <c r="N214" s="460" t="s">
        <v>1981</v>
      </c>
      <c r="O214" s="460" t="s">
        <v>1980</v>
      </c>
      <c r="P214" s="460" t="s">
        <v>1979</v>
      </c>
      <c r="Q214" s="460" t="s">
        <v>95</v>
      </c>
      <c r="R214" s="460" t="s">
        <v>1977</v>
      </c>
      <c r="S214" s="460" t="s">
        <v>1842</v>
      </c>
      <c r="T214" s="460" t="s">
        <v>1827</v>
      </c>
      <c r="U214" s="461" t="s">
        <v>1976</v>
      </c>
      <c r="V214" s="460" t="s">
        <v>1843</v>
      </c>
      <c r="W214" s="560"/>
      <c r="X214" s="461" t="s">
        <v>1824</v>
      </c>
      <c r="Y214" s="461" t="s">
        <v>1824</v>
      </c>
      <c r="Z214" s="461" t="s">
        <v>170</v>
      </c>
      <c r="AA214" s="460" t="s">
        <v>1218</v>
      </c>
      <c r="AB214" s="561">
        <f>ROUND(30.41,2)</f>
        <v>30.41</v>
      </c>
      <c r="AC214" s="460" t="s">
        <v>308</v>
      </c>
      <c r="AD214" s="460"/>
      <c r="AE214" s="561">
        <f>ROUND(70.29,2)</f>
        <v>70.290000000000006</v>
      </c>
      <c r="AF214" s="460" t="s">
        <v>308</v>
      </c>
      <c r="AG214" s="561">
        <f t="shared" si="3"/>
        <v>0</v>
      </c>
      <c r="AH214" s="460" t="s">
        <v>2671</v>
      </c>
      <c r="AI214" s="460" t="s">
        <v>1214</v>
      </c>
      <c r="AJ214" s="460" t="s">
        <v>2548</v>
      </c>
      <c r="AK214" s="460" t="s">
        <v>2672</v>
      </c>
      <c r="AL214" s="560" t="s">
        <v>2673</v>
      </c>
      <c r="AM214" s="460" t="s">
        <v>2674</v>
      </c>
    </row>
    <row r="215" spans="1:39" ht="22.8">
      <c r="A215" s="460" t="s">
        <v>1810</v>
      </c>
      <c r="B215" s="460"/>
      <c r="C215" s="460" t="s">
        <v>1316</v>
      </c>
      <c r="D215" s="460" t="s">
        <v>2290</v>
      </c>
      <c r="E215" s="460" t="s">
        <v>1814</v>
      </c>
      <c r="F215" s="460" t="s">
        <v>1812</v>
      </c>
      <c r="G215" s="461" t="s">
        <v>1218</v>
      </c>
      <c r="H215" s="461" t="s">
        <v>181</v>
      </c>
      <c r="I215" s="460" t="s">
        <v>2289</v>
      </c>
      <c r="J215" s="460" t="s">
        <v>1983</v>
      </c>
      <c r="K215" s="460" t="s">
        <v>2669</v>
      </c>
      <c r="L215" s="460" t="s">
        <v>2703</v>
      </c>
      <c r="M215" s="460" t="s">
        <v>1982</v>
      </c>
      <c r="N215" s="460" t="s">
        <v>1981</v>
      </c>
      <c r="O215" s="460" t="s">
        <v>1980</v>
      </c>
      <c r="P215" s="460" t="s">
        <v>2675</v>
      </c>
      <c r="Q215" s="460" t="s">
        <v>2676</v>
      </c>
      <c r="R215" s="460" t="s">
        <v>2677</v>
      </c>
      <c r="S215" s="460" t="s">
        <v>2676</v>
      </c>
      <c r="T215" s="460" t="s">
        <v>1827</v>
      </c>
      <c r="U215" s="461" t="s">
        <v>1824</v>
      </c>
      <c r="V215" s="460" t="s">
        <v>1843</v>
      </c>
      <c r="W215" s="560"/>
      <c r="X215" s="461" t="s">
        <v>1824</v>
      </c>
      <c r="Y215" s="461" t="s">
        <v>1824</v>
      </c>
      <c r="Z215" s="461" t="s">
        <v>170</v>
      </c>
      <c r="AA215" s="460" t="s">
        <v>1218</v>
      </c>
      <c r="AB215" s="561">
        <f>ROUND(85,2)</f>
        <v>85</v>
      </c>
      <c r="AC215" s="460" t="s">
        <v>2678</v>
      </c>
      <c r="AD215" s="460"/>
      <c r="AE215" s="561">
        <f>ROUND(1000,2)</f>
        <v>1000</v>
      </c>
      <c r="AF215" s="460" t="s">
        <v>2679</v>
      </c>
      <c r="AG215" s="561">
        <f t="shared" si="3"/>
        <v>0</v>
      </c>
      <c r="AH215" s="460" t="s">
        <v>2671</v>
      </c>
      <c r="AI215" s="460" t="s">
        <v>1214</v>
      </c>
      <c r="AJ215" s="460" t="s">
        <v>2550</v>
      </c>
      <c r="AK215" s="460" t="s">
        <v>2672</v>
      </c>
      <c r="AL215" s="560" t="s">
        <v>2774</v>
      </c>
      <c r="AM215" s="460" t="s">
        <v>2674</v>
      </c>
    </row>
    <row r="216" spans="1:39" ht="22.8">
      <c r="A216" s="460" t="s">
        <v>1810</v>
      </c>
      <c r="B216" s="460"/>
      <c r="C216" s="460" t="s">
        <v>1316</v>
      </c>
      <c r="D216" s="460" t="s">
        <v>2290</v>
      </c>
      <c r="E216" s="460" t="s">
        <v>1814</v>
      </c>
      <c r="F216" s="460" t="s">
        <v>1812</v>
      </c>
      <c r="G216" s="461" t="s">
        <v>1218</v>
      </c>
      <c r="H216" s="461" t="s">
        <v>181</v>
      </c>
      <c r="I216" s="460" t="s">
        <v>2289</v>
      </c>
      <c r="J216" s="460" t="s">
        <v>1983</v>
      </c>
      <c r="K216" s="460" t="s">
        <v>2669</v>
      </c>
      <c r="L216" s="460" t="s">
        <v>2703</v>
      </c>
      <c r="M216" s="460" t="s">
        <v>1982</v>
      </c>
      <c r="N216" s="460" t="s">
        <v>1981</v>
      </c>
      <c r="O216" s="460" t="s">
        <v>1980</v>
      </c>
      <c r="P216" s="460" t="s">
        <v>1979</v>
      </c>
      <c r="Q216" s="460" t="s">
        <v>1978</v>
      </c>
      <c r="R216" s="460" t="s">
        <v>1977</v>
      </c>
      <c r="S216" s="460" t="s">
        <v>1826</v>
      </c>
      <c r="T216" s="460" t="s">
        <v>1827</v>
      </c>
      <c r="U216" s="461" t="s">
        <v>1976</v>
      </c>
      <c r="V216" s="460" t="s">
        <v>1843</v>
      </c>
      <c r="W216" s="560"/>
      <c r="X216" s="461" t="s">
        <v>1824</v>
      </c>
      <c r="Y216" s="461" t="s">
        <v>1824</v>
      </c>
      <c r="Z216" s="461" t="s">
        <v>170</v>
      </c>
      <c r="AA216" s="460" t="s">
        <v>1218</v>
      </c>
      <c r="AB216" s="561">
        <f>ROUND(475.32,2)</f>
        <v>475.32</v>
      </c>
      <c r="AC216" s="460" t="s">
        <v>308</v>
      </c>
      <c r="AD216" s="460"/>
      <c r="AE216" s="561">
        <f>ROUND(1656.14,2)</f>
        <v>1656.14</v>
      </c>
      <c r="AF216" s="460" t="s">
        <v>308</v>
      </c>
      <c r="AG216" s="561">
        <f t="shared" si="3"/>
        <v>0</v>
      </c>
      <c r="AH216" s="460" t="s">
        <v>2671</v>
      </c>
      <c r="AI216" s="460" t="s">
        <v>1214</v>
      </c>
      <c r="AJ216" s="460" t="s">
        <v>2549</v>
      </c>
      <c r="AK216" s="460" t="s">
        <v>2672</v>
      </c>
      <c r="AL216" s="560" t="s">
        <v>2718</v>
      </c>
      <c r="AM216" s="460" t="s">
        <v>2674</v>
      </c>
    </row>
    <row r="217" spans="1:39" ht="22.8">
      <c r="A217" s="460" t="s">
        <v>1810</v>
      </c>
      <c r="B217" s="460"/>
      <c r="C217" s="460" t="s">
        <v>2495</v>
      </c>
      <c r="D217" s="460" t="s">
        <v>2775</v>
      </c>
      <c r="E217" s="460" t="s">
        <v>1814</v>
      </c>
      <c r="F217" s="460" t="s">
        <v>1812</v>
      </c>
      <c r="G217" s="461" t="s">
        <v>1218</v>
      </c>
      <c r="H217" s="461" t="s">
        <v>2776</v>
      </c>
      <c r="I217" s="460" t="s">
        <v>2057</v>
      </c>
      <c r="J217" s="460" t="s">
        <v>1983</v>
      </c>
      <c r="K217" s="460" t="s">
        <v>2669</v>
      </c>
      <c r="L217" s="460" t="s">
        <v>2707</v>
      </c>
      <c r="M217" s="460" t="s">
        <v>1982</v>
      </c>
      <c r="N217" s="460" t="s">
        <v>1981</v>
      </c>
      <c r="O217" s="460" t="s">
        <v>1980</v>
      </c>
      <c r="P217" s="460" t="s">
        <v>1979</v>
      </c>
      <c r="Q217" s="460" t="s">
        <v>95</v>
      </c>
      <c r="R217" s="460" t="s">
        <v>1977</v>
      </c>
      <c r="S217" s="460" t="s">
        <v>1842</v>
      </c>
      <c r="T217" s="460" t="s">
        <v>1827</v>
      </c>
      <c r="U217" s="461" t="s">
        <v>1976</v>
      </c>
      <c r="V217" s="460" t="s">
        <v>1119</v>
      </c>
      <c r="W217" s="560"/>
      <c r="X217" s="461" t="s">
        <v>2747</v>
      </c>
      <c r="Y217" s="461" t="s">
        <v>2747</v>
      </c>
      <c r="Z217" s="461" t="s">
        <v>170</v>
      </c>
      <c r="AA217" s="460" t="s">
        <v>1218</v>
      </c>
      <c r="AB217" s="561">
        <f>ROUND(0,2)</f>
        <v>0</v>
      </c>
      <c r="AC217" s="460" t="s">
        <v>308</v>
      </c>
      <c r="AD217" s="460"/>
      <c r="AE217" s="561">
        <f>ROUND(36.23,2)</f>
        <v>36.229999999999997</v>
      </c>
      <c r="AF217" s="460" t="s">
        <v>308</v>
      </c>
      <c r="AG217" s="561">
        <f t="shared" si="3"/>
        <v>0</v>
      </c>
      <c r="AH217" s="460" t="s">
        <v>2671</v>
      </c>
      <c r="AI217" s="460" t="s">
        <v>1214</v>
      </c>
      <c r="AJ217" s="460"/>
      <c r="AK217" s="460"/>
      <c r="AL217" s="560"/>
      <c r="AM217" s="460"/>
    </row>
    <row r="218" spans="1:39" ht="22.8">
      <c r="A218" s="460" t="s">
        <v>1810</v>
      </c>
      <c r="B218" s="460"/>
      <c r="C218" s="460" t="s">
        <v>2495</v>
      </c>
      <c r="D218" s="460" t="s">
        <v>2775</v>
      </c>
      <c r="E218" s="460" t="s">
        <v>1814</v>
      </c>
      <c r="F218" s="460" t="s">
        <v>1812</v>
      </c>
      <c r="G218" s="461" t="s">
        <v>1218</v>
      </c>
      <c r="H218" s="461" t="s">
        <v>2776</v>
      </c>
      <c r="I218" s="460" t="s">
        <v>2057</v>
      </c>
      <c r="J218" s="460" t="s">
        <v>1983</v>
      </c>
      <c r="K218" s="460" t="s">
        <v>2669</v>
      </c>
      <c r="L218" s="460" t="s">
        <v>2707</v>
      </c>
      <c r="M218" s="460" t="s">
        <v>1982</v>
      </c>
      <c r="N218" s="460" t="s">
        <v>1981</v>
      </c>
      <c r="O218" s="460" t="s">
        <v>1980</v>
      </c>
      <c r="P218" s="460" t="s">
        <v>2675</v>
      </c>
      <c r="Q218" s="460" t="s">
        <v>2676</v>
      </c>
      <c r="R218" s="460" t="s">
        <v>2677</v>
      </c>
      <c r="S218" s="460" t="s">
        <v>2676</v>
      </c>
      <c r="T218" s="460" t="s">
        <v>1827</v>
      </c>
      <c r="U218" s="461" t="s">
        <v>1824</v>
      </c>
      <c r="V218" s="460" t="s">
        <v>1119</v>
      </c>
      <c r="W218" s="560"/>
      <c r="X218" s="461" t="s">
        <v>2747</v>
      </c>
      <c r="Y218" s="461" t="s">
        <v>2747</v>
      </c>
      <c r="Z218" s="461" t="s">
        <v>170</v>
      </c>
      <c r="AA218" s="460" t="s">
        <v>1218</v>
      </c>
      <c r="AB218" s="561">
        <f>ROUND(12,2)</f>
        <v>12</v>
      </c>
      <c r="AC218" s="460" t="s">
        <v>2678</v>
      </c>
      <c r="AD218" s="460"/>
      <c r="AE218" s="561">
        <f>ROUND(500.05,2)</f>
        <v>500.05</v>
      </c>
      <c r="AF218" s="460" t="s">
        <v>2679</v>
      </c>
      <c r="AG218" s="561">
        <f t="shared" si="3"/>
        <v>0</v>
      </c>
      <c r="AH218" s="460" t="s">
        <v>2671</v>
      </c>
      <c r="AI218" s="460" t="s">
        <v>1214</v>
      </c>
      <c r="AJ218" s="460" t="s">
        <v>2550</v>
      </c>
      <c r="AK218" s="460" t="s">
        <v>2672</v>
      </c>
      <c r="AL218" s="560" t="s">
        <v>2777</v>
      </c>
      <c r="AM218" s="460" t="s">
        <v>2674</v>
      </c>
    </row>
    <row r="219" spans="1:39" ht="22.8">
      <c r="A219" s="460" t="s">
        <v>1810</v>
      </c>
      <c r="B219" s="460"/>
      <c r="C219" s="460" t="s">
        <v>2495</v>
      </c>
      <c r="D219" s="460" t="s">
        <v>2775</v>
      </c>
      <c r="E219" s="460" t="s">
        <v>1814</v>
      </c>
      <c r="F219" s="460" t="s">
        <v>1812</v>
      </c>
      <c r="G219" s="461" t="s">
        <v>1218</v>
      </c>
      <c r="H219" s="461" t="s">
        <v>2776</v>
      </c>
      <c r="I219" s="460" t="s">
        <v>2057</v>
      </c>
      <c r="J219" s="460" t="s">
        <v>1983</v>
      </c>
      <c r="K219" s="460" t="s">
        <v>2669</v>
      </c>
      <c r="L219" s="460" t="s">
        <v>2707</v>
      </c>
      <c r="M219" s="460" t="s">
        <v>1982</v>
      </c>
      <c r="N219" s="460" t="s">
        <v>1981</v>
      </c>
      <c r="O219" s="460" t="s">
        <v>1980</v>
      </c>
      <c r="P219" s="460" t="s">
        <v>1979</v>
      </c>
      <c r="Q219" s="460" t="s">
        <v>1978</v>
      </c>
      <c r="R219" s="460" t="s">
        <v>1977</v>
      </c>
      <c r="S219" s="460" t="s">
        <v>1826</v>
      </c>
      <c r="T219" s="460" t="s">
        <v>1827</v>
      </c>
      <c r="U219" s="461" t="s">
        <v>1976</v>
      </c>
      <c r="V219" s="460" t="s">
        <v>1119</v>
      </c>
      <c r="W219" s="560"/>
      <c r="X219" s="461" t="s">
        <v>2747</v>
      </c>
      <c r="Y219" s="461" t="s">
        <v>2747</v>
      </c>
      <c r="Z219" s="461" t="s">
        <v>170</v>
      </c>
      <c r="AA219" s="460" t="s">
        <v>1218</v>
      </c>
      <c r="AB219" s="561">
        <f>ROUND(25.63,2)</f>
        <v>25.63</v>
      </c>
      <c r="AC219" s="460" t="s">
        <v>308</v>
      </c>
      <c r="AD219" s="460"/>
      <c r="AE219" s="561">
        <f>ROUND(828.65,2)</f>
        <v>828.65</v>
      </c>
      <c r="AF219" s="460" t="s">
        <v>308</v>
      </c>
      <c r="AG219" s="561">
        <f t="shared" si="3"/>
        <v>0</v>
      </c>
      <c r="AH219" s="460" t="s">
        <v>2671</v>
      </c>
      <c r="AI219" s="460" t="s">
        <v>1214</v>
      </c>
      <c r="AJ219" s="460" t="s">
        <v>2549</v>
      </c>
      <c r="AK219" s="460" t="s">
        <v>2672</v>
      </c>
      <c r="AL219" s="560" t="s">
        <v>2685</v>
      </c>
      <c r="AM219" s="460" t="s">
        <v>2674</v>
      </c>
    </row>
    <row r="220" spans="1:39" ht="34.200000000000003">
      <c r="A220" s="460" t="s">
        <v>1810</v>
      </c>
      <c r="B220" s="460"/>
      <c r="C220" s="460" t="s">
        <v>1662</v>
      </c>
      <c r="D220" s="460" t="s">
        <v>2020</v>
      </c>
      <c r="E220" s="460" t="s">
        <v>1819</v>
      </c>
      <c r="F220" s="460" t="s">
        <v>1812</v>
      </c>
      <c r="G220" s="461" t="s">
        <v>1218</v>
      </c>
      <c r="H220" s="461" t="s">
        <v>1026</v>
      </c>
      <c r="I220" s="460" t="s">
        <v>2288</v>
      </c>
      <c r="J220" s="460" t="s">
        <v>1990</v>
      </c>
      <c r="K220" s="460" t="s">
        <v>2669</v>
      </c>
      <c r="L220" s="460" t="s">
        <v>2778</v>
      </c>
      <c r="M220" s="460" t="s">
        <v>2002</v>
      </c>
      <c r="N220" s="460" t="s">
        <v>1981</v>
      </c>
      <c r="O220" s="460" t="s">
        <v>1980</v>
      </c>
      <c r="P220" s="460" t="s">
        <v>1979</v>
      </c>
      <c r="Q220" s="460" t="s">
        <v>95</v>
      </c>
      <c r="R220" s="460" t="s">
        <v>1977</v>
      </c>
      <c r="S220" s="460" t="s">
        <v>1842</v>
      </c>
      <c r="T220" s="460" t="s">
        <v>1827</v>
      </c>
      <c r="U220" s="461" t="s">
        <v>1976</v>
      </c>
      <c r="V220" s="460" t="s">
        <v>1119</v>
      </c>
      <c r="W220" s="560"/>
      <c r="X220" s="461" t="s">
        <v>1824</v>
      </c>
      <c r="Y220" s="461" t="s">
        <v>1824</v>
      </c>
      <c r="Z220" s="461" t="s">
        <v>170</v>
      </c>
      <c r="AA220" s="460" t="s">
        <v>1218</v>
      </c>
      <c r="AB220" s="561">
        <f>ROUND(0,2)</f>
        <v>0</v>
      </c>
      <c r="AC220" s="460" t="s">
        <v>308</v>
      </c>
      <c r="AD220" s="460"/>
      <c r="AE220" s="561">
        <f>ROUND(36.23,2)</f>
        <v>36.229999999999997</v>
      </c>
      <c r="AF220" s="460" t="s">
        <v>308</v>
      </c>
      <c r="AG220" s="561">
        <f t="shared" si="3"/>
        <v>0</v>
      </c>
      <c r="AH220" s="460" t="s">
        <v>2671</v>
      </c>
      <c r="AI220" s="460" t="s">
        <v>1214</v>
      </c>
      <c r="AJ220" s="460"/>
      <c r="AK220" s="460"/>
      <c r="AL220" s="560"/>
      <c r="AM220" s="460"/>
    </row>
    <row r="221" spans="1:39" ht="34.200000000000003">
      <c r="A221" s="460" t="s">
        <v>1810</v>
      </c>
      <c r="B221" s="460"/>
      <c r="C221" s="460" t="s">
        <v>1662</v>
      </c>
      <c r="D221" s="460" t="s">
        <v>2020</v>
      </c>
      <c r="E221" s="460" t="s">
        <v>1819</v>
      </c>
      <c r="F221" s="460" t="s">
        <v>1812</v>
      </c>
      <c r="G221" s="461" t="s">
        <v>1218</v>
      </c>
      <c r="H221" s="461" t="s">
        <v>1026</v>
      </c>
      <c r="I221" s="460" t="s">
        <v>2288</v>
      </c>
      <c r="J221" s="460" t="s">
        <v>1990</v>
      </c>
      <c r="K221" s="460" t="s">
        <v>2669</v>
      </c>
      <c r="L221" s="460" t="s">
        <v>2778</v>
      </c>
      <c r="M221" s="460" t="s">
        <v>2002</v>
      </c>
      <c r="N221" s="460" t="s">
        <v>1981</v>
      </c>
      <c r="O221" s="460" t="s">
        <v>1980</v>
      </c>
      <c r="P221" s="460" t="s">
        <v>2675</v>
      </c>
      <c r="Q221" s="460" t="s">
        <v>2676</v>
      </c>
      <c r="R221" s="460" t="s">
        <v>2677</v>
      </c>
      <c r="S221" s="460" t="s">
        <v>2676</v>
      </c>
      <c r="T221" s="460" t="s">
        <v>1827</v>
      </c>
      <c r="U221" s="461" t="s">
        <v>1824</v>
      </c>
      <c r="V221" s="460" t="s">
        <v>1119</v>
      </c>
      <c r="W221" s="560"/>
      <c r="X221" s="461" t="s">
        <v>1824</v>
      </c>
      <c r="Y221" s="461" t="s">
        <v>1824</v>
      </c>
      <c r="Z221" s="461" t="s">
        <v>170</v>
      </c>
      <c r="AA221" s="460" t="s">
        <v>1218</v>
      </c>
      <c r="AB221" s="561">
        <f>ROUND(5,2)</f>
        <v>5</v>
      </c>
      <c r="AC221" s="460" t="s">
        <v>2678</v>
      </c>
      <c r="AD221" s="460"/>
      <c r="AE221" s="561">
        <f>ROUND(500.05,2)</f>
        <v>500.05</v>
      </c>
      <c r="AF221" s="460" t="s">
        <v>2679</v>
      </c>
      <c r="AG221" s="561">
        <f t="shared" si="3"/>
        <v>0</v>
      </c>
      <c r="AH221" s="460" t="s">
        <v>2671</v>
      </c>
      <c r="AI221" s="460" t="s">
        <v>1214</v>
      </c>
      <c r="AJ221" s="460" t="s">
        <v>2550</v>
      </c>
      <c r="AK221" s="460" t="s">
        <v>2672</v>
      </c>
      <c r="AL221" s="560" t="s">
        <v>2713</v>
      </c>
      <c r="AM221" s="460" t="s">
        <v>2674</v>
      </c>
    </row>
    <row r="222" spans="1:39" ht="34.200000000000003">
      <c r="A222" s="460" t="s">
        <v>1810</v>
      </c>
      <c r="B222" s="460"/>
      <c r="C222" s="460" t="s">
        <v>1662</v>
      </c>
      <c r="D222" s="460" t="s">
        <v>2020</v>
      </c>
      <c r="E222" s="460" t="s">
        <v>1819</v>
      </c>
      <c r="F222" s="460" t="s">
        <v>1812</v>
      </c>
      <c r="G222" s="461" t="s">
        <v>1218</v>
      </c>
      <c r="H222" s="461" t="s">
        <v>1026</v>
      </c>
      <c r="I222" s="460" t="s">
        <v>2288</v>
      </c>
      <c r="J222" s="460" t="s">
        <v>1990</v>
      </c>
      <c r="K222" s="460" t="s">
        <v>2669</v>
      </c>
      <c r="L222" s="460" t="s">
        <v>2778</v>
      </c>
      <c r="M222" s="460" t="s">
        <v>2002</v>
      </c>
      <c r="N222" s="460" t="s">
        <v>1981</v>
      </c>
      <c r="O222" s="460" t="s">
        <v>1980</v>
      </c>
      <c r="P222" s="460" t="s">
        <v>1979</v>
      </c>
      <c r="Q222" s="460" t="s">
        <v>1978</v>
      </c>
      <c r="R222" s="460" t="s">
        <v>1977</v>
      </c>
      <c r="S222" s="460" t="s">
        <v>1826</v>
      </c>
      <c r="T222" s="460" t="s">
        <v>1827</v>
      </c>
      <c r="U222" s="461" t="s">
        <v>1976</v>
      </c>
      <c r="V222" s="460" t="s">
        <v>1119</v>
      </c>
      <c r="W222" s="560"/>
      <c r="X222" s="461" t="s">
        <v>1824</v>
      </c>
      <c r="Y222" s="461" t="s">
        <v>1824</v>
      </c>
      <c r="Z222" s="461" t="s">
        <v>170</v>
      </c>
      <c r="AA222" s="460" t="s">
        <v>1218</v>
      </c>
      <c r="AB222" s="561">
        <f>ROUND(25.63,2)</f>
        <v>25.63</v>
      </c>
      <c r="AC222" s="460" t="s">
        <v>308</v>
      </c>
      <c r="AD222" s="460"/>
      <c r="AE222" s="561">
        <f>ROUND(828.65,2)</f>
        <v>828.65</v>
      </c>
      <c r="AF222" s="460" t="s">
        <v>308</v>
      </c>
      <c r="AG222" s="561">
        <f t="shared" si="3"/>
        <v>0</v>
      </c>
      <c r="AH222" s="460" t="s">
        <v>2671</v>
      </c>
      <c r="AI222" s="460" t="s">
        <v>1214</v>
      </c>
      <c r="AJ222" s="460" t="s">
        <v>2549</v>
      </c>
      <c r="AK222" s="460" t="s">
        <v>2672</v>
      </c>
      <c r="AL222" s="560" t="s">
        <v>2685</v>
      </c>
      <c r="AM222" s="460" t="s">
        <v>2674</v>
      </c>
    </row>
    <row r="223" spans="1:39" ht="22.8">
      <c r="A223" s="460" t="s">
        <v>1810</v>
      </c>
      <c r="B223" s="460"/>
      <c r="C223" s="460" t="s">
        <v>1317</v>
      </c>
      <c r="D223" s="460" t="s">
        <v>2287</v>
      </c>
      <c r="E223" s="460" t="s">
        <v>1814</v>
      </c>
      <c r="F223" s="460" t="s">
        <v>1812</v>
      </c>
      <c r="G223" s="461" t="s">
        <v>1218</v>
      </c>
      <c r="H223" s="461" t="s">
        <v>215</v>
      </c>
      <c r="I223" s="460" t="s">
        <v>2286</v>
      </c>
      <c r="J223" s="460" t="s">
        <v>1990</v>
      </c>
      <c r="K223" s="460" t="s">
        <v>2669</v>
      </c>
      <c r="L223" s="460" t="s">
        <v>2715</v>
      </c>
      <c r="M223" s="460" t="s">
        <v>1982</v>
      </c>
      <c r="N223" s="460" t="s">
        <v>1981</v>
      </c>
      <c r="O223" s="460" t="s">
        <v>1980</v>
      </c>
      <c r="P223" s="460" t="s">
        <v>1979</v>
      </c>
      <c r="Q223" s="460" t="s">
        <v>95</v>
      </c>
      <c r="R223" s="460" t="s">
        <v>1977</v>
      </c>
      <c r="S223" s="460" t="s">
        <v>1842</v>
      </c>
      <c r="T223" s="460" t="s">
        <v>1827</v>
      </c>
      <c r="U223" s="461" t="s">
        <v>1976</v>
      </c>
      <c r="V223" s="460" t="s">
        <v>1843</v>
      </c>
      <c r="W223" s="560"/>
      <c r="X223" s="461" t="s">
        <v>1824</v>
      </c>
      <c r="Y223" s="461" t="s">
        <v>1824</v>
      </c>
      <c r="Z223" s="461" t="s">
        <v>170</v>
      </c>
      <c r="AA223" s="460" t="s">
        <v>1218</v>
      </c>
      <c r="AB223" s="561">
        <f>ROUND(30.41,2)</f>
        <v>30.41</v>
      </c>
      <c r="AC223" s="460" t="s">
        <v>308</v>
      </c>
      <c r="AD223" s="460"/>
      <c r="AE223" s="561">
        <f>ROUND(70.29,2)</f>
        <v>70.290000000000006</v>
      </c>
      <c r="AF223" s="460" t="s">
        <v>308</v>
      </c>
      <c r="AG223" s="561">
        <f t="shared" si="3"/>
        <v>0</v>
      </c>
      <c r="AH223" s="460" t="s">
        <v>2671</v>
      </c>
      <c r="AI223" s="460" t="s">
        <v>1214</v>
      </c>
      <c r="AJ223" s="460" t="s">
        <v>2548</v>
      </c>
      <c r="AK223" s="460" t="s">
        <v>2672</v>
      </c>
      <c r="AL223" s="560" t="s">
        <v>2673</v>
      </c>
      <c r="AM223" s="460" t="s">
        <v>2674</v>
      </c>
    </row>
    <row r="224" spans="1:39" ht="22.8">
      <c r="A224" s="460" t="s">
        <v>1810</v>
      </c>
      <c r="B224" s="460"/>
      <c r="C224" s="460" t="s">
        <v>1317</v>
      </c>
      <c r="D224" s="460" t="s">
        <v>2287</v>
      </c>
      <c r="E224" s="460" t="s">
        <v>1814</v>
      </c>
      <c r="F224" s="460" t="s">
        <v>1812</v>
      </c>
      <c r="G224" s="461" t="s">
        <v>1218</v>
      </c>
      <c r="H224" s="461" t="s">
        <v>215</v>
      </c>
      <c r="I224" s="460" t="s">
        <v>2286</v>
      </c>
      <c r="J224" s="460" t="s">
        <v>1990</v>
      </c>
      <c r="K224" s="460" t="s">
        <v>2669</v>
      </c>
      <c r="L224" s="460" t="s">
        <v>2715</v>
      </c>
      <c r="M224" s="460" t="s">
        <v>1982</v>
      </c>
      <c r="N224" s="460" t="s">
        <v>1981</v>
      </c>
      <c r="O224" s="460" t="s">
        <v>1980</v>
      </c>
      <c r="P224" s="460" t="s">
        <v>2675</v>
      </c>
      <c r="Q224" s="460" t="s">
        <v>2676</v>
      </c>
      <c r="R224" s="460" t="s">
        <v>2677</v>
      </c>
      <c r="S224" s="460" t="s">
        <v>2676</v>
      </c>
      <c r="T224" s="460" t="s">
        <v>1827</v>
      </c>
      <c r="U224" s="461" t="s">
        <v>1824</v>
      </c>
      <c r="V224" s="460" t="s">
        <v>1843</v>
      </c>
      <c r="W224" s="560"/>
      <c r="X224" s="461" t="s">
        <v>1824</v>
      </c>
      <c r="Y224" s="461" t="s">
        <v>2683</v>
      </c>
      <c r="Z224" s="461" t="s">
        <v>170</v>
      </c>
      <c r="AA224" s="460" t="s">
        <v>1218</v>
      </c>
      <c r="AB224" s="561">
        <f>ROUND(140,2)</f>
        <v>140</v>
      </c>
      <c r="AC224" s="460" t="s">
        <v>2678</v>
      </c>
      <c r="AD224" s="460"/>
      <c r="AE224" s="561">
        <f>ROUND(1000,2)</f>
        <v>1000</v>
      </c>
      <c r="AF224" s="460" t="s">
        <v>2679</v>
      </c>
      <c r="AG224" s="561">
        <f t="shared" si="3"/>
        <v>0</v>
      </c>
      <c r="AH224" s="460" t="s">
        <v>2671</v>
      </c>
      <c r="AI224" s="460" t="s">
        <v>1214</v>
      </c>
      <c r="AJ224" s="460" t="s">
        <v>2550</v>
      </c>
      <c r="AK224" s="460" t="s">
        <v>2672</v>
      </c>
      <c r="AL224" s="560" t="s">
        <v>2721</v>
      </c>
      <c r="AM224" s="460" t="s">
        <v>2674</v>
      </c>
    </row>
    <row r="225" spans="1:39" ht="22.8">
      <c r="A225" s="460" t="s">
        <v>1810</v>
      </c>
      <c r="B225" s="460"/>
      <c r="C225" s="460" t="s">
        <v>1317</v>
      </c>
      <c r="D225" s="460" t="s">
        <v>2287</v>
      </c>
      <c r="E225" s="460" t="s">
        <v>1814</v>
      </c>
      <c r="F225" s="460" t="s">
        <v>1812</v>
      </c>
      <c r="G225" s="461" t="s">
        <v>1218</v>
      </c>
      <c r="H225" s="461" t="s">
        <v>215</v>
      </c>
      <c r="I225" s="460" t="s">
        <v>2286</v>
      </c>
      <c r="J225" s="460" t="s">
        <v>1990</v>
      </c>
      <c r="K225" s="460" t="s">
        <v>2669</v>
      </c>
      <c r="L225" s="460" t="s">
        <v>2715</v>
      </c>
      <c r="M225" s="460" t="s">
        <v>1982</v>
      </c>
      <c r="N225" s="460" t="s">
        <v>1981</v>
      </c>
      <c r="O225" s="460" t="s">
        <v>1980</v>
      </c>
      <c r="P225" s="460" t="s">
        <v>1979</v>
      </c>
      <c r="Q225" s="460" t="s">
        <v>1978</v>
      </c>
      <c r="R225" s="460" t="s">
        <v>1977</v>
      </c>
      <c r="S225" s="460" t="s">
        <v>1826</v>
      </c>
      <c r="T225" s="460" t="s">
        <v>1827</v>
      </c>
      <c r="U225" s="461" t="s">
        <v>1976</v>
      </c>
      <c r="V225" s="460" t="s">
        <v>1967</v>
      </c>
      <c r="W225" s="560"/>
      <c r="X225" s="461" t="s">
        <v>1824</v>
      </c>
      <c r="Y225" s="461" t="s">
        <v>1824</v>
      </c>
      <c r="Z225" s="461" t="s">
        <v>170</v>
      </c>
      <c r="AA225" s="460" t="s">
        <v>1218</v>
      </c>
      <c r="AB225" s="561">
        <f>ROUND(315.48,2)</f>
        <v>315.48</v>
      </c>
      <c r="AC225" s="460" t="s">
        <v>308</v>
      </c>
      <c r="AD225" s="460"/>
      <c r="AE225" s="561">
        <f>ROUND(1466.88,2)</f>
        <v>1466.88</v>
      </c>
      <c r="AF225" s="460" t="s">
        <v>308</v>
      </c>
      <c r="AG225" s="561">
        <f t="shared" si="3"/>
        <v>0</v>
      </c>
      <c r="AH225" s="460" t="s">
        <v>2671</v>
      </c>
      <c r="AI225" s="460" t="s">
        <v>1214</v>
      </c>
      <c r="AJ225" s="460" t="s">
        <v>2549</v>
      </c>
      <c r="AK225" s="460" t="s">
        <v>2672</v>
      </c>
      <c r="AL225" s="560" t="s">
        <v>2761</v>
      </c>
      <c r="AM225" s="460" t="s">
        <v>2674</v>
      </c>
    </row>
    <row r="226" spans="1:39" ht="22.8">
      <c r="A226" s="460" t="s">
        <v>1810</v>
      </c>
      <c r="B226" s="460"/>
      <c r="C226" s="460" t="s">
        <v>1522</v>
      </c>
      <c r="D226" s="460" t="s">
        <v>2285</v>
      </c>
      <c r="E226" s="460" t="s">
        <v>1813</v>
      </c>
      <c r="F226" s="460" t="s">
        <v>1812</v>
      </c>
      <c r="G226" s="461" t="s">
        <v>1218</v>
      </c>
      <c r="H226" s="461" t="s">
        <v>263</v>
      </c>
      <c r="I226" s="460" t="s">
        <v>2284</v>
      </c>
      <c r="J226" s="460" t="s">
        <v>1990</v>
      </c>
      <c r="K226" s="460" t="s">
        <v>2669</v>
      </c>
      <c r="L226" s="460" t="s">
        <v>2682</v>
      </c>
      <c r="M226" s="460" t="s">
        <v>2028</v>
      </c>
      <c r="N226" s="460" t="s">
        <v>1981</v>
      </c>
      <c r="O226" s="460" t="s">
        <v>2001</v>
      </c>
      <c r="P226" s="460" t="s">
        <v>1979</v>
      </c>
      <c r="Q226" s="460" t="s">
        <v>95</v>
      </c>
      <c r="R226" s="460" t="s">
        <v>1977</v>
      </c>
      <c r="S226" s="460" t="s">
        <v>1842</v>
      </c>
      <c r="T226" s="460" t="s">
        <v>1827</v>
      </c>
      <c r="U226" s="461" t="s">
        <v>1976</v>
      </c>
      <c r="V226" s="460" t="s">
        <v>1119</v>
      </c>
      <c r="W226" s="560"/>
      <c r="X226" s="461" t="s">
        <v>1824</v>
      </c>
      <c r="Y226" s="461" t="s">
        <v>1824</v>
      </c>
      <c r="Z226" s="461" t="s">
        <v>170</v>
      </c>
      <c r="AA226" s="460" t="s">
        <v>1218</v>
      </c>
      <c r="AB226" s="561">
        <f>ROUND(0,2)</f>
        <v>0</v>
      </c>
      <c r="AC226" s="460" t="s">
        <v>308</v>
      </c>
      <c r="AD226" s="460"/>
      <c r="AE226" s="561">
        <f>ROUND(36.23,2)</f>
        <v>36.229999999999997</v>
      </c>
      <c r="AF226" s="460" t="s">
        <v>308</v>
      </c>
      <c r="AG226" s="561">
        <f t="shared" si="3"/>
        <v>0</v>
      </c>
      <c r="AH226" s="460" t="s">
        <v>2671</v>
      </c>
      <c r="AI226" s="460" t="s">
        <v>1214</v>
      </c>
      <c r="AJ226" s="460"/>
      <c r="AK226" s="460"/>
      <c r="AL226" s="560"/>
      <c r="AM226" s="460"/>
    </row>
    <row r="227" spans="1:39" ht="22.8">
      <c r="A227" s="460" t="s">
        <v>1810</v>
      </c>
      <c r="B227" s="460"/>
      <c r="C227" s="460" t="s">
        <v>1522</v>
      </c>
      <c r="D227" s="460" t="s">
        <v>2285</v>
      </c>
      <c r="E227" s="460" t="s">
        <v>1813</v>
      </c>
      <c r="F227" s="460" t="s">
        <v>1812</v>
      </c>
      <c r="G227" s="461" t="s">
        <v>1218</v>
      </c>
      <c r="H227" s="461" t="s">
        <v>263</v>
      </c>
      <c r="I227" s="460" t="s">
        <v>2284</v>
      </c>
      <c r="J227" s="460" t="s">
        <v>1990</v>
      </c>
      <c r="K227" s="460" t="s">
        <v>2669</v>
      </c>
      <c r="L227" s="460" t="s">
        <v>2682</v>
      </c>
      <c r="M227" s="460" t="s">
        <v>2028</v>
      </c>
      <c r="N227" s="460" t="s">
        <v>1981</v>
      </c>
      <c r="O227" s="460" t="s">
        <v>2001</v>
      </c>
      <c r="P227" s="460" t="s">
        <v>2675</v>
      </c>
      <c r="Q227" s="460" t="s">
        <v>2676</v>
      </c>
      <c r="R227" s="460" t="s">
        <v>2677</v>
      </c>
      <c r="S227" s="460" t="s">
        <v>2676</v>
      </c>
      <c r="T227" s="460" t="s">
        <v>1827</v>
      </c>
      <c r="U227" s="461" t="s">
        <v>1824</v>
      </c>
      <c r="V227" s="460" t="s">
        <v>1119</v>
      </c>
      <c r="W227" s="560"/>
      <c r="X227" s="461" t="s">
        <v>1824</v>
      </c>
      <c r="Y227" s="461" t="s">
        <v>1824</v>
      </c>
      <c r="Z227" s="461" t="s">
        <v>170</v>
      </c>
      <c r="AA227" s="460" t="s">
        <v>1218</v>
      </c>
      <c r="AB227" s="561">
        <f>ROUND(0,2)</f>
        <v>0</v>
      </c>
      <c r="AC227" s="460" t="s">
        <v>2678</v>
      </c>
      <c r="AD227" s="460"/>
      <c r="AE227" s="561">
        <f>ROUND(500.05,2)</f>
        <v>500.05</v>
      </c>
      <c r="AF227" s="460" t="s">
        <v>2679</v>
      </c>
      <c r="AG227" s="561">
        <f t="shared" si="3"/>
        <v>0</v>
      </c>
      <c r="AH227" s="460" t="s">
        <v>2671</v>
      </c>
      <c r="AI227" s="460" t="s">
        <v>1214</v>
      </c>
      <c r="AJ227" s="460"/>
      <c r="AK227" s="460"/>
      <c r="AL227" s="560"/>
      <c r="AM227" s="460"/>
    </row>
    <row r="228" spans="1:39" ht="22.8">
      <c r="A228" s="460" t="s">
        <v>1810</v>
      </c>
      <c r="B228" s="460"/>
      <c r="C228" s="460" t="s">
        <v>1522</v>
      </c>
      <c r="D228" s="460" t="s">
        <v>2285</v>
      </c>
      <c r="E228" s="460" t="s">
        <v>1813</v>
      </c>
      <c r="F228" s="460" t="s">
        <v>1812</v>
      </c>
      <c r="G228" s="461" t="s">
        <v>1218</v>
      </c>
      <c r="H228" s="461" t="s">
        <v>263</v>
      </c>
      <c r="I228" s="460" t="s">
        <v>2284</v>
      </c>
      <c r="J228" s="460" t="s">
        <v>1990</v>
      </c>
      <c r="K228" s="460" t="s">
        <v>2669</v>
      </c>
      <c r="L228" s="460" t="s">
        <v>2682</v>
      </c>
      <c r="M228" s="460" t="s">
        <v>2028</v>
      </c>
      <c r="N228" s="460" t="s">
        <v>1981</v>
      </c>
      <c r="O228" s="460" t="s">
        <v>2001</v>
      </c>
      <c r="P228" s="460" t="s">
        <v>1979</v>
      </c>
      <c r="Q228" s="460" t="s">
        <v>1978</v>
      </c>
      <c r="R228" s="460" t="s">
        <v>1977</v>
      </c>
      <c r="S228" s="460" t="s">
        <v>1826</v>
      </c>
      <c r="T228" s="460" t="s">
        <v>1827</v>
      </c>
      <c r="U228" s="461" t="s">
        <v>1976</v>
      </c>
      <c r="V228" s="460" t="s">
        <v>1119</v>
      </c>
      <c r="W228" s="560"/>
      <c r="X228" s="461" t="s">
        <v>1824</v>
      </c>
      <c r="Y228" s="461" t="s">
        <v>1824</v>
      </c>
      <c r="Z228" s="461" t="s">
        <v>170</v>
      </c>
      <c r="AA228" s="460" t="s">
        <v>1218</v>
      </c>
      <c r="AB228" s="561">
        <f>ROUND(29.05,2)</f>
        <v>29.05</v>
      </c>
      <c r="AC228" s="460" t="s">
        <v>308</v>
      </c>
      <c r="AD228" s="460"/>
      <c r="AE228" s="561">
        <f>ROUND(825.23,2)</f>
        <v>825.23</v>
      </c>
      <c r="AF228" s="460" t="s">
        <v>308</v>
      </c>
      <c r="AG228" s="561">
        <f t="shared" si="3"/>
        <v>0</v>
      </c>
      <c r="AH228" s="460" t="s">
        <v>2671</v>
      </c>
      <c r="AI228" s="460" t="s">
        <v>1214</v>
      </c>
      <c r="AJ228" s="460" t="s">
        <v>2549</v>
      </c>
      <c r="AK228" s="460" t="s">
        <v>2672</v>
      </c>
      <c r="AL228" s="560" t="s">
        <v>2692</v>
      </c>
      <c r="AM228" s="460" t="s">
        <v>2674</v>
      </c>
    </row>
    <row r="229" spans="1:39" ht="22.8">
      <c r="A229" s="460" t="s">
        <v>1810</v>
      </c>
      <c r="B229" s="460"/>
      <c r="C229" s="460" t="s">
        <v>1749</v>
      </c>
      <c r="D229" s="460" t="s">
        <v>2283</v>
      </c>
      <c r="E229" s="460" t="s">
        <v>1814</v>
      </c>
      <c r="F229" s="460" t="s">
        <v>1812</v>
      </c>
      <c r="G229" s="461" t="s">
        <v>1218</v>
      </c>
      <c r="H229" s="461" t="s">
        <v>1836</v>
      </c>
      <c r="I229" s="460" t="s">
        <v>2016</v>
      </c>
      <c r="J229" s="460" t="s">
        <v>1990</v>
      </c>
      <c r="K229" s="460" t="s">
        <v>2669</v>
      </c>
      <c r="L229" s="460" t="s">
        <v>2707</v>
      </c>
      <c r="M229" s="460" t="s">
        <v>1982</v>
      </c>
      <c r="N229" s="460" t="s">
        <v>1981</v>
      </c>
      <c r="O229" s="460" t="s">
        <v>1980</v>
      </c>
      <c r="P229" s="460" t="s">
        <v>1979</v>
      </c>
      <c r="Q229" s="460" t="s">
        <v>95</v>
      </c>
      <c r="R229" s="460" t="s">
        <v>1977</v>
      </c>
      <c r="S229" s="460" t="s">
        <v>1842</v>
      </c>
      <c r="T229" s="460" t="s">
        <v>1827</v>
      </c>
      <c r="U229" s="461" t="s">
        <v>1976</v>
      </c>
      <c r="V229" s="460" t="s">
        <v>1119</v>
      </c>
      <c r="W229" s="560"/>
      <c r="X229" s="461" t="s">
        <v>2282</v>
      </c>
      <c r="Y229" s="461" t="s">
        <v>2282</v>
      </c>
      <c r="Z229" s="461" t="s">
        <v>170</v>
      </c>
      <c r="AA229" s="460" t="s">
        <v>1218</v>
      </c>
      <c r="AB229" s="561">
        <f>ROUND(0,2)</f>
        <v>0</v>
      </c>
      <c r="AC229" s="460" t="s">
        <v>308</v>
      </c>
      <c r="AD229" s="460"/>
      <c r="AE229" s="561">
        <f>ROUND(36.23,2)</f>
        <v>36.229999999999997</v>
      </c>
      <c r="AF229" s="460" t="s">
        <v>308</v>
      </c>
      <c r="AG229" s="561">
        <f t="shared" si="3"/>
        <v>0</v>
      </c>
      <c r="AH229" s="460" t="s">
        <v>2671</v>
      </c>
      <c r="AI229" s="460" t="s">
        <v>1214</v>
      </c>
      <c r="AJ229" s="460"/>
      <c r="AK229" s="460"/>
      <c r="AL229" s="560"/>
      <c r="AM229" s="460"/>
    </row>
    <row r="230" spans="1:39" ht="22.8">
      <c r="A230" s="460" t="s">
        <v>1810</v>
      </c>
      <c r="B230" s="460"/>
      <c r="C230" s="460" t="s">
        <v>1749</v>
      </c>
      <c r="D230" s="460" t="s">
        <v>2283</v>
      </c>
      <c r="E230" s="460" t="s">
        <v>1814</v>
      </c>
      <c r="F230" s="460" t="s">
        <v>1812</v>
      </c>
      <c r="G230" s="461" t="s">
        <v>1218</v>
      </c>
      <c r="H230" s="461" t="s">
        <v>1836</v>
      </c>
      <c r="I230" s="460" t="s">
        <v>2016</v>
      </c>
      <c r="J230" s="460" t="s">
        <v>1990</v>
      </c>
      <c r="K230" s="460" t="s">
        <v>2669</v>
      </c>
      <c r="L230" s="460" t="s">
        <v>2707</v>
      </c>
      <c r="M230" s="460" t="s">
        <v>1982</v>
      </c>
      <c r="N230" s="460" t="s">
        <v>1981</v>
      </c>
      <c r="O230" s="460" t="s">
        <v>1980</v>
      </c>
      <c r="P230" s="460" t="s">
        <v>2675</v>
      </c>
      <c r="Q230" s="460" t="s">
        <v>2676</v>
      </c>
      <c r="R230" s="460" t="s">
        <v>2677</v>
      </c>
      <c r="S230" s="460" t="s">
        <v>2676</v>
      </c>
      <c r="T230" s="460" t="s">
        <v>1827</v>
      </c>
      <c r="U230" s="461" t="s">
        <v>1824</v>
      </c>
      <c r="V230" s="460" t="s">
        <v>1119</v>
      </c>
      <c r="W230" s="560"/>
      <c r="X230" s="461" t="s">
        <v>2282</v>
      </c>
      <c r="Y230" s="461" t="s">
        <v>2282</v>
      </c>
      <c r="Z230" s="461" t="s">
        <v>170</v>
      </c>
      <c r="AA230" s="460" t="s">
        <v>1218</v>
      </c>
      <c r="AB230" s="561">
        <f>ROUND(25,2)</f>
        <v>25</v>
      </c>
      <c r="AC230" s="460" t="s">
        <v>2678</v>
      </c>
      <c r="AD230" s="460"/>
      <c r="AE230" s="561">
        <f>ROUND(500.05,2)</f>
        <v>500.05</v>
      </c>
      <c r="AF230" s="460" t="s">
        <v>2679</v>
      </c>
      <c r="AG230" s="561">
        <f t="shared" si="3"/>
        <v>0</v>
      </c>
      <c r="AH230" s="460" t="s">
        <v>2671</v>
      </c>
      <c r="AI230" s="460" t="s">
        <v>1214</v>
      </c>
      <c r="AJ230" s="460" t="s">
        <v>2550</v>
      </c>
      <c r="AK230" s="460" t="s">
        <v>2672</v>
      </c>
      <c r="AL230" s="560" t="s">
        <v>2680</v>
      </c>
      <c r="AM230" s="460" t="s">
        <v>2674</v>
      </c>
    </row>
    <row r="231" spans="1:39" ht="22.8">
      <c r="A231" s="460" t="s">
        <v>1810</v>
      </c>
      <c r="B231" s="460"/>
      <c r="C231" s="460" t="s">
        <v>1749</v>
      </c>
      <c r="D231" s="460" t="s">
        <v>2283</v>
      </c>
      <c r="E231" s="460" t="s">
        <v>1814</v>
      </c>
      <c r="F231" s="460" t="s">
        <v>1812</v>
      </c>
      <c r="G231" s="461" t="s">
        <v>1218</v>
      </c>
      <c r="H231" s="461" t="s">
        <v>1836</v>
      </c>
      <c r="I231" s="460" t="s">
        <v>2016</v>
      </c>
      <c r="J231" s="460" t="s">
        <v>1990</v>
      </c>
      <c r="K231" s="460" t="s">
        <v>2669</v>
      </c>
      <c r="L231" s="460" t="s">
        <v>2707</v>
      </c>
      <c r="M231" s="460" t="s">
        <v>1982</v>
      </c>
      <c r="N231" s="460" t="s">
        <v>1981</v>
      </c>
      <c r="O231" s="460" t="s">
        <v>1980</v>
      </c>
      <c r="P231" s="460" t="s">
        <v>1979</v>
      </c>
      <c r="Q231" s="460" t="s">
        <v>1978</v>
      </c>
      <c r="R231" s="460" t="s">
        <v>1977</v>
      </c>
      <c r="S231" s="460" t="s">
        <v>1826</v>
      </c>
      <c r="T231" s="460" t="s">
        <v>1827</v>
      </c>
      <c r="U231" s="461" t="s">
        <v>1976</v>
      </c>
      <c r="V231" s="460" t="s">
        <v>1119</v>
      </c>
      <c r="W231" s="560"/>
      <c r="X231" s="461" t="s">
        <v>2282</v>
      </c>
      <c r="Y231" s="461" t="s">
        <v>2282</v>
      </c>
      <c r="Z231" s="461" t="s">
        <v>170</v>
      </c>
      <c r="AA231" s="460" t="s">
        <v>1218</v>
      </c>
      <c r="AB231" s="561">
        <f>ROUND(25.63,2)</f>
        <v>25.63</v>
      </c>
      <c r="AC231" s="460" t="s">
        <v>308</v>
      </c>
      <c r="AD231" s="460"/>
      <c r="AE231" s="561">
        <f>ROUND(828.65,2)</f>
        <v>828.65</v>
      </c>
      <c r="AF231" s="460" t="s">
        <v>308</v>
      </c>
      <c r="AG231" s="561">
        <f t="shared" si="3"/>
        <v>0</v>
      </c>
      <c r="AH231" s="460" t="s">
        <v>2671</v>
      </c>
      <c r="AI231" s="460" t="s">
        <v>1214</v>
      </c>
      <c r="AJ231" s="460" t="s">
        <v>2549</v>
      </c>
      <c r="AK231" s="460" t="s">
        <v>2672</v>
      </c>
      <c r="AL231" s="560" t="s">
        <v>2685</v>
      </c>
      <c r="AM231" s="460" t="s">
        <v>2674</v>
      </c>
    </row>
    <row r="232" spans="1:39" ht="22.8">
      <c r="A232" s="460" t="s">
        <v>1810</v>
      </c>
      <c r="B232" s="460"/>
      <c r="C232" s="460" t="s">
        <v>1633</v>
      </c>
      <c r="D232" s="460" t="s">
        <v>2048</v>
      </c>
      <c r="E232" s="460" t="s">
        <v>1814</v>
      </c>
      <c r="F232" s="460" t="s">
        <v>1812</v>
      </c>
      <c r="G232" s="461" t="s">
        <v>1218</v>
      </c>
      <c r="H232" s="461" t="s">
        <v>1037</v>
      </c>
      <c r="I232" s="460" t="s">
        <v>2779</v>
      </c>
      <c r="J232" s="460" t="s">
        <v>1990</v>
      </c>
      <c r="K232" s="460" t="s">
        <v>2669</v>
      </c>
      <c r="L232" s="460" t="s">
        <v>2715</v>
      </c>
      <c r="M232" s="460" t="s">
        <v>1982</v>
      </c>
      <c r="N232" s="460" t="s">
        <v>1981</v>
      </c>
      <c r="O232" s="460" t="s">
        <v>1980</v>
      </c>
      <c r="P232" s="460" t="s">
        <v>1979</v>
      </c>
      <c r="Q232" s="460" t="s">
        <v>95</v>
      </c>
      <c r="R232" s="460" t="s">
        <v>1977</v>
      </c>
      <c r="S232" s="460" t="s">
        <v>1842</v>
      </c>
      <c r="T232" s="460" t="s">
        <v>1827</v>
      </c>
      <c r="U232" s="461" t="s">
        <v>1976</v>
      </c>
      <c r="V232" s="460" t="s">
        <v>1119</v>
      </c>
      <c r="W232" s="560"/>
      <c r="X232" s="461" t="s">
        <v>2683</v>
      </c>
      <c r="Y232" s="461" t="s">
        <v>2683</v>
      </c>
      <c r="Z232" s="461" t="s">
        <v>170</v>
      </c>
      <c r="AA232" s="460" t="s">
        <v>1218</v>
      </c>
      <c r="AB232" s="561">
        <f>ROUND(0,2)</f>
        <v>0</v>
      </c>
      <c r="AC232" s="460" t="s">
        <v>308</v>
      </c>
      <c r="AD232" s="460"/>
      <c r="AE232" s="561">
        <f>ROUND(36.23,2)</f>
        <v>36.229999999999997</v>
      </c>
      <c r="AF232" s="460" t="s">
        <v>308</v>
      </c>
      <c r="AG232" s="561">
        <f t="shared" si="3"/>
        <v>0</v>
      </c>
      <c r="AH232" s="460" t="s">
        <v>2671</v>
      </c>
      <c r="AI232" s="460" t="s">
        <v>1214</v>
      </c>
      <c r="AJ232" s="460"/>
      <c r="AK232" s="460"/>
      <c r="AL232" s="560"/>
      <c r="AM232" s="460"/>
    </row>
    <row r="233" spans="1:39" ht="22.8">
      <c r="A233" s="460" t="s">
        <v>1810</v>
      </c>
      <c r="B233" s="460"/>
      <c r="C233" s="460" t="s">
        <v>1718</v>
      </c>
      <c r="D233" s="460" t="s">
        <v>2281</v>
      </c>
      <c r="E233" s="460" t="s">
        <v>1838</v>
      </c>
      <c r="F233" s="460" t="s">
        <v>1812</v>
      </c>
      <c r="G233" s="461" t="s">
        <v>1218</v>
      </c>
      <c r="H233" s="461" t="s">
        <v>1837</v>
      </c>
      <c r="I233" s="460" t="s">
        <v>2280</v>
      </c>
      <c r="J233" s="460" t="s">
        <v>1990</v>
      </c>
      <c r="K233" s="460" t="s">
        <v>2669</v>
      </c>
      <c r="L233" s="460" t="s">
        <v>2780</v>
      </c>
      <c r="M233" s="460" t="s">
        <v>2002</v>
      </c>
      <c r="N233" s="460" t="s">
        <v>1981</v>
      </c>
      <c r="O233" s="460" t="s">
        <v>2001</v>
      </c>
      <c r="P233" s="460" t="s">
        <v>1979</v>
      </c>
      <c r="Q233" s="460" t="s">
        <v>95</v>
      </c>
      <c r="R233" s="460" t="s">
        <v>1977</v>
      </c>
      <c r="S233" s="460" t="s">
        <v>1842</v>
      </c>
      <c r="T233" s="460" t="s">
        <v>1827</v>
      </c>
      <c r="U233" s="461" t="s">
        <v>1976</v>
      </c>
      <c r="V233" s="460" t="s">
        <v>1119</v>
      </c>
      <c r="W233" s="560"/>
      <c r="X233" s="461" t="s">
        <v>2077</v>
      </c>
      <c r="Y233" s="461" t="s">
        <v>2077</v>
      </c>
      <c r="Z233" s="461" t="s">
        <v>170</v>
      </c>
      <c r="AA233" s="460" t="s">
        <v>1218</v>
      </c>
      <c r="AB233" s="561">
        <f>ROUND(0,2)</f>
        <v>0</v>
      </c>
      <c r="AC233" s="460" t="s">
        <v>308</v>
      </c>
      <c r="AD233" s="460"/>
      <c r="AE233" s="561">
        <f>ROUND(36.23,2)</f>
        <v>36.229999999999997</v>
      </c>
      <c r="AF233" s="460" t="s">
        <v>308</v>
      </c>
      <c r="AG233" s="561">
        <f t="shared" si="3"/>
        <v>0</v>
      </c>
      <c r="AH233" s="460" t="s">
        <v>2671</v>
      </c>
      <c r="AI233" s="460" t="s">
        <v>1214</v>
      </c>
      <c r="AJ233" s="460"/>
      <c r="AK233" s="460"/>
      <c r="AL233" s="560"/>
      <c r="AM233" s="460"/>
    </row>
    <row r="234" spans="1:39" ht="22.8">
      <c r="A234" s="460" t="s">
        <v>1810</v>
      </c>
      <c r="B234" s="460"/>
      <c r="C234" s="460" t="s">
        <v>1718</v>
      </c>
      <c r="D234" s="460" t="s">
        <v>2281</v>
      </c>
      <c r="E234" s="460" t="s">
        <v>1838</v>
      </c>
      <c r="F234" s="460" t="s">
        <v>1812</v>
      </c>
      <c r="G234" s="461" t="s">
        <v>1218</v>
      </c>
      <c r="H234" s="461" t="s">
        <v>1837</v>
      </c>
      <c r="I234" s="460" t="s">
        <v>2280</v>
      </c>
      <c r="J234" s="460" t="s">
        <v>1990</v>
      </c>
      <c r="K234" s="460" t="s">
        <v>2669</v>
      </c>
      <c r="L234" s="460" t="s">
        <v>2780</v>
      </c>
      <c r="M234" s="460" t="s">
        <v>2002</v>
      </c>
      <c r="N234" s="460" t="s">
        <v>1981</v>
      </c>
      <c r="O234" s="460" t="s">
        <v>2001</v>
      </c>
      <c r="P234" s="460" t="s">
        <v>2675</v>
      </c>
      <c r="Q234" s="460" t="s">
        <v>2676</v>
      </c>
      <c r="R234" s="460" t="s">
        <v>2677</v>
      </c>
      <c r="S234" s="460" t="s">
        <v>2676</v>
      </c>
      <c r="T234" s="460" t="s">
        <v>1827</v>
      </c>
      <c r="U234" s="461" t="s">
        <v>1824</v>
      </c>
      <c r="V234" s="460" t="s">
        <v>1119</v>
      </c>
      <c r="W234" s="560"/>
      <c r="X234" s="461" t="s">
        <v>1824</v>
      </c>
      <c r="Y234" s="461" t="s">
        <v>1824</v>
      </c>
      <c r="Z234" s="461" t="s">
        <v>170</v>
      </c>
      <c r="AA234" s="460" t="s">
        <v>1218</v>
      </c>
      <c r="AB234" s="561">
        <f>ROUND(85,2)</f>
        <v>85</v>
      </c>
      <c r="AC234" s="460" t="s">
        <v>2678</v>
      </c>
      <c r="AD234" s="460"/>
      <c r="AE234" s="561">
        <f>ROUND(500.05,2)</f>
        <v>500.05</v>
      </c>
      <c r="AF234" s="460" t="s">
        <v>2679</v>
      </c>
      <c r="AG234" s="561">
        <f t="shared" si="3"/>
        <v>0</v>
      </c>
      <c r="AH234" s="460" t="s">
        <v>2671</v>
      </c>
      <c r="AI234" s="460" t="s">
        <v>1214</v>
      </c>
      <c r="AJ234" s="460" t="s">
        <v>2550</v>
      </c>
      <c r="AK234" s="460" t="s">
        <v>2672</v>
      </c>
      <c r="AL234" s="560" t="s">
        <v>2774</v>
      </c>
      <c r="AM234" s="460" t="s">
        <v>2674</v>
      </c>
    </row>
    <row r="235" spans="1:39" ht="22.8">
      <c r="A235" s="460" t="s">
        <v>1810</v>
      </c>
      <c r="B235" s="460"/>
      <c r="C235" s="460" t="s">
        <v>1718</v>
      </c>
      <c r="D235" s="460" t="s">
        <v>2281</v>
      </c>
      <c r="E235" s="460" t="s">
        <v>1838</v>
      </c>
      <c r="F235" s="460" t="s">
        <v>1812</v>
      </c>
      <c r="G235" s="461" t="s">
        <v>1218</v>
      </c>
      <c r="H235" s="461" t="s">
        <v>1837</v>
      </c>
      <c r="I235" s="460" t="s">
        <v>2280</v>
      </c>
      <c r="J235" s="460" t="s">
        <v>1990</v>
      </c>
      <c r="K235" s="460" t="s">
        <v>2669</v>
      </c>
      <c r="L235" s="460" t="s">
        <v>2780</v>
      </c>
      <c r="M235" s="460" t="s">
        <v>2002</v>
      </c>
      <c r="N235" s="460" t="s">
        <v>1981</v>
      </c>
      <c r="O235" s="460" t="s">
        <v>2001</v>
      </c>
      <c r="P235" s="460" t="s">
        <v>1979</v>
      </c>
      <c r="Q235" s="460" t="s">
        <v>1978</v>
      </c>
      <c r="R235" s="460" t="s">
        <v>1977</v>
      </c>
      <c r="S235" s="460" t="s">
        <v>1826</v>
      </c>
      <c r="T235" s="460" t="s">
        <v>1827</v>
      </c>
      <c r="U235" s="461" t="s">
        <v>1976</v>
      </c>
      <c r="V235" s="460" t="s">
        <v>1119</v>
      </c>
      <c r="W235" s="560"/>
      <c r="X235" s="461" t="s">
        <v>2077</v>
      </c>
      <c r="Y235" s="461" t="s">
        <v>2077</v>
      </c>
      <c r="Z235" s="461" t="s">
        <v>170</v>
      </c>
      <c r="AA235" s="460" t="s">
        <v>1218</v>
      </c>
      <c r="AB235" s="561">
        <f>ROUND(29.05,2)</f>
        <v>29.05</v>
      </c>
      <c r="AC235" s="460" t="s">
        <v>308</v>
      </c>
      <c r="AD235" s="460"/>
      <c r="AE235" s="561">
        <f>ROUND(825.23,2)</f>
        <v>825.23</v>
      </c>
      <c r="AF235" s="460" t="s">
        <v>308</v>
      </c>
      <c r="AG235" s="561">
        <f t="shared" si="3"/>
        <v>0</v>
      </c>
      <c r="AH235" s="460" t="s">
        <v>2671</v>
      </c>
      <c r="AI235" s="460" t="s">
        <v>1214</v>
      </c>
      <c r="AJ235" s="460" t="s">
        <v>2549</v>
      </c>
      <c r="AK235" s="460" t="s">
        <v>2672</v>
      </c>
      <c r="AL235" s="560" t="s">
        <v>2692</v>
      </c>
      <c r="AM235" s="460" t="s">
        <v>2674</v>
      </c>
    </row>
    <row r="236" spans="1:39" ht="22.8">
      <c r="A236" s="460" t="s">
        <v>1810</v>
      </c>
      <c r="B236" s="460"/>
      <c r="C236" s="460" t="s">
        <v>1330</v>
      </c>
      <c r="D236" s="460" t="s">
        <v>2238</v>
      </c>
      <c r="E236" s="460" t="s">
        <v>1814</v>
      </c>
      <c r="F236" s="460" t="s">
        <v>1812</v>
      </c>
      <c r="G236" s="461" t="s">
        <v>1218</v>
      </c>
      <c r="H236" s="461" t="s">
        <v>201</v>
      </c>
      <c r="I236" s="460" t="s">
        <v>2278</v>
      </c>
      <c r="J236" s="460" t="s">
        <v>1983</v>
      </c>
      <c r="K236" s="460" t="s">
        <v>2669</v>
      </c>
      <c r="L236" s="460" t="s">
        <v>2703</v>
      </c>
      <c r="M236" s="460" t="s">
        <v>1982</v>
      </c>
      <c r="N236" s="460" t="s">
        <v>1981</v>
      </c>
      <c r="O236" s="460" t="s">
        <v>1980</v>
      </c>
      <c r="P236" s="460" t="s">
        <v>1979</v>
      </c>
      <c r="Q236" s="460" t="s">
        <v>95</v>
      </c>
      <c r="R236" s="460" t="s">
        <v>1977</v>
      </c>
      <c r="S236" s="460" t="s">
        <v>1842</v>
      </c>
      <c r="T236" s="460" t="s">
        <v>1827</v>
      </c>
      <c r="U236" s="461" t="s">
        <v>1976</v>
      </c>
      <c r="V236" s="460" t="s">
        <v>1119</v>
      </c>
      <c r="W236" s="560"/>
      <c r="X236" s="461" t="s">
        <v>1824</v>
      </c>
      <c r="Y236" s="461" t="s">
        <v>1824</v>
      </c>
      <c r="Z236" s="461" t="s">
        <v>170</v>
      </c>
      <c r="AA236" s="460" t="s">
        <v>1218</v>
      </c>
      <c r="AB236" s="561">
        <f>ROUND(0,2)</f>
        <v>0</v>
      </c>
      <c r="AC236" s="460" t="s">
        <v>308</v>
      </c>
      <c r="AD236" s="460"/>
      <c r="AE236" s="561">
        <f>ROUND(36.23,2)</f>
        <v>36.229999999999997</v>
      </c>
      <c r="AF236" s="460" t="s">
        <v>308</v>
      </c>
      <c r="AG236" s="561">
        <f t="shared" si="3"/>
        <v>0</v>
      </c>
      <c r="AH236" s="460" t="s">
        <v>2671</v>
      </c>
      <c r="AI236" s="460" t="s">
        <v>1214</v>
      </c>
      <c r="AJ236" s="460"/>
      <c r="AK236" s="460"/>
      <c r="AL236" s="560"/>
      <c r="AM236" s="460"/>
    </row>
    <row r="237" spans="1:39" ht="22.8">
      <c r="A237" s="460" t="s">
        <v>1810</v>
      </c>
      <c r="B237" s="460"/>
      <c r="C237" s="460" t="s">
        <v>1330</v>
      </c>
      <c r="D237" s="460" t="s">
        <v>2238</v>
      </c>
      <c r="E237" s="460" t="s">
        <v>1814</v>
      </c>
      <c r="F237" s="460" t="s">
        <v>1812</v>
      </c>
      <c r="G237" s="461" t="s">
        <v>1218</v>
      </c>
      <c r="H237" s="461" t="s">
        <v>201</v>
      </c>
      <c r="I237" s="460" t="s">
        <v>2278</v>
      </c>
      <c r="J237" s="460" t="s">
        <v>1983</v>
      </c>
      <c r="K237" s="460" t="s">
        <v>2669</v>
      </c>
      <c r="L237" s="460" t="s">
        <v>2703</v>
      </c>
      <c r="M237" s="460" t="s">
        <v>1982</v>
      </c>
      <c r="N237" s="460" t="s">
        <v>1981</v>
      </c>
      <c r="O237" s="460" t="s">
        <v>1980</v>
      </c>
      <c r="P237" s="460" t="s">
        <v>2675</v>
      </c>
      <c r="Q237" s="460" t="s">
        <v>2676</v>
      </c>
      <c r="R237" s="460" t="s">
        <v>2677</v>
      </c>
      <c r="S237" s="460" t="s">
        <v>2676</v>
      </c>
      <c r="T237" s="460" t="s">
        <v>1827</v>
      </c>
      <c r="U237" s="461" t="s">
        <v>1824</v>
      </c>
      <c r="V237" s="460" t="s">
        <v>1119</v>
      </c>
      <c r="W237" s="560"/>
      <c r="X237" s="461" t="s">
        <v>1824</v>
      </c>
      <c r="Y237" s="461" t="s">
        <v>1824</v>
      </c>
      <c r="Z237" s="461" t="s">
        <v>170</v>
      </c>
      <c r="AA237" s="460" t="s">
        <v>1218</v>
      </c>
      <c r="AB237" s="561">
        <f>ROUND(0,2)</f>
        <v>0</v>
      </c>
      <c r="AC237" s="460" t="s">
        <v>2678</v>
      </c>
      <c r="AD237" s="460"/>
      <c r="AE237" s="561">
        <f>ROUND(500.05,2)</f>
        <v>500.05</v>
      </c>
      <c r="AF237" s="460" t="s">
        <v>2679</v>
      </c>
      <c r="AG237" s="561">
        <f t="shared" si="3"/>
        <v>0</v>
      </c>
      <c r="AH237" s="460" t="s">
        <v>2671</v>
      </c>
      <c r="AI237" s="460" t="s">
        <v>1214</v>
      </c>
      <c r="AJ237" s="460"/>
      <c r="AK237" s="460"/>
      <c r="AL237" s="560"/>
      <c r="AM237" s="460"/>
    </row>
    <row r="238" spans="1:39" ht="22.8">
      <c r="A238" s="460" t="s">
        <v>1810</v>
      </c>
      <c r="B238" s="460"/>
      <c r="C238" s="460" t="s">
        <v>1330</v>
      </c>
      <c r="D238" s="460" t="s">
        <v>2238</v>
      </c>
      <c r="E238" s="460" t="s">
        <v>1814</v>
      </c>
      <c r="F238" s="460" t="s">
        <v>1812</v>
      </c>
      <c r="G238" s="461" t="s">
        <v>1218</v>
      </c>
      <c r="H238" s="461" t="s">
        <v>201</v>
      </c>
      <c r="I238" s="460" t="s">
        <v>2278</v>
      </c>
      <c r="J238" s="460" t="s">
        <v>1983</v>
      </c>
      <c r="K238" s="460" t="s">
        <v>2669</v>
      </c>
      <c r="L238" s="460" t="s">
        <v>2703</v>
      </c>
      <c r="M238" s="460" t="s">
        <v>1982</v>
      </c>
      <c r="N238" s="460" t="s">
        <v>1981</v>
      </c>
      <c r="O238" s="460" t="s">
        <v>1980</v>
      </c>
      <c r="P238" s="460" t="s">
        <v>1979</v>
      </c>
      <c r="Q238" s="460" t="s">
        <v>1978</v>
      </c>
      <c r="R238" s="460" t="s">
        <v>1977</v>
      </c>
      <c r="S238" s="460" t="s">
        <v>1826</v>
      </c>
      <c r="T238" s="460" t="s">
        <v>1827</v>
      </c>
      <c r="U238" s="461" t="s">
        <v>1976</v>
      </c>
      <c r="V238" s="460" t="s">
        <v>1119</v>
      </c>
      <c r="W238" s="560"/>
      <c r="X238" s="461" t="s">
        <v>1824</v>
      </c>
      <c r="Y238" s="461" t="s">
        <v>1824</v>
      </c>
      <c r="Z238" s="461" t="s">
        <v>170</v>
      </c>
      <c r="AA238" s="460" t="s">
        <v>1218</v>
      </c>
      <c r="AB238" s="561">
        <f>ROUND(35.03,2)</f>
        <v>35.03</v>
      </c>
      <c r="AC238" s="460" t="s">
        <v>308</v>
      </c>
      <c r="AD238" s="460"/>
      <c r="AE238" s="561">
        <f>ROUND(819.25,2)</f>
        <v>819.25</v>
      </c>
      <c r="AF238" s="460" t="s">
        <v>308</v>
      </c>
      <c r="AG238" s="561">
        <f t="shared" si="3"/>
        <v>0</v>
      </c>
      <c r="AH238" s="460" t="s">
        <v>2671</v>
      </c>
      <c r="AI238" s="460" t="s">
        <v>1214</v>
      </c>
      <c r="AJ238" s="460" t="s">
        <v>2549</v>
      </c>
      <c r="AK238" s="460" t="s">
        <v>2672</v>
      </c>
      <c r="AL238" s="560" t="s">
        <v>2694</v>
      </c>
      <c r="AM238" s="460" t="s">
        <v>2674</v>
      </c>
    </row>
    <row r="239" spans="1:39" ht="22.8">
      <c r="A239" s="460" t="s">
        <v>1810</v>
      </c>
      <c r="B239" s="460"/>
      <c r="C239" s="460" t="s">
        <v>1938</v>
      </c>
      <c r="D239" s="460" t="s">
        <v>2277</v>
      </c>
      <c r="E239" s="460" t="s">
        <v>1813</v>
      </c>
      <c r="F239" s="460" t="s">
        <v>2015</v>
      </c>
      <c r="G239" s="461" t="s">
        <v>1218</v>
      </c>
      <c r="H239" s="461" t="s">
        <v>1970</v>
      </c>
      <c r="I239" s="460" t="s">
        <v>2109</v>
      </c>
      <c r="J239" s="460" t="s">
        <v>1990</v>
      </c>
      <c r="K239" s="460" t="s">
        <v>2669</v>
      </c>
      <c r="L239" s="460" t="s">
        <v>2682</v>
      </c>
      <c r="M239" s="460" t="s">
        <v>2028</v>
      </c>
      <c r="N239" s="460" t="s">
        <v>1981</v>
      </c>
      <c r="O239" s="460" t="s">
        <v>2001</v>
      </c>
      <c r="P239" s="460" t="s">
        <v>1979</v>
      </c>
      <c r="Q239" s="460" t="s">
        <v>95</v>
      </c>
      <c r="R239" s="460" t="s">
        <v>1977</v>
      </c>
      <c r="S239" s="460" t="s">
        <v>1842</v>
      </c>
      <c r="T239" s="460" t="s">
        <v>1827</v>
      </c>
      <c r="U239" s="461" t="s">
        <v>1976</v>
      </c>
      <c r="V239" s="460" t="s">
        <v>1843</v>
      </c>
      <c r="W239" s="560"/>
      <c r="X239" s="461" t="s">
        <v>2054</v>
      </c>
      <c r="Y239" s="461" t="s">
        <v>2054</v>
      </c>
      <c r="Z239" s="461" t="s">
        <v>170</v>
      </c>
      <c r="AA239" s="460" t="s">
        <v>1218</v>
      </c>
      <c r="AB239" s="561">
        <f>ROUND(30.41,2)</f>
        <v>30.41</v>
      </c>
      <c r="AC239" s="460" t="s">
        <v>308</v>
      </c>
      <c r="AD239" s="460"/>
      <c r="AE239" s="561">
        <f>ROUND(70.29,2)</f>
        <v>70.290000000000006</v>
      </c>
      <c r="AF239" s="460" t="s">
        <v>308</v>
      </c>
      <c r="AG239" s="561">
        <f t="shared" si="3"/>
        <v>0</v>
      </c>
      <c r="AH239" s="460" t="s">
        <v>2671</v>
      </c>
      <c r="AI239" s="460" t="s">
        <v>1214</v>
      </c>
      <c r="AJ239" s="460" t="s">
        <v>2548</v>
      </c>
      <c r="AK239" s="460" t="s">
        <v>2672</v>
      </c>
      <c r="AL239" s="560" t="s">
        <v>2673</v>
      </c>
      <c r="AM239" s="460" t="s">
        <v>2674</v>
      </c>
    </row>
    <row r="240" spans="1:39" ht="22.8">
      <c r="A240" s="460" t="s">
        <v>1810</v>
      </c>
      <c r="B240" s="460"/>
      <c r="C240" s="460" t="s">
        <v>1938</v>
      </c>
      <c r="D240" s="460" t="s">
        <v>2277</v>
      </c>
      <c r="E240" s="460" t="s">
        <v>1813</v>
      </c>
      <c r="F240" s="460" t="s">
        <v>2015</v>
      </c>
      <c r="G240" s="461" t="s">
        <v>1218</v>
      </c>
      <c r="H240" s="461" t="s">
        <v>1970</v>
      </c>
      <c r="I240" s="460" t="s">
        <v>2109</v>
      </c>
      <c r="J240" s="460" t="s">
        <v>1990</v>
      </c>
      <c r="K240" s="460" t="s">
        <v>2669</v>
      </c>
      <c r="L240" s="460" t="s">
        <v>2682</v>
      </c>
      <c r="M240" s="460" t="s">
        <v>2028</v>
      </c>
      <c r="N240" s="460" t="s">
        <v>1981</v>
      </c>
      <c r="O240" s="460" t="s">
        <v>2001</v>
      </c>
      <c r="P240" s="460" t="s">
        <v>2675</v>
      </c>
      <c r="Q240" s="460" t="s">
        <v>2676</v>
      </c>
      <c r="R240" s="460" t="s">
        <v>2677</v>
      </c>
      <c r="S240" s="460" t="s">
        <v>2676</v>
      </c>
      <c r="T240" s="460" t="s">
        <v>1827</v>
      </c>
      <c r="U240" s="461" t="s">
        <v>1824</v>
      </c>
      <c r="V240" s="460" t="s">
        <v>1843</v>
      </c>
      <c r="W240" s="560"/>
      <c r="X240" s="461" t="s">
        <v>2054</v>
      </c>
      <c r="Y240" s="461" t="s">
        <v>2054</v>
      </c>
      <c r="Z240" s="461" t="s">
        <v>170</v>
      </c>
      <c r="AA240" s="460" t="s">
        <v>1218</v>
      </c>
      <c r="AB240" s="561">
        <f>ROUND(100,2)</f>
        <v>100</v>
      </c>
      <c r="AC240" s="460" t="s">
        <v>2678</v>
      </c>
      <c r="AD240" s="460"/>
      <c r="AE240" s="561">
        <f>ROUND(1000,2)</f>
        <v>1000</v>
      </c>
      <c r="AF240" s="460" t="s">
        <v>2679</v>
      </c>
      <c r="AG240" s="561">
        <f t="shared" si="3"/>
        <v>0</v>
      </c>
      <c r="AH240" s="460" t="s">
        <v>2671</v>
      </c>
      <c r="AI240" s="460" t="s">
        <v>1214</v>
      </c>
      <c r="AJ240" s="460" t="s">
        <v>2550</v>
      </c>
      <c r="AK240" s="460" t="s">
        <v>2672</v>
      </c>
      <c r="AL240" s="560" t="s">
        <v>2691</v>
      </c>
      <c r="AM240" s="460" t="s">
        <v>2674</v>
      </c>
    </row>
    <row r="241" spans="1:39" ht="22.8">
      <c r="A241" s="460" t="s">
        <v>1810</v>
      </c>
      <c r="B241" s="460"/>
      <c r="C241" s="460" t="s">
        <v>1938</v>
      </c>
      <c r="D241" s="460" t="s">
        <v>2277</v>
      </c>
      <c r="E241" s="460" t="s">
        <v>1813</v>
      </c>
      <c r="F241" s="460" t="s">
        <v>2015</v>
      </c>
      <c r="G241" s="461" t="s">
        <v>1218</v>
      </c>
      <c r="H241" s="461" t="s">
        <v>1970</v>
      </c>
      <c r="I241" s="460" t="s">
        <v>2109</v>
      </c>
      <c r="J241" s="460" t="s">
        <v>1990</v>
      </c>
      <c r="K241" s="460" t="s">
        <v>2669</v>
      </c>
      <c r="L241" s="460" t="s">
        <v>2682</v>
      </c>
      <c r="M241" s="460" t="s">
        <v>2028</v>
      </c>
      <c r="N241" s="460" t="s">
        <v>1981</v>
      </c>
      <c r="O241" s="460" t="s">
        <v>2001</v>
      </c>
      <c r="P241" s="460" t="s">
        <v>1979</v>
      </c>
      <c r="Q241" s="460" t="s">
        <v>1978</v>
      </c>
      <c r="R241" s="460" t="s">
        <v>1977</v>
      </c>
      <c r="S241" s="460" t="s">
        <v>1826</v>
      </c>
      <c r="T241" s="460" t="s">
        <v>1827</v>
      </c>
      <c r="U241" s="461" t="s">
        <v>1976</v>
      </c>
      <c r="V241" s="460" t="s">
        <v>1851</v>
      </c>
      <c r="W241" s="560"/>
      <c r="X241" s="461" t="s">
        <v>2054</v>
      </c>
      <c r="Y241" s="461" t="s">
        <v>2054</v>
      </c>
      <c r="Z241" s="461" t="s">
        <v>170</v>
      </c>
      <c r="AA241" s="460" t="s">
        <v>1218</v>
      </c>
      <c r="AB241" s="561">
        <f>ROUND(226.88,2)</f>
        <v>226.88</v>
      </c>
      <c r="AC241" s="460" t="s">
        <v>308</v>
      </c>
      <c r="AD241" s="460"/>
      <c r="AE241" s="561">
        <f>ROUND(1393.71,2)</f>
        <v>1393.71</v>
      </c>
      <c r="AF241" s="460" t="s">
        <v>308</v>
      </c>
      <c r="AG241" s="561">
        <f t="shared" si="3"/>
        <v>0</v>
      </c>
      <c r="AH241" s="460" t="s">
        <v>2671</v>
      </c>
      <c r="AI241" s="460" t="s">
        <v>1214</v>
      </c>
      <c r="AJ241" s="460" t="s">
        <v>2549</v>
      </c>
      <c r="AK241" s="460" t="s">
        <v>2672</v>
      </c>
      <c r="AL241" s="560" t="s">
        <v>2681</v>
      </c>
      <c r="AM241" s="460" t="s">
        <v>2674</v>
      </c>
    </row>
    <row r="242" spans="1:39" ht="34.200000000000003">
      <c r="A242" s="460" t="s">
        <v>1810</v>
      </c>
      <c r="B242" s="460"/>
      <c r="C242" s="460" t="s">
        <v>2568</v>
      </c>
      <c r="D242" s="460" t="s">
        <v>2781</v>
      </c>
      <c r="E242" s="460" t="s">
        <v>1840</v>
      </c>
      <c r="F242" s="460" t="s">
        <v>1812</v>
      </c>
      <c r="G242" s="461" t="s">
        <v>1218</v>
      </c>
      <c r="H242" s="461" t="s">
        <v>2782</v>
      </c>
      <c r="I242" s="460" t="s">
        <v>2783</v>
      </c>
      <c r="J242" s="460" t="s">
        <v>1983</v>
      </c>
      <c r="K242" s="460" t="s">
        <v>2669</v>
      </c>
      <c r="L242" s="460" t="s">
        <v>2746</v>
      </c>
      <c r="M242" s="460" t="s">
        <v>1987</v>
      </c>
      <c r="N242" s="460" t="s">
        <v>1986</v>
      </c>
      <c r="O242" s="460" t="s">
        <v>1980</v>
      </c>
      <c r="P242" s="460" t="s">
        <v>1979</v>
      </c>
      <c r="Q242" s="460" t="s">
        <v>95</v>
      </c>
      <c r="R242" s="460" t="s">
        <v>1977</v>
      </c>
      <c r="S242" s="460" t="s">
        <v>1842</v>
      </c>
      <c r="T242" s="460" t="s">
        <v>1827</v>
      </c>
      <c r="U242" s="461" t="s">
        <v>1976</v>
      </c>
      <c r="V242" s="460" t="s">
        <v>1119</v>
      </c>
      <c r="W242" s="560"/>
      <c r="X242" s="461" t="s">
        <v>2784</v>
      </c>
      <c r="Y242" s="461" t="s">
        <v>2784</v>
      </c>
      <c r="Z242" s="461" t="s">
        <v>170</v>
      </c>
      <c r="AA242" s="460" t="s">
        <v>1218</v>
      </c>
      <c r="AB242" s="561">
        <f>ROUND(0,2)</f>
        <v>0</v>
      </c>
      <c r="AC242" s="460" t="s">
        <v>308</v>
      </c>
      <c r="AD242" s="460"/>
      <c r="AE242" s="561">
        <f>ROUND(36.23,2)</f>
        <v>36.229999999999997</v>
      </c>
      <c r="AF242" s="460" t="s">
        <v>308</v>
      </c>
      <c r="AG242" s="561">
        <f t="shared" si="3"/>
        <v>0</v>
      </c>
      <c r="AH242" s="460" t="s">
        <v>2671</v>
      </c>
      <c r="AI242" s="460" t="s">
        <v>1214</v>
      </c>
      <c r="AJ242" s="460"/>
      <c r="AK242" s="460"/>
      <c r="AL242" s="560"/>
      <c r="AM242" s="460"/>
    </row>
    <row r="243" spans="1:39" ht="34.200000000000003">
      <c r="A243" s="460" t="s">
        <v>1810</v>
      </c>
      <c r="B243" s="460"/>
      <c r="C243" s="460" t="s">
        <v>2568</v>
      </c>
      <c r="D243" s="460" t="s">
        <v>2781</v>
      </c>
      <c r="E243" s="460" t="s">
        <v>1840</v>
      </c>
      <c r="F243" s="460" t="s">
        <v>1812</v>
      </c>
      <c r="G243" s="461" t="s">
        <v>1218</v>
      </c>
      <c r="H243" s="461" t="s">
        <v>2782</v>
      </c>
      <c r="I243" s="460" t="s">
        <v>2783</v>
      </c>
      <c r="J243" s="460" t="s">
        <v>1983</v>
      </c>
      <c r="K243" s="460" t="s">
        <v>2669</v>
      </c>
      <c r="L243" s="460" t="s">
        <v>2746</v>
      </c>
      <c r="M243" s="460" t="s">
        <v>1987</v>
      </c>
      <c r="N243" s="460" t="s">
        <v>1986</v>
      </c>
      <c r="O243" s="460" t="s">
        <v>1980</v>
      </c>
      <c r="P243" s="460" t="s">
        <v>2675</v>
      </c>
      <c r="Q243" s="460" t="s">
        <v>2676</v>
      </c>
      <c r="R243" s="460" t="s">
        <v>2677</v>
      </c>
      <c r="S243" s="460" t="s">
        <v>2676</v>
      </c>
      <c r="T243" s="460" t="s">
        <v>1827</v>
      </c>
      <c r="U243" s="461" t="s">
        <v>1824</v>
      </c>
      <c r="V243" s="460" t="s">
        <v>1843</v>
      </c>
      <c r="W243" s="560"/>
      <c r="X243" s="461" t="s">
        <v>2784</v>
      </c>
      <c r="Y243" s="461" t="s">
        <v>2784</v>
      </c>
      <c r="Z243" s="461" t="s">
        <v>170</v>
      </c>
      <c r="AA243" s="460" t="s">
        <v>1218</v>
      </c>
      <c r="AB243" s="560"/>
      <c r="AC243" s="460"/>
      <c r="AD243" s="460"/>
      <c r="AE243" s="561">
        <f>ROUND(1000,2)</f>
        <v>1000</v>
      </c>
      <c r="AF243" s="460" t="s">
        <v>2679</v>
      </c>
      <c r="AG243" s="561">
        <f t="shared" si="3"/>
        <v>0</v>
      </c>
      <c r="AH243" s="460" t="s">
        <v>2671</v>
      </c>
      <c r="AI243" s="460" t="s">
        <v>1214</v>
      </c>
      <c r="AJ243" s="460"/>
      <c r="AK243" s="460"/>
      <c r="AL243" s="560"/>
      <c r="AM243" s="460"/>
    </row>
    <row r="244" spans="1:39" ht="34.200000000000003">
      <c r="A244" s="460" t="s">
        <v>1810</v>
      </c>
      <c r="B244" s="460"/>
      <c r="C244" s="460" t="s">
        <v>2568</v>
      </c>
      <c r="D244" s="460" t="s">
        <v>2781</v>
      </c>
      <c r="E244" s="460" t="s">
        <v>1840</v>
      </c>
      <c r="F244" s="460" t="s">
        <v>1812</v>
      </c>
      <c r="G244" s="461" t="s">
        <v>1218</v>
      </c>
      <c r="H244" s="461" t="s">
        <v>2782</v>
      </c>
      <c r="I244" s="460" t="s">
        <v>2783</v>
      </c>
      <c r="J244" s="460" t="s">
        <v>1983</v>
      </c>
      <c r="K244" s="460" t="s">
        <v>2669</v>
      </c>
      <c r="L244" s="460" t="s">
        <v>2746</v>
      </c>
      <c r="M244" s="460" t="s">
        <v>1987</v>
      </c>
      <c r="N244" s="460" t="s">
        <v>1986</v>
      </c>
      <c r="O244" s="460" t="s">
        <v>1980</v>
      </c>
      <c r="P244" s="460" t="s">
        <v>1979</v>
      </c>
      <c r="Q244" s="460" t="s">
        <v>1978</v>
      </c>
      <c r="R244" s="460" t="s">
        <v>1977</v>
      </c>
      <c r="S244" s="460" t="s">
        <v>1826</v>
      </c>
      <c r="T244" s="460" t="s">
        <v>1827</v>
      </c>
      <c r="U244" s="461" t="s">
        <v>1976</v>
      </c>
      <c r="V244" s="460" t="s">
        <v>1851</v>
      </c>
      <c r="W244" s="560"/>
      <c r="X244" s="461" t="s">
        <v>2784</v>
      </c>
      <c r="Y244" s="461" t="s">
        <v>2784</v>
      </c>
      <c r="Z244" s="461" t="s">
        <v>170</v>
      </c>
      <c r="AA244" s="460" t="s">
        <v>1218</v>
      </c>
      <c r="AB244" s="561">
        <f>ROUND(178.26,2)</f>
        <v>178.26</v>
      </c>
      <c r="AC244" s="460" t="s">
        <v>308</v>
      </c>
      <c r="AD244" s="460"/>
      <c r="AE244" s="561">
        <f>ROUND(1442.33,2)</f>
        <v>1442.33</v>
      </c>
      <c r="AF244" s="460" t="s">
        <v>308</v>
      </c>
      <c r="AG244" s="561">
        <f t="shared" si="3"/>
        <v>0</v>
      </c>
      <c r="AH244" s="460" t="s">
        <v>2671</v>
      </c>
      <c r="AI244" s="460" t="s">
        <v>1214</v>
      </c>
      <c r="AJ244" s="460" t="s">
        <v>2549</v>
      </c>
      <c r="AK244" s="460" t="s">
        <v>2672</v>
      </c>
      <c r="AL244" s="560" t="s">
        <v>2785</v>
      </c>
      <c r="AM244" s="460" t="s">
        <v>2674</v>
      </c>
    </row>
    <row r="245" spans="1:39" ht="22.8">
      <c r="A245" s="460" t="s">
        <v>1810</v>
      </c>
      <c r="B245" s="460"/>
      <c r="C245" s="460" t="s">
        <v>1331</v>
      </c>
      <c r="D245" s="460" t="s">
        <v>2276</v>
      </c>
      <c r="E245" s="460" t="s">
        <v>1821</v>
      </c>
      <c r="F245" s="460" t="s">
        <v>1812</v>
      </c>
      <c r="G245" s="461" t="s">
        <v>1218</v>
      </c>
      <c r="H245" s="461" t="s">
        <v>236</v>
      </c>
      <c r="I245" s="460" t="s">
        <v>2275</v>
      </c>
      <c r="J245" s="460" t="s">
        <v>1983</v>
      </c>
      <c r="K245" s="460" t="s">
        <v>2669</v>
      </c>
      <c r="L245" s="460" t="s">
        <v>2714</v>
      </c>
      <c r="M245" s="460" t="s">
        <v>1994</v>
      </c>
      <c r="N245" s="460" t="s">
        <v>1981</v>
      </c>
      <c r="O245" s="460" t="s">
        <v>1980</v>
      </c>
      <c r="P245" s="460" t="s">
        <v>1979</v>
      </c>
      <c r="Q245" s="460" t="s">
        <v>95</v>
      </c>
      <c r="R245" s="460" t="s">
        <v>1977</v>
      </c>
      <c r="S245" s="460" t="s">
        <v>1842</v>
      </c>
      <c r="T245" s="460" t="s">
        <v>1827</v>
      </c>
      <c r="U245" s="461" t="s">
        <v>1976</v>
      </c>
      <c r="V245" s="460" t="s">
        <v>1119</v>
      </c>
      <c r="W245" s="560"/>
      <c r="X245" s="461" t="s">
        <v>1824</v>
      </c>
      <c r="Y245" s="461" t="s">
        <v>1824</v>
      </c>
      <c r="Z245" s="461" t="s">
        <v>170</v>
      </c>
      <c r="AA245" s="460" t="s">
        <v>1218</v>
      </c>
      <c r="AB245" s="561">
        <f>ROUND(0,2)</f>
        <v>0</v>
      </c>
      <c r="AC245" s="460" t="s">
        <v>308</v>
      </c>
      <c r="AD245" s="460"/>
      <c r="AE245" s="561">
        <f>ROUND(36.23,2)</f>
        <v>36.229999999999997</v>
      </c>
      <c r="AF245" s="460" t="s">
        <v>308</v>
      </c>
      <c r="AG245" s="561">
        <f t="shared" si="3"/>
        <v>0</v>
      </c>
      <c r="AH245" s="460" t="s">
        <v>2671</v>
      </c>
      <c r="AI245" s="460" t="s">
        <v>1214</v>
      </c>
      <c r="AJ245" s="460"/>
      <c r="AK245" s="460"/>
      <c r="AL245" s="560"/>
      <c r="AM245" s="460"/>
    </row>
    <row r="246" spans="1:39" ht="22.8">
      <c r="A246" s="460" t="s">
        <v>1810</v>
      </c>
      <c r="B246" s="460"/>
      <c r="C246" s="460" t="s">
        <v>1331</v>
      </c>
      <c r="D246" s="460" t="s">
        <v>2276</v>
      </c>
      <c r="E246" s="460" t="s">
        <v>1821</v>
      </c>
      <c r="F246" s="460" t="s">
        <v>1812</v>
      </c>
      <c r="G246" s="461" t="s">
        <v>1218</v>
      </c>
      <c r="H246" s="461" t="s">
        <v>236</v>
      </c>
      <c r="I246" s="460" t="s">
        <v>2275</v>
      </c>
      <c r="J246" s="460" t="s">
        <v>1983</v>
      </c>
      <c r="K246" s="460" t="s">
        <v>2669</v>
      </c>
      <c r="L246" s="460" t="s">
        <v>2714</v>
      </c>
      <c r="M246" s="460" t="s">
        <v>1994</v>
      </c>
      <c r="N246" s="460" t="s">
        <v>1981</v>
      </c>
      <c r="O246" s="460" t="s">
        <v>1980</v>
      </c>
      <c r="P246" s="460" t="s">
        <v>2675</v>
      </c>
      <c r="Q246" s="460" t="s">
        <v>2676</v>
      </c>
      <c r="R246" s="460" t="s">
        <v>2677</v>
      </c>
      <c r="S246" s="460" t="s">
        <v>2676</v>
      </c>
      <c r="T246" s="460" t="s">
        <v>1827</v>
      </c>
      <c r="U246" s="461" t="s">
        <v>1824</v>
      </c>
      <c r="V246" s="460" t="s">
        <v>1119</v>
      </c>
      <c r="W246" s="560"/>
      <c r="X246" s="461" t="s">
        <v>1824</v>
      </c>
      <c r="Y246" s="461" t="s">
        <v>1824</v>
      </c>
      <c r="Z246" s="461" t="s">
        <v>170</v>
      </c>
      <c r="AA246" s="460" t="s">
        <v>1218</v>
      </c>
      <c r="AB246" s="561">
        <f>ROUND(25,2)</f>
        <v>25</v>
      </c>
      <c r="AC246" s="460" t="s">
        <v>2678</v>
      </c>
      <c r="AD246" s="460"/>
      <c r="AE246" s="561">
        <f>ROUND(500.05,2)</f>
        <v>500.05</v>
      </c>
      <c r="AF246" s="460" t="s">
        <v>2679</v>
      </c>
      <c r="AG246" s="561">
        <f t="shared" si="3"/>
        <v>0</v>
      </c>
      <c r="AH246" s="460" t="s">
        <v>2671</v>
      </c>
      <c r="AI246" s="460" t="s">
        <v>1214</v>
      </c>
      <c r="AJ246" s="460" t="s">
        <v>2550</v>
      </c>
      <c r="AK246" s="460" t="s">
        <v>2672</v>
      </c>
      <c r="AL246" s="560" t="s">
        <v>2680</v>
      </c>
      <c r="AM246" s="460" t="s">
        <v>2674</v>
      </c>
    </row>
    <row r="247" spans="1:39" ht="22.8">
      <c r="A247" s="460" t="s">
        <v>1810</v>
      </c>
      <c r="B247" s="460"/>
      <c r="C247" s="460" t="s">
        <v>1331</v>
      </c>
      <c r="D247" s="460" t="s">
        <v>2276</v>
      </c>
      <c r="E247" s="460" t="s">
        <v>1821</v>
      </c>
      <c r="F247" s="460" t="s">
        <v>1812</v>
      </c>
      <c r="G247" s="461" t="s">
        <v>1218</v>
      </c>
      <c r="H247" s="461" t="s">
        <v>236</v>
      </c>
      <c r="I247" s="460" t="s">
        <v>2275</v>
      </c>
      <c r="J247" s="460" t="s">
        <v>1983</v>
      </c>
      <c r="K247" s="460" t="s">
        <v>2669</v>
      </c>
      <c r="L247" s="460" t="s">
        <v>2714</v>
      </c>
      <c r="M247" s="460" t="s">
        <v>1994</v>
      </c>
      <c r="N247" s="460" t="s">
        <v>1981</v>
      </c>
      <c r="O247" s="460" t="s">
        <v>1980</v>
      </c>
      <c r="P247" s="460" t="s">
        <v>1979</v>
      </c>
      <c r="Q247" s="460" t="s">
        <v>1978</v>
      </c>
      <c r="R247" s="460" t="s">
        <v>1977</v>
      </c>
      <c r="S247" s="460" t="s">
        <v>1826</v>
      </c>
      <c r="T247" s="460" t="s">
        <v>1827</v>
      </c>
      <c r="U247" s="461" t="s">
        <v>1976</v>
      </c>
      <c r="V247" s="460" t="s">
        <v>1119</v>
      </c>
      <c r="W247" s="560"/>
      <c r="X247" s="461" t="s">
        <v>1824</v>
      </c>
      <c r="Y247" s="461" t="s">
        <v>1824</v>
      </c>
      <c r="Z247" s="461" t="s">
        <v>170</v>
      </c>
      <c r="AA247" s="460" t="s">
        <v>1218</v>
      </c>
      <c r="AB247" s="561">
        <f>ROUND(35.03,2)</f>
        <v>35.03</v>
      </c>
      <c r="AC247" s="460" t="s">
        <v>308</v>
      </c>
      <c r="AD247" s="460"/>
      <c r="AE247" s="561">
        <f>ROUND(819.25,2)</f>
        <v>819.25</v>
      </c>
      <c r="AF247" s="460" t="s">
        <v>308</v>
      </c>
      <c r="AG247" s="561">
        <f t="shared" si="3"/>
        <v>0</v>
      </c>
      <c r="AH247" s="460" t="s">
        <v>2671</v>
      </c>
      <c r="AI247" s="460" t="s">
        <v>1214</v>
      </c>
      <c r="AJ247" s="460" t="s">
        <v>2549</v>
      </c>
      <c r="AK247" s="460" t="s">
        <v>2672</v>
      </c>
      <c r="AL247" s="560" t="s">
        <v>2694</v>
      </c>
      <c r="AM247" s="460" t="s">
        <v>2674</v>
      </c>
    </row>
    <row r="248" spans="1:39" ht="34.200000000000003">
      <c r="A248" s="460" t="s">
        <v>1810</v>
      </c>
      <c r="B248" s="460"/>
      <c r="C248" s="460" t="s">
        <v>2448</v>
      </c>
      <c r="D248" s="460" t="s">
        <v>2786</v>
      </c>
      <c r="E248" s="460" t="s">
        <v>1829</v>
      </c>
      <c r="F248" s="460" t="s">
        <v>1812</v>
      </c>
      <c r="G248" s="461" t="s">
        <v>1218</v>
      </c>
      <c r="H248" s="461" t="s">
        <v>2787</v>
      </c>
      <c r="I248" s="460" t="s">
        <v>2788</v>
      </c>
      <c r="J248" s="460" t="s">
        <v>1983</v>
      </c>
      <c r="K248" s="460" t="s">
        <v>2669</v>
      </c>
      <c r="L248" s="460" t="s">
        <v>2737</v>
      </c>
      <c r="M248" s="460" t="s">
        <v>2002</v>
      </c>
      <c r="N248" s="460" t="s">
        <v>1986</v>
      </c>
      <c r="O248" s="460" t="s">
        <v>2001</v>
      </c>
      <c r="P248" s="460" t="s">
        <v>1979</v>
      </c>
      <c r="Q248" s="460" t="s">
        <v>95</v>
      </c>
      <c r="R248" s="460" t="s">
        <v>1977</v>
      </c>
      <c r="S248" s="460" t="s">
        <v>1842</v>
      </c>
      <c r="T248" s="460" t="s">
        <v>1827</v>
      </c>
      <c r="U248" s="461" t="s">
        <v>1976</v>
      </c>
      <c r="V248" s="460" t="s">
        <v>1119</v>
      </c>
      <c r="W248" s="560"/>
      <c r="X248" s="461" t="s">
        <v>2789</v>
      </c>
      <c r="Y248" s="461" t="s">
        <v>2789</v>
      </c>
      <c r="Z248" s="461" t="s">
        <v>170</v>
      </c>
      <c r="AA248" s="460" t="s">
        <v>1218</v>
      </c>
      <c r="AB248" s="561">
        <f>ROUND(0,2)</f>
        <v>0</v>
      </c>
      <c r="AC248" s="460" t="s">
        <v>308</v>
      </c>
      <c r="AD248" s="460"/>
      <c r="AE248" s="561">
        <f>ROUND(36.23,2)</f>
        <v>36.229999999999997</v>
      </c>
      <c r="AF248" s="460" t="s">
        <v>308</v>
      </c>
      <c r="AG248" s="561">
        <f t="shared" si="3"/>
        <v>0</v>
      </c>
      <c r="AH248" s="460" t="s">
        <v>2671</v>
      </c>
      <c r="AI248" s="460" t="s">
        <v>1214</v>
      </c>
      <c r="AJ248" s="460"/>
      <c r="AK248" s="460"/>
      <c r="AL248" s="560"/>
      <c r="AM248" s="460"/>
    </row>
    <row r="249" spans="1:39" ht="34.200000000000003">
      <c r="A249" s="460" t="s">
        <v>1810</v>
      </c>
      <c r="B249" s="460"/>
      <c r="C249" s="460" t="s">
        <v>2448</v>
      </c>
      <c r="D249" s="460" t="s">
        <v>2786</v>
      </c>
      <c r="E249" s="460" t="s">
        <v>1829</v>
      </c>
      <c r="F249" s="460" t="s">
        <v>1812</v>
      </c>
      <c r="G249" s="461" t="s">
        <v>1218</v>
      </c>
      <c r="H249" s="461" t="s">
        <v>2787</v>
      </c>
      <c r="I249" s="460" t="s">
        <v>2788</v>
      </c>
      <c r="J249" s="460" t="s">
        <v>1983</v>
      </c>
      <c r="K249" s="460" t="s">
        <v>2669</v>
      </c>
      <c r="L249" s="460" t="s">
        <v>2737</v>
      </c>
      <c r="M249" s="460" t="s">
        <v>2002</v>
      </c>
      <c r="N249" s="460" t="s">
        <v>1986</v>
      </c>
      <c r="O249" s="460" t="s">
        <v>2001</v>
      </c>
      <c r="P249" s="460" t="s">
        <v>2675</v>
      </c>
      <c r="Q249" s="460" t="s">
        <v>2676</v>
      </c>
      <c r="R249" s="460" t="s">
        <v>2677</v>
      </c>
      <c r="S249" s="460" t="s">
        <v>2676</v>
      </c>
      <c r="T249" s="460" t="s">
        <v>1827</v>
      </c>
      <c r="U249" s="461" t="s">
        <v>1824</v>
      </c>
      <c r="V249" s="460" t="s">
        <v>1119</v>
      </c>
      <c r="W249" s="560"/>
      <c r="X249" s="461" t="s">
        <v>2789</v>
      </c>
      <c r="Y249" s="461" t="s">
        <v>2789</v>
      </c>
      <c r="Z249" s="461" t="s">
        <v>170</v>
      </c>
      <c r="AA249" s="460" t="s">
        <v>1218</v>
      </c>
      <c r="AB249" s="561">
        <f>ROUND(50,2)</f>
        <v>50</v>
      </c>
      <c r="AC249" s="460" t="s">
        <v>2678</v>
      </c>
      <c r="AD249" s="460"/>
      <c r="AE249" s="561">
        <f>ROUND(500.05,2)</f>
        <v>500.05</v>
      </c>
      <c r="AF249" s="460" t="s">
        <v>2679</v>
      </c>
      <c r="AG249" s="561">
        <f t="shared" si="3"/>
        <v>0</v>
      </c>
      <c r="AH249" s="460" t="s">
        <v>2671</v>
      </c>
      <c r="AI249" s="460" t="s">
        <v>1214</v>
      </c>
      <c r="AJ249" s="460" t="s">
        <v>2550</v>
      </c>
      <c r="AK249" s="460" t="s">
        <v>2672</v>
      </c>
      <c r="AL249" s="560" t="s">
        <v>2690</v>
      </c>
      <c r="AM249" s="460" t="s">
        <v>2674</v>
      </c>
    </row>
    <row r="250" spans="1:39" ht="34.200000000000003">
      <c r="A250" s="460" t="s">
        <v>1810</v>
      </c>
      <c r="B250" s="460"/>
      <c r="C250" s="460" t="s">
        <v>2448</v>
      </c>
      <c r="D250" s="460" t="s">
        <v>2786</v>
      </c>
      <c r="E250" s="460" t="s">
        <v>1829</v>
      </c>
      <c r="F250" s="460" t="s">
        <v>1812</v>
      </c>
      <c r="G250" s="461" t="s">
        <v>1218</v>
      </c>
      <c r="H250" s="461" t="s">
        <v>2787</v>
      </c>
      <c r="I250" s="460" t="s">
        <v>2788</v>
      </c>
      <c r="J250" s="460" t="s">
        <v>1983</v>
      </c>
      <c r="K250" s="460" t="s">
        <v>2669</v>
      </c>
      <c r="L250" s="460" t="s">
        <v>2737</v>
      </c>
      <c r="M250" s="460" t="s">
        <v>2002</v>
      </c>
      <c r="N250" s="460" t="s">
        <v>1986</v>
      </c>
      <c r="O250" s="460" t="s">
        <v>2001</v>
      </c>
      <c r="P250" s="460" t="s">
        <v>1979</v>
      </c>
      <c r="Q250" s="460" t="s">
        <v>1978</v>
      </c>
      <c r="R250" s="460" t="s">
        <v>1977</v>
      </c>
      <c r="S250" s="460" t="s">
        <v>1826</v>
      </c>
      <c r="T250" s="460" t="s">
        <v>1827</v>
      </c>
      <c r="U250" s="461" t="s">
        <v>1976</v>
      </c>
      <c r="V250" s="460" t="s">
        <v>1119</v>
      </c>
      <c r="W250" s="560"/>
      <c r="X250" s="461" t="s">
        <v>2789</v>
      </c>
      <c r="Y250" s="461" t="s">
        <v>2789</v>
      </c>
      <c r="Z250" s="461" t="s">
        <v>170</v>
      </c>
      <c r="AA250" s="460" t="s">
        <v>1218</v>
      </c>
      <c r="AB250" s="561">
        <f>ROUND(29.05,2)</f>
        <v>29.05</v>
      </c>
      <c r="AC250" s="460" t="s">
        <v>308</v>
      </c>
      <c r="AD250" s="460"/>
      <c r="AE250" s="561">
        <f>ROUND(825.23,2)</f>
        <v>825.23</v>
      </c>
      <c r="AF250" s="460" t="s">
        <v>308</v>
      </c>
      <c r="AG250" s="561">
        <f t="shared" si="3"/>
        <v>0</v>
      </c>
      <c r="AH250" s="460" t="s">
        <v>2671</v>
      </c>
      <c r="AI250" s="460" t="s">
        <v>1214</v>
      </c>
      <c r="AJ250" s="460" t="s">
        <v>2549</v>
      </c>
      <c r="AK250" s="460" t="s">
        <v>2672</v>
      </c>
      <c r="AL250" s="560" t="s">
        <v>2692</v>
      </c>
      <c r="AM250" s="460" t="s">
        <v>2674</v>
      </c>
    </row>
    <row r="251" spans="1:39" ht="34.200000000000003">
      <c r="A251" s="460" t="s">
        <v>1810</v>
      </c>
      <c r="B251" s="460"/>
      <c r="C251" s="460" t="s">
        <v>1334</v>
      </c>
      <c r="D251" s="460" t="s">
        <v>2274</v>
      </c>
      <c r="E251" s="460" t="s">
        <v>1829</v>
      </c>
      <c r="F251" s="460" t="s">
        <v>1812</v>
      </c>
      <c r="G251" s="461" t="s">
        <v>1218</v>
      </c>
      <c r="H251" s="461" t="s">
        <v>286</v>
      </c>
      <c r="I251" s="460" t="s">
        <v>2026</v>
      </c>
      <c r="J251" s="460" t="s">
        <v>1990</v>
      </c>
      <c r="K251" s="460" t="s">
        <v>2669</v>
      </c>
      <c r="L251" s="460" t="s">
        <v>2737</v>
      </c>
      <c r="M251" s="460" t="s">
        <v>2002</v>
      </c>
      <c r="N251" s="460" t="s">
        <v>1986</v>
      </c>
      <c r="O251" s="460" t="s">
        <v>1980</v>
      </c>
      <c r="P251" s="460" t="s">
        <v>1979</v>
      </c>
      <c r="Q251" s="460" t="s">
        <v>95</v>
      </c>
      <c r="R251" s="460" t="s">
        <v>1977</v>
      </c>
      <c r="S251" s="460" t="s">
        <v>1842</v>
      </c>
      <c r="T251" s="460" t="s">
        <v>1827</v>
      </c>
      <c r="U251" s="461" t="s">
        <v>1976</v>
      </c>
      <c r="V251" s="460" t="s">
        <v>1843</v>
      </c>
      <c r="W251" s="560"/>
      <c r="X251" s="461" t="s">
        <v>1824</v>
      </c>
      <c r="Y251" s="461" t="s">
        <v>1824</v>
      </c>
      <c r="Z251" s="461" t="s">
        <v>170</v>
      </c>
      <c r="AA251" s="460" t="s">
        <v>1218</v>
      </c>
      <c r="AB251" s="561">
        <f>ROUND(30.41,2)</f>
        <v>30.41</v>
      </c>
      <c r="AC251" s="460" t="s">
        <v>308</v>
      </c>
      <c r="AD251" s="460"/>
      <c r="AE251" s="561">
        <f>ROUND(70.29,2)</f>
        <v>70.290000000000006</v>
      </c>
      <c r="AF251" s="460" t="s">
        <v>308</v>
      </c>
      <c r="AG251" s="561">
        <f t="shared" si="3"/>
        <v>0</v>
      </c>
      <c r="AH251" s="460" t="s">
        <v>2671</v>
      </c>
      <c r="AI251" s="460" t="s">
        <v>1214</v>
      </c>
      <c r="AJ251" s="460" t="s">
        <v>2548</v>
      </c>
      <c r="AK251" s="460" t="s">
        <v>2672</v>
      </c>
      <c r="AL251" s="560" t="s">
        <v>2673</v>
      </c>
      <c r="AM251" s="460" t="s">
        <v>2674</v>
      </c>
    </row>
    <row r="252" spans="1:39" ht="34.200000000000003">
      <c r="A252" s="460" t="s">
        <v>1810</v>
      </c>
      <c r="B252" s="460"/>
      <c r="C252" s="460" t="s">
        <v>1334</v>
      </c>
      <c r="D252" s="460" t="s">
        <v>2274</v>
      </c>
      <c r="E252" s="460" t="s">
        <v>1829</v>
      </c>
      <c r="F252" s="460" t="s">
        <v>1812</v>
      </c>
      <c r="G252" s="461" t="s">
        <v>1218</v>
      </c>
      <c r="H252" s="461" t="s">
        <v>286</v>
      </c>
      <c r="I252" s="460" t="s">
        <v>2026</v>
      </c>
      <c r="J252" s="460" t="s">
        <v>1990</v>
      </c>
      <c r="K252" s="460" t="s">
        <v>2669</v>
      </c>
      <c r="L252" s="460" t="s">
        <v>2737</v>
      </c>
      <c r="M252" s="460" t="s">
        <v>2002</v>
      </c>
      <c r="N252" s="460" t="s">
        <v>1986</v>
      </c>
      <c r="O252" s="460" t="s">
        <v>1980</v>
      </c>
      <c r="P252" s="460" t="s">
        <v>2675</v>
      </c>
      <c r="Q252" s="460" t="s">
        <v>2676</v>
      </c>
      <c r="R252" s="460" t="s">
        <v>2677</v>
      </c>
      <c r="S252" s="460" t="s">
        <v>2676</v>
      </c>
      <c r="T252" s="460" t="s">
        <v>1827</v>
      </c>
      <c r="U252" s="461" t="s">
        <v>1824</v>
      </c>
      <c r="V252" s="460" t="s">
        <v>1119</v>
      </c>
      <c r="W252" s="560"/>
      <c r="X252" s="461" t="s">
        <v>1824</v>
      </c>
      <c r="Y252" s="461" t="s">
        <v>1824</v>
      </c>
      <c r="Z252" s="461" t="s">
        <v>170</v>
      </c>
      <c r="AA252" s="460" t="s">
        <v>1218</v>
      </c>
      <c r="AB252" s="561">
        <f>ROUND(0,2)</f>
        <v>0</v>
      </c>
      <c r="AC252" s="460" t="s">
        <v>2678</v>
      </c>
      <c r="AD252" s="460"/>
      <c r="AE252" s="561">
        <f>ROUND(500.05,2)</f>
        <v>500.05</v>
      </c>
      <c r="AF252" s="460" t="s">
        <v>2679</v>
      </c>
      <c r="AG252" s="561">
        <f t="shared" si="3"/>
        <v>0</v>
      </c>
      <c r="AH252" s="460" t="s">
        <v>2671</v>
      </c>
      <c r="AI252" s="460" t="s">
        <v>1214</v>
      </c>
      <c r="AJ252" s="460"/>
      <c r="AK252" s="460"/>
      <c r="AL252" s="560"/>
      <c r="AM252" s="460"/>
    </row>
    <row r="253" spans="1:39" ht="34.200000000000003">
      <c r="A253" s="460" t="s">
        <v>1810</v>
      </c>
      <c r="B253" s="460"/>
      <c r="C253" s="460" t="s">
        <v>1334</v>
      </c>
      <c r="D253" s="460" t="s">
        <v>2274</v>
      </c>
      <c r="E253" s="460" t="s">
        <v>1829</v>
      </c>
      <c r="F253" s="460" t="s">
        <v>1812</v>
      </c>
      <c r="G253" s="461" t="s">
        <v>1218</v>
      </c>
      <c r="H253" s="461" t="s">
        <v>286</v>
      </c>
      <c r="I253" s="460" t="s">
        <v>2026</v>
      </c>
      <c r="J253" s="460" t="s">
        <v>1990</v>
      </c>
      <c r="K253" s="460" t="s">
        <v>2669</v>
      </c>
      <c r="L253" s="460" t="s">
        <v>2737</v>
      </c>
      <c r="M253" s="460" t="s">
        <v>2002</v>
      </c>
      <c r="N253" s="460" t="s">
        <v>1986</v>
      </c>
      <c r="O253" s="460" t="s">
        <v>1980</v>
      </c>
      <c r="P253" s="460" t="s">
        <v>1979</v>
      </c>
      <c r="Q253" s="460" t="s">
        <v>1978</v>
      </c>
      <c r="R253" s="460" t="s">
        <v>1977</v>
      </c>
      <c r="S253" s="460" t="s">
        <v>1826</v>
      </c>
      <c r="T253" s="460" t="s">
        <v>1827</v>
      </c>
      <c r="U253" s="461" t="s">
        <v>1976</v>
      </c>
      <c r="V253" s="460" t="s">
        <v>1119</v>
      </c>
      <c r="W253" s="560"/>
      <c r="X253" s="461" t="s">
        <v>1824</v>
      </c>
      <c r="Y253" s="461" t="s">
        <v>1824</v>
      </c>
      <c r="Z253" s="461" t="s">
        <v>170</v>
      </c>
      <c r="AA253" s="460" t="s">
        <v>1218</v>
      </c>
      <c r="AB253" s="561">
        <f>ROUND(29.05,2)</f>
        <v>29.05</v>
      </c>
      <c r="AC253" s="460" t="s">
        <v>308</v>
      </c>
      <c r="AD253" s="460"/>
      <c r="AE253" s="561">
        <f>ROUND(825.23,2)</f>
        <v>825.23</v>
      </c>
      <c r="AF253" s="460" t="s">
        <v>308</v>
      </c>
      <c r="AG253" s="561">
        <f t="shared" si="3"/>
        <v>0</v>
      </c>
      <c r="AH253" s="460" t="s">
        <v>2671</v>
      </c>
      <c r="AI253" s="460" t="s">
        <v>1214</v>
      </c>
      <c r="AJ253" s="460" t="s">
        <v>2549</v>
      </c>
      <c r="AK253" s="460" t="s">
        <v>2672</v>
      </c>
      <c r="AL253" s="560" t="s">
        <v>2692</v>
      </c>
      <c r="AM253" s="460" t="s">
        <v>2674</v>
      </c>
    </row>
    <row r="254" spans="1:39" ht="22.8">
      <c r="A254" s="460" t="s">
        <v>1810</v>
      </c>
      <c r="B254" s="460"/>
      <c r="C254" s="460" t="s">
        <v>1327</v>
      </c>
      <c r="D254" s="460" t="s">
        <v>2391</v>
      </c>
      <c r="E254" s="460" t="s">
        <v>1813</v>
      </c>
      <c r="F254" s="460" t="s">
        <v>2015</v>
      </c>
      <c r="G254" s="461" t="s">
        <v>1218</v>
      </c>
      <c r="H254" s="461" t="s">
        <v>262</v>
      </c>
      <c r="I254" s="460" t="s">
        <v>2219</v>
      </c>
      <c r="J254" s="460" t="s">
        <v>1990</v>
      </c>
      <c r="K254" s="460" t="s">
        <v>2669</v>
      </c>
      <c r="L254" s="460" t="s">
        <v>2682</v>
      </c>
      <c r="M254" s="460" t="s">
        <v>2028</v>
      </c>
      <c r="N254" s="460" t="s">
        <v>1981</v>
      </c>
      <c r="O254" s="460" t="s">
        <v>2001</v>
      </c>
      <c r="P254" s="460" t="s">
        <v>1979</v>
      </c>
      <c r="Q254" s="460" t="s">
        <v>95</v>
      </c>
      <c r="R254" s="460" t="s">
        <v>1977</v>
      </c>
      <c r="S254" s="460" t="s">
        <v>1842</v>
      </c>
      <c r="T254" s="460" t="s">
        <v>1827</v>
      </c>
      <c r="U254" s="461" t="s">
        <v>1976</v>
      </c>
      <c r="V254" s="460" t="s">
        <v>1843</v>
      </c>
      <c r="W254" s="560"/>
      <c r="X254" s="461" t="s">
        <v>1824</v>
      </c>
      <c r="Y254" s="461" t="s">
        <v>1824</v>
      </c>
      <c r="Z254" s="461" t="s">
        <v>170</v>
      </c>
      <c r="AA254" s="460" t="s">
        <v>1218</v>
      </c>
      <c r="AB254" s="561">
        <f>ROUND(30.41,2)</f>
        <v>30.41</v>
      </c>
      <c r="AC254" s="460" t="s">
        <v>308</v>
      </c>
      <c r="AD254" s="460"/>
      <c r="AE254" s="561">
        <f>ROUND(70.29,2)</f>
        <v>70.290000000000006</v>
      </c>
      <c r="AF254" s="460" t="s">
        <v>308</v>
      </c>
      <c r="AG254" s="561">
        <f t="shared" si="3"/>
        <v>0</v>
      </c>
      <c r="AH254" s="460" t="s">
        <v>2671</v>
      </c>
      <c r="AI254" s="460" t="s">
        <v>1214</v>
      </c>
      <c r="AJ254" s="460" t="s">
        <v>2548</v>
      </c>
      <c r="AK254" s="460" t="s">
        <v>2672</v>
      </c>
      <c r="AL254" s="560" t="s">
        <v>2673</v>
      </c>
      <c r="AM254" s="460" t="s">
        <v>2674</v>
      </c>
    </row>
    <row r="255" spans="1:39" ht="22.8">
      <c r="A255" s="460" t="s">
        <v>1810</v>
      </c>
      <c r="B255" s="460"/>
      <c r="C255" s="460" t="s">
        <v>1627</v>
      </c>
      <c r="D255" s="460" t="s">
        <v>2390</v>
      </c>
      <c r="E255" s="460" t="s">
        <v>1814</v>
      </c>
      <c r="F255" s="460" t="s">
        <v>1812</v>
      </c>
      <c r="G255" s="461" t="s">
        <v>1218</v>
      </c>
      <c r="H255" s="461" t="s">
        <v>1036</v>
      </c>
      <c r="I255" s="460" t="s">
        <v>2389</v>
      </c>
      <c r="J255" s="460" t="s">
        <v>1983</v>
      </c>
      <c r="K255" s="460" t="s">
        <v>2669</v>
      </c>
      <c r="L255" s="460" t="s">
        <v>2703</v>
      </c>
      <c r="M255" s="460" t="s">
        <v>1982</v>
      </c>
      <c r="N255" s="460" t="s">
        <v>1981</v>
      </c>
      <c r="O255" s="460" t="s">
        <v>1980</v>
      </c>
      <c r="P255" s="460" t="s">
        <v>1979</v>
      </c>
      <c r="Q255" s="460" t="s">
        <v>95</v>
      </c>
      <c r="R255" s="460" t="s">
        <v>1977</v>
      </c>
      <c r="S255" s="460" t="s">
        <v>1842</v>
      </c>
      <c r="T255" s="460" t="s">
        <v>1827</v>
      </c>
      <c r="U255" s="461" t="s">
        <v>1976</v>
      </c>
      <c r="V255" s="460" t="s">
        <v>1119</v>
      </c>
      <c r="W255" s="560"/>
      <c r="X255" s="461" t="s">
        <v>1824</v>
      </c>
      <c r="Y255" s="461" t="s">
        <v>1824</v>
      </c>
      <c r="Z255" s="461" t="s">
        <v>170</v>
      </c>
      <c r="AA255" s="460" t="s">
        <v>1218</v>
      </c>
      <c r="AB255" s="561">
        <f>ROUND(0,2)</f>
        <v>0</v>
      </c>
      <c r="AC255" s="460" t="s">
        <v>308</v>
      </c>
      <c r="AD255" s="460"/>
      <c r="AE255" s="561">
        <f>ROUND(36.23,2)</f>
        <v>36.229999999999997</v>
      </c>
      <c r="AF255" s="460" t="s">
        <v>308</v>
      </c>
      <c r="AG255" s="561">
        <f t="shared" si="3"/>
        <v>0</v>
      </c>
      <c r="AH255" s="460" t="s">
        <v>2671</v>
      </c>
      <c r="AI255" s="460" t="s">
        <v>1214</v>
      </c>
      <c r="AJ255" s="460"/>
      <c r="AK255" s="460"/>
      <c r="AL255" s="560"/>
      <c r="AM255" s="460"/>
    </row>
    <row r="256" spans="1:39" ht="22.8">
      <c r="A256" s="460" t="s">
        <v>1810</v>
      </c>
      <c r="B256" s="460"/>
      <c r="C256" s="460" t="s">
        <v>1520</v>
      </c>
      <c r="D256" s="460" t="s">
        <v>2273</v>
      </c>
      <c r="E256" s="460" t="s">
        <v>1821</v>
      </c>
      <c r="F256" s="460" t="s">
        <v>1812</v>
      </c>
      <c r="G256" s="461" t="s">
        <v>1218</v>
      </c>
      <c r="H256" s="461" t="s">
        <v>230</v>
      </c>
      <c r="I256" s="460" t="s">
        <v>2227</v>
      </c>
      <c r="J256" s="460" t="s">
        <v>1983</v>
      </c>
      <c r="K256" s="460" t="s">
        <v>2669</v>
      </c>
      <c r="L256" s="460" t="s">
        <v>2714</v>
      </c>
      <c r="M256" s="460" t="s">
        <v>1994</v>
      </c>
      <c r="N256" s="460" t="s">
        <v>1981</v>
      </c>
      <c r="O256" s="460" t="s">
        <v>1980</v>
      </c>
      <c r="P256" s="460" t="s">
        <v>1979</v>
      </c>
      <c r="Q256" s="460" t="s">
        <v>95</v>
      </c>
      <c r="R256" s="460" t="s">
        <v>1977</v>
      </c>
      <c r="S256" s="460" t="s">
        <v>1842</v>
      </c>
      <c r="T256" s="460" t="s">
        <v>1827</v>
      </c>
      <c r="U256" s="461" t="s">
        <v>1976</v>
      </c>
      <c r="V256" s="460" t="s">
        <v>1119</v>
      </c>
      <c r="W256" s="560"/>
      <c r="X256" s="461" t="s">
        <v>1824</v>
      </c>
      <c r="Y256" s="461" t="s">
        <v>1824</v>
      </c>
      <c r="Z256" s="461" t="s">
        <v>170</v>
      </c>
      <c r="AA256" s="460" t="s">
        <v>1218</v>
      </c>
      <c r="AB256" s="561">
        <f>ROUND(0,2)</f>
        <v>0</v>
      </c>
      <c r="AC256" s="460" t="s">
        <v>308</v>
      </c>
      <c r="AD256" s="460"/>
      <c r="AE256" s="561">
        <f>ROUND(36.23,2)</f>
        <v>36.229999999999997</v>
      </c>
      <c r="AF256" s="460" t="s">
        <v>308</v>
      </c>
      <c r="AG256" s="561">
        <f t="shared" si="3"/>
        <v>0</v>
      </c>
      <c r="AH256" s="460" t="s">
        <v>2671</v>
      </c>
      <c r="AI256" s="460" t="s">
        <v>1214</v>
      </c>
      <c r="AJ256" s="460"/>
      <c r="AK256" s="460"/>
      <c r="AL256" s="560"/>
      <c r="AM256" s="460"/>
    </row>
    <row r="257" spans="1:39" ht="22.8">
      <c r="A257" s="460" t="s">
        <v>1810</v>
      </c>
      <c r="B257" s="460"/>
      <c r="C257" s="460" t="s">
        <v>1520</v>
      </c>
      <c r="D257" s="460" t="s">
        <v>2273</v>
      </c>
      <c r="E257" s="460" t="s">
        <v>1821</v>
      </c>
      <c r="F257" s="460" t="s">
        <v>1812</v>
      </c>
      <c r="G257" s="461" t="s">
        <v>1218</v>
      </c>
      <c r="H257" s="461" t="s">
        <v>230</v>
      </c>
      <c r="I257" s="460" t="s">
        <v>2227</v>
      </c>
      <c r="J257" s="460" t="s">
        <v>1983</v>
      </c>
      <c r="K257" s="460" t="s">
        <v>2669</v>
      </c>
      <c r="L257" s="460" t="s">
        <v>2714</v>
      </c>
      <c r="M257" s="460" t="s">
        <v>1994</v>
      </c>
      <c r="N257" s="460" t="s">
        <v>1981</v>
      </c>
      <c r="O257" s="460" t="s">
        <v>1980</v>
      </c>
      <c r="P257" s="460" t="s">
        <v>2675</v>
      </c>
      <c r="Q257" s="460" t="s">
        <v>2676</v>
      </c>
      <c r="R257" s="460" t="s">
        <v>2677</v>
      </c>
      <c r="S257" s="460" t="s">
        <v>2676</v>
      </c>
      <c r="T257" s="460" t="s">
        <v>1827</v>
      </c>
      <c r="U257" s="461" t="s">
        <v>1824</v>
      </c>
      <c r="V257" s="460" t="s">
        <v>1119</v>
      </c>
      <c r="W257" s="560"/>
      <c r="X257" s="461" t="s">
        <v>1824</v>
      </c>
      <c r="Y257" s="461" t="s">
        <v>1824</v>
      </c>
      <c r="Z257" s="461" t="s">
        <v>170</v>
      </c>
      <c r="AA257" s="460" t="s">
        <v>1218</v>
      </c>
      <c r="AB257" s="561">
        <f>ROUND(55,2)</f>
        <v>55</v>
      </c>
      <c r="AC257" s="460" t="s">
        <v>2678</v>
      </c>
      <c r="AD257" s="460"/>
      <c r="AE257" s="561">
        <f>ROUND(500.05,2)</f>
        <v>500.05</v>
      </c>
      <c r="AF257" s="460" t="s">
        <v>2679</v>
      </c>
      <c r="AG257" s="561">
        <f t="shared" si="3"/>
        <v>0</v>
      </c>
      <c r="AH257" s="460" t="s">
        <v>2671</v>
      </c>
      <c r="AI257" s="460" t="s">
        <v>1214</v>
      </c>
      <c r="AJ257" s="460" t="s">
        <v>2550</v>
      </c>
      <c r="AK257" s="460" t="s">
        <v>2672</v>
      </c>
      <c r="AL257" s="560" t="s">
        <v>2790</v>
      </c>
      <c r="AM257" s="460" t="s">
        <v>2674</v>
      </c>
    </row>
    <row r="258" spans="1:39" ht="22.8">
      <c r="A258" s="460" t="s">
        <v>1810</v>
      </c>
      <c r="B258" s="460"/>
      <c r="C258" s="460" t="s">
        <v>1520</v>
      </c>
      <c r="D258" s="460" t="s">
        <v>2273</v>
      </c>
      <c r="E258" s="460" t="s">
        <v>1821</v>
      </c>
      <c r="F258" s="460" t="s">
        <v>1812</v>
      </c>
      <c r="G258" s="461" t="s">
        <v>1218</v>
      </c>
      <c r="H258" s="461" t="s">
        <v>230</v>
      </c>
      <c r="I258" s="460" t="s">
        <v>2227</v>
      </c>
      <c r="J258" s="460" t="s">
        <v>1983</v>
      </c>
      <c r="K258" s="460" t="s">
        <v>2669</v>
      </c>
      <c r="L258" s="460" t="s">
        <v>2714</v>
      </c>
      <c r="M258" s="460" t="s">
        <v>1994</v>
      </c>
      <c r="N258" s="460" t="s">
        <v>1981</v>
      </c>
      <c r="O258" s="460" t="s">
        <v>1980</v>
      </c>
      <c r="P258" s="460" t="s">
        <v>1979</v>
      </c>
      <c r="Q258" s="460" t="s">
        <v>1978</v>
      </c>
      <c r="R258" s="460" t="s">
        <v>1977</v>
      </c>
      <c r="S258" s="460" t="s">
        <v>1826</v>
      </c>
      <c r="T258" s="460" t="s">
        <v>1827</v>
      </c>
      <c r="U258" s="461" t="s">
        <v>1976</v>
      </c>
      <c r="V258" s="460" t="s">
        <v>1119</v>
      </c>
      <c r="W258" s="560"/>
      <c r="X258" s="461" t="s">
        <v>1824</v>
      </c>
      <c r="Y258" s="461" t="s">
        <v>1824</v>
      </c>
      <c r="Z258" s="461" t="s">
        <v>170</v>
      </c>
      <c r="AA258" s="460" t="s">
        <v>1218</v>
      </c>
      <c r="AB258" s="561">
        <f>ROUND(35.03,2)</f>
        <v>35.03</v>
      </c>
      <c r="AC258" s="460" t="s">
        <v>308</v>
      </c>
      <c r="AD258" s="460"/>
      <c r="AE258" s="561">
        <f>ROUND(819.25,2)</f>
        <v>819.25</v>
      </c>
      <c r="AF258" s="460" t="s">
        <v>308</v>
      </c>
      <c r="AG258" s="561">
        <f t="shared" si="3"/>
        <v>0</v>
      </c>
      <c r="AH258" s="460" t="s">
        <v>2671</v>
      </c>
      <c r="AI258" s="460" t="s">
        <v>1214</v>
      </c>
      <c r="AJ258" s="460" t="s">
        <v>2549</v>
      </c>
      <c r="AK258" s="460" t="s">
        <v>2672</v>
      </c>
      <c r="AL258" s="560" t="s">
        <v>2694</v>
      </c>
      <c r="AM258" s="460" t="s">
        <v>2674</v>
      </c>
    </row>
    <row r="259" spans="1:39" ht="22.8">
      <c r="A259" s="460" t="s">
        <v>1810</v>
      </c>
      <c r="B259" s="460"/>
      <c r="C259" s="460" t="s">
        <v>1566</v>
      </c>
      <c r="D259" s="460" t="s">
        <v>2272</v>
      </c>
      <c r="E259" s="460" t="s">
        <v>1814</v>
      </c>
      <c r="F259" s="460" t="s">
        <v>2015</v>
      </c>
      <c r="G259" s="461" t="s">
        <v>1218</v>
      </c>
      <c r="H259" s="461" t="s">
        <v>384</v>
      </c>
      <c r="I259" s="460" t="s">
        <v>2271</v>
      </c>
      <c r="J259" s="460" t="s">
        <v>1983</v>
      </c>
      <c r="K259" s="460" t="s">
        <v>2669</v>
      </c>
      <c r="L259" s="460" t="s">
        <v>2791</v>
      </c>
      <c r="M259" s="460" t="s">
        <v>1982</v>
      </c>
      <c r="N259" s="460" t="s">
        <v>1981</v>
      </c>
      <c r="O259" s="460" t="s">
        <v>2001</v>
      </c>
      <c r="P259" s="460" t="s">
        <v>1979</v>
      </c>
      <c r="Q259" s="460" t="s">
        <v>95</v>
      </c>
      <c r="R259" s="460" t="s">
        <v>1977</v>
      </c>
      <c r="S259" s="460" t="s">
        <v>1842</v>
      </c>
      <c r="T259" s="460" t="s">
        <v>1827</v>
      </c>
      <c r="U259" s="461" t="s">
        <v>1976</v>
      </c>
      <c r="V259" s="460" t="s">
        <v>1843</v>
      </c>
      <c r="W259" s="560"/>
      <c r="X259" s="461" t="s">
        <v>1824</v>
      </c>
      <c r="Y259" s="461" t="s">
        <v>1824</v>
      </c>
      <c r="Z259" s="461" t="s">
        <v>170</v>
      </c>
      <c r="AA259" s="460" t="s">
        <v>1218</v>
      </c>
      <c r="AB259" s="561">
        <f>ROUND(30.41,2)</f>
        <v>30.41</v>
      </c>
      <c r="AC259" s="460" t="s">
        <v>308</v>
      </c>
      <c r="AD259" s="460"/>
      <c r="AE259" s="561">
        <f>ROUND(70.29,2)</f>
        <v>70.290000000000006</v>
      </c>
      <c r="AF259" s="460" t="s">
        <v>308</v>
      </c>
      <c r="AG259" s="561">
        <f t="shared" si="3"/>
        <v>0</v>
      </c>
      <c r="AH259" s="460" t="s">
        <v>2671</v>
      </c>
      <c r="AI259" s="460" t="s">
        <v>1214</v>
      </c>
      <c r="AJ259" s="460" t="s">
        <v>2548</v>
      </c>
      <c r="AK259" s="460" t="s">
        <v>2672</v>
      </c>
      <c r="AL259" s="560" t="s">
        <v>2673</v>
      </c>
      <c r="AM259" s="460" t="s">
        <v>2674</v>
      </c>
    </row>
    <row r="260" spans="1:39" ht="22.8">
      <c r="A260" s="460" t="s">
        <v>1810</v>
      </c>
      <c r="B260" s="460"/>
      <c r="C260" s="460" t="s">
        <v>1566</v>
      </c>
      <c r="D260" s="460" t="s">
        <v>2272</v>
      </c>
      <c r="E260" s="460" t="s">
        <v>1814</v>
      </c>
      <c r="F260" s="460" t="s">
        <v>2015</v>
      </c>
      <c r="G260" s="461" t="s">
        <v>1218</v>
      </c>
      <c r="H260" s="461" t="s">
        <v>384</v>
      </c>
      <c r="I260" s="460" t="s">
        <v>2271</v>
      </c>
      <c r="J260" s="460" t="s">
        <v>1983</v>
      </c>
      <c r="K260" s="460" t="s">
        <v>2669</v>
      </c>
      <c r="L260" s="460" t="s">
        <v>2791</v>
      </c>
      <c r="M260" s="460" t="s">
        <v>1982</v>
      </c>
      <c r="N260" s="460" t="s">
        <v>1981</v>
      </c>
      <c r="O260" s="460" t="s">
        <v>2001</v>
      </c>
      <c r="P260" s="460" t="s">
        <v>2675</v>
      </c>
      <c r="Q260" s="460" t="s">
        <v>2676</v>
      </c>
      <c r="R260" s="460" t="s">
        <v>2677</v>
      </c>
      <c r="S260" s="460" t="s">
        <v>2676</v>
      </c>
      <c r="T260" s="460" t="s">
        <v>1827</v>
      </c>
      <c r="U260" s="461" t="s">
        <v>1824</v>
      </c>
      <c r="V260" s="460" t="s">
        <v>1843</v>
      </c>
      <c r="W260" s="560"/>
      <c r="X260" s="461" t="s">
        <v>1824</v>
      </c>
      <c r="Y260" s="461" t="s">
        <v>1824</v>
      </c>
      <c r="Z260" s="461" t="s">
        <v>170</v>
      </c>
      <c r="AA260" s="460" t="s">
        <v>1218</v>
      </c>
      <c r="AB260" s="561">
        <f>ROUND(250,2)</f>
        <v>250</v>
      </c>
      <c r="AC260" s="460" t="s">
        <v>2678</v>
      </c>
      <c r="AD260" s="460"/>
      <c r="AE260" s="561">
        <f>ROUND(1000,2)</f>
        <v>1000</v>
      </c>
      <c r="AF260" s="460" t="s">
        <v>2679</v>
      </c>
      <c r="AG260" s="561">
        <f t="shared" si="3"/>
        <v>0</v>
      </c>
      <c r="AH260" s="460" t="s">
        <v>2671</v>
      </c>
      <c r="AI260" s="460" t="s">
        <v>1214</v>
      </c>
      <c r="AJ260" s="460" t="s">
        <v>2550</v>
      </c>
      <c r="AK260" s="460" t="s">
        <v>2672</v>
      </c>
      <c r="AL260" s="560" t="s">
        <v>2719</v>
      </c>
      <c r="AM260" s="460" t="s">
        <v>2674</v>
      </c>
    </row>
    <row r="261" spans="1:39" ht="22.8">
      <c r="A261" s="460" t="s">
        <v>1810</v>
      </c>
      <c r="B261" s="460"/>
      <c r="C261" s="460" t="s">
        <v>1566</v>
      </c>
      <c r="D261" s="460" t="s">
        <v>2272</v>
      </c>
      <c r="E261" s="460" t="s">
        <v>1814</v>
      </c>
      <c r="F261" s="460" t="s">
        <v>2015</v>
      </c>
      <c r="G261" s="461" t="s">
        <v>1218</v>
      </c>
      <c r="H261" s="461" t="s">
        <v>384</v>
      </c>
      <c r="I261" s="460" t="s">
        <v>2271</v>
      </c>
      <c r="J261" s="460" t="s">
        <v>1983</v>
      </c>
      <c r="K261" s="460" t="s">
        <v>2669</v>
      </c>
      <c r="L261" s="460" t="s">
        <v>2791</v>
      </c>
      <c r="M261" s="460" t="s">
        <v>1982</v>
      </c>
      <c r="N261" s="460" t="s">
        <v>1981</v>
      </c>
      <c r="O261" s="460" t="s">
        <v>2001</v>
      </c>
      <c r="P261" s="460" t="s">
        <v>1979</v>
      </c>
      <c r="Q261" s="460" t="s">
        <v>1978</v>
      </c>
      <c r="R261" s="460" t="s">
        <v>1977</v>
      </c>
      <c r="S261" s="460" t="s">
        <v>1826</v>
      </c>
      <c r="T261" s="460" t="s">
        <v>1827</v>
      </c>
      <c r="U261" s="461" t="s">
        <v>1976</v>
      </c>
      <c r="V261" s="460" t="s">
        <v>1843</v>
      </c>
      <c r="W261" s="560"/>
      <c r="X261" s="461" t="s">
        <v>1824</v>
      </c>
      <c r="Y261" s="461" t="s">
        <v>1824</v>
      </c>
      <c r="Z261" s="461" t="s">
        <v>170</v>
      </c>
      <c r="AA261" s="460" t="s">
        <v>1218</v>
      </c>
      <c r="AB261" s="561">
        <f>ROUND(603.2,2)</f>
        <v>603.20000000000005</v>
      </c>
      <c r="AC261" s="460" t="s">
        <v>308</v>
      </c>
      <c r="AD261" s="460"/>
      <c r="AE261" s="561">
        <f>ROUND(1528.26,2)</f>
        <v>1528.26</v>
      </c>
      <c r="AF261" s="460" t="s">
        <v>308</v>
      </c>
      <c r="AG261" s="561">
        <f t="shared" ref="AG261:AG327" si="4">ROUND(0,2)</f>
        <v>0</v>
      </c>
      <c r="AH261" s="460" t="s">
        <v>2671</v>
      </c>
      <c r="AI261" s="460" t="s">
        <v>1214</v>
      </c>
      <c r="AJ261" s="460" t="s">
        <v>2549</v>
      </c>
      <c r="AK261" s="460" t="s">
        <v>2672</v>
      </c>
      <c r="AL261" s="560" t="s">
        <v>2702</v>
      </c>
      <c r="AM261" s="460" t="s">
        <v>2674</v>
      </c>
    </row>
    <row r="262" spans="1:39" ht="34.200000000000003">
      <c r="A262" s="460" t="s">
        <v>1810</v>
      </c>
      <c r="B262" s="460"/>
      <c r="C262" s="460" t="s">
        <v>2489</v>
      </c>
      <c r="D262" s="460" t="s">
        <v>2792</v>
      </c>
      <c r="E262" s="460" t="s">
        <v>1844</v>
      </c>
      <c r="F262" s="460" t="s">
        <v>1812</v>
      </c>
      <c r="G262" s="461" t="s">
        <v>1218</v>
      </c>
      <c r="H262" s="461" t="s">
        <v>2793</v>
      </c>
      <c r="I262" s="460" t="s">
        <v>2794</v>
      </c>
      <c r="J262" s="460" t="s">
        <v>1983</v>
      </c>
      <c r="K262" s="460" t="s">
        <v>2669</v>
      </c>
      <c r="L262" s="460" t="s">
        <v>2767</v>
      </c>
      <c r="M262" s="460" t="s">
        <v>2002</v>
      </c>
      <c r="N262" s="460" t="s">
        <v>2025</v>
      </c>
      <c r="O262" s="460" t="s">
        <v>1980</v>
      </c>
      <c r="P262" s="460" t="s">
        <v>1979</v>
      </c>
      <c r="Q262" s="460" t="s">
        <v>95</v>
      </c>
      <c r="R262" s="460" t="s">
        <v>1977</v>
      </c>
      <c r="S262" s="460" t="s">
        <v>1842</v>
      </c>
      <c r="T262" s="460" t="s">
        <v>1827</v>
      </c>
      <c r="U262" s="461" t="s">
        <v>1976</v>
      </c>
      <c r="V262" s="460" t="s">
        <v>1851</v>
      </c>
      <c r="W262" s="560"/>
      <c r="X262" s="461" t="s">
        <v>2683</v>
      </c>
      <c r="Y262" s="461" t="s">
        <v>2683</v>
      </c>
      <c r="Z262" s="461" t="s">
        <v>170</v>
      </c>
      <c r="AA262" s="460" t="s">
        <v>1218</v>
      </c>
      <c r="AB262" s="561">
        <f>ROUND(30.41,2)</f>
        <v>30.41</v>
      </c>
      <c r="AC262" s="460" t="s">
        <v>308</v>
      </c>
      <c r="AD262" s="460"/>
      <c r="AE262" s="561">
        <f>ROUND(70.29,2)</f>
        <v>70.290000000000006</v>
      </c>
      <c r="AF262" s="460" t="s">
        <v>308</v>
      </c>
      <c r="AG262" s="561">
        <f t="shared" si="4"/>
        <v>0</v>
      </c>
      <c r="AH262" s="460" t="s">
        <v>2671</v>
      </c>
      <c r="AI262" s="460" t="s">
        <v>1214</v>
      </c>
      <c r="AJ262" s="460" t="s">
        <v>2548</v>
      </c>
      <c r="AK262" s="460" t="s">
        <v>2672</v>
      </c>
      <c r="AL262" s="560" t="s">
        <v>2673</v>
      </c>
      <c r="AM262" s="460" t="s">
        <v>2674</v>
      </c>
    </row>
    <row r="263" spans="1:39" ht="34.200000000000003">
      <c r="A263" s="460" t="s">
        <v>1810</v>
      </c>
      <c r="B263" s="460"/>
      <c r="C263" s="460" t="s">
        <v>2489</v>
      </c>
      <c r="D263" s="460" t="s">
        <v>2792</v>
      </c>
      <c r="E263" s="460" t="s">
        <v>1844</v>
      </c>
      <c r="F263" s="460" t="s">
        <v>1812</v>
      </c>
      <c r="G263" s="461" t="s">
        <v>1218</v>
      </c>
      <c r="H263" s="461" t="s">
        <v>2793</v>
      </c>
      <c r="I263" s="460" t="s">
        <v>2794</v>
      </c>
      <c r="J263" s="460" t="s">
        <v>1983</v>
      </c>
      <c r="K263" s="460" t="s">
        <v>2669</v>
      </c>
      <c r="L263" s="460" t="s">
        <v>2767</v>
      </c>
      <c r="M263" s="460" t="s">
        <v>2002</v>
      </c>
      <c r="N263" s="460" t="s">
        <v>2025</v>
      </c>
      <c r="O263" s="460" t="s">
        <v>1980</v>
      </c>
      <c r="P263" s="460" t="s">
        <v>2675</v>
      </c>
      <c r="Q263" s="460" t="s">
        <v>2676</v>
      </c>
      <c r="R263" s="460" t="s">
        <v>2677</v>
      </c>
      <c r="S263" s="460" t="s">
        <v>2676</v>
      </c>
      <c r="T263" s="460" t="s">
        <v>1827</v>
      </c>
      <c r="U263" s="461" t="s">
        <v>1824</v>
      </c>
      <c r="V263" s="460" t="s">
        <v>1843</v>
      </c>
      <c r="W263" s="560"/>
      <c r="X263" s="461" t="s">
        <v>2683</v>
      </c>
      <c r="Y263" s="461" t="s">
        <v>2683</v>
      </c>
      <c r="Z263" s="461" t="s">
        <v>170</v>
      </c>
      <c r="AA263" s="460" t="s">
        <v>1218</v>
      </c>
      <c r="AB263" s="561">
        <f>ROUND(50,2)</f>
        <v>50</v>
      </c>
      <c r="AC263" s="460" t="s">
        <v>2678</v>
      </c>
      <c r="AD263" s="460"/>
      <c r="AE263" s="561">
        <f>ROUND(1000,2)</f>
        <v>1000</v>
      </c>
      <c r="AF263" s="460" t="s">
        <v>2679</v>
      </c>
      <c r="AG263" s="561">
        <f t="shared" si="4"/>
        <v>0</v>
      </c>
      <c r="AH263" s="460" t="s">
        <v>2671</v>
      </c>
      <c r="AI263" s="460" t="s">
        <v>1214</v>
      </c>
      <c r="AJ263" s="460" t="s">
        <v>2550</v>
      </c>
      <c r="AK263" s="460" t="s">
        <v>2672</v>
      </c>
      <c r="AL263" s="560" t="s">
        <v>2690</v>
      </c>
      <c r="AM263" s="460" t="s">
        <v>2674</v>
      </c>
    </row>
    <row r="264" spans="1:39" ht="34.200000000000003">
      <c r="A264" s="460" t="s">
        <v>1810</v>
      </c>
      <c r="B264" s="460"/>
      <c r="C264" s="460" t="s">
        <v>2489</v>
      </c>
      <c r="D264" s="460" t="s">
        <v>2792</v>
      </c>
      <c r="E264" s="460" t="s">
        <v>1844</v>
      </c>
      <c r="F264" s="460" t="s">
        <v>1812</v>
      </c>
      <c r="G264" s="461" t="s">
        <v>1218</v>
      </c>
      <c r="H264" s="461" t="s">
        <v>2793</v>
      </c>
      <c r="I264" s="460" t="s">
        <v>2794</v>
      </c>
      <c r="J264" s="460" t="s">
        <v>1983</v>
      </c>
      <c r="K264" s="460" t="s">
        <v>2669</v>
      </c>
      <c r="L264" s="460" t="s">
        <v>2767</v>
      </c>
      <c r="M264" s="460" t="s">
        <v>2002</v>
      </c>
      <c r="N264" s="460" t="s">
        <v>2025</v>
      </c>
      <c r="O264" s="460" t="s">
        <v>1980</v>
      </c>
      <c r="P264" s="460" t="s">
        <v>1979</v>
      </c>
      <c r="Q264" s="460" t="s">
        <v>1978</v>
      </c>
      <c r="R264" s="460" t="s">
        <v>1977</v>
      </c>
      <c r="S264" s="460" t="s">
        <v>1826</v>
      </c>
      <c r="T264" s="460" t="s">
        <v>1827</v>
      </c>
      <c r="U264" s="461" t="s">
        <v>1976</v>
      </c>
      <c r="V264" s="460" t="s">
        <v>1851</v>
      </c>
      <c r="W264" s="560"/>
      <c r="X264" s="461" t="s">
        <v>2683</v>
      </c>
      <c r="Y264" s="461" t="s">
        <v>2683</v>
      </c>
      <c r="Z264" s="461" t="s">
        <v>170</v>
      </c>
      <c r="AA264" s="460" t="s">
        <v>1218</v>
      </c>
      <c r="AB264" s="561">
        <f>ROUND(226.88,2)</f>
        <v>226.88</v>
      </c>
      <c r="AC264" s="460" t="s">
        <v>308</v>
      </c>
      <c r="AD264" s="460"/>
      <c r="AE264" s="561">
        <f>ROUND(1393.71,2)</f>
        <v>1393.71</v>
      </c>
      <c r="AF264" s="460" t="s">
        <v>308</v>
      </c>
      <c r="AG264" s="561">
        <f t="shared" si="4"/>
        <v>0</v>
      </c>
      <c r="AH264" s="460" t="s">
        <v>2671</v>
      </c>
      <c r="AI264" s="460" t="s">
        <v>1214</v>
      </c>
      <c r="AJ264" s="460" t="s">
        <v>2549</v>
      </c>
      <c r="AK264" s="460" t="s">
        <v>2672</v>
      </c>
      <c r="AL264" s="560" t="s">
        <v>2681</v>
      </c>
      <c r="AM264" s="460" t="s">
        <v>2674</v>
      </c>
    </row>
    <row r="265" spans="1:39" ht="22.8">
      <c r="A265" s="460" t="s">
        <v>1810</v>
      </c>
      <c r="B265" s="460"/>
      <c r="C265" s="460" t="s">
        <v>1545</v>
      </c>
      <c r="D265" s="460" t="s">
        <v>2270</v>
      </c>
      <c r="E265" s="460" t="s">
        <v>1821</v>
      </c>
      <c r="F265" s="460" t="s">
        <v>1812</v>
      </c>
      <c r="G265" s="461" t="s">
        <v>1218</v>
      </c>
      <c r="H265" s="461" t="s">
        <v>359</v>
      </c>
      <c r="I265" s="460" t="s">
        <v>1995</v>
      </c>
      <c r="J265" s="460" t="s">
        <v>1983</v>
      </c>
      <c r="K265" s="460" t="s">
        <v>2669</v>
      </c>
      <c r="L265" s="460" t="s">
        <v>2714</v>
      </c>
      <c r="M265" s="460" t="s">
        <v>1994</v>
      </c>
      <c r="N265" s="460" t="s">
        <v>1981</v>
      </c>
      <c r="O265" s="460" t="s">
        <v>1980</v>
      </c>
      <c r="P265" s="460" t="s">
        <v>1979</v>
      </c>
      <c r="Q265" s="460" t="s">
        <v>95</v>
      </c>
      <c r="R265" s="460" t="s">
        <v>1977</v>
      </c>
      <c r="S265" s="460" t="s">
        <v>1842</v>
      </c>
      <c r="T265" s="460" t="s">
        <v>1827</v>
      </c>
      <c r="U265" s="461" t="s">
        <v>1976</v>
      </c>
      <c r="V265" s="460" t="s">
        <v>1843</v>
      </c>
      <c r="W265" s="560"/>
      <c r="X265" s="461" t="s">
        <v>2269</v>
      </c>
      <c r="Y265" s="461" t="s">
        <v>2269</v>
      </c>
      <c r="Z265" s="461" t="s">
        <v>170</v>
      </c>
      <c r="AA265" s="460" t="s">
        <v>1218</v>
      </c>
      <c r="AB265" s="561">
        <f>ROUND(30.41,2)</f>
        <v>30.41</v>
      </c>
      <c r="AC265" s="460" t="s">
        <v>308</v>
      </c>
      <c r="AD265" s="460"/>
      <c r="AE265" s="561">
        <f>ROUND(70.29,2)</f>
        <v>70.290000000000006</v>
      </c>
      <c r="AF265" s="460" t="s">
        <v>308</v>
      </c>
      <c r="AG265" s="561">
        <f t="shared" si="4"/>
        <v>0</v>
      </c>
      <c r="AH265" s="460" t="s">
        <v>2671</v>
      </c>
      <c r="AI265" s="460" t="s">
        <v>1214</v>
      </c>
      <c r="AJ265" s="460" t="s">
        <v>2548</v>
      </c>
      <c r="AK265" s="460" t="s">
        <v>2672</v>
      </c>
      <c r="AL265" s="560" t="s">
        <v>2673</v>
      </c>
      <c r="AM265" s="460" t="s">
        <v>2674</v>
      </c>
    </row>
    <row r="266" spans="1:39" ht="22.8">
      <c r="A266" s="460" t="s">
        <v>1810</v>
      </c>
      <c r="B266" s="460"/>
      <c r="C266" s="460" t="s">
        <v>1545</v>
      </c>
      <c r="D266" s="460" t="s">
        <v>2270</v>
      </c>
      <c r="E266" s="460" t="s">
        <v>1821</v>
      </c>
      <c r="F266" s="460" t="s">
        <v>1812</v>
      </c>
      <c r="G266" s="461" t="s">
        <v>1218</v>
      </c>
      <c r="H266" s="461" t="s">
        <v>359</v>
      </c>
      <c r="I266" s="460" t="s">
        <v>1995</v>
      </c>
      <c r="J266" s="460" t="s">
        <v>1983</v>
      </c>
      <c r="K266" s="460" t="s">
        <v>2669</v>
      </c>
      <c r="L266" s="460" t="s">
        <v>2714</v>
      </c>
      <c r="M266" s="460" t="s">
        <v>1994</v>
      </c>
      <c r="N266" s="460" t="s">
        <v>1981</v>
      </c>
      <c r="O266" s="460" t="s">
        <v>1980</v>
      </c>
      <c r="P266" s="460" t="s">
        <v>2675</v>
      </c>
      <c r="Q266" s="460" t="s">
        <v>2676</v>
      </c>
      <c r="R266" s="460" t="s">
        <v>2677</v>
      </c>
      <c r="S266" s="460" t="s">
        <v>2676</v>
      </c>
      <c r="T266" s="460" t="s">
        <v>1827</v>
      </c>
      <c r="U266" s="461" t="s">
        <v>1824</v>
      </c>
      <c r="V266" s="460" t="s">
        <v>1843</v>
      </c>
      <c r="W266" s="560"/>
      <c r="X266" s="461" t="s">
        <v>2269</v>
      </c>
      <c r="Y266" s="461" t="s">
        <v>2269</v>
      </c>
      <c r="Z266" s="461" t="s">
        <v>170</v>
      </c>
      <c r="AA266" s="460" t="s">
        <v>1218</v>
      </c>
      <c r="AB266" s="561">
        <f>ROUND(175,2)</f>
        <v>175</v>
      </c>
      <c r="AC266" s="460" t="s">
        <v>2678</v>
      </c>
      <c r="AD266" s="460"/>
      <c r="AE266" s="561">
        <f>ROUND(1000,2)</f>
        <v>1000</v>
      </c>
      <c r="AF266" s="460" t="s">
        <v>2679</v>
      </c>
      <c r="AG266" s="561">
        <f t="shared" si="4"/>
        <v>0</v>
      </c>
      <c r="AH266" s="460" t="s">
        <v>2671</v>
      </c>
      <c r="AI266" s="460" t="s">
        <v>1214</v>
      </c>
      <c r="AJ266" s="460" t="s">
        <v>2550</v>
      </c>
      <c r="AK266" s="460" t="s">
        <v>2672</v>
      </c>
      <c r="AL266" s="560" t="s">
        <v>2795</v>
      </c>
      <c r="AM266" s="460" t="s">
        <v>2674</v>
      </c>
    </row>
    <row r="267" spans="1:39" ht="22.8">
      <c r="A267" s="460" t="s">
        <v>1810</v>
      </c>
      <c r="B267" s="460"/>
      <c r="C267" s="460" t="s">
        <v>1545</v>
      </c>
      <c r="D267" s="460" t="s">
        <v>2270</v>
      </c>
      <c r="E267" s="460" t="s">
        <v>1821</v>
      </c>
      <c r="F267" s="460" t="s">
        <v>1812</v>
      </c>
      <c r="G267" s="461" t="s">
        <v>1218</v>
      </c>
      <c r="H267" s="461" t="s">
        <v>359</v>
      </c>
      <c r="I267" s="460" t="s">
        <v>1995</v>
      </c>
      <c r="J267" s="460" t="s">
        <v>1983</v>
      </c>
      <c r="K267" s="460" t="s">
        <v>2669</v>
      </c>
      <c r="L267" s="460" t="s">
        <v>2714</v>
      </c>
      <c r="M267" s="460" t="s">
        <v>1994</v>
      </c>
      <c r="N267" s="460" t="s">
        <v>1981</v>
      </c>
      <c r="O267" s="460" t="s">
        <v>1980</v>
      </c>
      <c r="P267" s="460" t="s">
        <v>1979</v>
      </c>
      <c r="Q267" s="460" t="s">
        <v>1978</v>
      </c>
      <c r="R267" s="460" t="s">
        <v>1977</v>
      </c>
      <c r="S267" s="460" t="s">
        <v>1826</v>
      </c>
      <c r="T267" s="460" t="s">
        <v>1827</v>
      </c>
      <c r="U267" s="461" t="s">
        <v>1976</v>
      </c>
      <c r="V267" s="460" t="s">
        <v>1843</v>
      </c>
      <c r="W267" s="560"/>
      <c r="X267" s="461" t="s">
        <v>2269</v>
      </c>
      <c r="Y267" s="461" t="s">
        <v>2269</v>
      </c>
      <c r="Z267" s="461" t="s">
        <v>170</v>
      </c>
      <c r="AA267" s="460" t="s">
        <v>1218</v>
      </c>
      <c r="AB267" s="561">
        <f>ROUND(475.32,2)</f>
        <v>475.32</v>
      </c>
      <c r="AC267" s="460" t="s">
        <v>308</v>
      </c>
      <c r="AD267" s="460"/>
      <c r="AE267" s="561">
        <f>ROUND(1656.14,2)</f>
        <v>1656.14</v>
      </c>
      <c r="AF267" s="460" t="s">
        <v>308</v>
      </c>
      <c r="AG267" s="561">
        <f t="shared" si="4"/>
        <v>0</v>
      </c>
      <c r="AH267" s="460" t="s">
        <v>2671</v>
      </c>
      <c r="AI267" s="460" t="s">
        <v>1214</v>
      </c>
      <c r="AJ267" s="460" t="s">
        <v>2549</v>
      </c>
      <c r="AK267" s="460" t="s">
        <v>2672</v>
      </c>
      <c r="AL267" s="560" t="s">
        <v>2718</v>
      </c>
      <c r="AM267" s="460" t="s">
        <v>2674</v>
      </c>
    </row>
    <row r="268" spans="1:39" ht="22.8">
      <c r="A268" s="460" t="s">
        <v>1810</v>
      </c>
      <c r="B268" s="460"/>
      <c r="C268" s="460" t="s">
        <v>1332</v>
      </c>
      <c r="D268" s="460" t="s">
        <v>2268</v>
      </c>
      <c r="E268" s="460" t="s">
        <v>1817</v>
      </c>
      <c r="F268" s="460" t="s">
        <v>1812</v>
      </c>
      <c r="G268" s="461" t="s">
        <v>1218</v>
      </c>
      <c r="H268" s="461" t="s">
        <v>295</v>
      </c>
      <c r="I268" s="460" t="s">
        <v>2267</v>
      </c>
      <c r="J268" s="460" t="s">
        <v>1983</v>
      </c>
      <c r="K268" s="460" t="s">
        <v>2669</v>
      </c>
      <c r="L268" s="460" t="s">
        <v>2796</v>
      </c>
      <c r="M268" s="460" t="s">
        <v>1987</v>
      </c>
      <c r="N268" s="460" t="s">
        <v>1986</v>
      </c>
      <c r="O268" s="460" t="s">
        <v>1980</v>
      </c>
      <c r="P268" s="460" t="s">
        <v>1979</v>
      </c>
      <c r="Q268" s="460" t="s">
        <v>95</v>
      </c>
      <c r="R268" s="460" t="s">
        <v>1977</v>
      </c>
      <c r="S268" s="460" t="s">
        <v>1842</v>
      </c>
      <c r="T268" s="460" t="s">
        <v>1827</v>
      </c>
      <c r="U268" s="461" t="s">
        <v>1976</v>
      </c>
      <c r="V268" s="460" t="s">
        <v>1843</v>
      </c>
      <c r="W268" s="560"/>
      <c r="X268" s="461" t="s">
        <v>1824</v>
      </c>
      <c r="Y268" s="461" t="s">
        <v>1824</v>
      </c>
      <c r="Z268" s="461" t="s">
        <v>170</v>
      </c>
      <c r="AA268" s="460" t="s">
        <v>1218</v>
      </c>
      <c r="AB268" s="561">
        <f>ROUND(30.41,2)</f>
        <v>30.41</v>
      </c>
      <c r="AC268" s="460" t="s">
        <v>308</v>
      </c>
      <c r="AD268" s="460"/>
      <c r="AE268" s="561">
        <f>ROUND(70.29,2)</f>
        <v>70.290000000000006</v>
      </c>
      <c r="AF268" s="460" t="s">
        <v>308</v>
      </c>
      <c r="AG268" s="561">
        <f t="shared" si="4"/>
        <v>0</v>
      </c>
      <c r="AH268" s="460" t="s">
        <v>2671</v>
      </c>
      <c r="AI268" s="460" t="s">
        <v>1214</v>
      </c>
      <c r="AJ268" s="460" t="s">
        <v>2548</v>
      </c>
      <c r="AK268" s="460" t="s">
        <v>2672</v>
      </c>
      <c r="AL268" s="560" t="s">
        <v>2673</v>
      </c>
      <c r="AM268" s="460" t="s">
        <v>2674</v>
      </c>
    </row>
    <row r="269" spans="1:39" ht="22.8">
      <c r="A269" s="460" t="s">
        <v>1810</v>
      </c>
      <c r="B269" s="460"/>
      <c r="C269" s="460" t="s">
        <v>1332</v>
      </c>
      <c r="D269" s="460" t="s">
        <v>2268</v>
      </c>
      <c r="E269" s="460" t="s">
        <v>1817</v>
      </c>
      <c r="F269" s="460" t="s">
        <v>1812</v>
      </c>
      <c r="G269" s="461" t="s">
        <v>1218</v>
      </c>
      <c r="H269" s="461" t="s">
        <v>295</v>
      </c>
      <c r="I269" s="460" t="s">
        <v>2267</v>
      </c>
      <c r="J269" s="460" t="s">
        <v>1983</v>
      </c>
      <c r="K269" s="460" t="s">
        <v>2669</v>
      </c>
      <c r="L269" s="460" t="s">
        <v>2796</v>
      </c>
      <c r="M269" s="460" t="s">
        <v>1987</v>
      </c>
      <c r="N269" s="460" t="s">
        <v>1986</v>
      </c>
      <c r="O269" s="460" t="s">
        <v>1980</v>
      </c>
      <c r="P269" s="460" t="s">
        <v>2675</v>
      </c>
      <c r="Q269" s="460" t="s">
        <v>2676</v>
      </c>
      <c r="R269" s="460" t="s">
        <v>2677</v>
      </c>
      <c r="S269" s="460" t="s">
        <v>2676</v>
      </c>
      <c r="T269" s="460" t="s">
        <v>1827</v>
      </c>
      <c r="U269" s="461" t="s">
        <v>1824</v>
      </c>
      <c r="V269" s="460" t="s">
        <v>1843</v>
      </c>
      <c r="W269" s="560"/>
      <c r="X269" s="461" t="s">
        <v>1824</v>
      </c>
      <c r="Y269" s="461" t="s">
        <v>1824</v>
      </c>
      <c r="Z269" s="461" t="s">
        <v>170</v>
      </c>
      <c r="AA269" s="460" t="s">
        <v>1218</v>
      </c>
      <c r="AB269" s="561">
        <f>ROUND(75,2)</f>
        <v>75</v>
      </c>
      <c r="AC269" s="460" t="s">
        <v>2678</v>
      </c>
      <c r="AD269" s="460"/>
      <c r="AE269" s="561">
        <f>ROUND(1000,2)</f>
        <v>1000</v>
      </c>
      <c r="AF269" s="460" t="s">
        <v>2679</v>
      </c>
      <c r="AG269" s="561">
        <f t="shared" si="4"/>
        <v>0</v>
      </c>
      <c r="AH269" s="460" t="s">
        <v>2671</v>
      </c>
      <c r="AI269" s="460" t="s">
        <v>1214</v>
      </c>
      <c r="AJ269" s="460" t="s">
        <v>2550</v>
      </c>
      <c r="AK269" s="460" t="s">
        <v>2672</v>
      </c>
      <c r="AL269" s="560" t="s">
        <v>2797</v>
      </c>
      <c r="AM269" s="460" t="s">
        <v>2674</v>
      </c>
    </row>
    <row r="270" spans="1:39" ht="22.8">
      <c r="A270" s="460" t="s">
        <v>1810</v>
      </c>
      <c r="B270" s="460"/>
      <c r="C270" s="460" t="s">
        <v>1332</v>
      </c>
      <c r="D270" s="460" t="s">
        <v>2268</v>
      </c>
      <c r="E270" s="460" t="s">
        <v>1817</v>
      </c>
      <c r="F270" s="460" t="s">
        <v>1812</v>
      </c>
      <c r="G270" s="461" t="s">
        <v>1218</v>
      </c>
      <c r="H270" s="461" t="s">
        <v>295</v>
      </c>
      <c r="I270" s="460" t="s">
        <v>2267</v>
      </c>
      <c r="J270" s="460" t="s">
        <v>1983</v>
      </c>
      <c r="K270" s="460" t="s">
        <v>2669</v>
      </c>
      <c r="L270" s="460" t="s">
        <v>2796</v>
      </c>
      <c r="M270" s="460" t="s">
        <v>1987</v>
      </c>
      <c r="N270" s="460" t="s">
        <v>1986</v>
      </c>
      <c r="O270" s="460" t="s">
        <v>1980</v>
      </c>
      <c r="P270" s="460" t="s">
        <v>1979</v>
      </c>
      <c r="Q270" s="460" t="s">
        <v>1978</v>
      </c>
      <c r="R270" s="460" t="s">
        <v>1977</v>
      </c>
      <c r="S270" s="460" t="s">
        <v>1826</v>
      </c>
      <c r="T270" s="460" t="s">
        <v>1827</v>
      </c>
      <c r="U270" s="461" t="s">
        <v>1976</v>
      </c>
      <c r="V270" s="460" t="s">
        <v>1843</v>
      </c>
      <c r="W270" s="560"/>
      <c r="X270" s="461" t="s">
        <v>1824</v>
      </c>
      <c r="Y270" s="461" t="s">
        <v>1824</v>
      </c>
      <c r="Z270" s="461" t="s">
        <v>170</v>
      </c>
      <c r="AA270" s="460" t="s">
        <v>1218</v>
      </c>
      <c r="AB270" s="561">
        <f>ROUND(383.66,2)</f>
        <v>383.66</v>
      </c>
      <c r="AC270" s="460" t="s">
        <v>308</v>
      </c>
      <c r="AD270" s="460"/>
      <c r="AE270" s="561">
        <f>ROUND(1747.8,2)</f>
        <v>1747.8</v>
      </c>
      <c r="AF270" s="460" t="s">
        <v>308</v>
      </c>
      <c r="AG270" s="561">
        <f t="shared" si="4"/>
        <v>0</v>
      </c>
      <c r="AH270" s="460" t="s">
        <v>2671</v>
      </c>
      <c r="AI270" s="460" t="s">
        <v>1214</v>
      </c>
      <c r="AJ270" s="460" t="s">
        <v>2549</v>
      </c>
      <c r="AK270" s="460" t="s">
        <v>2672</v>
      </c>
      <c r="AL270" s="560" t="s">
        <v>2696</v>
      </c>
      <c r="AM270" s="460" t="s">
        <v>2674</v>
      </c>
    </row>
    <row r="271" spans="1:39" ht="22.8">
      <c r="A271" s="460" t="s">
        <v>1810</v>
      </c>
      <c r="B271" s="460"/>
      <c r="C271" s="460" t="s">
        <v>1571</v>
      </c>
      <c r="D271" s="460" t="s">
        <v>2266</v>
      </c>
      <c r="E271" s="460" t="s">
        <v>1814</v>
      </c>
      <c r="F271" s="460" t="s">
        <v>1812</v>
      </c>
      <c r="G271" s="461" t="s">
        <v>1218</v>
      </c>
      <c r="H271" s="461" t="s">
        <v>386</v>
      </c>
      <c r="I271" s="460" t="s">
        <v>2244</v>
      </c>
      <c r="J271" s="460" t="s">
        <v>1990</v>
      </c>
      <c r="K271" s="460" t="s">
        <v>2669</v>
      </c>
      <c r="L271" s="460" t="s">
        <v>2703</v>
      </c>
      <c r="M271" s="460" t="s">
        <v>1982</v>
      </c>
      <c r="N271" s="460" t="s">
        <v>1981</v>
      </c>
      <c r="O271" s="460" t="s">
        <v>1980</v>
      </c>
      <c r="P271" s="460" t="s">
        <v>1979</v>
      </c>
      <c r="Q271" s="460" t="s">
        <v>95</v>
      </c>
      <c r="R271" s="460" t="s">
        <v>1977</v>
      </c>
      <c r="S271" s="460" t="s">
        <v>1842</v>
      </c>
      <c r="T271" s="460" t="s">
        <v>1827</v>
      </c>
      <c r="U271" s="461" t="s">
        <v>1976</v>
      </c>
      <c r="V271" s="460" t="s">
        <v>1843</v>
      </c>
      <c r="W271" s="560"/>
      <c r="X271" s="461" t="s">
        <v>1824</v>
      </c>
      <c r="Y271" s="461" t="s">
        <v>1824</v>
      </c>
      <c r="Z271" s="461" t="s">
        <v>170</v>
      </c>
      <c r="AA271" s="460" t="s">
        <v>1218</v>
      </c>
      <c r="AB271" s="561">
        <f>ROUND(30.41,2)</f>
        <v>30.41</v>
      </c>
      <c r="AC271" s="460" t="s">
        <v>308</v>
      </c>
      <c r="AD271" s="460"/>
      <c r="AE271" s="561">
        <f>ROUND(70.29,2)</f>
        <v>70.290000000000006</v>
      </c>
      <c r="AF271" s="460" t="s">
        <v>308</v>
      </c>
      <c r="AG271" s="561">
        <f t="shared" si="4"/>
        <v>0</v>
      </c>
      <c r="AH271" s="460" t="s">
        <v>2671</v>
      </c>
      <c r="AI271" s="460" t="s">
        <v>1214</v>
      </c>
      <c r="AJ271" s="460" t="s">
        <v>2548</v>
      </c>
      <c r="AK271" s="460" t="s">
        <v>2672</v>
      </c>
      <c r="AL271" s="560" t="s">
        <v>2673</v>
      </c>
      <c r="AM271" s="460" t="s">
        <v>2674</v>
      </c>
    </row>
    <row r="272" spans="1:39" ht="22.8">
      <c r="A272" s="460" t="s">
        <v>1810</v>
      </c>
      <c r="B272" s="460"/>
      <c r="C272" s="460" t="s">
        <v>1571</v>
      </c>
      <c r="D272" s="460" t="s">
        <v>2266</v>
      </c>
      <c r="E272" s="460" t="s">
        <v>1814</v>
      </c>
      <c r="F272" s="460" t="s">
        <v>1812</v>
      </c>
      <c r="G272" s="461" t="s">
        <v>1218</v>
      </c>
      <c r="H272" s="461" t="s">
        <v>386</v>
      </c>
      <c r="I272" s="460" t="s">
        <v>2244</v>
      </c>
      <c r="J272" s="460" t="s">
        <v>1990</v>
      </c>
      <c r="K272" s="460" t="s">
        <v>2669</v>
      </c>
      <c r="L272" s="460" t="s">
        <v>2703</v>
      </c>
      <c r="M272" s="460" t="s">
        <v>1982</v>
      </c>
      <c r="N272" s="460" t="s">
        <v>1981</v>
      </c>
      <c r="O272" s="460" t="s">
        <v>1980</v>
      </c>
      <c r="P272" s="460" t="s">
        <v>2675</v>
      </c>
      <c r="Q272" s="460" t="s">
        <v>2676</v>
      </c>
      <c r="R272" s="460" t="s">
        <v>2677</v>
      </c>
      <c r="S272" s="460" t="s">
        <v>2676</v>
      </c>
      <c r="T272" s="460" t="s">
        <v>1827</v>
      </c>
      <c r="U272" s="461" t="s">
        <v>1824</v>
      </c>
      <c r="V272" s="460" t="s">
        <v>1843</v>
      </c>
      <c r="W272" s="560"/>
      <c r="X272" s="461" t="s">
        <v>1824</v>
      </c>
      <c r="Y272" s="461" t="s">
        <v>1824</v>
      </c>
      <c r="Z272" s="461" t="s">
        <v>170</v>
      </c>
      <c r="AA272" s="460" t="s">
        <v>1218</v>
      </c>
      <c r="AB272" s="561">
        <f>ROUND(10,2)</f>
        <v>10</v>
      </c>
      <c r="AC272" s="460" t="s">
        <v>2678</v>
      </c>
      <c r="AD272" s="460"/>
      <c r="AE272" s="561">
        <f>ROUND(1000,2)</f>
        <v>1000</v>
      </c>
      <c r="AF272" s="460" t="s">
        <v>2679</v>
      </c>
      <c r="AG272" s="561">
        <f t="shared" si="4"/>
        <v>0</v>
      </c>
      <c r="AH272" s="460" t="s">
        <v>2671</v>
      </c>
      <c r="AI272" s="460" t="s">
        <v>1214</v>
      </c>
      <c r="AJ272" s="460" t="s">
        <v>2550</v>
      </c>
      <c r="AK272" s="460" t="s">
        <v>2672</v>
      </c>
      <c r="AL272" s="560" t="s">
        <v>2725</v>
      </c>
      <c r="AM272" s="460" t="s">
        <v>2674</v>
      </c>
    </row>
    <row r="273" spans="1:39" ht="22.8">
      <c r="A273" s="460" t="s">
        <v>1810</v>
      </c>
      <c r="B273" s="460"/>
      <c r="C273" s="460" t="s">
        <v>1571</v>
      </c>
      <c r="D273" s="460" t="s">
        <v>2266</v>
      </c>
      <c r="E273" s="460" t="s">
        <v>1814</v>
      </c>
      <c r="F273" s="460" t="s">
        <v>1812</v>
      </c>
      <c r="G273" s="461" t="s">
        <v>1218</v>
      </c>
      <c r="H273" s="461" t="s">
        <v>386</v>
      </c>
      <c r="I273" s="460" t="s">
        <v>2244</v>
      </c>
      <c r="J273" s="460" t="s">
        <v>1990</v>
      </c>
      <c r="K273" s="460" t="s">
        <v>2669</v>
      </c>
      <c r="L273" s="460" t="s">
        <v>2703</v>
      </c>
      <c r="M273" s="460" t="s">
        <v>1982</v>
      </c>
      <c r="N273" s="460" t="s">
        <v>1981</v>
      </c>
      <c r="O273" s="460" t="s">
        <v>1980</v>
      </c>
      <c r="P273" s="460" t="s">
        <v>1979</v>
      </c>
      <c r="Q273" s="460" t="s">
        <v>1978</v>
      </c>
      <c r="R273" s="460" t="s">
        <v>1977</v>
      </c>
      <c r="S273" s="460" t="s">
        <v>1826</v>
      </c>
      <c r="T273" s="460" t="s">
        <v>1827</v>
      </c>
      <c r="U273" s="461" t="s">
        <v>1976</v>
      </c>
      <c r="V273" s="460" t="s">
        <v>1851</v>
      </c>
      <c r="W273" s="560"/>
      <c r="X273" s="461" t="s">
        <v>1824</v>
      </c>
      <c r="Y273" s="461" t="s">
        <v>1824</v>
      </c>
      <c r="Z273" s="461" t="s">
        <v>170</v>
      </c>
      <c r="AA273" s="460" t="s">
        <v>1218</v>
      </c>
      <c r="AB273" s="561">
        <f>ROUND(299.81,2)</f>
        <v>299.81</v>
      </c>
      <c r="AC273" s="460" t="s">
        <v>308</v>
      </c>
      <c r="AD273" s="460"/>
      <c r="AE273" s="561">
        <f>ROUND(1320.78,2)</f>
        <v>1320.78</v>
      </c>
      <c r="AF273" s="460" t="s">
        <v>308</v>
      </c>
      <c r="AG273" s="561">
        <f t="shared" si="4"/>
        <v>0</v>
      </c>
      <c r="AH273" s="460" t="s">
        <v>2671</v>
      </c>
      <c r="AI273" s="460" t="s">
        <v>1214</v>
      </c>
      <c r="AJ273" s="460" t="s">
        <v>2549</v>
      </c>
      <c r="AK273" s="460" t="s">
        <v>2672</v>
      </c>
      <c r="AL273" s="560" t="s">
        <v>2699</v>
      </c>
      <c r="AM273" s="460" t="s">
        <v>2674</v>
      </c>
    </row>
    <row r="274" spans="1:39" ht="22.8">
      <c r="A274" s="460" t="s">
        <v>1810</v>
      </c>
      <c r="B274" s="460"/>
      <c r="C274" s="460" t="s">
        <v>1346</v>
      </c>
      <c r="D274" s="460" t="s">
        <v>2265</v>
      </c>
      <c r="E274" s="460" t="s">
        <v>1821</v>
      </c>
      <c r="F274" s="460" t="s">
        <v>1812</v>
      </c>
      <c r="G274" s="461" t="s">
        <v>1218</v>
      </c>
      <c r="H274" s="461" t="s">
        <v>237</v>
      </c>
      <c r="I274" s="460" t="s">
        <v>2264</v>
      </c>
      <c r="J274" s="460" t="s">
        <v>1983</v>
      </c>
      <c r="K274" s="460" t="s">
        <v>2669</v>
      </c>
      <c r="L274" s="460" t="s">
        <v>2714</v>
      </c>
      <c r="M274" s="460" t="s">
        <v>1994</v>
      </c>
      <c r="N274" s="460" t="s">
        <v>1981</v>
      </c>
      <c r="O274" s="460" t="s">
        <v>1980</v>
      </c>
      <c r="P274" s="460" t="s">
        <v>1979</v>
      </c>
      <c r="Q274" s="460" t="s">
        <v>95</v>
      </c>
      <c r="R274" s="460" t="s">
        <v>1977</v>
      </c>
      <c r="S274" s="460" t="s">
        <v>1842</v>
      </c>
      <c r="T274" s="460" t="s">
        <v>1827</v>
      </c>
      <c r="U274" s="461" t="s">
        <v>1976</v>
      </c>
      <c r="V274" s="460" t="s">
        <v>1843</v>
      </c>
      <c r="W274" s="560"/>
      <c r="X274" s="461" t="s">
        <v>1824</v>
      </c>
      <c r="Y274" s="461" t="s">
        <v>1824</v>
      </c>
      <c r="Z274" s="461" t="s">
        <v>170</v>
      </c>
      <c r="AA274" s="460" t="s">
        <v>1218</v>
      </c>
      <c r="AB274" s="561">
        <f>ROUND(30.41,2)</f>
        <v>30.41</v>
      </c>
      <c r="AC274" s="460" t="s">
        <v>308</v>
      </c>
      <c r="AD274" s="460"/>
      <c r="AE274" s="561">
        <f>ROUND(70.29,2)</f>
        <v>70.290000000000006</v>
      </c>
      <c r="AF274" s="460" t="s">
        <v>308</v>
      </c>
      <c r="AG274" s="561">
        <f t="shared" si="4"/>
        <v>0</v>
      </c>
      <c r="AH274" s="460" t="s">
        <v>2671</v>
      </c>
      <c r="AI274" s="460" t="s">
        <v>1214</v>
      </c>
      <c r="AJ274" s="460" t="s">
        <v>2548</v>
      </c>
      <c r="AK274" s="460" t="s">
        <v>2672</v>
      </c>
      <c r="AL274" s="560" t="s">
        <v>2673</v>
      </c>
      <c r="AM274" s="460" t="s">
        <v>2674</v>
      </c>
    </row>
    <row r="275" spans="1:39" ht="22.8">
      <c r="A275" s="460" t="s">
        <v>1810</v>
      </c>
      <c r="B275" s="460"/>
      <c r="C275" s="460" t="s">
        <v>1346</v>
      </c>
      <c r="D275" s="460" t="s">
        <v>2265</v>
      </c>
      <c r="E275" s="460" t="s">
        <v>1821</v>
      </c>
      <c r="F275" s="460" t="s">
        <v>1812</v>
      </c>
      <c r="G275" s="461" t="s">
        <v>1218</v>
      </c>
      <c r="H275" s="461" t="s">
        <v>237</v>
      </c>
      <c r="I275" s="460" t="s">
        <v>2264</v>
      </c>
      <c r="J275" s="460" t="s">
        <v>1983</v>
      </c>
      <c r="K275" s="460" t="s">
        <v>2669</v>
      </c>
      <c r="L275" s="460" t="s">
        <v>2714</v>
      </c>
      <c r="M275" s="460" t="s">
        <v>1994</v>
      </c>
      <c r="N275" s="460" t="s">
        <v>1981</v>
      </c>
      <c r="O275" s="460" t="s">
        <v>1980</v>
      </c>
      <c r="P275" s="460" t="s">
        <v>2675</v>
      </c>
      <c r="Q275" s="460" t="s">
        <v>2676</v>
      </c>
      <c r="R275" s="460" t="s">
        <v>2677</v>
      </c>
      <c r="S275" s="460" t="s">
        <v>2676</v>
      </c>
      <c r="T275" s="460" t="s">
        <v>1827</v>
      </c>
      <c r="U275" s="461" t="s">
        <v>1824</v>
      </c>
      <c r="V275" s="460" t="s">
        <v>1843</v>
      </c>
      <c r="W275" s="560"/>
      <c r="X275" s="461" t="s">
        <v>1824</v>
      </c>
      <c r="Y275" s="461" t="s">
        <v>2683</v>
      </c>
      <c r="Z275" s="461" t="s">
        <v>170</v>
      </c>
      <c r="AA275" s="460" t="s">
        <v>1218</v>
      </c>
      <c r="AB275" s="561">
        <f>ROUND(125,2)</f>
        <v>125</v>
      </c>
      <c r="AC275" s="460" t="s">
        <v>2678</v>
      </c>
      <c r="AD275" s="460"/>
      <c r="AE275" s="561">
        <f>ROUND(1000,2)</f>
        <v>1000</v>
      </c>
      <c r="AF275" s="460" t="s">
        <v>2679</v>
      </c>
      <c r="AG275" s="561">
        <f t="shared" si="4"/>
        <v>0</v>
      </c>
      <c r="AH275" s="460" t="s">
        <v>2671</v>
      </c>
      <c r="AI275" s="460" t="s">
        <v>1214</v>
      </c>
      <c r="AJ275" s="460" t="s">
        <v>2550</v>
      </c>
      <c r="AK275" s="460" t="s">
        <v>2672</v>
      </c>
      <c r="AL275" s="560" t="s">
        <v>2701</v>
      </c>
      <c r="AM275" s="460" t="s">
        <v>2674</v>
      </c>
    </row>
    <row r="276" spans="1:39" ht="22.8">
      <c r="A276" s="460" t="s">
        <v>1810</v>
      </c>
      <c r="B276" s="460"/>
      <c r="C276" s="460" t="s">
        <v>1346</v>
      </c>
      <c r="D276" s="460" t="s">
        <v>2265</v>
      </c>
      <c r="E276" s="460" t="s">
        <v>1821</v>
      </c>
      <c r="F276" s="460" t="s">
        <v>1812</v>
      </c>
      <c r="G276" s="461" t="s">
        <v>1218</v>
      </c>
      <c r="H276" s="461" t="s">
        <v>237</v>
      </c>
      <c r="I276" s="460" t="s">
        <v>2264</v>
      </c>
      <c r="J276" s="460" t="s">
        <v>1983</v>
      </c>
      <c r="K276" s="460" t="s">
        <v>2669</v>
      </c>
      <c r="L276" s="460" t="s">
        <v>2714</v>
      </c>
      <c r="M276" s="460" t="s">
        <v>1994</v>
      </c>
      <c r="N276" s="460" t="s">
        <v>1981</v>
      </c>
      <c r="O276" s="460" t="s">
        <v>1980</v>
      </c>
      <c r="P276" s="460" t="s">
        <v>1979</v>
      </c>
      <c r="Q276" s="460" t="s">
        <v>1978</v>
      </c>
      <c r="R276" s="460" t="s">
        <v>1977</v>
      </c>
      <c r="S276" s="460" t="s">
        <v>1826</v>
      </c>
      <c r="T276" s="460" t="s">
        <v>1827</v>
      </c>
      <c r="U276" s="461" t="s">
        <v>1976</v>
      </c>
      <c r="V276" s="460" t="s">
        <v>1843</v>
      </c>
      <c r="W276" s="560"/>
      <c r="X276" s="461" t="s">
        <v>1824</v>
      </c>
      <c r="Y276" s="461" t="s">
        <v>1824</v>
      </c>
      <c r="Z276" s="461" t="s">
        <v>170</v>
      </c>
      <c r="AA276" s="460" t="s">
        <v>1218</v>
      </c>
      <c r="AB276" s="561">
        <f>ROUND(475.32,2)</f>
        <v>475.32</v>
      </c>
      <c r="AC276" s="460" t="s">
        <v>308</v>
      </c>
      <c r="AD276" s="460"/>
      <c r="AE276" s="561">
        <f>ROUND(1656.14,2)</f>
        <v>1656.14</v>
      </c>
      <c r="AF276" s="460" t="s">
        <v>308</v>
      </c>
      <c r="AG276" s="561">
        <f t="shared" si="4"/>
        <v>0</v>
      </c>
      <c r="AH276" s="460" t="s">
        <v>2671</v>
      </c>
      <c r="AI276" s="460" t="s">
        <v>1214</v>
      </c>
      <c r="AJ276" s="460" t="s">
        <v>2549</v>
      </c>
      <c r="AK276" s="460" t="s">
        <v>2672</v>
      </c>
      <c r="AL276" s="560" t="s">
        <v>2718</v>
      </c>
      <c r="AM276" s="460" t="s">
        <v>2674</v>
      </c>
    </row>
    <row r="277" spans="1:39" ht="22.8">
      <c r="A277" s="460" t="s">
        <v>1810</v>
      </c>
      <c r="B277" s="460"/>
      <c r="C277" s="460" t="s">
        <v>1342</v>
      </c>
      <c r="D277" s="460" t="s">
        <v>2263</v>
      </c>
      <c r="E277" s="460" t="s">
        <v>1821</v>
      </c>
      <c r="F277" s="460" t="s">
        <v>2015</v>
      </c>
      <c r="G277" s="461" t="s">
        <v>1218</v>
      </c>
      <c r="H277" s="461" t="s">
        <v>229</v>
      </c>
      <c r="I277" s="460" t="s">
        <v>2029</v>
      </c>
      <c r="J277" s="460" t="s">
        <v>1983</v>
      </c>
      <c r="K277" s="460" t="s">
        <v>2669</v>
      </c>
      <c r="L277" s="460" t="s">
        <v>2750</v>
      </c>
      <c r="M277" s="460" t="s">
        <v>1994</v>
      </c>
      <c r="N277" s="460" t="s">
        <v>1981</v>
      </c>
      <c r="O277" s="460" t="s">
        <v>2001</v>
      </c>
      <c r="P277" s="460" t="s">
        <v>1979</v>
      </c>
      <c r="Q277" s="460" t="s">
        <v>95</v>
      </c>
      <c r="R277" s="460" t="s">
        <v>1977</v>
      </c>
      <c r="S277" s="460" t="s">
        <v>1842</v>
      </c>
      <c r="T277" s="460" t="s">
        <v>1827</v>
      </c>
      <c r="U277" s="461" t="s">
        <v>1976</v>
      </c>
      <c r="V277" s="460" t="s">
        <v>1843</v>
      </c>
      <c r="W277" s="560"/>
      <c r="X277" s="461" t="s">
        <v>1824</v>
      </c>
      <c r="Y277" s="461" t="s">
        <v>1824</v>
      </c>
      <c r="Z277" s="461" t="s">
        <v>170</v>
      </c>
      <c r="AA277" s="460" t="s">
        <v>1218</v>
      </c>
      <c r="AB277" s="561">
        <f>ROUND(30.41,2)</f>
        <v>30.41</v>
      </c>
      <c r="AC277" s="460" t="s">
        <v>308</v>
      </c>
      <c r="AD277" s="460"/>
      <c r="AE277" s="561">
        <f>ROUND(70.29,2)</f>
        <v>70.290000000000006</v>
      </c>
      <c r="AF277" s="460" t="s">
        <v>308</v>
      </c>
      <c r="AG277" s="561">
        <f t="shared" si="4"/>
        <v>0</v>
      </c>
      <c r="AH277" s="460" t="s">
        <v>2671</v>
      </c>
      <c r="AI277" s="460" t="s">
        <v>1214</v>
      </c>
      <c r="AJ277" s="460" t="s">
        <v>2548</v>
      </c>
      <c r="AK277" s="460" t="s">
        <v>2672</v>
      </c>
      <c r="AL277" s="560" t="s">
        <v>2673</v>
      </c>
      <c r="AM277" s="460" t="s">
        <v>2674</v>
      </c>
    </row>
    <row r="278" spans="1:39" ht="22.8">
      <c r="A278" s="460" t="s">
        <v>1810</v>
      </c>
      <c r="B278" s="460"/>
      <c r="C278" s="460" t="s">
        <v>1342</v>
      </c>
      <c r="D278" s="460" t="s">
        <v>2263</v>
      </c>
      <c r="E278" s="460" t="s">
        <v>1821</v>
      </c>
      <c r="F278" s="460" t="s">
        <v>2015</v>
      </c>
      <c r="G278" s="461" t="s">
        <v>1218</v>
      </c>
      <c r="H278" s="461" t="s">
        <v>229</v>
      </c>
      <c r="I278" s="460" t="s">
        <v>2029</v>
      </c>
      <c r="J278" s="460" t="s">
        <v>1983</v>
      </c>
      <c r="K278" s="460" t="s">
        <v>2669</v>
      </c>
      <c r="L278" s="460" t="s">
        <v>2750</v>
      </c>
      <c r="M278" s="460" t="s">
        <v>1994</v>
      </c>
      <c r="N278" s="460" t="s">
        <v>1981</v>
      </c>
      <c r="O278" s="460" t="s">
        <v>2001</v>
      </c>
      <c r="P278" s="460" t="s">
        <v>2675</v>
      </c>
      <c r="Q278" s="460" t="s">
        <v>2676</v>
      </c>
      <c r="R278" s="460" t="s">
        <v>2677</v>
      </c>
      <c r="S278" s="460" t="s">
        <v>2676</v>
      </c>
      <c r="T278" s="460" t="s">
        <v>1827</v>
      </c>
      <c r="U278" s="461" t="s">
        <v>1824</v>
      </c>
      <c r="V278" s="460" t="s">
        <v>1119</v>
      </c>
      <c r="W278" s="560"/>
      <c r="X278" s="461" t="s">
        <v>1824</v>
      </c>
      <c r="Y278" s="461" t="s">
        <v>1824</v>
      </c>
      <c r="Z278" s="461" t="s">
        <v>170</v>
      </c>
      <c r="AA278" s="460" t="s">
        <v>1218</v>
      </c>
      <c r="AB278" s="561">
        <f>ROUND(139.58,2)</f>
        <v>139.58000000000001</v>
      </c>
      <c r="AC278" s="460" t="s">
        <v>2678</v>
      </c>
      <c r="AD278" s="460"/>
      <c r="AE278" s="561">
        <f>ROUND(500.05,2)</f>
        <v>500.05</v>
      </c>
      <c r="AF278" s="460" t="s">
        <v>2679</v>
      </c>
      <c r="AG278" s="561">
        <f t="shared" si="4"/>
        <v>0</v>
      </c>
      <c r="AH278" s="460" t="s">
        <v>2671</v>
      </c>
      <c r="AI278" s="460" t="s">
        <v>1214</v>
      </c>
      <c r="AJ278" s="460" t="s">
        <v>2550</v>
      </c>
      <c r="AK278" s="460" t="s">
        <v>2672</v>
      </c>
      <c r="AL278" s="560" t="s">
        <v>2798</v>
      </c>
      <c r="AM278" s="460" t="s">
        <v>2674</v>
      </c>
    </row>
    <row r="279" spans="1:39" ht="22.8">
      <c r="A279" s="460" t="s">
        <v>1810</v>
      </c>
      <c r="B279" s="460"/>
      <c r="C279" s="460" t="s">
        <v>1342</v>
      </c>
      <c r="D279" s="460" t="s">
        <v>2263</v>
      </c>
      <c r="E279" s="460" t="s">
        <v>1821</v>
      </c>
      <c r="F279" s="460" t="s">
        <v>2015</v>
      </c>
      <c r="G279" s="461" t="s">
        <v>1218</v>
      </c>
      <c r="H279" s="461" t="s">
        <v>229</v>
      </c>
      <c r="I279" s="460" t="s">
        <v>2029</v>
      </c>
      <c r="J279" s="460" t="s">
        <v>1983</v>
      </c>
      <c r="K279" s="460" t="s">
        <v>2669</v>
      </c>
      <c r="L279" s="460" t="s">
        <v>2750</v>
      </c>
      <c r="M279" s="460" t="s">
        <v>1994</v>
      </c>
      <c r="N279" s="460" t="s">
        <v>1981</v>
      </c>
      <c r="O279" s="460" t="s">
        <v>2001</v>
      </c>
      <c r="P279" s="460" t="s">
        <v>1979</v>
      </c>
      <c r="Q279" s="460" t="s">
        <v>1978</v>
      </c>
      <c r="R279" s="460" t="s">
        <v>1977</v>
      </c>
      <c r="S279" s="460" t="s">
        <v>1826</v>
      </c>
      <c r="T279" s="460" t="s">
        <v>1827</v>
      </c>
      <c r="U279" s="461" t="s">
        <v>1976</v>
      </c>
      <c r="V279" s="460" t="s">
        <v>1119</v>
      </c>
      <c r="W279" s="560"/>
      <c r="X279" s="461" t="s">
        <v>1824</v>
      </c>
      <c r="Y279" s="461" t="s">
        <v>1824</v>
      </c>
      <c r="Z279" s="461" t="s">
        <v>170</v>
      </c>
      <c r="AA279" s="460" t="s">
        <v>1218</v>
      </c>
      <c r="AB279" s="561">
        <f>ROUND(45.28,2)</f>
        <v>45.28</v>
      </c>
      <c r="AC279" s="460" t="s">
        <v>308</v>
      </c>
      <c r="AD279" s="460"/>
      <c r="AE279" s="561">
        <f>ROUND(809,2)</f>
        <v>809</v>
      </c>
      <c r="AF279" s="460" t="s">
        <v>308</v>
      </c>
      <c r="AG279" s="561">
        <f t="shared" si="4"/>
        <v>0</v>
      </c>
      <c r="AH279" s="460" t="s">
        <v>2671</v>
      </c>
      <c r="AI279" s="460" t="s">
        <v>1214</v>
      </c>
      <c r="AJ279" s="460" t="s">
        <v>2549</v>
      </c>
      <c r="AK279" s="460" t="s">
        <v>2672</v>
      </c>
      <c r="AL279" s="560" t="s">
        <v>2752</v>
      </c>
      <c r="AM279" s="460" t="s">
        <v>2674</v>
      </c>
    </row>
    <row r="280" spans="1:39" ht="22.8">
      <c r="A280" s="460" t="s">
        <v>1810</v>
      </c>
      <c r="B280" s="460"/>
      <c r="C280" s="460" t="s">
        <v>1541</v>
      </c>
      <c r="D280" s="460" t="s">
        <v>2262</v>
      </c>
      <c r="E280" s="460" t="s">
        <v>1821</v>
      </c>
      <c r="F280" s="460" t="s">
        <v>1812</v>
      </c>
      <c r="G280" s="461" t="s">
        <v>1218</v>
      </c>
      <c r="H280" s="461" t="s">
        <v>359</v>
      </c>
      <c r="I280" s="460" t="s">
        <v>2047</v>
      </c>
      <c r="J280" s="460" t="s">
        <v>1983</v>
      </c>
      <c r="K280" s="460" t="s">
        <v>2669</v>
      </c>
      <c r="L280" s="460" t="s">
        <v>2714</v>
      </c>
      <c r="M280" s="460" t="s">
        <v>1994</v>
      </c>
      <c r="N280" s="460" t="s">
        <v>1981</v>
      </c>
      <c r="O280" s="460" t="s">
        <v>1980</v>
      </c>
      <c r="P280" s="460" t="s">
        <v>1979</v>
      </c>
      <c r="Q280" s="460" t="s">
        <v>95</v>
      </c>
      <c r="R280" s="460" t="s">
        <v>1977</v>
      </c>
      <c r="S280" s="460" t="s">
        <v>1842</v>
      </c>
      <c r="T280" s="460" t="s">
        <v>1827</v>
      </c>
      <c r="U280" s="461" t="s">
        <v>1976</v>
      </c>
      <c r="V280" s="460" t="s">
        <v>1843</v>
      </c>
      <c r="W280" s="560"/>
      <c r="X280" s="461" t="s">
        <v>1824</v>
      </c>
      <c r="Y280" s="461" t="s">
        <v>1824</v>
      </c>
      <c r="Z280" s="461" t="s">
        <v>170</v>
      </c>
      <c r="AA280" s="460" t="s">
        <v>1218</v>
      </c>
      <c r="AB280" s="561">
        <f>ROUND(30.41,2)</f>
        <v>30.41</v>
      </c>
      <c r="AC280" s="460" t="s">
        <v>308</v>
      </c>
      <c r="AD280" s="460"/>
      <c r="AE280" s="561">
        <f>ROUND(70.29,2)</f>
        <v>70.290000000000006</v>
      </c>
      <c r="AF280" s="460" t="s">
        <v>308</v>
      </c>
      <c r="AG280" s="561">
        <f t="shared" si="4"/>
        <v>0</v>
      </c>
      <c r="AH280" s="460" t="s">
        <v>2671</v>
      </c>
      <c r="AI280" s="460" t="s">
        <v>1214</v>
      </c>
      <c r="AJ280" s="460" t="s">
        <v>2548</v>
      </c>
      <c r="AK280" s="460" t="s">
        <v>2672</v>
      </c>
      <c r="AL280" s="560" t="s">
        <v>2673</v>
      </c>
      <c r="AM280" s="460" t="s">
        <v>2674</v>
      </c>
    </row>
    <row r="281" spans="1:39" ht="22.8">
      <c r="A281" s="460" t="s">
        <v>1810</v>
      </c>
      <c r="B281" s="460"/>
      <c r="C281" s="460" t="s">
        <v>1541</v>
      </c>
      <c r="D281" s="460" t="s">
        <v>2262</v>
      </c>
      <c r="E281" s="460" t="s">
        <v>1821</v>
      </c>
      <c r="F281" s="460" t="s">
        <v>1812</v>
      </c>
      <c r="G281" s="461" t="s">
        <v>1218</v>
      </c>
      <c r="H281" s="461" t="s">
        <v>359</v>
      </c>
      <c r="I281" s="460" t="s">
        <v>2047</v>
      </c>
      <c r="J281" s="460" t="s">
        <v>1983</v>
      </c>
      <c r="K281" s="460" t="s">
        <v>2669</v>
      </c>
      <c r="L281" s="460" t="s">
        <v>2714</v>
      </c>
      <c r="M281" s="460" t="s">
        <v>1994</v>
      </c>
      <c r="N281" s="460" t="s">
        <v>1981</v>
      </c>
      <c r="O281" s="460" t="s">
        <v>1980</v>
      </c>
      <c r="P281" s="460" t="s">
        <v>2675</v>
      </c>
      <c r="Q281" s="460" t="s">
        <v>2676</v>
      </c>
      <c r="R281" s="460" t="s">
        <v>2677</v>
      </c>
      <c r="S281" s="460" t="s">
        <v>2676</v>
      </c>
      <c r="T281" s="460" t="s">
        <v>1827</v>
      </c>
      <c r="U281" s="461" t="s">
        <v>1824</v>
      </c>
      <c r="V281" s="460" t="s">
        <v>1119</v>
      </c>
      <c r="W281" s="560"/>
      <c r="X281" s="461" t="s">
        <v>1824</v>
      </c>
      <c r="Y281" s="461" t="s">
        <v>1824</v>
      </c>
      <c r="Z281" s="461" t="s">
        <v>170</v>
      </c>
      <c r="AA281" s="460" t="s">
        <v>1218</v>
      </c>
      <c r="AB281" s="561">
        <f>ROUND(100,2)</f>
        <v>100</v>
      </c>
      <c r="AC281" s="460" t="s">
        <v>2678</v>
      </c>
      <c r="AD281" s="460"/>
      <c r="AE281" s="561">
        <f>ROUND(500.05,2)</f>
        <v>500.05</v>
      </c>
      <c r="AF281" s="460" t="s">
        <v>2679</v>
      </c>
      <c r="AG281" s="561">
        <f t="shared" si="4"/>
        <v>0</v>
      </c>
      <c r="AH281" s="460" t="s">
        <v>2671</v>
      </c>
      <c r="AI281" s="460" t="s">
        <v>1214</v>
      </c>
      <c r="AJ281" s="460" t="s">
        <v>2550</v>
      </c>
      <c r="AK281" s="460" t="s">
        <v>2672</v>
      </c>
      <c r="AL281" s="560" t="s">
        <v>2691</v>
      </c>
      <c r="AM281" s="460" t="s">
        <v>2674</v>
      </c>
    </row>
    <row r="282" spans="1:39" ht="22.8">
      <c r="A282" s="460" t="s">
        <v>1810</v>
      </c>
      <c r="B282" s="460"/>
      <c r="C282" s="460" t="s">
        <v>1541</v>
      </c>
      <c r="D282" s="460" t="s">
        <v>2262</v>
      </c>
      <c r="E282" s="460" t="s">
        <v>1821</v>
      </c>
      <c r="F282" s="460" t="s">
        <v>1812</v>
      </c>
      <c r="G282" s="461" t="s">
        <v>1218</v>
      </c>
      <c r="H282" s="461" t="s">
        <v>359</v>
      </c>
      <c r="I282" s="460" t="s">
        <v>2047</v>
      </c>
      <c r="J282" s="460" t="s">
        <v>1983</v>
      </c>
      <c r="K282" s="460" t="s">
        <v>2669</v>
      </c>
      <c r="L282" s="460" t="s">
        <v>2714</v>
      </c>
      <c r="M282" s="460" t="s">
        <v>1994</v>
      </c>
      <c r="N282" s="460" t="s">
        <v>1981</v>
      </c>
      <c r="O282" s="460" t="s">
        <v>1980</v>
      </c>
      <c r="P282" s="460" t="s">
        <v>1979</v>
      </c>
      <c r="Q282" s="460" t="s">
        <v>1978</v>
      </c>
      <c r="R282" s="460" t="s">
        <v>1977</v>
      </c>
      <c r="S282" s="460" t="s">
        <v>1826</v>
      </c>
      <c r="T282" s="460" t="s">
        <v>1827</v>
      </c>
      <c r="U282" s="461" t="s">
        <v>1976</v>
      </c>
      <c r="V282" s="460" t="s">
        <v>1119</v>
      </c>
      <c r="W282" s="560"/>
      <c r="X282" s="461" t="s">
        <v>1824</v>
      </c>
      <c r="Y282" s="461" t="s">
        <v>1824</v>
      </c>
      <c r="Z282" s="461" t="s">
        <v>170</v>
      </c>
      <c r="AA282" s="460" t="s">
        <v>1218</v>
      </c>
      <c r="AB282" s="561">
        <f>ROUND(35.03,2)</f>
        <v>35.03</v>
      </c>
      <c r="AC282" s="460" t="s">
        <v>308</v>
      </c>
      <c r="AD282" s="460"/>
      <c r="AE282" s="561">
        <f>ROUND(819.25,2)</f>
        <v>819.25</v>
      </c>
      <c r="AF282" s="460" t="s">
        <v>308</v>
      </c>
      <c r="AG282" s="561">
        <f t="shared" si="4"/>
        <v>0</v>
      </c>
      <c r="AH282" s="460" t="s">
        <v>2671</v>
      </c>
      <c r="AI282" s="460" t="s">
        <v>1214</v>
      </c>
      <c r="AJ282" s="460" t="s">
        <v>2549</v>
      </c>
      <c r="AK282" s="460" t="s">
        <v>2672</v>
      </c>
      <c r="AL282" s="560" t="s">
        <v>2694</v>
      </c>
      <c r="AM282" s="460" t="s">
        <v>2674</v>
      </c>
    </row>
    <row r="283" spans="1:39" ht="22.8">
      <c r="A283" s="460" t="s">
        <v>1810</v>
      </c>
      <c r="B283" s="460"/>
      <c r="C283" s="460" t="s">
        <v>1724</v>
      </c>
      <c r="D283" s="460" t="s">
        <v>2261</v>
      </c>
      <c r="E283" s="460" t="s">
        <v>1813</v>
      </c>
      <c r="F283" s="460" t="s">
        <v>1812</v>
      </c>
      <c r="G283" s="461" t="s">
        <v>1218</v>
      </c>
      <c r="H283" s="461" t="s">
        <v>1837</v>
      </c>
      <c r="I283" s="460" t="s">
        <v>2163</v>
      </c>
      <c r="J283" s="460" t="s">
        <v>1990</v>
      </c>
      <c r="K283" s="460" t="s">
        <v>2669</v>
      </c>
      <c r="L283" s="460" t="s">
        <v>2682</v>
      </c>
      <c r="M283" s="460" t="s">
        <v>2028</v>
      </c>
      <c r="N283" s="460" t="s">
        <v>1981</v>
      </c>
      <c r="O283" s="460" t="s">
        <v>1980</v>
      </c>
      <c r="P283" s="460" t="s">
        <v>1979</v>
      </c>
      <c r="Q283" s="460" t="s">
        <v>95</v>
      </c>
      <c r="R283" s="460" t="s">
        <v>1977</v>
      </c>
      <c r="S283" s="460" t="s">
        <v>1842</v>
      </c>
      <c r="T283" s="460" t="s">
        <v>1827</v>
      </c>
      <c r="U283" s="461" t="s">
        <v>1976</v>
      </c>
      <c r="V283" s="460" t="s">
        <v>1851</v>
      </c>
      <c r="W283" s="560"/>
      <c r="X283" s="461" t="s">
        <v>1824</v>
      </c>
      <c r="Y283" s="461" t="s">
        <v>2729</v>
      </c>
      <c r="Z283" s="461" t="s">
        <v>170</v>
      </c>
      <c r="AA283" s="460" t="s">
        <v>1218</v>
      </c>
      <c r="AB283" s="561">
        <f>ROUND(30.41,2)</f>
        <v>30.41</v>
      </c>
      <c r="AC283" s="460" t="s">
        <v>308</v>
      </c>
      <c r="AD283" s="460"/>
      <c r="AE283" s="561">
        <f>ROUND(70.29,2)</f>
        <v>70.290000000000006</v>
      </c>
      <c r="AF283" s="460" t="s">
        <v>308</v>
      </c>
      <c r="AG283" s="561">
        <f t="shared" si="4"/>
        <v>0</v>
      </c>
      <c r="AH283" s="460" t="s">
        <v>2671</v>
      </c>
      <c r="AI283" s="460" t="s">
        <v>1214</v>
      </c>
      <c r="AJ283" s="460" t="s">
        <v>2548</v>
      </c>
      <c r="AK283" s="460" t="s">
        <v>2672</v>
      </c>
      <c r="AL283" s="560" t="s">
        <v>2673</v>
      </c>
      <c r="AM283" s="460" t="s">
        <v>2674</v>
      </c>
    </row>
    <row r="284" spans="1:39" ht="22.8">
      <c r="A284" s="460" t="s">
        <v>1810</v>
      </c>
      <c r="B284" s="460"/>
      <c r="C284" s="460" t="s">
        <v>1724</v>
      </c>
      <c r="D284" s="460" t="s">
        <v>2261</v>
      </c>
      <c r="E284" s="460" t="s">
        <v>1813</v>
      </c>
      <c r="F284" s="460" t="s">
        <v>1812</v>
      </c>
      <c r="G284" s="461" t="s">
        <v>1218</v>
      </c>
      <c r="H284" s="461" t="s">
        <v>1837</v>
      </c>
      <c r="I284" s="460" t="s">
        <v>2163</v>
      </c>
      <c r="J284" s="460" t="s">
        <v>1990</v>
      </c>
      <c r="K284" s="460" t="s">
        <v>2669</v>
      </c>
      <c r="L284" s="460" t="s">
        <v>2682</v>
      </c>
      <c r="M284" s="460" t="s">
        <v>2028</v>
      </c>
      <c r="N284" s="460" t="s">
        <v>1981</v>
      </c>
      <c r="O284" s="460" t="s">
        <v>1980</v>
      </c>
      <c r="P284" s="460" t="s">
        <v>2675</v>
      </c>
      <c r="Q284" s="460" t="s">
        <v>2676</v>
      </c>
      <c r="R284" s="460" t="s">
        <v>2677</v>
      </c>
      <c r="S284" s="460" t="s">
        <v>2676</v>
      </c>
      <c r="T284" s="460" t="s">
        <v>1827</v>
      </c>
      <c r="U284" s="461" t="s">
        <v>1824</v>
      </c>
      <c r="V284" s="460" t="s">
        <v>1843</v>
      </c>
      <c r="W284" s="560"/>
      <c r="X284" s="461" t="s">
        <v>2729</v>
      </c>
      <c r="Y284" s="461" t="s">
        <v>2729</v>
      </c>
      <c r="Z284" s="461" t="s">
        <v>170</v>
      </c>
      <c r="AA284" s="460" t="s">
        <v>1218</v>
      </c>
      <c r="AB284" s="561">
        <f>ROUND(25,2)</f>
        <v>25</v>
      </c>
      <c r="AC284" s="460" t="s">
        <v>2678</v>
      </c>
      <c r="AD284" s="460"/>
      <c r="AE284" s="561">
        <f>ROUND(1000,2)</f>
        <v>1000</v>
      </c>
      <c r="AF284" s="460" t="s">
        <v>2679</v>
      </c>
      <c r="AG284" s="561">
        <f t="shared" si="4"/>
        <v>0</v>
      </c>
      <c r="AH284" s="460" t="s">
        <v>2671</v>
      </c>
      <c r="AI284" s="460" t="s">
        <v>1214</v>
      </c>
      <c r="AJ284" s="460" t="s">
        <v>2550</v>
      </c>
      <c r="AK284" s="460" t="s">
        <v>2672</v>
      </c>
      <c r="AL284" s="560" t="s">
        <v>2680</v>
      </c>
      <c r="AM284" s="460" t="s">
        <v>2674</v>
      </c>
    </row>
    <row r="285" spans="1:39" ht="22.8">
      <c r="A285" s="460" t="s">
        <v>1810</v>
      </c>
      <c r="B285" s="460"/>
      <c r="C285" s="460" t="s">
        <v>1724</v>
      </c>
      <c r="D285" s="460" t="s">
        <v>2261</v>
      </c>
      <c r="E285" s="460" t="s">
        <v>1813</v>
      </c>
      <c r="F285" s="460" t="s">
        <v>1812</v>
      </c>
      <c r="G285" s="461" t="s">
        <v>1218</v>
      </c>
      <c r="H285" s="461" t="s">
        <v>1837</v>
      </c>
      <c r="I285" s="460" t="s">
        <v>2163</v>
      </c>
      <c r="J285" s="460" t="s">
        <v>1990</v>
      </c>
      <c r="K285" s="460" t="s">
        <v>2669</v>
      </c>
      <c r="L285" s="460" t="s">
        <v>2682</v>
      </c>
      <c r="M285" s="460" t="s">
        <v>2028</v>
      </c>
      <c r="N285" s="460" t="s">
        <v>1981</v>
      </c>
      <c r="O285" s="460" t="s">
        <v>1980</v>
      </c>
      <c r="P285" s="460" t="s">
        <v>1979</v>
      </c>
      <c r="Q285" s="460" t="s">
        <v>1978</v>
      </c>
      <c r="R285" s="460" t="s">
        <v>1977</v>
      </c>
      <c r="S285" s="460" t="s">
        <v>1826</v>
      </c>
      <c r="T285" s="460" t="s">
        <v>1827</v>
      </c>
      <c r="U285" s="461" t="s">
        <v>1976</v>
      </c>
      <c r="V285" s="460" t="s">
        <v>1851</v>
      </c>
      <c r="W285" s="560"/>
      <c r="X285" s="461" t="s">
        <v>2729</v>
      </c>
      <c r="Y285" s="461" t="s">
        <v>2729</v>
      </c>
      <c r="Z285" s="461" t="s">
        <v>170</v>
      </c>
      <c r="AA285" s="460" t="s">
        <v>1218</v>
      </c>
      <c r="AB285" s="561">
        <f>ROUND(178.26,2)</f>
        <v>178.26</v>
      </c>
      <c r="AC285" s="460" t="s">
        <v>308</v>
      </c>
      <c r="AD285" s="460"/>
      <c r="AE285" s="561">
        <f>ROUND(1442.33,2)</f>
        <v>1442.33</v>
      </c>
      <c r="AF285" s="460" t="s">
        <v>308</v>
      </c>
      <c r="AG285" s="561">
        <f t="shared" si="4"/>
        <v>0</v>
      </c>
      <c r="AH285" s="460" t="s">
        <v>2671</v>
      </c>
      <c r="AI285" s="460" t="s">
        <v>1214</v>
      </c>
      <c r="AJ285" s="460" t="s">
        <v>2549</v>
      </c>
      <c r="AK285" s="460" t="s">
        <v>2672</v>
      </c>
      <c r="AL285" s="560" t="s">
        <v>2785</v>
      </c>
      <c r="AM285" s="460" t="s">
        <v>2674</v>
      </c>
    </row>
    <row r="286" spans="1:39" ht="22.8">
      <c r="A286" s="460" t="s">
        <v>1810</v>
      </c>
      <c r="B286" s="460"/>
      <c r="C286" s="460" t="s">
        <v>1763</v>
      </c>
      <c r="D286" s="460" t="s">
        <v>2260</v>
      </c>
      <c r="E286" s="460" t="s">
        <v>1814</v>
      </c>
      <c r="F286" s="460" t="s">
        <v>1812</v>
      </c>
      <c r="G286" s="461" t="s">
        <v>1218</v>
      </c>
      <c r="H286" s="461" t="s">
        <v>202</v>
      </c>
      <c r="I286" s="460" t="s">
        <v>2252</v>
      </c>
      <c r="J286" s="460" t="s">
        <v>1983</v>
      </c>
      <c r="K286" s="460" t="s">
        <v>2669</v>
      </c>
      <c r="L286" s="460" t="s">
        <v>2703</v>
      </c>
      <c r="M286" s="460" t="s">
        <v>1982</v>
      </c>
      <c r="N286" s="460" t="s">
        <v>1981</v>
      </c>
      <c r="O286" s="460" t="s">
        <v>1980</v>
      </c>
      <c r="P286" s="460" t="s">
        <v>1979</v>
      </c>
      <c r="Q286" s="460" t="s">
        <v>95</v>
      </c>
      <c r="R286" s="460" t="s">
        <v>1977</v>
      </c>
      <c r="S286" s="460" t="s">
        <v>1842</v>
      </c>
      <c r="T286" s="460" t="s">
        <v>1827</v>
      </c>
      <c r="U286" s="461" t="s">
        <v>1976</v>
      </c>
      <c r="V286" s="460" t="s">
        <v>1843</v>
      </c>
      <c r="W286" s="560"/>
      <c r="X286" s="461" t="s">
        <v>1824</v>
      </c>
      <c r="Y286" s="461" t="s">
        <v>1824</v>
      </c>
      <c r="Z286" s="461" t="s">
        <v>170</v>
      </c>
      <c r="AA286" s="460" t="s">
        <v>1218</v>
      </c>
      <c r="AB286" s="561">
        <f>ROUND(30.41,2)</f>
        <v>30.41</v>
      </c>
      <c r="AC286" s="460" t="s">
        <v>308</v>
      </c>
      <c r="AD286" s="460"/>
      <c r="AE286" s="561">
        <f>ROUND(70.29,2)</f>
        <v>70.290000000000006</v>
      </c>
      <c r="AF286" s="460" t="s">
        <v>308</v>
      </c>
      <c r="AG286" s="561">
        <f t="shared" si="4"/>
        <v>0</v>
      </c>
      <c r="AH286" s="460" t="s">
        <v>2671</v>
      </c>
      <c r="AI286" s="460" t="s">
        <v>1214</v>
      </c>
      <c r="AJ286" s="460" t="s">
        <v>2548</v>
      </c>
      <c r="AK286" s="460" t="s">
        <v>2672</v>
      </c>
      <c r="AL286" s="560" t="s">
        <v>2673</v>
      </c>
      <c r="AM286" s="460" t="s">
        <v>2674</v>
      </c>
    </row>
    <row r="287" spans="1:39" ht="22.8">
      <c r="A287" s="460" t="s">
        <v>1810</v>
      </c>
      <c r="B287" s="460"/>
      <c r="C287" s="460" t="s">
        <v>1763</v>
      </c>
      <c r="D287" s="460" t="s">
        <v>2260</v>
      </c>
      <c r="E287" s="460" t="s">
        <v>1814</v>
      </c>
      <c r="F287" s="460" t="s">
        <v>1812</v>
      </c>
      <c r="G287" s="461" t="s">
        <v>1218</v>
      </c>
      <c r="H287" s="461" t="s">
        <v>202</v>
      </c>
      <c r="I287" s="460" t="s">
        <v>2252</v>
      </c>
      <c r="J287" s="460" t="s">
        <v>1983</v>
      </c>
      <c r="K287" s="460" t="s">
        <v>2669</v>
      </c>
      <c r="L287" s="460" t="s">
        <v>2703</v>
      </c>
      <c r="M287" s="460" t="s">
        <v>1982</v>
      </c>
      <c r="N287" s="460" t="s">
        <v>1981</v>
      </c>
      <c r="O287" s="460" t="s">
        <v>1980</v>
      </c>
      <c r="P287" s="460" t="s">
        <v>2675</v>
      </c>
      <c r="Q287" s="460" t="s">
        <v>2676</v>
      </c>
      <c r="R287" s="460" t="s">
        <v>2677</v>
      </c>
      <c r="S287" s="460" t="s">
        <v>2676</v>
      </c>
      <c r="T287" s="460" t="s">
        <v>1827</v>
      </c>
      <c r="U287" s="461" t="s">
        <v>1824</v>
      </c>
      <c r="V287" s="460" t="s">
        <v>1843</v>
      </c>
      <c r="W287" s="560"/>
      <c r="X287" s="461" t="s">
        <v>2799</v>
      </c>
      <c r="Y287" s="461" t="s">
        <v>2800</v>
      </c>
      <c r="Z287" s="461" t="s">
        <v>170</v>
      </c>
      <c r="AA287" s="460" t="s">
        <v>1218</v>
      </c>
      <c r="AB287" s="561">
        <f>ROUND(300,2)</f>
        <v>300</v>
      </c>
      <c r="AC287" s="460" t="s">
        <v>2678</v>
      </c>
      <c r="AD287" s="460"/>
      <c r="AE287" s="561">
        <f>ROUND(1000,2)</f>
        <v>1000</v>
      </c>
      <c r="AF287" s="460" t="s">
        <v>2679</v>
      </c>
      <c r="AG287" s="561">
        <f t="shared" si="4"/>
        <v>0</v>
      </c>
      <c r="AH287" s="460" t="s">
        <v>2671</v>
      </c>
      <c r="AI287" s="460" t="s">
        <v>1214</v>
      </c>
      <c r="AJ287" s="460" t="s">
        <v>2550</v>
      </c>
      <c r="AK287" s="460" t="s">
        <v>2672</v>
      </c>
      <c r="AL287" s="560" t="s">
        <v>2801</v>
      </c>
      <c r="AM287" s="460" t="s">
        <v>2674</v>
      </c>
    </row>
    <row r="288" spans="1:39" ht="22.8">
      <c r="A288" s="460" t="s">
        <v>1810</v>
      </c>
      <c r="B288" s="460"/>
      <c r="C288" s="460" t="s">
        <v>1763</v>
      </c>
      <c r="D288" s="460" t="s">
        <v>2260</v>
      </c>
      <c r="E288" s="460" t="s">
        <v>1814</v>
      </c>
      <c r="F288" s="460" t="s">
        <v>1812</v>
      </c>
      <c r="G288" s="461" t="s">
        <v>1218</v>
      </c>
      <c r="H288" s="461" t="s">
        <v>202</v>
      </c>
      <c r="I288" s="460" t="s">
        <v>2252</v>
      </c>
      <c r="J288" s="460" t="s">
        <v>1983</v>
      </c>
      <c r="K288" s="460" t="s">
        <v>2669</v>
      </c>
      <c r="L288" s="460" t="s">
        <v>2703</v>
      </c>
      <c r="M288" s="460" t="s">
        <v>1982</v>
      </c>
      <c r="N288" s="460" t="s">
        <v>1981</v>
      </c>
      <c r="O288" s="460" t="s">
        <v>1980</v>
      </c>
      <c r="P288" s="460" t="s">
        <v>1979</v>
      </c>
      <c r="Q288" s="460" t="s">
        <v>1978</v>
      </c>
      <c r="R288" s="460" t="s">
        <v>1977</v>
      </c>
      <c r="S288" s="460" t="s">
        <v>1826</v>
      </c>
      <c r="T288" s="460" t="s">
        <v>1827</v>
      </c>
      <c r="U288" s="461" t="s">
        <v>1976</v>
      </c>
      <c r="V288" s="460" t="s">
        <v>1843</v>
      </c>
      <c r="W288" s="560"/>
      <c r="X288" s="461" t="s">
        <v>1824</v>
      </c>
      <c r="Y288" s="461" t="s">
        <v>1824</v>
      </c>
      <c r="Z288" s="461" t="s">
        <v>170</v>
      </c>
      <c r="AA288" s="460" t="s">
        <v>1218</v>
      </c>
      <c r="AB288" s="561">
        <f>ROUND(475.32,2)</f>
        <v>475.32</v>
      </c>
      <c r="AC288" s="460" t="s">
        <v>308</v>
      </c>
      <c r="AD288" s="460"/>
      <c r="AE288" s="561">
        <f>ROUND(1656.14,2)</f>
        <v>1656.14</v>
      </c>
      <c r="AF288" s="460" t="s">
        <v>308</v>
      </c>
      <c r="AG288" s="561">
        <f t="shared" si="4"/>
        <v>0</v>
      </c>
      <c r="AH288" s="460" t="s">
        <v>2671</v>
      </c>
      <c r="AI288" s="460" t="s">
        <v>1214</v>
      </c>
      <c r="AJ288" s="460" t="s">
        <v>2549</v>
      </c>
      <c r="AK288" s="460" t="s">
        <v>2672</v>
      </c>
      <c r="AL288" s="560" t="s">
        <v>2718</v>
      </c>
      <c r="AM288" s="460" t="s">
        <v>2674</v>
      </c>
    </row>
    <row r="289" spans="1:39" ht="22.8">
      <c r="A289" s="460" t="s">
        <v>1810</v>
      </c>
      <c r="B289" s="460"/>
      <c r="C289" s="460" t="s">
        <v>1625</v>
      </c>
      <c r="D289" s="460" t="s">
        <v>2259</v>
      </c>
      <c r="E289" s="460" t="s">
        <v>1814</v>
      </c>
      <c r="F289" s="460" t="s">
        <v>1812</v>
      </c>
      <c r="G289" s="461" t="s">
        <v>1218</v>
      </c>
      <c r="H289" s="461" t="s">
        <v>1034</v>
      </c>
      <c r="I289" s="460" t="s">
        <v>2258</v>
      </c>
      <c r="J289" s="460" t="s">
        <v>1983</v>
      </c>
      <c r="K289" s="460" t="s">
        <v>2669</v>
      </c>
      <c r="L289" s="460" t="s">
        <v>2703</v>
      </c>
      <c r="M289" s="460" t="s">
        <v>1982</v>
      </c>
      <c r="N289" s="460" t="s">
        <v>1981</v>
      </c>
      <c r="O289" s="460" t="s">
        <v>1980</v>
      </c>
      <c r="P289" s="460" t="s">
        <v>1979</v>
      </c>
      <c r="Q289" s="460" t="s">
        <v>95</v>
      </c>
      <c r="R289" s="460" t="s">
        <v>1977</v>
      </c>
      <c r="S289" s="460" t="s">
        <v>1842</v>
      </c>
      <c r="T289" s="460" t="s">
        <v>1827</v>
      </c>
      <c r="U289" s="461" t="s">
        <v>1976</v>
      </c>
      <c r="V289" s="460" t="s">
        <v>1119</v>
      </c>
      <c r="W289" s="560"/>
      <c r="X289" s="461" t="s">
        <v>1824</v>
      </c>
      <c r="Y289" s="461" t="s">
        <v>1824</v>
      </c>
      <c r="Z289" s="461" t="s">
        <v>170</v>
      </c>
      <c r="AA289" s="460" t="s">
        <v>1218</v>
      </c>
      <c r="AB289" s="561">
        <f>ROUND(0,2)</f>
        <v>0</v>
      </c>
      <c r="AC289" s="460" t="s">
        <v>308</v>
      </c>
      <c r="AD289" s="460"/>
      <c r="AE289" s="561">
        <f>ROUND(36.23,2)</f>
        <v>36.229999999999997</v>
      </c>
      <c r="AF289" s="460" t="s">
        <v>308</v>
      </c>
      <c r="AG289" s="561">
        <f t="shared" si="4"/>
        <v>0</v>
      </c>
      <c r="AH289" s="460" t="s">
        <v>2671</v>
      </c>
      <c r="AI289" s="460" t="s">
        <v>1214</v>
      </c>
      <c r="AJ289" s="460"/>
      <c r="AK289" s="460"/>
      <c r="AL289" s="560"/>
      <c r="AM289" s="460"/>
    </row>
    <row r="290" spans="1:39" ht="22.8">
      <c r="A290" s="460" t="s">
        <v>1810</v>
      </c>
      <c r="B290" s="460"/>
      <c r="C290" s="460" t="s">
        <v>1625</v>
      </c>
      <c r="D290" s="460" t="s">
        <v>2259</v>
      </c>
      <c r="E290" s="460" t="s">
        <v>1814</v>
      </c>
      <c r="F290" s="460" t="s">
        <v>1812</v>
      </c>
      <c r="G290" s="461" t="s">
        <v>1218</v>
      </c>
      <c r="H290" s="461" t="s">
        <v>1034</v>
      </c>
      <c r="I290" s="460" t="s">
        <v>2258</v>
      </c>
      <c r="J290" s="460" t="s">
        <v>1983</v>
      </c>
      <c r="K290" s="460" t="s">
        <v>2669</v>
      </c>
      <c r="L290" s="460" t="s">
        <v>2703</v>
      </c>
      <c r="M290" s="460" t="s">
        <v>1982</v>
      </c>
      <c r="N290" s="460" t="s">
        <v>1981</v>
      </c>
      <c r="O290" s="460" t="s">
        <v>1980</v>
      </c>
      <c r="P290" s="460" t="s">
        <v>2675</v>
      </c>
      <c r="Q290" s="460" t="s">
        <v>2676</v>
      </c>
      <c r="R290" s="460" t="s">
        <v>2677</v>
      </c>
      <c r="S290" s="460" t="s">
        <v>2676</v>
      </c>
      <c r="T290" s="460" t="s">
        <v>1827</v>
      </c>
      <c r="U290" s="461" t="s">
        <v>1824</v>
      </c>
      <c r="V290" s="460" t="s">
        <v>1119</v>
      </c>
      <c r="W290" s="560"/>
      <c r="X290" s="461" t="s">
        <v>1824</v>
      </c>
      <c r="Y290" s="461" t="s">
        <v>1824</v>
      </c>
      <c r="Z290" s="461" t="s">
        <v>170</v>
      </c>
      <c r="AA290" s="460" t="s">
        <v>1218</v>
      </c>
      <c r="AB290" s="561">
        <f>ROUND(100,2)</f>
        <v>100</v>
      </c>
      <c r="AC290" s="460" t="s">
        <v>2678</v>
      </c>
      <c r="AD290" s="460"/>
      <c r="AE290" s="561">
        <f>ROUND(500.05,2)</f>
        <v>500.05</v>
      </c>
      <c r="AF290" s="460" t="s">
        <v>2679</v>
      </c>
      <c r="AG290" s="561">
        <f t="shared" si="4"/>
        <v>0</v>
      </c>
      <c r="AH290" s="460" t="s">
        <v>2671</v>
      </c>
      <c r="AI290" s="460" t="s">
        <v>1214</v>
      </c>
      <c r="AJ290" s="460" t="s">
        <v>2550</v>
      </c>
      <c r="AK290" s="460" t="s">
        <v>2672</v>
      </c>
      <c r="AL290" s="560" t="s">
        <v>2691</v>
      </c>
      <c r="AM290" s="460" t="s">
        <v>2674</v>
      </c>
    </row>
    <row r="291" spans="1:39" ht="22.8">
      <c r="A291" s="460" t="s">
        <v>1810</v>
      </c>
      <c r="B291" s="460"/>
      <c r="C291" s="460" t="s">
        <v>1625</v>
      </c>
      <c r="D291" s="460" t="s">
        <v>2259</v>
      </c>
      <c r="E291" s="460" t="s">
        <v>1814</v>
      </c>
      <c r="F291" s="460" t="s">
        <v>1812</v>
      </c>
      <c r="G291" s="461" t="s">
        <v>1218</v>
      </c>
      <c r="H291" s="461" t="s">
        <v>1034</v>
      </c>
      <c r="I291" s="460" t="s">
        <v>2258</v>
      </c>
      <c r="J291" s="460" t="s">
        <v>1983</v>
      </c>
      <c r="K291" s="460" t="s">
        <v>2669</v>
      </c>
      <c r="L291" s="460" t="s">
        <v>2703</v>
      </c>
      <c r="M291" s="460" t="s">
        <v>1982</v>
      </c>
      <c r="N291" s="460" t="s">
        <v>1981</v>
      </c>
      <c r="O291" s="460" t="s">
        <v>1980</v>
      </c>
      <c r="P291" s="460" t="s">
        <v>1979</v>
      </c>
      <c r="Q291" s="460" t="s">
        <v>1978</v>
      </c>
      <c r="R291" s="460" t="s">
        <v>1977</v>
      </c>
      <c r="S291" s="460" t="s">
        <v>1826</v>
      </c>
      <c r="T291" s="460" t="s">
        <v>1827</v>
      </c>
      <c r="U291" s="461" t="s">
        <v>1976</v>
      </c>
      <c r="V291" s="460" t="s">
        <v>1119</v>
      </c>
      <c r="W291" s="560"/>
      <c r="X291" s="461" t="s">
        <v>1824</v>
      </c>
      <c r="Y291" s="461" t="s">
        <v>1824</v>
      </c>
      <c r="Z291" s="461" t="s">
        <v>170</v>
      </c>
      <c r="AA291" s="460" t="s">
        <v>1218</v>
      </c>
      <c r="AB291" s="561">
        <f>ROUND(35.03,2)</f>
        <v>35.03</v>
      </c>
      <c r="AC291" s="460" t="s">
        <v>308</v>
      </c>
      <c r="AD291" s="460"/>
      <c r="AE291" s="561">
        <f>ROUND(819.25,2)</f>
        <v>819.25</v>
      </c>
      <c r="AF291" s="460" t="s">
        <v>308</v>
      </c>
      <c r="AG291" s="561">
        <f t="shared" si="4"/>
        <v>0</v>
      </c>
      <c r="AH291" s="460" t="s">
        <v>2671</v>
      </c>
      <c r="AI291" s="460" t="s">
        <v>1214</v>
      </c>
      <c r="AJ291" s="460" t="s">
        <v>2549</v>
      </c>
      <c r="AK291" s="460" t="s">
        <v>2672</v>
      </c>
      <c r="AL291" s="560" t="s">
        <v>2694</v>
      </c>
      <c r="AM291" s="460" t="s">
        <v>2674</v>
      </c>
    </row>
    <row r="292" spans="1:39" ht="34.200000000000003">
      <c r="A292" s="460" t="s">
        <v>1810</v>
      </c>
      <c r="B292" s="460"/>
      <c r="C292" s="535" t="s">
        <v>2903</v>
      </c>
      <c r="D292" s="460" t="s">
        <v>2257</v>
      </c>
      <c r="E292" s="460" t="s">
        <v>1841</v>
      </c>
      <c r="F292" s="460" t="s">
        <v>1812</v>
      </c>
      <c r="G292" s="461" t="s">
        <v>1218</v>
      </c>
      <c r="H292" s="461" t="s">
        <v>275</v>
      </c>
      <c r="I292" s="460" t="s">
        <v>2256</v>
      </c>
      <c r="J292" s="460" t="s">
        <v>1983</v>
      </c>
      <c r="K292" s="460" t="s">
        <v>2669</v>
      </c>
      <c r="L292" s="460" t="s">
        <v>2802</v>
      </c>
      <c r="M292" s="460" t="s">
        <v>2002</v>
      </c>
      <c r="N292" s="460" t="s">
        <v>2018</v>
      </c>
      <c r="O292" s="460" t="s">
        <v>2001</v>
      </c>
      <c r="P292" s="460" t="s">
        <v>1979</v>
      </c>
      <c r="Q292" s="460" t="s">
        <v>95</v>
      </c>
      <c r="R292" s="460" t="s">
        <v>1977</v>
      </c>
      <c r="S292" s="460" t="s">
        <v>1842</v>
      </c>
      <c r="T292" s="460" t="s">
        <v>1827</v>
      </c>
      <c r="U292" s="461" t="s">
        <v>1976</v>
      </c>
      <c r="V292" s="460" t="s">
        <v>1119</v>
      </c>
      <c r="W292" s="560"/>
      <c r="X292" s="461" t="s">
        <v>2054</v>
      </c>
      <c r="Y292" s="461" t="s">
        <v>2054</v>
      </c>
      <c r="Z292" s="461" t="s">
        <v>170</v>
      </c>
      <c r="AA292" s="460" t="s">
        <v>1218</v>
      </c>
      <c r="AB292" s="561">
        <f>ROUND(0,2)</f>
        <v>0</v>
      </c>
      <c r="AC292" s="460" t="s">
        <v>308</v>
      </c>
      <c r="AD292" s="460"/>
      <c r="AE292" s="561">
        <f>ROUND(36.23,2)</f>
        <v>36.229999999999997</v>
      </c>
      <c r="AF292" s="460" t="s">
        <v>308</v>
      </c>
      <c r="AG292" s="561">
        <f t="shared" si="4"/>
        <v>0</v>
      </c>
      <c r="AH292" s="460" t="s">
        <v>2671</v>
      </c>
      <c r="AI292" s="460" t="s">
        <v>1214</v>
      </c>
      <c r="AJ292" s="460"/>
      <c r="AK292" s="460"/>
      <c r="AL292" s="560"/>
      <c r="AM292" s="460"/>
    </row>
    <row r="293" spans="1:39" ht="34.200000000000003">
      <c r="A293" s="460" t="s">
        <v>1810</v>
      </c>
      <c r="B293" s="460"/>
      <c r="C293" s="535" t="s">
        <v>2903</v>
      </c>
      <c r="D293" s="460" t="s">
        <v>2257</v>
      </c>
      <c r="E293" s="460" t="s">
        <v>1841</v>
      </c>
      <c r="F293" s="460" t="s">
        <v>1812</v>
      </c>
      <c r="G293" s="461" t="s">
        <v>1218</v>
      </c>
      <c r="H293" s="461" t="s">
        <v>275</v>
      </c>
      <c r="I293" s="460" t="s">
        <v>2256</v>
      </c>
      <c r="J293" s="460" t="s">
        <v>1983</v>
      </c>
      <c r="K293" s="460" t="s">
        <v>2669</v>
      </c>
      <c r="L293" s="460" t="s">
        <v>2802</v>
      </c>
      <c r="M293" s="460" t="s">
        <v>2002</v>
      </c>
      <c r="N293" s="460" t="s">
        <v>2018</v>
      </c>
      <c r="O293" s="460" t="s">
        <v>2001</v>
      </c>
      <c r="P293" s="460" t="s">
        <v>2675</v>
      </c>
      <c r="Q293" s="460" t="s">
        <v>2676</v>
      </c>
      <c r="R293" s="460" t="s">
        <v>2677</v>
      </c>
      <c r="S293" s="460" t="s">
        <v>2676</v>
      </c>
      <c r="T293" s="460" t="s">
        <v>1827</v>
      </c>
      <c r="U293" s="461" t="s">
        <v>1824</v>
      </c>
      <c r="V293" s="460" t="s">
        <v>1119</v>
      </c>
      <c r="W293" s="560"/>
      <c r="X293" s="461" t="s">
        <v>1824</v>
      </c>
      <c r="Y293" s="461" t="s">
        <v>2803</v>
      </c>
      <c r="Z293" s="461" t="s">
        <v>170</v>
      </c>
      <c r="AA293" s="460" t="s">
        <v>1218</v>
      </c>
      <c r="AB293" s="561">
        <f>ROUND(0,2)</f>
        <v>0</v>
      </c>
      <c r="AC293" s="460" t="s">
        <v>2678</v>
      </c>
      <c r="AD293" s="460"/>
      <c r="AE293" s="561">
        <f>ROUND(500.05,2)</f>
        <v>500.05</v>
      </c>
      <c r="AF293" s="460" t="s">
        <v>2679</v>
      </c>
      <c r="AG293" s="561">
        <f t="shared" si="4"/>
        <v>0</v>
      </c>
      <c r="AH293" s="460" t="s">
        <v>2671</v>
      </c>
      <c r="AI293" s="460" t="s">
        <v>1214</v>
      </c>
      <c r="AJ293" s="460"/>
      <c r="AK293" s="460"/>
      <c r="AL293" s="560"/>
      <c r="AM293" s="460"/>
    </row>
    <row r="294" spans="1:39" ht="34.200000000000003">
      <c r="A294" s="460" t="s">
        <v>1810</v>
      </c>
      <c r="B294" s="460"/>
      <c r="C294" s="535" t="s">
        <v>2903</v>
      </c>
      <c r="D294" s="460" t="s">
        <v>2257</v>
      </c>
      <c r="E294" s="460" t="s">
        <v>1841</v>
      </c>
      <c r="F294" s="460" t="s">
        <v>1812</v>
      </c>
      <c r="G294" s="461" t="s">
        <v>1218</v>
      </c>
      <c r="H294" s="461" t="s">
        <v>275</v>
      </c>
      <c r="I294" s="460" t="s">
        <v>2256</v>
      </c>
      <c r="J294" s="460" t="s">
        <v>1983</v>
      </c>
      <c r="K294" s="460" t="s">
        <v>2669</v>
      </c>
      <c r="L294" s="460" t="s">
        <v>2802</v>
      </c>
      <c r="M294" s="460" t="s">
        <v>2002</v>
      </c>
      <c r="N294" s="460" t="s">
        <v>2018</v>
      </c>
      <c r="O294" s="460" t="s">
        <v>2001</v>
      </c>
      <c r="P294" s="460" t="s">
        <v>1979</v>
      </c>
      <c r="Q294" s="460" t="s">
        <v>1978</v>
      </c>
      <c r="R294" s="460" t="s">
        <v>1977</v>
      </c>
      <c r="S294" s="460" t="s">
        <v>1826</v>
      </c>
      <c r="T294" s="460" t="s">
        <v>1827</v>
      </c>
      <c r="U294" s="461" t="s">
        <v>1976</v>
      </c>
      <c r="V294" s="460" t="s">
        <v>1119</v>
      </c>
      <c r="W294" s="560"/>
      <c r="X294" s="461" t="s">
        <v>1824</v>
      </c>
      <c r="Y294" s="461" t="s">
        <v>1824</v>
      </c>
      <c r="Z294" s="461" t="s">
        <v>170</v>
      </c>
      <c r="AA294" s="460" t="s">
        <v>1218</v>
      </c>
      <c r="AB294" s="561">
        <f>ROUND(35.03,2)</f>
        <v>35.03</v>
      </c>
      <c r="AC294" s="460" t="s">
        <v>308</v>
      </c>
      <c r="AD294" s="460"/>
      <c r="AE294" s="561">
        <f>ROUND(819.25,2)</f>
        <v>819.25</v>
      </c>
      <c r="AF294" s="460" t="s">
        <v>308</v>
      </c>
      <c r="AG294" s="561">
        <f t="shared" si="4"/>
        <v>0</v>
      </c>
      <c r="AH294" s="460" t="s">
        <v>2671</v>
      </c>
      <c r="AI294" s="460" t="s">
        <v>1214</v>
      </c>
      <c r="AJ294" s="460" t="s">
        <v>2549</v>
      </c>
      <c r="AK294" s="460" t="s">
        <v>2672</v>
      </c>
      <c r="AL294" s="560" t="s">
        <v>2694</v>
      </c>
      <c r="AM294" s="460" t="s">
        <v>2674</v>
      </c>
    </row>
    <row r="295" spans="1:39" ht="34.200000000000003">
      <c r="A295" s="460" t="s">
        <v>1810</v>
      </c>
      <c r="B295" s="460"/>
      <c r="C295" s="460" t="s">
        <v>1347</v>
      </c>
      <c r="D295" s="460" t="s">
        <v>2257</v>
      </c>
      <c r="E295" s="460" t="s">
        <v>1841</v>
      </c>
      <c r="F295" s="460" t="s">
        <v>1812</v>
      </c>
      <c r="G295" s="461" t="s">
        <v>1218</v>
      </c>
      <c r="H295" s="461" t="s">
        <v>275</v>
      </c>
      <c r="I295" s="460" t="s">
        <v>2256</v>
      </c>
      <c r="J295" s="460" t="s">
        <v>1983</v>
      </c>
      <c r="K295" s="460" t="s">
        <v>2669</v>
      </c>
      <c r="L295" s="460" t="s">
        <v>2802</v>
      </c>
      <c r="M295" s="460" t="s">
        <v>2002</v>
      </c>
      <c r="N295" s="460" t="s">
        <v>2018</v>
      </c>
      <c r="O295" s="460" t="s">
        <v>2001</v>
      </c>
      <c r="P295" s="460" t="s">
        <v>1979</v>
      </c>
      <c r="Q295" s="460" t="s">
        <v>95</v>
      </c>
      <c r="R295" s="460" t="s">
        <v>1977</v>
      </c>
      <c r="S295" s="460" t="s">
        <v>1842</v>
      </c>
      <c r="T295" s="460" t="s">
        <v>1827</v>
      </c>
      <c r="U295" s="461" t="s">
        <v>1976</v>
      </c>
      <c r="V295" s="460" t="s">
        <v>1119</v>
      </c>
      <c r="W295" s="560"/>
      <c r="X295" s="461" t="s">
        <v>2054</v>
      </c>
      <c r="Y295" s="461" t="s">
        <v>2054</v>
      </c>
      <c r="Z295" s="461" t="s">
        <v>170</v>
      </c>
      <c r="AA295" s="460" t="s">
        <v>1218</v>
      </c>
      <c r="AB295" s="561">
        <f>ROUND(0,2)</f>
        <v>0</v>
      </c>
      <c r="AC295" s="460" t="s">
        <v>308</v>
      </c>
      <c r="AD295" s="460"/>
      <c r="AE295" s="561">
        <f>ROUND(36.23,2)</f>
        <v>36.229999999999997</v>
      </c>
      <c r="AF295" s="460" t="s">
        <v>308</v>
      </c>
      <c r="AG295" s="561">
        <f t="shared" si="4"/>
        <v>0</v>
      </c>
      <c r="AH295" s="460" t="s">
        <v>2671</v>
      </c>
      <c r="AI295" s="460" t="s">
        <v>1214</v>
      </c>
      <c r="AJ295" s="460"/>
      <c r="AK295" s="460"/>
      <c r="AL295" s="560"/>
      <c r="AM295" s="460"/>
    </row>
    <row r="296" spans="1:39" ht="34.200000000000003">
      <c r="A296" s="460" t="s">
        <v>1810</v>
      </c>
      <c r="B296" s="460"/>
      <c r="C296" s="460" t="s">
        <v>1347</v>
      </c>
      <c r="D296" s="460" t="s">
        <v>2257</v>
      </c>
      <c r="E296" s="460" t="s">
        <v>1841</v>
      </c>
      <c r="F296" s="460" t="s">
        <v>1812</v>
      </c>
      <c r="G296" s="461" t="s">
        <v>1218</v>
      </c>
      <c r="H296" s="461" t="s">
        <v>275</v>
      </c>
      <c r="I296" s="460" t="s">
        <v>2256</v>
      </c>
      <c r="J296" s="460" t="s">
        <v>1983</v>
      </c>
      <c r="K296" s="460" t="s">
        <v>2669</v>
      </c>
      <c r="L296" s="460" t="s">
        <v>2802</v>
      </c>
      <c r="M296" s="460" t="s">
        <v>2002</v>
      </c>
      <c r="N296" s="460" t="s">
        <v>2018</v>
      </c>
      <c r="O296" s="460" t="s">
        <v>2001</v>
      </c>
      <c r="P296" s="460" t="s">
        <v>2675</v>
      </c>
      <c r="Q296" s="460" t="s">
        <v>2676</v>
      </c>
      <c r="R296" s="460" t="s">
        <v>2677</v>
      </c>
      <c r="S296" s="460" t="s">
        <v>2676</v>
      </c>
      <c r="T296" s="460" t="s">
        <v>1827</v>
      </c>
      <c r="U296" s="461" t="s">
        <v>1824</v>
      </c>
      <c r="V296" s="460" t="s">
        <v>1119</v>
      </c>
      <c r="W296" s="560"/>
      <c r="X296" s="461" t="s">
        <v>1824</v>
      </c>
      <c r="Y296" s="461" t="s">
        <v>2803</v>
      </c>
      <c r="Z296" s="461" t="s">
        <v>170</v>
      </c>
      <c r="AA296" s="460" t="s">
        <v>1218</v>
      </c>
      <c r="AB296" s="561">
        <f>ROUND(0,2)</f>
        <v>0</v>
      </c>
      <c r="AC296" s="460" t="s">
        <v>2678</v>
      </c>
      <c r="AD296" s="460"/>
      <c r="AE296" s="561">
        <f>ROUND(500.05,2)</f>
        <v>500.05</v>
      </c>
      <c r="AF296" s="460" t="s">
        <v>2679</v>
      </c>
      <c r="AG296" s="561">
        <f t="shared" si="4"/>
        <v>0</v>
      </c>
      <c r="AH296" s="460" t="s">
        <v>2671</v>
      </c>
      <c r="AI296" s="460" t="s">
        <v>1214</v>
      </c>
      <c r="AJ296" s="460"/>
      <c r="AK296" s="460"/>
      <c r="AL296" s="560"/>
      <c r="AM296" s="460"/>
    </row>
    <row r="297" spans="1:39" ht="34.200000000000003">
      <c r="A297" s="460" t="s">
        <v>1810</v>
      </c>
      <c r="B297" s="460"/>
      <c r="C297" s="460" t="s">
        <v>1347</v>
      </c>
      <c r="D297" s="460" t="s">
        <v>2257</v>
      </c>
      <c r="E297" s="460" t="s">
        <v>1841</v>
      </c>
      <c r="F297" s="460" t="s">
        <v>1812</v>
      </c>
      <c r="G297" s="461" t="s">
        <v>1218</v>
      </c>
      <c r="H297" s="461" t="s">
        <v>275</v>
      </c>
      <c r="I297" s="460" t="s">
        <v>2256</v>
      </c>
      <c r="J297" s="460" t="s">
        <v>1983</v>
      </c>
      <c r="K297" s="460" t="s">
        <v>2669</v>
      </c>
      <c r="L297" s="460" t="s">
        <v>2802</v>
      </c>
      <c r="M297" s="460" t="s">
        <v>2002</v>
      </c>
      <c r="N297" s="460" t="s">
        <v>2018</v>
      </c>
      <c r="O297" s="460" t="s">
        <v>2001</v>
      </c>
      <c r="P297" s="460" t="s">
        <v>1979</v>
      </c>
      <c r="Q297" s="460" t="s">
        <v>1978</v>
      </c>
      <c r="R297" s="460" t="s">
        <v>1977</v>
      </c>
      <c r="S297" s="460" t="s">
        <v>1826</v>
      </c>
      <c r="T297" s="460" t="s">
        <v>1827</v>
      </c>
      <c r="U297" s="461" t="s">
        <v>1976</v>
      </c>
      <c r="V297" s="460" t="s">
        <v>1119</v>
      </c>
      <c r="W297" s="560"/>
      <c r="X297" s="461" t="s">
        <v>1824</v>
      </c>
      <c r="Y297" s="461" t="s">
        <v>1824</v>
      </c>
      <c r="Z297" s="461" t="s">
        <v>170</v>
      </c>
      <c r="AA297" s="460" t="s">
        <v>1218</v>
      </c>
      <c r="AB297" s="561">
        <f>ROUND(35.03,2)</f>
        <v>35.03</v>
      </c>
      <c r="AC297" s="460" t="s">
        <v>308</v>
      </c>
      <c r="AD297" s="460"/>
      <c r="AE297" s="561">
        <f>ROUND(819.25,2)</f>
        <v>819.25</v>
      </c>
      <c r="AF297" s="460" t="s">
        <v>308</v>
      </c>
      <c r="AG297" s="561">
        <f t="shared" si="4"/>
        <v>0</v>
      </c>
      <c r="AH297" s="460" t="s">
        <v>2671</v>
      </c>
      <c r="AI297" s="460" t="s">
        <v>1214</v>
      </c>
      <c r="AJ297" s="460" t="s">
        <v>2549</v>
      </c>
      <c r="AK297" s="460" t="s">
        <v>2672</v>
      </c>
      <c r="AL297" s="560" t="s">
        <v>2694</v>
      </c>
      <c r="AM297" s="460" t="s">
        <v>2674</v>
      </c>
    </row>
    <row r="298" spans="1:39" ht="22.8">
      <c r="A298" s="460" t="s">
        <v>1810</v>
      </c>
      <c r="B298" s="460"/>
      <c r="C298" s="460" t="s">
        <v>1502</v>
      </c>
      <c r="D298" s="460" t="s">
        <v>2255</v>
      </c>
      <c r="E298" s="460" t="s">
        <v>1814</v>
      </c>
      <c r="F298" s="460" t="s">
        <v>1812</v>
      </c>
      <c r="G298" s="461" t="s">
        <v>1218</v>
      </c>
      <c r="H298" s="461" t="s">
        <v>203</v>
      </c>
      <c r="I298" s="460" t="s">
        <v>2101</v>
      </c>
      <c r="J298" s="460" t="s">
        <v>1983</v>
      </c>
      <c r="K298" s="460" t="s">
        <v>2669</v>
      </c>
      <c r="L298" s="460" t="s">
        <v>2703</v>
      </c>
      <c r="M298" s="460" t="s">
        <v>1982</v>
      </c>
      <c r="N298" s="460" t="s">
        <v>1981</v>
      </c>
      <c r="O298" s="460" t="s">
        <v>1980</v>
      </c>
      <c r="P298" s="460" t="s">
        <v>1979</v>
      </c>
      <c r="Q298" s="460" t="s">
        <v>95</v>
      </c>
      <c r="R298" s="460" t="s">
        <v>1977</v>
      </c>
      <c r="S298" s="460" t="s">
        <v>1842</v>
      </c>
      <c r="T298" s="460" t="s">
        <v>1827</v>
      </c>
      <c r="U298" s="461" t="s">
        <v>1976</v>
      </c>
      <c r="V298" s="460" t="s">
        <v>1843</v>
      </c>
      <c r="W298" s="560"/>
      <c r="X298" s="461" t="s">
        <v>1824</v>
      </c>
      <c r="Y298" s="461" t="s">
        <v>1824</v>
      </c>
      <c r="Z298" s="461" t="s">
        <v>170</v>
      </c>
      <c r="AA298" s="460" t="s">
        <v>1218</v>
      </c>
      <c r="AB298" s="561">
        <f>ROUND(30.41,2)</f>
        <v>30.41</v>
      </c>
      <c r="AC298" s="460" t="s">
        <v>308</v>
      </c>
      <c r="AD298" s="460"/>
      <c r="AE298" s="561">
        <f>ROUND(70.29,2)</f>
        <v>70.290000000000006</v>
      </c>
      <c r="AF298" s="460" t="s">
        <v>308</v>
      </c>
      <c r="AG298" s="561">
        <f t="shared" si="4"/>
        <v>0</v>
      </c>
      <c r="AH298" s="460" t="s">
        <v>2671</v>
      </c>
      <c r="AI298" s="460" t="s">
        <v>1214</v>
      </c>
      <c r="AJ298" s="460" t="s">
        <v>2548</v>
      </c>
      <c r="AK298" s="460" t="s">
        <v>2672</v>
      </c>
      <c r="AL298" s="560" t="s">
        <v>2673</v>
      </c>
      <c r="AM298" s="460" t="s">
        <v>2674</v>
      </c>
    </row>
    <row r="299" spans="1:39" ht="22.8">
      <c r="A299" s="460" t="s">
        <v>1810</v>
      </c>
      <c r="B299" s="460"/>
      <c r="C299" s="460" t="s">
        <v>1502</v>
      </c>
      <c r="D299" s="460" t="s">
        <v>2255</v>
      </c>
      <c r="E299" s="460" t="s">
        <v>1814</v>
      </c>
      <c r="F299" s="460" t="s">
        <v>1812</v>
      </c>
      <c r="G299" s="461" t="s">
        <v>1218</v>
      </c>
      <c r="H299" s="461" t="s">
        <v>203</v>
      </c>
      <c r="I299" s="460" t="s">
        <v>2101</v>
      </c>
      <c r="J299" s="460" t="s">
        <v>1983</v>
      </c>
      <c r="K299" s="460" t="s">
        <v>2669</v>
      </c>
      <c r="L299" s="460" t="s">
        <v>2703</v>
      </c>
      <c r="M299" s="460" t="s">
        <v>1982</v>
      </c>
      <c r="N299" s="460" t="s">
        <v>1981</v>
      </c>
      <c r="O299" s="460" t="s">
        <v>1980</v>
      </c>
      <c r="P299" s="460" t="s">
        <v>2675</v>
      </c>
      <c r="Q299" s="460" t="s">
        <v>2676</v>
      </c>
      <c r="R299" s="460" t="s">
        <v>2677</v>
      </c>
      <c r="S299" s="460" t="s">
        <v>2676</v>
      </c>
      <c r="T299" s="460" t="s">
        <v>1827</v>
      </c>
      <c r="U299" s="461" t="s">
        <v>1824</v>
      </c>
      <c r="V299" s="460" t="s">
        <v>1843</v>
      </c>
      <c r="W299" s="560"/>
      <c r="X299" s="461" t="s">
        <v>1824</v>
      </c>
      <c r="Y299" s="461" t="s">
        <v>1824</v>
      </c>
      <c r="Z299" s="461" t="s">
        <v>170</v>
      </c>
      <c r="AA299" s="460" t="s">
        <v>1218</v>
      </c>
      <c r="AB299" s="561">
        <f>ROUND(250,2)</f>
        <v>250</v>
      </c>
      <c r="AC299" s="460" t="s">
        <v>2678</v>
      </c>
      <c r="AD299" s="460"/>
      <c r="AE299" s="561">
        <f>ROUND(1000,2)</f>
        <v>1000</v>
      </c>
      <c r="AF299" s="460" t="s">
        <v>2679</v>
      </c>
      <c r="AG299" s="561">
        <f t="shared" si="4"/>
        <v>0</v>
      </c>
      <c r="AH299" s="460" t="s">
        <v>2671</v>
      </c>
      <c r="AI299" s="460" t="s">
        <v>1214</v>
      </c>
      <c r="AJ299" s="460" t="s">
        <v>2550</v>
      </c>
      <c r="AK299" s="460" t="s">
        <v>2672</v>
      </c>
      <c r="AL299" s="560" t="s">
        <v>2719</v>
      </c>
      <c r="AM299" s="460" t="s">
        <v>2674</v>
      </c>
    </row>
    <row r="300" spans="1:39" ht="22.8">
      <c r="A300" s="460" t="s">
        <v>1810</v>
      </c>
      <c r="B300" s="460"/>
      <c r="C300" s="460" t="s">
        <v>1502</v>
      </c>
      <c r="D300" s="460" t="s">
        <v>2255</v>
      </c>
      <c r="E300" s="460" t="s">
        <v>1814</v>
      </c>
      <c r="F300" s="460" t="s">
        <v>1812</v>
      </c>
      <c r="G300" s="461" t="s">
        <v>1218</v>
      </c>
      <c r="H300" s="461" t="s">
        <v>203</v>
      </c>
      <c r="I300" s="460" t="s">
        <v>2101</v>
      </c>
      <c r="J300" s="460" t="s">
        <v>1983</v>
      </c>
      <c r="K300" s="460" t="s">
        <v>2669</v>
      </c>
      <c r="L300" s="460" t="s">
        <v>2703</v>
      </c>
      <c r="M300" s="460" t="s">
        <v>1982</v>
      </c>
      <c r="N300" s="460" t="s">
        <v>1981</v>
      </c>
      <c r="O300" s="460" t="s">
        <v>1980</v>
      </c>
      <c r="P300" s="460" t="s">
        <v>1979</v>
      </c>
      <c r="Q300" s="460" t="s">
        <v>1978</v>
      </c>
      <c r="R300" s="460" t="s">
        <v>1977</v>
      </c>
      <c r="S300" s="460" t="s">
        <v>1826</v>
      </c>
      <c r="T300" s="460" t="s">
        <v>1827</v>
      </c>
      <c r="U300" s="461" t="s">
        <v>1976</v>
      </c>
      <c r="V300" s="460" t="s">
        <v>1843</v>
      </c>
      <c r="W300" s="560"/>
      <c r="X300" s="461" t="s">
        <v>1824</v>
      </c>
      <c r="Y300" s="461" t="s">
        <v>2254</v>
      </c>
      <c r="Z300" s="461" t="s">
        <v>170</v>
      </c>
      <c r="AA300" s="460" t="s">
        <v>1218</v>
      </c>
      <c r="AB300" s="561">
        <f>ROUND(475.32,2)</f>
        <v>475.32</v>
      </c>
      <c r="AC300" s="460" t="s">
        <v>308</v>
      </c>
      <c r="AD300" s="460"/>
      <c r="AE300" s="561">
        <f>ROUND(1656.14,2)</f>
        <v>1656.14</v>
      </c>
      <c r="AF300" s="460" t="s">
        <v>308</v>
      </c>
      <c r="AG300" s="561">
        <f t="shared" si="4"/>
        <v>0</v>
      </c>
      <c r="AH300" s="460" t="s">
        <v>2671</v>
      </c>
      <c r="AI300" s="460" t="s">
        <v>1214</v>
      </c>
      <c r="AJ300" s="460" t="s">
        <v>2549</v>
      </c>
      <c r="AK300" s="460" t="s">
        <v>2672</v>
      </c>
      <c r="AL300" s="560" t="s">
        <v>2718</v>
      </c>
      <c r="AM300" s="460" t="s">
        <v>2674</v>
      </c>
    </row>
    <row r="301" spans="1:39" ht="22.8">
      <c r="A301" s="460" t="s">
        <v>1810</v>
      </c>
      <c r="B301" s="460"/>
      <c r="C301" s="460" t="s">
        <v>1349</v>
      </c>
      <c r="D301" s="460" t="s">
        <v>2253</v>
      </c>
      <c r="E301" s="460" t="s">
        <v>1818</v>
      </c>
      <c r="F301" s="460" t="s">
        <v>1812</v>
      </c>
      <c r="G301" s="461" t="s">
        <v>1218</v>
      </c>
      <c r="H301" s="461" t="s">
        <v>171</v>
      </c>
      <c r="I301" s="460" t="s">
        <v>2252</v>
      </c>
      <c r="J301" s="460" t="s">
        <v>1990</v>
      </c>
      <c r="K301" s="460" t="s">
        <v>2669</v>
      </c>
      <c r="L301" s="460" t="s">
        <v>2804</v>
      </c>
      <c r="M301" s="460" t="s">
        <v>2002</v>
      </c>
      <c r="N301" s="460" t="s">
        <v>1981</v>
      </c>
      <c r="O301" s="460" t="s">
        <v>1980</v>
      </c>
      <c r="P301" s="460" t="s">
        <v>1979</v>
      </c>
      <c r="Q301" s="460" t="s">
        <v>95</v>
      </c>
      <c r="R301" s="460" t="s">
        <v>1977</v>
      </c>
      <c r="S301" s="460" t="s">
        <v>1842</v>
      </c>
      <c r="T301" s="460" t="s">
        <v>1827</v>
      </c>
      <c r="U301" s="461" t="s">
        <v>1976</v>
      </c>
      <c r="V301" s="460" t="s">
        <v>1843</v>
      </c>
      <c r="W301" s="560"/>
      <c r="X301" s="461" t="s">
        <v>1824</v>
      </c>
      <c r="Y301" s="461" t="s">
        <v>1824</v>
      </c>
      <c r="Z301" s="461" t="s">
        <v>170</v>
      </c>
      <c r="AA301" s="460" t="s">
        <v>1218</v>
      </c>
      <c r="AB301" s="561">
        <f>ROUND(30.41,2)</f>
        <v>30.41</v>
      </c>
      <c r="AC301" s="460" t="s">
        <v>308</v>
      </c>
      <c r="AD301" s="460"/>
      <c r="AE301" s="561">
        <f>ROUND(70.29,2)</f>
        <v>70.290000000000006</v>
      </c>
      <c r="AF301" s="460" t="s">
        <v>308</v>
      </c>
      <c r="AG301" s="561">
        <f t="shared" si="4"/>
        <v>0</v>
      </c>
      <c r="AH301" s="460" t="s">
        <v>2671</v>
      </c>
      <c r="AI301" s="460" t="s">
        <v>1214</v>
      </c>
      <c r="AJ301" s="460" t="s">
        <v>2548</v>
      </c>
      <c r="AK301" s="460" t="s">
        <v>2672</v>
      </c>
      <c r="AL301" s="560" t="s">
        <v>2673</v>
      </c>
      <c r="AM301" s="460" t="s">
        <v>2674</v>
      </c>
    </row>
    <row r="302" spans="1:39" ht="22.8">
      <c r="A302" s="460" t="s">
        <v>1810</v>
      </c>
      <c r="B302" s="460"/>
      <c r="C302" s="460" t="s">
        <v>1349</v>
      </c>
      <c r="D302" s="460" t="s">
        <v>2253</v>
      </c>
      <c r="E302" s="460" t="s">
        <v>1818</v>
      </c>
      <c r="F302" s="460" t="s">
        <v>1812</v>
      </c>
      <c r="G302" s="461" t="s">
        <v>1218</v>
      </c>
      <c r="H302" s="461" t="s">
        <v>171</v>
      </c>
      <c r="I302" s="460" t="s">
        <v>2252</v>
      </c>
      <c r="J302" s="460" t="s">
        <v>1990</v>
      </c>
      <c r="K302" s="460" t="s">
        <v>2669</v>
      </c>
      <c r="L302" s="460" t="s">
        <v>2804</v>
      </c>
      <c r="M302" s="460" t="s">
        <v>2002</v>
      </c>
      <c r="N302" s="460" t="s">
        <v>1981</v>
      </c>
      <c r="O302" s="460" t="s">
        <v>1980</v>
      </c>
      <c r="P302" s="460" t="s">
        <v>2675</v>
      </c>
      <c r="Q302" s="460" t="s">
        <v>2676</v>
      </c>
      <c r="R302" s="460" t="s">
        <v>2677</v>
      </c>
      <c r="S302" s="460" t="s">
        <v>2676</v>
      </c>
      <c r="T302" s="460" t="s">
        <v>1827</v>
      </c>
      <c r="U302" s="461" t="s">
        <v>1824</v>
      </c>
      <c r="V302" s="460" t="s">
        <v>1843</v>
      </c>
      <c r="W302" s="560"/>
      <c r="X302" s="461" t="s">
        <v>1824</v>
      </c>
      <c r="Y302" s="461" t="s">
        <v>2805</v>
      </c>
      <c r="Z302" s="461" t="s">
        <v>170</v>
      </c>
      <c r="AA302" s="460" t="s">
        <v>1218</v>
      </c>
      <c r="AB302" s="561">
        <f>ROUND(50,2)</f>
        <v>50</v>
      </c>
      <c r="AC302" s="460" t="s">
        <v>2678</v>
      </c>
      <c r="AD302" s="460"/>
      <c r="AE302" s="561">
        <f>ROUND(1000,2)</f>
        <v>1000</v>
      </c>
      <c r="AF302" s="460" t="s">
        <v>2679</v>
      </c>
      <c r="AG302" s="561">
        <f t="shared" si="4"/>
        <v>0</v>
      </c>
      <c r="AH302" s="460" t="s">
        <v>2671</v>
      </c>
      <c r="AI302" s="460" t="s">
        <v>1214</v>
      </c>
      <c r="AJ302" s="460" t="s">
        <v>2550</v>
      </c>
      <c r="AK302" s="460" t="s">
        <v>2672</v>
      </c>
      <c r="AL302" s="560" t="s">
        <v>2690</v>
      </c>
      <c r="AM302" s="460" t="s">
        <v>2674</v>
      </c>
    </row>
    <row r="303" spans="1:39" ht="22.8">
      <c r="A303" s="460" t="s">
        <v>1810</v>
      </c>
      <c r="B303" s="460"/>
      <c r="C303" s="460" t="s">
        <v>1349</v>
      </c>
      <c r="D303" s="460" t="s">
        <v>2253</v>
      </c>
      <c r="E303" s="460" t="s">
        <v>1818</v>
      </c>
      <c r="F303" s="460" t="s">
        <v>1812</v>
      </c>
      <c r="G303" s="461" t="s">
        <v>1218</v>
      </c>
      <c r="H303" s="461" t="s">
        <v>171</v>
      </c>
      <c r="I303" s="460" t="s">
        <v>2252</v>
      </c>
      <c r="J303" s="460" t="s">
        <v>1990</v>
      </c>
      <c r="K303" s="460" t="s">
        <v>2669</v>
      </c>
      <c r="L303" s="460" t="s">
        <v>2804</v>
      </c>
      <c r="M303" s="460" t="s">
        <v>2002</v>
      </c>
      <c r="N303" s="460" t="s">
        <v>1981</v>
      </c>
      <c r="O303" s="460" t="s">
        <v>1980</v>
      </c>
      <c r="P303" s="460" t="s">
        <v>1979</v>
      </c>
      <c r="Q303" s="460" t="s">
        <v>1978</v>
      </c>
      <c r="R303" s="460" t="s">
        <v>1977</v>
      </c>
      <c r="S303" s="460" t="s">
        <v>1826</v>
      </c>
      <c r="T303" s="460" t="s">
        <v>1827</v>
      </c>
      <c r="U303" s="461" t="s">
        <v>1976</v>
      </c>
      <c r="V303" s="460" t="s">
        <v>1967</v>
      </c>
      <c r="W303" s="560"/>
      <c r="X303" s="461" t="s">
        <v>1824</v>
      </c>
      <c r="Y303" s="461" t="s">
        <v>1824</v>
      </c>
      <c r="Z303" s="461" t="s">
        <v>170</v>
      </c>
      <c r="AA303" s="460" t="s">
        <v>1218</v>
      </c>
      <c r="AB303" s="561">
        <f>ROUND(258.44,2)</f>
        <v>258.44</v>
      </c>
      <c r="AC303" s="460" t="s">
        <v>308</v>
      </c>
      <c r="AD303" s="460"/>
      <c r="AE303" s="561">
        <f>ROUND(1523.92,2)</f>
        <v>1523.92</v>
      </c>
      <c r="AF303" s="460" t="s">
        <v>308</v>
      </c>
      <c r="AG303" s="561">
        <f t="shared" si="4"/>
        <v>0</v>
      </c>
      <c r="AH303" s="460" t="s">
        <v>2671</v>
      </c>
      <c r="AI303" s="460" t="s">
        <v>1214</v>
      </c>
      <c r="AJ303" s="460" t="s">
        <v>2549</v>
      </c>
      <c r="AK303" s="460" t="s">
        <v>2672</v>
      </c>
      <c r="AL303" s="560" t="s">
        <v>2748</v>
      </c>
      <c r="AM303" s="460" t="s">
        <v>2674</v>
      </c>
    </row>
    <row r="304" spans="1:39" ht="22.8">
      <c r="A304" s="460" t="s">
        <v>1810</v>
      </c>
      <c r="B304" s="460"/>
      <c r="C304" s="460" t="s">
        <v>2437</v>
      </c>
      <c r="D304" s="460" t="s">
        <v>2806</v>
      </c>
      <c r="E304" s="460" t="s">
        <v>1814</v>
      </c>
      <c r="F304" s="460" t="s">
        <v>1812</v>
      </c>
      <c r="G304" s="461" t="s">
        <v>1218</v>
      </c>
      <c r="H304" s="461" t="s">
        <v>2765</v>
      </c>
      <c r="I304" s="460" t="s">
        <v>2081</v>
      </c>
      <c r="J304" s="460" t="s">
        <v>1990</v>
      </c>
      <c r="K304" s="460" t="s">
        <v>2669</v>
      </c>
      <c r="L304" s="460" t="s">
        <v>2703</v>
      </c>
      <c r="M304" s="460" t="s">
        <v>1982</v>
      </c>
      <c r="N304" s="460" t="s">
        <v>1981</v>
      </c>
      <c r="O304" s="460" t="s">
        <v>1980</v>
      </c>
      <c r="P304" s="460" t="s">
        <v>1979</v>
      </c>
      <c r="Q304" s="460" t="s">
        <v>95</v>
      </c>
      <c r="R304" s="460" t="s">
        <v>1977</v>
      </c>
      <c r="S304" s="460" t="s">
        <v>1842</v>
      </c>
      <c r="T304" s="460" t="s">
        <v>1827</v>
      </c>
      <c r="U304" s="461" t="s">
        <v>1976</v>
      </c>
      <c r="V304" s="460" t="s">
        <v>1119</v>
      </c>
      <c r="W304" s="560"/>
      <c r="X304" s="461" t="s">
        <v>2738</v>
      </c>
      <c r="Y304" s="461" t="s">
        <v>2738</v>
      </c>
      <c r="Z304" s="461" t="s">
        <v>170</v>
      </c>
      <c r="AA304" s="460" t="s">
        <v>1218</v>
      </c>
      <c r="AB304" s="561">
        <f>ROUND(0,2)</f>
        <v>0</v>
      </c>
      <c r="AC304" s="460" t="s">
        <v>308</v>
      </c>
      <c r="AD304" s="460"/>
      <c r="AE304" s="561">
        <f>ROUND(36.23,2)</f>
        <v>36.229999999999997</v>
      </c>
      <c r="AF304" s="460" t="s">
        <v>308</v>
      </c>
      <c r="AG304" s="561">
        <f t="shared" si="4"/>
        <v>0</v>
      </c>
      <c r="AH304" s="460" t="s">
        <v>2671</v>
      </c>
      <c r="AI304" s="460" t="s">
        <v>1214</v>
      </c>
      <c r="AJ304" s="460"/>
      <c r="AK304" s="460"/>
      <c r="AL304" s="560"/>
      <c r="AM304" s="460"/>
    </row>
    <row r="305" spans="1:39" ht="22.8">
      <c r="A305" s="460" t="s">
        <v>1810</v>
      </c>
      <c r="B305" s="460"/>
      <c r="C305" s="460" t="s">
        <v>2437</v>
      </c>
      <c r="D305" s="460" t="s">
        <v>2806</v>
      </c>
      <c r="E305" s="460" t="s">
        <v>1814</v>
      </c>
      <c r="F305" s="460" t="s">
        <v>1812</v>
      </c>
      <c r="G305" s="461" t="s">
        <v>1218</v>
      </c>
      <c r="H305" s="461" t="s">
        <v>2765</v>
      </c>
      <c r="I305" s="460" t="s">
        <v>2081</v>
      </c>
      <c r="J305" s="460" t="s">
        <v>1990</v>
      </c>
      <c r="K305" s="460" t="s">
        <v>2669</v>
      </c>
      <c r="L305" s="460" t="s">
        <v>2703</v>
      </c>
      <c r="M305" s="460" t="s">
        <v>1982</v>
      </c>
      <c r="N305" s="460" t="s">
        <v>1981</v>
      </c>
      <c r="O305" s="460" t="s">
        <v>1980</v>
      </c>
      <c r="P305" s="460" t="s">
        <v>2675</v>
      </c>
      <c r="Q305" s="460" t="s">
        <v>2676</v>
      </c>
      <c r="R305" s="460" t="s">
        <v>2677</v>
      </c>
      <c r="S305" s="460" t="s">
        <v>2676</v>
      </c>
      <c r="T305" s="460" t="s">
        <v>1827</v>
      </c>
      <c r="U305" s="461" t="s">
        <v>1824</v>
      </c>
      <c r="V305" s="460" t="s">
        <v>1119</v>
      </c>
      <c r="W305" s="560"/>
      <c r="X305" s="461" t="s">
        <v>2738</v>
      </c>
      <c r="Y305" s="461" t="s">
        <v>2738</v>
      </c>
      <c r="Z305" s="461" t="s">
        <v>170</v>
      </c>
      <c r="AA305" s="460" t="s">
        <v>1218</v>
      </c>
      <c r="AB305" s="561">
        <f>ROUND(25,2)</f>
        <v>25</v>
      </c>
      <c r="AC305" s="460" t="s">
        <v>2678</v>
      </c>
      <c r="AD305" s="460"/>
      <c r="AE305" s="561">
        <f>ROUND(500.05,2)</f>
        <v>500.05</v>
      </c>
      <c r="AF305" s="460" t="s">
        <v>2679</v>
      </c>
      <c r="AG305" s="561">
        <f t="shared" si="4"/>
        <v>0</v>
      </c>
      <c r="AH305" s="460" t="s">
        <v>2671</v>
      </c>
      <c r="AI305" s="460" t="s">
        <v>1214</v>
      </c>
      <c r="AJ305" s="460" t="s">
        <v>2550</v>
      </c>
      <c r="AK305" s="460" t="s">
        <v>2672</v>
      </c>
      <c r="AL305" s="560" t="s">
        <v>2680</v>
      </c>
      <c r="AM305" s="460" t="s">
        <v>2674</v>
      </c>
    </row>
    <row r="306" spans="1:39" ht="22.8">
      <c r="A306" s="460" t="s">
        <v>1810</v>
      </c>
      <c r="B306" s="460"/>
      <c r="C306" s="460" t="s">
        <v>2437</v>
      </c>
      <c r="D306" s="460" t="s">
        <v>2806</v>
      </c>
      <c r="E306" s="460" t="s">
        <v>1814</v>
      </c>
      <c r="F306" s="460" t="s">
        <v>1812</v>
      </c>
      <c r="G306" s="461" t="s">
        <v>1218</v>
      </c>
      <c r="H306" s="461" t="s">
        <v>2765</v>
      </c>
      <c r="I306" s="460" t="s">
        <v>2081</v>
      </c>
      <c r="J306" s="460" t="s">
        <v>1990</v>
      </c>
      <c r="K306" s="460" t="s">
        <v>2669</v>
      </c>
      <c r="L306" s="460" t="s">
        <v>2703</v>
      </c>
      <c r="M306" s="460" t="s">
        <v>1982</v>
      </c>
      <c r="N306" s="460" t="s">
        <v>1981</v>
      </c>
      <c r="O306" s="460" t="s">
        <v>1980</v>
      </c>
      <c r="P306" s="460" t="s">
        <v>1979</v>
      </c>
      <c r="Q306" s="460" t="s">
        <v>1978</v>
      </c>
      <c r="R306" s="460" t="s">
        <v>1977</v>
      </c>
      <c r="S306" s="460" t="s">
        <v>1826</v>
      </c>
      <c r="T306" s="460" t="s">
        <v>1827</v>
      </c>
      <c r="U306" s="461" t="s">
        <v>1976</v>
      </c>
      <c r="V306" s="460" t="s">
        <v>1119</v>
      </c>
      <c r="W306" s="560"/>
      <c r="X306" s="461" t="s">
        <v>2738</v>
      </c>
      <c r="Y306" s="461" t="s">
        <v>2738</v>
      </c>
      <c r="Z306" s="461" t="s">
        <v>170</v>
      </c>
      <c r="AA306" s="460" t="s">
        <v>1218</v>
      </c>
      <c r="AB306" s="561">
        <f>ROUND(29.05,2)</f>
        <v>29.05</v>
      </c>
      <c r="AC306" s="460" t="s">
        <v>308</v>
      </c>
      <c r="AD306" s="460"/>
      <c r="AE306" s="561">
        <f>ROUND(825.23,2)</f>
        <v>825.23</v>
      </c>
      <c r="AF306" s="460" t="s">
        <v>308</v>
      </c>
      <c r="AG306" s="561">
        <f t="shared" si="4"/>
        <v>0</v>
      </c>
      <c r="AH306" s="460" t="s">
        <v>2671</v>
      </c>
      <c r="AI306" s="460" t="s">
        <v>1214</v>
      </c>
      <c r="AJ306" s="460" t="s">
        <v>2549</v>
      </c>
      <c r="AK306" s="460" t="s">
        <v>2672</v>
      </c>
      <c r="AL306" s="560" t="s">
        <v>2692</v>
      </c>
      <c r="AM306" s="460" t="s">
        <v>2674</v>
      </c>
    </row>
    <row r="307" spans="1:39" ht="22.8">
      <c r="A307" s="460" t="s">
        <v>1810</v>
      </c>
      <c r="B307" s="460"/>
      <c r="C307" s="460" t="s">
        <v>1659</v>
      </c>
      <c r="D307" s="460" t="s">
        <v>2251</v>
      </c>
      <c r="E307" s="460" t="s">
        <v>1817</v>
      </c>
      <c r="F307" s="460" t="s">
        <v>1812</v>
      </c>
      <c r="G307" s="461" t="s">
        <v>1218</v>
      </c>
      <c r="H307" s="461" t="s">
        <v>1027</v>
      </c>
      <c r="I307" s="460" t="s">
        <v>2250</v>
      </c>
      <c r="J307" s="460" t="s">
        <v>1983</v>
      </c>
      <c r="K307" s="460" t="s">
        <v>2669</v>
      </c>
      <c r="L307" s="460" t="s">
        <v>2695</v>
      </c>
      <c r="M307" s="460" t="s">
        <v>1987</v>
      </c>
      <c r="N307" s="460" t="s">
        <v>1986</v>
      </c>
      <c r="O307" s="460" t="s">
        <v>1980</v>
      </c>
      <c r="P307" s="460" t="s">
        <v>1979</v>
      </c>
      <c r="Q307" s="460" t="s">
        <v>95</v>
      </c>
      <c r="R307" s="460" t="s">
        <v>1977</v>
      </c>
      <c r="S307" s="460" t="s">
        <v>1842</v>
      </c>
      <c r="T307" s="460" t="s">
        <v>1827</v>
      </c>
      <c r="U307" s="461" t="s">
        <v>1976</v>
      </c>
      <c r="V307" s="460" t="s">
        <v>1119</v>
      </c>
      <c r="W307" s="560"/>
      <c r="X307" s="461" t="s">
        <v>1824</v>
      </c>
      <c r="Y307" s="461" t="s">
        <v>1824</v>
      </c>
      <c r="Z307" s="461" t="s">
        <v>170</v>
      </c>
      <c r="AA307" s="460" t="s">
        <v>1218</v>
      </c>
      <c r="AB307" s="561">
        <f>ROUND(0,2)</f>
        <v>0</v>
      </c>
      <c r="AC307" s="460" t="s">
        <v>308</v>
      </c>
      <c r="AD307" s="460"/>
      <c r="AE307" s="561">
        <f>ROUND(36.23,2)</f>
        <v>36.229999999999997</v>
      </c>
      <c r="AF307" s="460" t="s">
        <v>308</v>
      </c>
      <c r="AG307" s="561">
        <f t="shared" si="4"/>
        <v>0</v>
      </c>
      <c r="AH307" s="460" t="s">
        <v>2671</v>
      </c>
      <c r="AI307" s="460" t="s">
        <v>1214</v>
      </c>
      <c r="AJ307" s="460"/>
      <c r="AK307" s="460"/>
      <c r="AL307" s="560"/>
      <c r="AM307" s="460"/>
    </row>
    <row r="308" spans="1:39" ht="22.8">
      <c r="A308" s="460" t="s">
        <v>1810</v>
      </c>
      <c r="B308" s="460"/>
      <c r="C308" s="460" t="s">
        <v>1659</v>
      </c>
      <c r="D308" s="460" t="s">
        <v>2251</v>
      </c>
      <c r="E308" s="460" t="s">
        <v>1817</v>
      </c>
      <c r="F308" s="460" t="s">
        <v>1812</v>
      </c>
      <c r="G308" s="461" t="s">
        <v>1218</v>
      </c>
      <c r="H308" s="461" t="s">
        <v>1027</v>
      </c>
      <c r="I308" s="460" t="s">
        <v>2250</v>
      </c>
      <c r="J308" s="460" t="s">
        <v>1983</v>
      </c>
      <c r="K308" s="460" t="s">
        <v>2669</v>
      </c>
      <c r="L308" s="460" t="s">
        <v>2695</v>
      </c>
      <c r="M308" s="460" t="s">
        <v>1987</v>
      </c>
      <c r="N308" s="460" t="s">
        <v>1986</v>
      </c>
      <c r="O308" s="460" t="s">
        <v>1980</v>
      </c>
      <c r="P308" s="460" t="s">
        <v>2675</v>
      </c>
      <c r="Q308" s="460" t="s">
        <v>2676</v>
      </c>
      <c r="R308" s="460" t="s">
        <v>2677</v>
      </c>
      <c r="S308" s="460" t="s">
        <v>2676</v>
      </c>
      <c r="T308" s="460" t="s">
        <v>1827</v>
      </c>
      <c r="U308" s="461" t="s">
        <v>1824</v>
      </c>
      <c r="V308" s="460" t="s">
        <v>1119</v>
      </c>
      <c r="W308" s="560"/>
      <c r="X308" s="461" t="s">
        <v>1824</v>
      </c>
      <c r="Y308" s="461" t="s">
        <v>1824</v>
      </c>
      <c r="Z308" s="461" t="s">
        <v>170</v>
      </c>
      <c r="AA308" s="460" t="s">
        <v>1218</v>
      </c>
      <c r="AB308" s="561">
        <f>ROUND(30,2)</f>
        <v>30</v>
      </c>
      <c r="AC308" s="460" t="s">
        <v>2678</v>
      </c>
      <c r="AD308" s="460"/>
      <c r="AE308" s="561">
        <f>ROUND(500.05,2)</f>
        <v>500.05</v>
      </c>
      <c r="AF308" s="460" t="s">
        <v>2679</v>
      </c>
      <c r="AG308" s="561">
        <f t="shared" si="4"/>
        <v>0</v>
      </c>
      <c r="AH308" s="460" t="s">
        <v>2671</v>
      </c>
      <c r="AI308" s="460" t="s">
        <v>1214</v>
      </c>
      <c r="AJ308" s="460" t="s">
        <v>2550</v>
      </c>
      <c r="AK308" s="460" t="s">
        <v>2672</v>
      </c>
      <c r="AL308" s="560" t="s">
        <v>2807</v>
      </c>
      <c r="AM308" s="460" t="s">
        <v>2674</v>
      </c>
    </row>
    <row r="309" spans="1:39" ht="22.8">
      <c r="A309" s="460" t="s">
        <v>1810</v>
      </c>
      <c r="B309" s="460"/>
      <c r="C309" s="460" t="s">
        <v>1659</v>
      </c>
      <c r="D309" s="460" t="s">
        <v>2251</v>
      </c>
      <c r="E309" s="460" t="s">
        <v>1817</v>
      </c>
      <c r="F309" s="460" t="s">
        <v>1812</v>
      </c>
      <c r="G309" s="461" t="s">
        <v>1218</v>
      </c>
      <c r="H309" s="461" t="s">
        <v>1027</v>
      </c>
      <c r="I309" s="460" t="s">
        <v>2250</v>
      </c>
      <c r="J309" s="460" t="s">
        <v>1983</v>
      </c>
      <c r="K309" s="460" t="s">
        <v>2669</v>
      </c>
      <c r="L309" s="460" t="s">
        <v>2695</v>
      </c>
      <c r="M309" s="460" t="s">
        <v>1987</v>
      </c>
      <c r="N309" s="460" t="s">
        <v>1986</v>
      </c>
      <c r="O309" s="460" t="s">
        <v>1980</v>
      </c>
      <c r="P309" s="460" t="s">
        <v>1979</v>
      </c>
      <c r="Q309" s="460" t="s">
        <v>1978</v>
      </c>
      <c r="R309" s="460" t="s">
        <v>1977</v>
      </c>
      <c r="S309" s="460" t="s">
        <v>1826</v>
      </c>
      <c r="T309" s="460" t="s">
        <v>1827</v>
      </c>
      <c r="U309" s="461" t="s">
        <v>1976</v>
      </c>
      <c r="V309" s="460" t="s">
        <v>1119</v>
      </c>
      <c r="W309" s="560"/>
      <c r="X309" s="461" t="s">
        <v>1824</v>
      </c>
      <c r="Y309" s="461" t="s">
        <v>1824</v>
      </c>
      <c r="Z309" s="461" t="s">
        <v>170</v>
      </c>
      <c r="AA309" s="460" t="s">
        <v>1218</v>
      </c>
      <c r="AB309" s="561">
        <f>ROUND(25.63,2)</f>
        <v>25.63</v>
      </c>
      <c r="AC309" s="460" t="s">
        <v>308</v>
      </c>
      <c r="AD309" s="460"/>
      <c r="AE309" s="561">
        <f>ROUND(828.65,2)</f>
        <v>828.65</v>
      </c>
      <c r="AF309" s="460" t="s">
        <v>308</v>
      </c>
      <c r="AG309" s="561">
        <f t="shared" si="4"/>
        <v>0</v>
      </c>
      <c r="AH309" s="460" t="s">
        <v>2671</v>
      </c>
      <c r="AI309" s="460" t="s">
        <v>1214</v>
      </c>
      <c r="AJ309" s="460" t="s">
        <v>2549</v>
      </c>
      <c r="AK309" s="460" t="s">
        <v>2672</v>
      </c>
      <c r="AL309" s="560" t="s">
        <v>2685</v>
      </c>
      <c r="AM309" s="460" t="s">
        <v>2674</v>
      </c>
    </row>
    <row r="310" spans="1:39" ht="22.8">
      <c r="A310" s="460" t="s">
        <v>1810</v>
      </c>
      <c r="B310" s="460"/>
      <c r="C310" s="460" t="s">
        <v>1353</v>
      </c>
      <c r="D310" s="460" t="s">
        <v>2249</v>
      </c>
      <c r="E310" s="460" t="s">
        <v>1821</v>
      </c>
      <c r="F310" s="460" t="s">
        <v>1812</v>
      </c>
      <c r="G310" s="461" t="s">
        <v>1218</v>
      </c>
      <c r="H310" s="461" t="s">
        <v>238</v>
      </c>
      <c r="I310" s="460" t="s">
        <v>2248</v>
      </c>
      <c r="J310" s="460" t="s">
        <v>1983</v>
      </c>
      <c r="K310" s="460" t="s">
        <v>2669</v>
      </c>
      <c r="L310" s="460" t="s">
        <v>2714</v>
      </c>
      <c r="M310" s="460" t="s">
        <v>1994</v>
      </c>
      <c r="N310" s="460" t="s">
        <v>1981</v>
      </c>
      <c r="O310" s="460" t="s">
        <v>1980</v>
      </c>
      <c r="P310" s="460" t="s">
        <v>1979</v>
      </c>
      <c r="Q310" s="460" t="s">
        <v>95</v>
      </c>
      <c r="R310" s="460" t="s">
        <v>1977</v>
      </c>
      <c r="S310" s="460" t="s">
        <v>1842</v>
      </c>
      <c r="T310" s="460" t="s">
        <v>1827</v>
      </c>
      <c r="U310" s="461" t="s">
        <v>1976</v>
      </c>
      <c r="V310" s="460" t="s">
        <v>1843</v>
      </c>
      <c r="W310" s="560"/>
      <c r="X310" s="461" t="s">
        <v>1824</v>
      </c>
      <c r="Y310" s="461" t="s">
        <v>1824</v>
      </c>
      <c r="Z310" s="461" t="s">
        <v>170</v>
      </c>
      <c r="AA310" s="460" t="s">
        <v>1218</v>
      </c>
      <c r="AB310" s="561">
        <f>ROUND(30.41,2)</f>
        <v>30.41</v>
      </c>
      <c r="AC310" s="460" t="s">
        <v>308</v>
      </c>
      <c r="AD310" s="460"/>
      <c r="AE310" s="561">
        <f>ROUND(70.29,2)</f>
        <v>70.290000000000006</v>
      </c>
      <c r="AF310" s="460" t="s">
        <v>308</v>
      </c>
      <c r="AG310" s="561">
        <f t="shared" si="4"/>
        <v>0</v>
      </c>
      <c r="AH310" s="460" t="s">
        <v>2671</v>
      </c>
      <c r="AI310" s="460" t="s">
        <v>1214</v>
      </c>
      <c r="AJ310" s="460" t="s">
        <v>2548</v>
      </c>
      <c r="AK310" s="460" t="s">
        <v>2672</v>
      </c>
      <c r="AL310" s="560" t="s">
        <v>2673</v>
      </c>
      <c r="AM310" s="460" t="s">
        <v>2674</v>
      </c>
    </row>
    <row r="311" spans="1:39" ht="22.8">
      <c r="A311" s="460" t="s">
        <v>1810</v>
      </c>
      <c r="B311" s="460"/>
      <c r="C311" s="460" t="s">
        <v>1353</v>
      </c>
      <c r="D311" s="460" t="s">
        <v>2249</v>
      </c>
      <c r="E311" s="460" t="s">
        <v>1821</v>
      </c>
      <c r="F311" s="460" t="s">
        <v>1812</v>
      </c>
      <c r="G311" s="461" t="s">
        <v>1218</v>
      </c>
      <c r="H311" s="461" t="s">
        <v>238</v>
      </c>
      <c r="I311" s="460" t="s">
        <v>2248</v>
      </c>
      <c r="J311" s="460" t="s">
        <v>1983</v>
      </c>
      <c r="K311" s="460" t="s">
        <v>2669</v>
      </c>
      <c r="L311" s="460" t="s">
        <v>2714</v>
      </c>
      <c r="M311" s="460" t="s">
        <v>1994</v>
      </c>
      <c r="N311" s="460" t="s">
        <v>1981</v>
      </c>
      <c r="O311" s="460" t="s">
        <v>1980</v>
      </c>
      <c r="P311" s="460" t="s">
        <v>2675</v>
      </c>
      <c r="Q311" s="460" t="s">
        <v>2676</v>
      </c>
      <c r="R311" s="460" t="s">
        <v>2677</v>
      </c>
      <c r="S311" s="460" t="s">
        <v>2676</v>
      </c>
      <c r="T311" s="460" t="s">
        <v>1827</v>
      </c>
      <c r="U311" s="461" t="s">
        <v>1824</v>
      </c>
      <c r="V311" s="460" t="s">
        <v>1843</v>
      </c>
      <c r="W311" s="560"/>
      <c r="X311" s="461" t="s">
        <v>1824</v>
      </c>
      <c r="Y311" s="461" t="s">
        <v>1824</v>
      </c>
      <c r="Z311" s="461" t="s">
        <v>170</v>
      </c>
      <c r="AA311" s="460" t="s">
        <v>1218</v>
      </c>
      <c r="AB311" s="561">
        <f>ROUND(281.25,2)</f>
        <v>281.25</v>
      </c>
      <c r="AC311" s="460" t="s">
        <v>2678</v>
      </c>
      <c r="AD311" s="460"/>
      <c r="AE311" s="561">
        <f>ROUND(1000,2)</f>
        <v>1000</v>
      </c>
      <c r="AF311" s="460" t="s">
        <v>2679</v>
      </c>
      <c r="AG311" s="561">
        <f t="shared" si="4"/>
        <v>0</v>
      </c>
      <c r="AH311" s="460" t="s">
        <v>2671</v>
      </c>
      <c r="AI311" s="460" t="s">
        <v>1214</v>
      </c>
      <c r="AJ311" s="460" t="s">
        <v>2550</v>
      </c>
      <c r="AK311" s="460" t="s">
        <v>2672</v>
      </c>
      <c r="AL311" s="560" t="s">
        <v>2756</v>
      </c>
      <c r="AM311" s="460" t="s">
        <v>2674</v>
      </c>
    </row>
    <row r="312" spans="1:39" ht="22.8">
      <c r="A312" s="460" t="s">
        <v>1810</v>
      </c>
      <c r="B312" s="460"/>
      <c r="C312" s="460" t="s">
        <v>1353</v>
      </c>
      <c r="D312" s="460" t="s">
        <v>2249</v>
      </c>
      <c r="E312" s="460" t="s">
        <v>1821</v>
      </c>
      <c r="F312" s="460" t="s">
        <v>1812</v>
      </c>
      <c r="G312" s="461" t="s">
        <v>1218</v>
      </c>
      <c r="H312" s="461" t="s">
        <v>238</v>
      </c>
      <c r="I312" s="460" t="s">
        <v>2248</v>
      </c>
      <c r="J312" s="460" t="s">
        <v>1983</v>
      </c>
      <c r="K312" s="460" t="s">
        <v>2669</v>
      </c>
      <c r="L312" s="460" t="s">
        <v>2714</v>
      </c>
      <c r="M312" s="460" t="s">
        <v>1994</v>
      </c>
      <c r="N312" s="460" t="s">
        <v>1981</v>
      </c>
      <c r="O312" s="460" t="s">
        <v>1980</v>
      </c>
      <c r="P312" s="460" t="s">
        <v>1979</v>
      </c>
      <c r="Q312" s="460" t="s">
        <v>1978</v>
      </c>
      <c r="R312" s="460" t="s">
        <v>1977</v>
      </c>
      <c r="S312" s="460" t="s">
        <v>1826</v>
      </c>
      <c r="T312" s="460" t="s">
        <v>1827</v>
      </c>
      <c r="U312" s="461" t="s">
        <v>1976</v>
      </c>
      <c r="V312" s="460" t="s">
        <v>1843</v>
      </c>
      <c r="W312" s="560"/>
      <c r="X312" s="461" t="s">
        <v>1824</v>
      </c>
      <c r="Y312" s="461" t="s">
        <v>1824</v>
      </c>
      <c r="Z312" s="461" t="s">
        <v>170</v>
      </c>
      <c r="AA312" s="460" t="s">
        <v>1218</v>
      </c>
      <c r="AB312" s="561">
        <f>ROUND(475.32,2)</f>
        <v>475.32</v>
      </c>
      <c r="AC312" s="460" t="s">
        <v>308</v>
      </c>
      <c r="AD312" s="460"/>
      <c r="AE312" s="561">
        <f>ROUND(1656.14,2)</f>
        <v>1656.14</v>
      </c>
      <c r="AF312" s="460" t="s">
        <v>308</v>
      </c>
      <c r="AG312" s="561">
        <f t="shared" si="4"/>
        <v>0</v>
      </c>
      <c r="AH312" s="460" t="s">
        <v>2671</v>
      </c>
      <c r="AI312" s="460" t="s">
        <v>1214</v>
      </c>
      <c r="AJ312" s="460" t="s">
        <v>2549</v>
      </c>
      <c r="AK312" s="460" t="s">
        <v>2672</v>
      </c>
      <c r="AL312" s="560" t="s">
        <v>2718</v>
      </c>
      <c r="AM312" s="460" t="s">
        <v>2674</v>
      </c>
    </row>
    <row r="313" spans="1:39" ht="34.200000000000003">
      <c r="A313" s="460" t="s">
        <v>1810</v>
      </c>
      <c r="B313" s="460"/>
      <c r="C313" s="460" t="s">
        <v>1629</v>
      </c>
      <c r="D313" s="460" t="s">
        <v>2247</v>
      </c>
      <c r="E313" s="460" t="s">
        <v>1841</v>
      </c>
      <c r="F313" s="460" t="s">
        <v>1812</v>
      </c>
      <c r="G313" s="461" t="s">
        <v>1218</v>
      </c>
      <c r="H313" s="461" t="s">
        <v>1037</v>
      </c>
      <c r="I313" s="460" t="s">
        <v>2031</v>
      </c>
      <c r="J313" s="460" t="s">
        <v>1983</v>
      </c>
      <c r="K313" s="460" t="s">
        <v>2669</v>
      </c>
      <c r="L313" s="460" t="s">
        <v>2802</v>
      </c>
      <c r="M313" s="460" t="s">
        <v>2002</v>
      </c>
      <c r="N313" s="460" t="s">
        <v>2018</v>
      </c>
      <c r="O313" s="460" t="s">
        <v>1980</v>
      </c>
      <c r="P313" s="460" t="s">
        <v>1979</v>
      </c>
      <c r="Q313" s="460" t="s">
        <v>95</v>
      </c>
      <c r="R313" s="460" t="s">
        <v>1977</v>
      </c>
      <c r="S313" s="460" t="s">
        <v>1842</v>
      </c>
      <c r="T313" s="460" t="s">
        <v>1827</v>
      </c>
      <c r="U313" s="461" t="s">
        <v>1976</v>
      </c>
      <c r="V313" s="460" t="s">
        <v>1119</v>
      </c>
      <c r="W313" s="560"/>
      <c r="X313" s="461" t="s">
        <v>1824</v>
      </c>
      <c r="Y313" s="461" t="s">
        <v>1824</v>
      </c>
      <c r="Z313" s="461" t="s">
        <v>170</v>
      </c>
      <c r="AA313" s="460" t="s">
        <v>1218</v>
      </c>
      <c r="AB313" s="561">
        <f>ROUND(0,2)</f>
        <v>0</v>
      </c>
      <c r="AC313" s="460" t="s">
        <v>308</v>
      </c>
      <c r="AD313" s="460"/>
      <c r="AE313" s="561">
        <f>ROUND(36.23,2)</f>
        <v>36.229999999999997</v>
      </c>
      <c r="AF313" s="460" t="s">
        <v>308</v>
      </c>
      <c r="AG313" s="561">
        <f t="shared" si="4"/>
        <v>0</v>
      </c>
      <c r="AH313" s="460" t="s">
        <v>2671</v>
      </c>
      <c r="AI313" s="460" t="s">
        <v>1214</v>
      </c>
      <c r="AJ313" s="460"/>
      <c r="AK313" s="460"/>
      <c r="AL313" s="560"/>
      <c r="AM313" s="460"/>
    </row>
    <row r="314" spans="1:39" ht="34.200000000000003">
      <c r="A314" s="460" t="s">
        <v>1810</v>
      </c>
      <c r="B314" s="460"/>
      <c r="C314" s="460" t="s">
        <v>1629</v>
      </c>
      <c r="D314" s="460" t="s">
        <v>2247</v>
      </c>
      <c r="E314" s="460" t="s">
        <v>1841</v>
      </c>
      <c r="F314" s="460" t="s">
        <v>1812</v>
      </c>
      <c r="G314" s="461" t="s">
        <v>1218</v>
      </c>
      <c r="H314" s="461" t="s">
        <v>1037</v>
      </c>
      <c r="I314" s="460" t="s">
        <v>2031</v>
      </c>
      <c r="J314" s="460" t="s">
        <v>1983</v>
      </c>
      <c r="K314" s="460" t="s">
        <v>2669</v>
      </c>
      <c r="L314" s="460" t="s">
        <v>2802</v>
      </c>
      <c r="M314" s="460" t="s">
        <v>2002</v>
      </c>
      <c r="N314" s="460" t="s">
        <v>2018</v>
      </c>
      <c r="O314" s="460" t="s">
        <v>1980</v>
      </c>
      <c r="P314" s="460" t="s">
        <v>2675</v>
      </c>
      <c r="Q314" s="460" t="s">
        <v>2676</v>
      </c>
      <c r="R314" s="460" t="s">
        <v>2677</v>
      </c>
      <c r="S314" s="460" t="s">
        <v>2676</v>
      </c>
      <c r="T314" s="460" t="s">
        <v>1827</v>
      </c>
      <c r="U314" s="461" t="s">
        <v>1824</v>
      </c>
      <c r="V314" s="460" t="s">
        <v>1119</v>
      </c>
      <c r="W314" s="560"/>
      <c r="X314" s="461" t="s">
        <v>1824</v>
      </c>
      <c r="Y314" s="461" t="s">
        <v>1824</v>
      </c>
      <c r="Z314" s="461" t="s">
        <v>170</v>
      </c>
      <c r="AA314" s="460" t="s">
        <v>1218</v>
      </c>
      <c r="AB314" s="561">
        <f>ROUND(20,2)</f>
        <v>20</v>
      </c>
      <c r="AC314" s="460" t="s">
        <v>2678</v>
      </c>
      <c r="AD314" s="460"/>
      <c r="AE314" s="561">
        <f>ROUND(500.05,2)</f>
        <v>500.05</v>
      </c>
      <c r="AF314" s="460" t="s">
        <v>2679</v>
      </c>
      <c r="AG314" s="561">
        <f t="shared" si="4"/>
        <v>0</v>
      </c>
      <c r="AH314" s="460" t="s">
        <v>2671</v>
      </c>
      <c r="AI314" s="460" t="s">
        <v>1214</v>
      </c>
      <c r="AJ314" s="460" t="s">
        <v>2550</v>
      </c>
      <c r="AK314" s="460" t="s">
        <v>2672</v>
      </c>
      <c r="AL314" s="560" t="s">
        <v>2711</v>
      </c>
      <c r="AM314" s="460" t="s">
        <v>2674</v>
      </c>
    </row>
    <row r="315" spans="1:39" ht="34.200000000000003">
      <c r="A315" s="460" t="s">
        <v>1810</v>
      </c>
      <c r="B315" s="460"/>
      <c r="C315" s="460" t="s">
        <v>1629</v>
      </c>
      <c r="D315" s="460" t="s">
        <v>2247</v>
      </c>
      <c r="E315" s="460" t="s">
        <v>1841</v>
      </c>
      <c r="F315" s="460" t="s">
        <v>1812</v>
      </c>
      <c r="G315" s="461" t="s">
        <v>1218</v>
      </c>
      <c r="H315" s="461" t="s">
        <v>1037</v>
      </c>
      <c r="I315" s="460" t="s">
        <v>2031</v>
      </c>
      <c r="J315" s="460" t="s">
        <v>1983</v>
      </c>
      <c r="K315" s="460" t="s">
        <v>2669</v>
      </c>
      <c r="L315" s="460" t="s">
        <v>2802</v>
      </c>
      <c r="M315" s="460" t="s">
        <v>2002</v>
      </c>
      <c r="N315" s="460" t="s">
        <v>2018</v>
      </c>
      <c r="O315" s="460" t="s">
        <v>1980</v>
      </c>
      <c r="P315" s="460" t="s">
        <v>1979</v>
      </c>
      <c r="Q315" s="460" t="s">
        <v>1978</v>
      </c>
      <c r="R315" s="460" t="s">
        <v>1977</v>
      </c>
      <c r="S315" s="460" t="s">
        <v>1826</v>
      </c>
      <c r="T315" s="460" t="s">
        <v>1827</v>
      </c>
      <c r="U315" s="461" t="s">
        <v>1976</v>
      </c>
      <c r="V315" s="460" t="s">
        <v>1119</v>
      </c>
      <c r="W315" s="560"/>
      <c r="X315" s="461" t="s">
        <v>1824</v>
      </c>
      <c r="Y315" s="461" t="s">
        <v>1824</v>
      </c>
      <c r="Z315" s="461" t="s">
        <v>170</v>
      </c>
      <c r="AA315" s="460" t="s">
        <v>1218</v>
      </c>
      <c r="AB315" s="561">
        <f>ROUND(29.05,2)</f>
        <v>29.05</v>
      </c>
      <c r="AC315" s="460" t="s">
        <v>308</v>
      </c>
      <c r="AD315" s="460"/>
      <c r="AE315" s="561">
        <f>ROUND(825.23,2)</f>
        <v>825.23</v>
      </c>
      <c r="AF315" s="460" t="s">
        <v>308</v>
      </c>
      <c r="AG315" s="561">
        <f t="shared" si="4"/>
        <v>0</v>
      </c>
      <c r="AH315" s="460" t="s">
        <v>2671</v>
      </c>
      <c r="AI315" s="460" t="s">
        <v>1214</v>
      </c>
      <c r="AJ315" s="460" t="s">
        <v>2549</v>
      </c>
      <c r="AK315" s="460" t="s">
        <v>2672</v>
      </c>
      <c r="AL315" s="560" t="s">
        <v>2692</v>
      </c>
      <c r="AM315" s="460" t="s">
        <v>2674</v>
      </c>
    </row>
    <row r="316" spans="1:39" ht="22.8">
      <c r="A316" s="460" t="s">
        <v>1810</v>
      </c>
      <c r="B316" s="460"/>
      <c r="C316" s="460" t="s">
        <v>1355</v>
      </c>
      <c r="D316" s="460" t="s">
        <v>2246</v>
      </c>
      <c r="E316" s="460" t="s">
        <v>1821</v>
      </c>
      <c r="F316" s="460" t="s">
        <v>1812</v>
      </c>
      <c r="G316" s="461" t="s">
        <v>1218</v>
      </c>
      <c r="H316" s="461" t="s">
        <v>239</v>
      </c>
      <c r="I316" s="460" t="s">
        <v>2010</v>
      </c>
      <c r="J316" s="460" t="s">
        <v>1983</v>
      </c>
      <c r="K316" s="460" t="s">
        <v>2669</v>
      </c>
      <c r="L316" s="460" t="s">
        <v>2714</v>
      </c>
      <c r="M316" s="460" t="s">
        <v>1994</v>
      </c>
      <c r="N316" s="460" t="s">
        <v>1981</v>
      </c>
      <c r="O316" s="460" t="s">
        <v>1980</v>
      </c>
      <c r="P316" s="460" t="s">
        <v>1979</v>
      </c>
      <c r="Q316" s="460" t="s">
        <v>95</v>
      </c>
      <c r="R316" s="460" t="s">
        <v>1977</v>
      </c>
      <c r="S316" s="460" t="s">
        <v>1842</v>
      </c>
      <c r="T316" s="460" t="s">
        <v>1827</v>
      </c>
      <c r="U316" s="461" t="s">
        <v>1976</v>
      </c>
      <c r="V316" s="460" t="s">
        <v>1119</v>
      </c>
      <c r="W316" s="560"/>
      <c r="X316" s="461" t="s">
        <v>1824</v>
      </c>
      <c r="Y316" s="461" t="s">
        <v>1824</v>
      </c>
      <c r="Z316" s="461" t="s">
        <v>170</v>
      </c>
      <c r="AA316" s="460" t="s">
        <v>1218</v>
      </c>
      <c r="AB316" s="561">
        <f>ROUND(0,2)</f>
        <v>0</v>
      </c>
      <c r="AC316" s="460" t="s">
        <v>308</v>
      </c>
      <c r="AD316" s="460"/>
      <c r="AE316" s="561">
        <f>ROUND(36.23,2)</f>
        <v>36.229999999999997</v>
      </c>
      <c r="AF316" s="460" t="s">
        <v>308</v>
      </c>
      <c r="AG316" s="561">
        <f t="shared" si="4"/>
        <v>0</v>
      </c>
      <c r="AH316" s="460" t="s">
        <v>2671</v>
      </c>
      <c r="AI316" s="460" t="s">
        <v>1214</v>
      </c>
      <c r="AJ316" s="460"/>
      <c r="AK316" s="460"/>
      <c r="AL316" s="560"/>
      <c r="AM316" s="460"/>
    </row>
    <row r="317" spans="1:39" ht="22.8">
      <c r="A317" s="460" t="s">
        <v>1810</v>
      </c>
      <c r="B317" s="460"/>
      <c r="C317" s="460" t="s">
        <v>1355</v>
      </c>
      <c r="D317" s="460" t="s">
        <v>2246</v>
      </c>
      <c r="E317" s="460" t="s">
        <v>1821</v>
      </c>
      <c r="F317" s="460" t="s">
        <v>1812</v>
      </c>
      <c r="G317" s="461" t="s">
        <v>1218</v>
      </c>
      <c r="H317" s="461" t="s">
        <v>239</v>
      </c>
      <c r="I317" s="460" t="s">
        <v>2010</v>
      </c>
      <c r="J317" s="460" t="s">
        <v>1983</v>
      </c>
      <c r="K317" s="460" t="s">
        <v>2669</v>
      </c>
      <c r="L317" s="460" t="s">
        <v>2714</v>
      </c>
      <c r="M317" s="460" t="s">
        <v>1994</v>
      </c>
      <c r="N317" s="460" t="s">
        <v>1981</v>
      </c>
      <c r="O317" s="460" t="s">
        <v>1980</v>
      </c>
      <c r="P317" s="460" t="s">
        <v>2675</v>
      </c>
      <c r="Q317" s="460" t="s">
        <v>2676</v>
      </c>
      <c r="R317" s="460" t="s">
        <v>2677</v>
      </c>
      <c r="S317" s="460" t="s">
        <v>2676</v>
      </c>
      <c r="T317" s="460" t="s">
        <v>1827</v>
      </c>
      <c r="U317" s="461" t="s">
        <v>1824</v>
      </c>
      <c r="V317" s="460" t="s">
        <v>1119</v>
      </c>
      <c r="W317" s="560"/>
      <c r="X317" s="461" t="s">
        <v>1824</v>
      </c>
      <c r="Y317" s="461" t="s">
        <v>2683</v>
      </c>
      <c r="Z317" s="461" t="s">
        <v>170</v>
      </c>
      <c r="AA317" s="460" t="s">
        <v>1218</v>
      </c>
      <c r="AB317" s="561">
        <f>ROUND(3349.95,2)</f>
        <v>3349.95</v>
      </c>
      <c r="AC317" s="460" t="s">
        <v>2679</v>
      </c>
      <c r="AD317" s="460"/>
      <c r="AE317" s="561">
        <f>ROUND(500.05,2)</f>
        <v>500.05</v>
      </c>
      <c r="AF317" s="460" t="s">
        <v>2679</v>
      </c>
      <c r="AG317" s="561">
        <f t="shared" si="4"/>
        <v>0</v>
      </c>
      <c r="AH317" s="460" t="s">
        <v>2671</v>
      </c>
      <c r="AI317" s="460" t="s">
        <v>1214</v>
      </c>
      <c r="AJ317" s="460" t="s">
        <v>2550</v>
      </c>
      <c r="AK317" s="460" t="s">
        <v>2672</v>
      </c>
      <c r="AL317" s="560" t="s">
        <v>2798</v>
      </c>
      <c r="AM317" s="460" t="s">
        <v>2674</v>
      </c>
    </row>
    <row r="318" spans="1:39" ht="22.8">
      <c r="A318" s="460" t="s">
        <v>1810</v>
      </c>
      <c r="B318" s="460"/>
      <c r="C318" s="460" t="s">
        <v>1355</v>
      </c>
      <c r="D318" s="460" t="s">
        <v>2246</v>
      </c>
      <c r="E318" s="460" t="s">
        <v>1821</v>
      </c>
      <c r="F318" s="460" t="s">
        <v>1812</v>
      </c>
      <c r="G318" s="461" t="s">
        <v>1218</v>
      </c>
      <c r="H318" s="461" t="s">
        <v>239</v>
      </c>
      <c r="I318" s="460" t="s">
        <v>2010</v>
      </c>
      <c r="J318" s="460" t="s">
        <v>1983</v>
      </c>
      <c r="K318" s="460" t="s">
        <v>2669</v>
      </c>
      <c r="L318" s="460" t="s">
        <v>2714</v>
      </c>
      <c r="M318" s="460" t="s">
        <v>1994</v>
      </c>
      <c r="N318" s="460" t="s">
        <v>1981</v>
      </c>
      <c r="O318" s="460" t="s">
        <v>1980</v>
      </c>
      <c r="P318" s="460" t="s">
        <v>1979</v>
      </c>
      <c r="Q318" s="460" t="s">
        <v>1978</v>
      </c>
      <c r="R318" s="460" t="s">
        <v>1977</v>
      </c>
      <c r="S318" s="460" t="s">
        <v>1826</v>
      </c>
      <c r="T318" s="460" t="s">
        <v>1827</v>
      </c>
      <c r="U318" s="461" t="s">
        <v>1976</v>
      </c>
      <c r="V318" s="460" t="s">
        <v>1119</v>
      </c>
      <c r="W318" s="560"/>
      <c r="X318" s="461" t="s">
        <v>1824</v>
      </c>
      <c r="Y318" s="461" t="s">
        <v>2683</v>
      </c>
      <c r="Z318" s="461" t="s">
        <v>170</v>
      </c>
      <c r="AA318" s="460" t="s">
        <v>1218</v>
      </c>
      <c r="AB318" s="561">
        <f>ROUND(35.03,2)</f>
        <v>35.03</v>
      </c>
      <c r="AC318" s="460" t="s">
        <v>308</v>
      </c>
      <c r="AD318" s="460"/>
      <c r="AE318" s="561">
        <f>ROUND(819.25,2)</f>
        <v>819.25</v>
      </c>
      <c r="AF318" s="460" t="s">
        <v>308</v>
      </c>
      <c r="AG318" s="561">
        <f t="shared" si="4"/>
        <v>0</v>
      </c>
      <c r="AH318" s="460" t="s">
        <v>2671</v>
      </c>
      <c r="AI318" s="460" t="s">
        <v>1214</v>
      </c>
      <c r="AJ318" s="460" t="s">
        <v>2549</v>
      </c>
      <c r="AK318" s="460" t="s">
        <v>2672</v>
      </c>
      <c r="AL318" s="560" t="s">
        <v>2694</v>
      </c>
      <c r="AM318" s="460" t="s">
        <v>2674</v>
      </c>
    </row>
    <row r="319" spans="1:39" ht="34.200000000000003">
      <c r="A319" s="460" t="s">
        <v>1810</v>
      </c>
      <c r="B319" s="460"/>
      <c r="C319" s="460" t="s">
        <v>1496</v>
      </c>
      <c r="D319" s="460" t="s">
        <v>2245</v>
      </c>
      <c r="E319" s="460" t="s">
        <v>1840</v>
      </c>
      <c r="F319" s="460" t="s">
        <v>1812</v>
      </c>
      <c r="G319" s="461" t="s">
        <v>1218</v>
      </c>
      <c r="H319" s="461" t="s">
        <v>296</v>
      </c>
      <c r="I319" s="460" t="s">
        <v>2244</v>
      </c>
      <c r="J319" s="460" t="s">
        <v>1983</v>
      </c>
      <c r="K319" s="460" t="s">
        <v>2669</v>
      </c>
      <c r="L319" s="460" t="s">
        <v>2746</v>
      </c>
      <c r="M319" s="460" t="s">
        <v>1987</v>
      </c>
      <c r="N319" s="460" t="s">
        <v>1986</v>
      </c>
      <c r="O319" s="460" t="s">
        <v>1980</v>
      </c>
      <c r="P319" s="460" t="s">
        <v>1979</v>
      </c>
      <c r="Q319" s="460" t="s">
        <v>95</v>
      </c>
      <c r="R319" s="460" t="s">
        <v>1977</v>
      </c>
      <c r="S319" s="460" t="s">
        <v>1842</v>
      </c>
      <c r="T319" s="460" t="s">
        <v>1827</v>
      </c>
      <c r="U319" s="461" t="s">
        <v>1976</v>
      </c>
      <c r="V319" s="460" t="s">
        <v>1967</v>
      </c>
      <c r="W319" s="560"/>
      <c r="X319" s="461" t="s">
        <v>1824</v>
      </c>
      <c r="Y319" s="461" t="s">
        <v>2683</v>
      </c>
      <c r="Z319" s="461" t="s">
        <v>170</v>
      </c>
      <c r="AA319" s="460" t="s">
        <v>1218</v>
      </c>
      <c r="AB319" s="561">
        <f>ROUND(30.41,2)</f>
        <v>30.41</v>
      </c>
      <c r="AC319" s="460" t="s">
        <v>308</v>
      </c>
      <c r="AD319" s="460"/>
      <c r="AE319" s="561">
        <f>ROUND(70.29,2)</f>
        <v>70.290000000000006</v>
      </c>
      <c r="AF319" s="460" t="s">
        <v>308</v>
      </c>
      <c r="AG319" s="561">
        <f t="shared" si="4"/>
        <v>0</v>
      </c>
      <c r="AH319" s="460" t="s">
        <v>2671</v>
      </c>
      <c r="AI319" s="460" t="s">
        <v>1214</v>
      </c>
      <c r="AJ319" s="460" t="s">
        <v>2548</v>
      </c>
      <c r="AK319" s="460" t="s">
        <v>2672</v>
      </c>
      <c r="AL319" s="560" t="s">
        <v>2673</v>
      </c>
      <c r="AM319" s="460" t="s">
        <v>2674</v>
      </c>
    </row>
    <row r="320" spans="1:39" ht="34.200000000000003">
      <c r="A320" s="460" t="s">
        <v>1810</v>
      </c>
      <c r="B320" s="460"/>
      <c r="C320" s="460" t="s">
        <v>1496</v>
      </c>
      <c r="D320" s="460" t="s">
        <v>2245</v>
      </c>
      <c r="E320" s="460" t="s">
        <v>1840</v>
      </c>
      <c r="F320" s="460" t="s">
        <v>1812</v>
      </c>
      <c r="G320" s="461" t="s">
        <v>1218</v>
      </c>
      <c r="H320" s="461" t="s">
        <v>296</v>
      </c>
      <c r="I320" s="460" t="s">
        <v>2244</v>
      </c>
      <c r="J320" s="460" t="s">
        <v>1983</v>
      </c>
      <c r="K320" s="460" t="s">
        <v>2669</v>
      </c>
      <c r="L320" s="460" t="s">
        <v>2746</v>
      </c>
      <c r="M320" s="460" t="s">
        <v>1987</v>
      </c>
      <c r="N320" s="460" t="s">
        <v>1986</v>
      </c>
      <c r="O320" s="460" t="s">
        <v>1980</v>
      </c>
      <c r="P320" s="460" t="s">
        <v>2675</v>
      </c>
      <c r="Q320" s="460" t="s">
        <v>2676</v>
      </c>
      <c r="R320" s="460" t="s">
        <v>2677</v>
      </c>
      <c r="S320" s="460" t="s">
        <v>2676</v>
      </c>
      <c r="T320" s="460" t="s">
        <v>1827</v>
      </c>
      <c r="U320" s="461" t="s">
        <v>1824</v>
      </c>
      <c r="V320" s="460" t="s">
        <v>1119</v>
      </c>
      <c r="W320" s="560"/>
      <c r="X320" s="461" t="s">
        <v>1824</v>
      </c>
      <c r="Y320" s="461" t="s">
        <v>1824</v>
      </c>
      <c r="Z320" s="461" t="s">
        <v>170</v>
      </c>
      <c r="AA320" s="460" t="s">
        <v>1218</v>
      </c>
      <c r="AB320" s="561">
        <f>ROUND(60,2)</f>
        <v>60</v>
      </c>
      <c r="AC320" s="460" t="s">
        <v>2678</v>
      </c>
      <c r="AD320" s="460"/>
      <c r="AE320" s="561">
        <f>ROUND(500.05,2)</f>
        <v>500.05</v>
      </c>
      <c r="AF320" s="460" t="s">
        <v>2679</v>
      </c>
      <c r="AG320" s="561">
        <f t="shared" si="4"/>
        <v>0</v>
      </c>
      <c r="AH320" s="460" t="s">
        <v>2671</v>
      </c>
      <c r="AI320" s="460" t="s">
        <v>1214</v>
      </c>
      <c r="AJ320" s="460" t="s">
        <v>2550</v>
      </c>
      <c r="AK320" s="460" t="s">
        <v>2672</v>
      </c>
      <c r="AL320" s="560" t="s">
        <v>2808</v>
      </c>
      <c r="AM320" s="460" t="s">
        <v>2674</v>
      </c>
    </row>
    <row r="321" spans="1:39" ht="34.200000000000003">
      <c r="A321" s="460" t="s">
        <v>1810</v>
      </c>
      <c r="B321" s="460"/>
      <c r="C321" s="460" t="s">
        <v>1496</v>
      </c>
      <c r="D321" s="460" t="s">
        <v>2245</v>
      </c>
      <c r="E321" s="460" t="s">
        <v>1840</v>
      </c>
      <c r="F321" s="460" t="s">
        <v>1812</v>
      </c>
      <c r="G321" s="461" t="s">
        <v>1218</v>
      </c>
      <c r="H321" s="461" t="s">
        <v>296</v>
      </c>
      <c r="I321" s="460" t="s">
        <v>2244</v>
      </c>
      <c r="J321" s="460" t="s">
        <v>1983</v>
      </c>
      <c r="K321" s="460" t="s">
        <v>2669</v>
      </c>
      <c r="L321" s="460" t="s">
        <v>2746</v>
      </c>
      <c r="M321" s="460" t="s">
        <v>1987</v>
      </c>
      <c r="N321" s="460" t="s">
        <v>1986</v>
      </c>
      <c r="O321" s="460" t="s">
        <v>1980</v>
      </c>
      <c r="P321" s="460" t="s">
        <v>1979</v>
      </c>
      <c r="Q321" s="460" t="s">
        <v>1978</v>
      </c>
      <c r="R321" s="460" t="s">
        <v>1977</v>
      </c>
      <c r="S321" s="460" t="s">
        <v>1826</v>
      </c>
      <c r="T321" s="460" t="s">
        <v>1827</v>
      </c>
      <c r="U321" s="461" t="s">
        <v>1976</v>
      </c>
      <c r="V321" s="460" t="s">
        <v>1119</v>
      </c>
      <c r="W321" s="560"/>
      <c r="X321" s="461" t="s">
        <v>1032</v>
      </c>
      <c r="Y321" s="461" t="s">
        <v>1032</v>
      </c>
      <c r="Z321" s="461" t="s">
        <v>170</v>
      </c>
      <c r="AA321" s="460" t="s">
        <v>1218</v>
      </c>
      <c r="AB321" s="561">
        <f>ROUND(25.63,2)</f>
        <v>25.63</v>
      </c>
      <c r="AC321" s="460" t="s">
        <v>308</v>
      </c>
      <c r="AD321" s="460"/>
      <c r="AE321" s="561">
        <f>ROUND(828.65,2)</f>
        <v>828.65</v>
      </c>
      <c r="AF321" s="460" t="s">
        <v>308</v>
      </c>
      <c r="AG321" s="561">
        <f t="shared" si="4"/>
        <v>0</v>
      </c>
      <c r="AH321" s="460" t="s">
        <v>2671</v>
      </c>
      <c r="AI321" s="460" t="s">
        <v>1214</v>
      </c>
      <c r="AJ321" s="460" t="s">
        <v>2549</v>
      </c>
      <c r="AK321" s="460" t="s">
        <v>2672</v>
      </c>
      <c r="AL321" s="560" t="s">
        <v>2685</v>
      </c>
      <c r="AM321" s="460" t="s">
        <v>2674</v>
      </c>
    </row>
    <row r="322" spans="1:39" ht="22.8">
      <c r="A322" s="460" t="s">
        <v>1810</v>
      </c>
      <c r="B322" s="460"/>
      <c r="C322" s="460" t="s">
        <v>2479</v>
      </c>
      <c r="D322" s="460" t="s">
        <v>2809</v>
      </c>
      <c r="E322" s="460" t="s">
        <v>1817</v>
      </c>
      <c r="F322" s="460" t="s">
        <v>1812</v>
      </c>
      <c r="G322" s="461" t="s">
        <v>1218</v>
      </c>
      <c r="H322" s="461" t="s">
        <v>2810</v>
      </c>
      <c r="I322" s="460" t="s">
        <v>2811</v>
      </c>
      <c r="J322" s="460" t="s">
        <v>1983</v>
      </c>
      <c r="K322" s="460" t="s">
        <v>2669</v>
      </c>
      <c r="L322" s="460" t="s">
        <v>2695</v>
      </c>
      <c r="M322" s="460" t="s">
        <v>1987</v>
      </c>
      <c r="N322" s="460" t="s">
        <v>1986</v>
      </c>
      <c r="O322" s="460" t="s">
        <v>1980</v>
      </c>
      <c r="P322" s="460" t="s">
        <v>1979</v>
      </c>
      <c r="Q322" s="460" t="s">
        <v>95</v>
      </c>
      <c r="R322" s="460" t="s">
        <v>1977</v>
      </c>
      <c r="S322" s="460" t="s">
        <v>1842</v>
      </c>
      <c r="T322" s="460" t="s">
        <v>1827</v>
      </c>
      <c r="U322" s="461" t="s">
        <v>1976</v>
      </c>
      <c r="V322" s="460" t="s">
        <v>1843</v>
      </c>
      <c r="W322" s="560"/>
      <c r="X322" s="461" t="s">
        <v>2747</v>
      </c>
      <c r="Y322" s="461" t="s">
        <v>2747</v>
      </c>
      <c r="Z322" s="461" t="s">
        <v>170</v>
      </c>
      <c r="AA322" s="460" t="s">
        <v>1218</v>
      </c>
      <c r="AB322" s="561">
        <f>ROUND(30.41,2)</f>
        <v>30.41</v>
      </c>
      <c r="AC322" s="460" t="s">
        <v>308</v>
      </c>
      <c r="AD322" s="460"/>
      <c r="AE322" s="561">
        <f>ROUND(70.29,2)</f>
        <v>70.290000000000006</v>
      </c>
      <c r="AF322" s="460" t="s">
        <v>308</v>
      </c>
      <c r="AG322" s="561">
        <f t="shared" si="4"/>
        <v>0</v>
      </c>
      <c r="AH322" s="460" t="s">
        <v>2671</v>
      </c>
      <c r="AI322" s="460" t="s">
        <v>1214</v>
      </c>
      <c r="AJ322" s="460" t="s">
        <v>2548</v>
      </c>
      <c r="AK322" s="460" t="s">
        <v>2672</v>
      </c>
      <c r="AL322" s="560" t="s">
        <v>2673</v>
      </c>
      <c r="AM322" s="460" t="s">
        <v>2674</v>
      </c>
    </row>
    <row r="323" spans="1:39" ht="22.8">
      <c r="A323" s="460" t="s">
        <v>1810</v>
      </c>
      <c r="B323" s="460"/>
      <c r="C323" s="460" t="s">
        <v>2479</v>
      </c>
      <c r="D323" s="460" t="s">
        <v>2809</v>
      </c>
      <c r="E323" s="460" t="s">
        <v>1817</v>
      </c>
      <c r="F323" s="460" t="s">
        <v>1812</v>
      </c>
      <c r="G323" s="461" t="s">
        <v>1218</v>
      </c>
      <c r="H323" s="461" t="s">
        <v>2810</v>
      </c>
      <c r="I323" s="460" t="s">
        <v>2811</v>
      </c>
      <c r="J323" s="460" t="s">
        <v>1983</v>
      </c>
      <c r="K323" s="460" t="s">
        <v>2669</v>
      </c>
      <c r="L323" s="460" t="s">
        <v>2695</v>
      </c>
      <c r="M323" s="460" t="s">
        <v>1987</v>
      </c>
      <c r="N323" s="460" t="s">
        <v>1986</v>
      </c>
      <c r="O323" s="460" t="s">
        <v>1980</v>
      </c>
      <c r="P323" s="460" t="s">
        <v>2675</v>
      </c>
      <c r="Q323" s="460" t="s">
        <v>2676</v>
      </c>
      <c r="R323" s="460" t="s">
        <v>2677</v>
      </c>
      <c r="S323" s="460" t="s">
        <v>2676</v>
      </c>
      <c r="T323" s="460" t="s">
        <v>1827</v>
      </c>
      <c r="U323" s="461" t="s">
        <v>1824</v>
      </c>
      <c r="V323" s="460" t="s">
        <v>1843</v>
      </c>
      <c r="W323" s="560"/>
      <c r="X323" s="461" t="s">
        <v>2747</v>
      </c>
      <c r="Y323" s="461" t="s">
        <v>2747</v>
      </c>
      <c r="Z323" s="461" t="s">
        <v>170</v>
      </c>
      <c r="AA323" s="460" t="s">
        <v>1218</v>
      </c>
      <c r="AB323" s="561">
        <f>ROUND(100,2)</f>
        <v>100</v>
      </c>
      <c r="AC323" s="460" t="s">
        <v>2678</v>
      </c>
      <c r="AD323" s="460"/>
      <c r="AE323" s="561">
        <f>ROUND(1000,2)</f>
        <v>1000</v>
      </c>
      <c r="AF323" s="460" t="s">
        <v>2679</v>
      </c>
      <c r="AG323" s="561">
        <f t="shared" si="4"/>
        <v>0</v>
      </c>
      <c r="AH323" s="460" t="s">
        <v>2671</v>
      </c>
      <c r="AI323" s="460" t="s">
        <v>1214</v>
      </c>
      <c r="AJ323" s="460" t="s">
        <v>2550</v>
      </c>
      <c r="AK323" s="460" t="s">
        <v>2672</v>
      </c>
      <c r="AL323" s="560" t="s">
        <v>2691</v>
      </c>
      <c r="AM323" s="460" t="s">
        <v>2674</v>
      </c>
    </row>
    <row r="324" spans="1:39" ht="22.8">
      <c r="A324" s="460" t="s">
        <v>1810</v>
      </c>
      <c r="B324" s="460"/>
      <c r="C324" s="460" t="s">
        <v>2479</v>
      </c>
      <c r="D324" s="460" t="s">
        <v>2809</v>
      </c>
      <c r="E324" s="460" t="s">
        <v>1817</v>
      </c>
      <c r="F324" s="460" t="s">
        <v>1812</v>
      </c>
      <c r="G324" s="461" t="s">
        <v>1218</v>
      </c>
      <c r="H324" s="461" t="s">
        <v>2810</v>
      </c>
      <c r="I324" s="460" t="s">
        <v>2811</v>
      </c>
      <c r="J324" s="460" t="s">
        <v>1983</v>
      </c>
      <c r="K324" s="460" t="s">
        <v>2669</v>
      </c>
      <c r="L324" s="460" t="s">
        <v>2695</v>
      </c>
      <c r="M324" s="460" t="s">
        <v>1987</v>
      </c>
      <c r="N324" s="460" t="s">
        <v>1986</v>
      </c>
      <c r="O324" s="460" t="s">
        <v>1980</v>
      </c>
      <c r="P324" s="460" t="s">
        <v>1979</v>
      </c>
      <c r="Q324" s="460" t="s">
        <v>1978</v>
      </c>
      <c r="R324" s="460" t="s">
        <v>1977</v>
      </c>
      <c r="S324" s="460" t="s">
        <v>1826</v>
      </c>
      <c r="T324" s="460" t="s">
        <v>1827</v>
      </c>
      <c r="U324" s="461" t="s">
        <v>1976</v>
      </c>
      <c r="V324" s="460" t="s">
        <v>1843</v>
      </c>
      <c r="W324" s="560"/>
      <c r="X324" s="461" t="s">
        <v>2747</v>
      </c>
      <c r="Y324" s="461" t="s">
        <v>2747</v>
      </c>
      <c r="Z324" s="461" t="s">
        <v>170</v>
      </c>
      <c r="AA324" s="460" t="s">
        <v>1218</v>
      </c>
      <c r="AB324" s="561">
        <f>ROUND(321.85,2)</f>
        <v>321.85000000000002</v>
      </c>
      <c r="AC324" s="460" t="s">
        <v>308</v>
      </c>
      <c r="AD324" s="460"/>
      <c r="AE324" s="561">
        <f>ROUND(1809.61,2)</f>
        <v>1809.61</v>
      </c>
      <c r="AF324" s="460" t="s">
        <v>308</v>
      </c>
      <c r="AG324" s="561">
        <f t="shared" si="4"/>
        <v>0</v>
      </c>
      <c r="AH324" s="460" t="s">
        <v>2671</v>
      </c>
      <c r="AI324" s="460" t="s">
        <v>1214</v>
      </c>
      <c r="AJ324" s="460" t="s">
        <v>2549</v>
      </c>
      <c r="AK324" s="460" t="s">
        <v>2672</v>
      </c>
      <c r="AL324" s="560" t="s">
        <v>2712</v>
      </c>
      <c r="AM324" s="460" t="s">
        <v>2674</v>
      </c>
    </row>
    <row r="325" spans="1:39" ht="34.200000000000003">
      <c r="A325" s="460" t="s">
        <v>1810</v>
      </c>
      <c r="B325" s="460"/>
      <c r="C325" s="460" t="s">
        <v>1720</v>
      </c>
      <c r="D325" s="460" t="s">
        <v>2243</v>
      </c>
      <c r="E325" s="460" t="s">
        <v>1828</v>
      </c>
      <c r="F325" s="460" t="s">
        <v>1812</v>
      </c>
      <c r="G325" s="461" t="s">
        <v>1218</v>
      </c>
      <c r="H325" s="461" t="s">
        <v>1825</v>
      </c>
      <c r="I325" s="460" t="s">
        <v>2227</v>
      </c>
      <c r="J325" s="460" t="s">
        <v>1983</v>
      </c>
      <c r="K325" s="460" t="s">
        <v>2669</v>
      </c>
      <c r="L325" s="460" t="s">
        <v>2735</v>
      </c>
      <c r="M325" s="460" t="s">
        <v>2002</v>
      </c>
      <c r="N325" s="460" t="s">
        <v>1981</v>
      </c>
      <c r="O325" s="460" t="s">
        <v>1980</v>
      </c>
      <c r="P325" s="460" t="s">
        <v>1979</v>
      </c>
      <c r="Q325" s="460" t="s">
        <v>95</v>
      </c>
      <c r="R325" s="460" t="s">
        <v>1977</v>
      </c>
      <c r="S325" s="460" t="s">
        <v>1842</v>
      </c>
      <c r="T325" s="460" t="s">
        <v>1827</v>
      </c>
      <c r="U325" s="461" t="s">
        <v>1976</v>
      </c>
      <c r="V325" s="460" t="s">
        <v>1119</v>
      </c>
      <c r="W325" s="560"/>
      <c r="X325" s="461" t="s">
        <v>2077</v>
      </c>
      <c r="Y325" s="461" t="s">
        <v>2077</v>
      </c>
      <c r="Z325" s="461" t="s">
        <v>170</v>
      </c>
      <c r="AA325" s="460" t="s">
        <v>1218</v>
      </c>
      <c r="AB325" s="561">
        <f>ROUND(0,2)</f>
        <v>0</v>
      </c>
      <c r="AC325" s="460" t="s">
        <v>308</v>
      </c>
      <c r="AD325" s="460"/>
      <c r="AE325" s="561">
        <f>ROUND(36.23,2)</f>
        <v>36.229999999999997</v>
      </c>
      <c r="AF325" s="460" t="s">
        <v>308</v>
      </c>
      <c r="AG325" s="561">
        <f t="shared" si="4"/>
        <v>0</v>
      </c>
      <c r="AH325" s="460" t="s">
        <v>2671</v>
      </c>
      <c r="AI325" s="460" t="s">
        <v>1214</v>
      </c>
      <c r="AJ325" s="460"/>
      <c r="AK325" s="460"/>
      <c r="AL325" s="560"/>
      <c r="AM325" s="460"/>
    </row>
    <row r="326" spans="1:39" ht="34.200000000000003">
      <c r="A326" s="460" t="s">
        <v>1810</v>
      </c>
      <c r="B326" s="460"/>
      <c r="C326" s="460" t="s">
        <v>1720</v>
      </c>
      <c r="D326" s="460" t="s">
        <v>2243</v>
      </c>
      <c r="E326" s="460" t="s">
        <v>1828</v>
      </c>
      <c r="F326" s="460" t="s">
        <v>1812</v>
      </c>
      <c r="G326" s="461" t="s">
        <v>1218</v>
      </c>
      <c r="H326" s="461" t="s">
        <v>1825</v>
      </c>
      <c r="I326" s="460" t="s">
        <v>2227</v>
      </c>
      <c r="J326" s="460" t="s">
        <v>1983</v>
      </c>
      <c r="K326" s="460" t="s">
        <v>2669</v>
      </c>
      <c r="L326" s="460" t="s">
        <v>2735</v>
      </c>
      <c r="M326" s="460" t="s">
        <v>2002</v>
      </c>
      <c r="N326" s="460" t="s">
        <v>1981</v>
      </c>
      <c r="O326" s="460" t="s">
        <v>1980</v>
      </c>
      <c r="P326" s="460" t="s">
        <v>2675</v>
      </c>
      <c r="Q326" s="460" t="s">
        <v>2676</v>
      </c>
      <c r="R326" s="460" t="s">
        <v>2677</v>
      </c>
      <c r="S326" s="460" t="s">
        <v>2676</v>
      </c>
      <c r="T326" s="460" t="s">
        <v>1827</v>
      </c>
      <c r="U326" s="461" t="s">
        <v>1824</v>
      </c>
      <c r="V326" s="460" t="s">
        <v>1119</v>
      </c>
      <c r="W326" s="560"/>
      <c r="X326" s="461" t="s">
        <v>1824</v>
      </c>
      <c r="Y326" s="461" t="s">
        <v>1824</v>
      </c>
      <c r="Z326" s="461" t="s">
        <v>170</v>
      </c>
      <c r="AA326" s="460" t="s">
        <v>1218</v>
      </c>
      <c r="AB326" s="561">
        <f>ROUND(20,2)</f>
        <v>20</v>
      </c>
      <c r="AC326" s="460" t="s">
        <v>2678</v>
      </c>
      <c r="AD326" s="460"/>
      <c r="AE326" s="561">
        <f>ROUND(500.05,2)</f>
        <v>500.05</v>
      </c>
      <c r="AF326" s="460" t="s">
        <v>2679</v>
      </c>
      <c r="AG326" s="561">
        <f t="shared" si="4"/>
        <v>0</v>
      </c>
      <c r="AH326" s="460" t="s">
        <v>2671</v>
      </c>
      <c r="AI326" s="460" t="s">
        <v>1214</v>
      </c>
      <c r="AJ326" s="460" t="s">
        <v>2550</v>
      </c>
      <c r="AK326" s="460" t="s">
        <v>2672</v>
      </c>
      <c r="AL326" s="560" t="s">
        <v>2711</v>
      </c>
      <c r="AM326" s="460" t="s">
        <v>2674</v>
      </c>
    </row>
    <row r="327" spans="1:39" ht="34.200000000000003">
      <c r="A327" s="460" t="s">
        <v>1810</v>
      </c>
      <c r="B327" s="460"/>
      <c r="C327" s="460" t="s">
        <v>1720</v>
      </c>
      <c r="D327" s="460" t="s">
        <v>2243</v>
      </c>
      <c r="E327" s="460" t="s">
        <v>1828</v>
      </c>
      <c r="F327" s="460" t="s">
        <v>1812</v>
      </c>
      <c r="G327" s="461" t="s">
        <v>1218</v>
      </c>
      <c r="H327" s="461" t="s">
        <v>1825</v>
      </c>
      <c r="I327" s="460" t="s">
        <v>2227</v>
      </c>
      <c r="J327" s="460" t="s">
        <v>1983</v>
      </c>
      <c r="K327" s="460" t="s">
        <v>2669</v>
      </c>
      <c r="L327" s="460" t="s">
        <v>2735</v>
      </c>
      <c r="M327" s="460" t="s">
        <v>2002</v>
      </c>
      <c r="N327" s="460" t="s">
        <v>1981</v>
      </c>
      <c r="O327" s="460" t="s">
        <v>1980</v>
      </c>
      <c r="P327" s="460" t="s">
        <v>1979</v>
      </c>
      <c r="Q327" s="460" t="s">
        <v>1978</v>
      </c>
      <c r="R327" s="460" t="s">
        <v>1977</v>
      </c>
      <c r="S327" s="460" t="s">
        <v>1826</v>
      </c>
      <c r="T327" s="460" t="s">
        <v>1827</v>
      </c>
      <c r="U327" s="461" t="s">
        <v>1976</v>
      </c>
      <c r="V327" s="460" t="s">
        <v>1119</v>
      </c>
      <c r="W327" s="560"/>
      <c r="X327" s="461" t="s">
        <v>1824</v>
      </c>
      <c r="Y327" s="461" t="s">
        <v>1824</v>
      </c>
      <c r="Z327" s="461" t="s">
        <v>170</v>
      </c>
      <c r="AA327" s="460" t="s">
        <v>1218</v>
      </c>
      <c r="AB327" s="561">
        <f>ROUND(25.63,2)</f>
        <v>25.63</v>
      </c>
      <c r="AC327" s="460" t="s">
        <v>308</v>
      </c>
      <c r="AD327" s="460"/>
      <c r="AE327" s="561">
        <f>ROUND(828.65,2)</f>
        <v>828.65</v>
      </c>
      <c r="AF327" s="460" t="s">
        <v>308</v>
      </c>
      <c r="AG327" s="561">
        <f t="shared" si="4"/>
        <v>0</v>
      </c>
      <c r="AH327" s="460" t="s">
        <v>2671</v>
      </c>
      <c r="AI327" s="460" t="s">
        <v>1214</v>
      </c>
      <c r="AJ327" s="460" t="s">
        <v>2549</v>
      </c>
      <c r="AK327" s="460" t="s">
        <v>2672</v>
      </c>
      <c r="AL327" s="560" t="s">
        <v>2685</v>
      </c>
      <c r="AM327" s="460" t="s">
        <v>2674</v>
      </c>
    </row>
    <row r="328" spans="1:39" ht="22.8">
      <c r="A328" s="460" t="s">
        <v>1810</v>
      </c>
      <c r="B328" s="460"/>
      <c r="C328" s="460" t="s">
        <v>1623</v>
      </c>
      <c r="D328" s="460" t="s">
        <v>2242</v>
      </c>
      <c r="E328" s="460" t="s">
        <v>1816</v>
      </c>
      <c r="F328" s="460" t="s">
        <v>1812</v>
      </c>
      <c r="G328" s="461" t="s">
        <v>1218</v>
      </c>
      <c r="H328" s="461" t="s">
        <v>1035</v>
      </c>
      <c r="I328" s="460" t="s">
        <v>1988</v>
      </c>
      <c r="J328" s="460" t="s">
        <v>1990</v>
      </c>
      <c r="K328" s="460" t="s">
        <v>2669</v>
      </c>
      <c r="L328" s="460" t="s">
        <v>2837</v>
      </c>
      <c r="M328" s="460" t="s">
        <v>2022</v>
      </c>
      <c r="N328" s="460" t="s">
        <v>2021</v>
      </c>
      <c r="O328" s="460" t="s">
        <v>2001</v>
      </c>
      <c r="P328" s="460" t="s">
        <v>1979</v>
      </c>
      <c r="Q328" s="460" t="s">
        <v>95</v>
      </c>
      <c r="R328" s="460" t="s">
        <v>1977</v>
      </c>
      <c r="S328" s="460" t="s">
        <v>1842</v>
      </c>
      <c r="T328" s="460" t="s">
        <v>1827</v>
      </c>
      <c r="U328" s="461" t="s">
        <v>1976</v>
      </c>
      <c r="V328" s="460" t="s">
        <v>1851</v>
      </c>
      <c r="W328" s="560"/>
      <c r="X328" s="461" t="s">
        <v>1824</v>
      </c>
      <c r="Y328" s="461" t="s">
        <v>2683</v>
      </c>
      <c r="Z328" s="461" t="s">
        <v>170</v>
      </c>
      <c r="AA328" s="460" t="s">
        <v>1218</v>
      </c>
      <c r="AB328" s="561">
        <f>ROUND(30.41,2)</f>
        <v>30.41</v>
      </c>
      <c r="AC328" s="460" t="s">
        <v>308</v>
      </c>
      <c r="AD328" s="460"/>
      <c r="AE328" s="561">
        <f>ROUND(70.29,2)</f>
        <v>70.290000000000006</v>
      </c>
      <c r="AF328" s="460" t="s">
        <v>308</v>
      </c>
      <c r="AG328" s="561">
        <f t="shared" ref="AG328:AG394" si="5">ROUND(0,2)</f>
        <v>0</v>
      </c>
      <c r="AH328" s="460" t="s">
        <v>2671</v>
      </c>
      <c r="AI328" s="460" t="s">
        <v>1214</v>
      </c>
      <c r="AJ328" s="460" t="s">
        <v>2548</v>
      </c>
      <c r="AK328" s="460" t="s">
        <v>2672</v>
      </c>
      <c r="AL328" s="560" t="s">
        <v>2673</v>
      </c>
      <c r="AM328" s="460" t="s">
        <v>2674</v>
      </c>
    </row>
    <row r="329" spans="1:39" ht="22.8">
      <c r="A329" s="460" t="s">
        <v>1810</v>
      </c>
      <c r="B329" s="460"/>
      <c r="C329" s="460" t="s">
        <v>1623</v>
      </c>
      <c r="D329" s="460" t="s">
        <v>2242</v>
      </c>
      <c r="E329" s="460" t="s">
        <v>1816</v>
      </c>
      <c r="F329" s="460" t="s">
        <v>1812</v>
      </c>
      <c r="G329" s="461" t="s">
        <v>1218</v>
      </c>
      <c r="H329" s="461" t="s">
        <v>1035</v>
      </c>
      <c r="I329" s="460" t="s">
        <v>1988</v>
      </c>
      <c r="J329" s="460" t="s">
        <v>1990</v>
      </c>
      <c r="K329" s="460" t="s">
        <v>2669</v>
      </c>
      <c r="L329" s="460" t="s">
        <v>2837</v>
      </c>
      <c r="M329" s="460" t="s">
        <v>2022</v>
      </c>
      <c r="N329" s="460" t="s">
        <v>2021</v>
      </c>
      <c r="O329" s="460" t="s">
        <v>2001</v>
      </c>
      <c r="P329" s="460" t="s">
        <v>2675</v>
      </c>
      <c r="Q329" s="460" t="s">
        <v>2676</v>
      </c>
      <c r="R329" s="460" t="s">
        <v>2677</v>
      </c>
      <c r="S329" s="460" t="s">
        <v>2676</v>
      </c>
      <c r="T329" s="460" t="s">
        <v>1827</v>
      </c>
      <c r="U329" s="461" t="s">
        <v>1824</v>
      </c>
      <c r="V329" s="460" t="s">
        <v>1843</v>
      </c>
      <c r="W329" s="560"/>
      <c r="X329" s="461" t="s">
        <v>1824</v>
      </c>
      <c r="Y329" s="461" t="s">
        <v>1824</v>
      </c>
      <c r="Z329" s="461" t="s">
        <v>170</v>
      </c>
      <c r="AA329" s="460" t="s">
        <v>1218</v>
      </c>
      <c r="AB329" s="561">
        <f>ROUND(50,2)</f>
        <v>50</v>
      </c>
      <c r="AC329" s="460" t="s">
        <v>2678</v>
      </c>
      <c r="AD329" s="460"/>
      <c r="AE329" s="561">
        <f>ROUND(1000,2)</f>
        <v>1000</v>
      </c>
      <c r="AF329" s="460" t="s">
        <v>2679</v>
      </c>
      <c r="AG329" s="561">
        <f t="shared" si="5"/>
        <v>0</v>
      </c>
      <c r="AH329" s="460" t="s">
        <v>2671</v>
      </c>
      <c r="AI329" s="460" t="s">
        <v>1214</v>
      </c>
      <c r="AJ329" s="460" t="s">
        <v>2550</v>
      </c>
      <c r="AK329" s="460" t="s">
        <v>2672</v>
      </c>
      <c r="AL329" s="560" t="s">
        <v>2690</v>
      </c>
      <c r="AM329" s="460" t="s">
        <v>2674</v>
      </c>
    </row>
    <row r="330" spans="1:39" ht="22.8">
      <c r="A330" s="460" t="s">
        <v>1810</v>
      </c>
      <c r="B330" s="460"/>
      <c r="C330" s="460" t="s">
        <v>1623</v>
      </c>
      <c r="D330" s="460" t="s">
        <v>2242</v>
      </c>
      <c r="E330" s="460" t="s">
        <v>1816</v>
      </c>
      <c r="F330" s="460" t="s">
        <v>1812</v>
      </c>
      <c r="G330" s="461" t="s">
        <v>1218</v>
      </c>
      <c r="H330" s="461" t="s">
        <v>1035</v>
      </c>
      <c r="I330" s="460" t="s">
        <v>1988</v>
      </c>
      <c r="J330" s="460" t="s">
        <v>1990</v>
      </c>
      <c r="K330" s="460" t="s">
        <v>2669</v>
      </c>
      <c r="L330" s="460" t="s">
        <v>2837</v>
      </c>
      <c r="M330" s="460" t="s">
        <v>2022</v>
      </c>
      <c r="N330" s="460" t="s">
        <v>2021</v>
      </c>
      <c r="O330" s="460" t="s">
        <v>2001</v>
      </c>
      <c r="P330" s="460" t="s">
        <v>1979</v>
      </c>
      <c r="Q330" s="460" t="s">
        <v>1978</v>
      </c>
      <c r="R330" s="460" t="s">
        <v>1977</v>
      </c>
      <c r="S330" s="460" t="s">
        <v>1826</v>
      </c>
      <c r="T330" s="460" t="s">
        <v>1827</v>
      </c>
      <c r="U330" s="461" t="s">
        <v>1976</v>
      </c>
      <c r="V330" s="460" t="s">
        <v>1851</v>
      </c>
      <c r="W330" s="560"/>
      <c r="X330" s="461" t="s">
        <v>1824</v>
      </c>
      <c r="Y330" s="461" t="s">
        <v>1824</v>
      </c>
      <c r="Z330" s="461" t="s">
        <v>170</v>
      </c>
      <c r="AA330" s="460" t="s">
        <v>1218</v>
      </c>
      <c r="AB330" s="561">
        <f>ROUND(178.26,2)</f>
        <v>178.26</v>
      </c>
      <c r="AC330" s="460" t="s">
        <v>308</v>
      </c>
      <c r="AD330" s="460"/>
      <c r="AE330" s="561">
        <f>ROUND(1442.33,2)</f>
        <v>1442.33</v>
      </c>
      <c r="AF330" s="460" t="s">
        <v>308</v>
      </c>
      <c r="AG330" s="561">
        <f t="shared" si="5"/>
        <v>0</v>
      </c>
      <c r="AH330" s="460" t="s">
        <v>2671</v>
      </c>
      <c r="AI330" s="460" t="s">
        <v>1214</v>
      </c>
      <c r="AJ330" s="460" t="s">
        <v>2549</v>
      </c>
      <c r="AK330" s="460" t="s">
        <v>2672</v>
      </c>
      <c r="AL330" s="560" t="s">
        <v>2785</v>
      </c>
      <c r="AM330" s="460" t="s">
        <v>2674</v>
      </c>
    </row>
    <row r="331" spans="1:39" ht="22.8">
      <c r="A331" s="460" t="s">
        <v>1810</v>
      </c>
      <c r="B331" s="460"/>
      <c r="C331" s="460" t="s">
        <v>1709</v>
      </c>
      <c r="D331" s="460" t="s">
        <v>2241</v>
      </c>
      <c r="E331" s="460" t="s">
        <v>1814</v>
      </c>
      <c r="F331" s="460" t="s">
        <v>1812</v>
      </c>
      <c r="G331" s="461" t="s">
        <v>1218</v>
      </c>
      <c r="H331" s="461" t="s">
        <v>1822</v>
      </c>
      <c r="I331" s="460" t="s">
        <v>2041</v>
      </c>
      <c r="J331" s="460" t="s">
        <v>1983</v>
      </c>
      <c r="K331" s="460" t="s">
        <v>2669</v>
      </c>
      <c r="L331" s="460" t="s">
        <v>2703</v>
      </c>
      <c r="M331" s="460" t="s">
        <v>1982</v>
      </c>
      <c r="N331" s="460" t="s">
        <v>1981</v>
      </c>
      <c r="O331" s="460" t="s">
        <v>1980</v>
      </c>
      <c r="P331" s="460" t="s">
        <v>1979</v>
      </c>
      <c r="Q331" s="460" t="s">
        <v>95</v>
      </c>
      <c r="R331" s="460" t="s">
        <v>1977</v>
      </c>
      <c r="S331" s="460" t="s">
        <v>1842</v>
      </c>
      <c r="T331" s="460" t="s">
        <v>1827</v>
      </c>
      <c r="U331" s="461" t="s">
        <v>1976</v>
      </c>
      <c r="V331" s="460" t="s">
        <v>1119</v>
      </c>
      <c r="W331" s="560"/>
      <c r="X331" s="461" t="s">
        <v>2063</v>
      </c>
      <c r="Y331" s="461" t="s">
        <v>2063</v>
      </c>
      <c r="Z331" s="461" t="s">
        <v>170</v>
      </c>
      <c r="AA331" s="460" t="s">
        <v>1218</v>
      </c>
      <c r="AB331" s="561">
        <f>ROUND(0,2)</f>
        <v>0</v>
      </c>
      <c r="AC331" s="460" t="s">
        <v>308</v>
      </c>
      <c r="AD331" s="460"/>
      <c r="AE331" s="561">
        <f>ROUND(36.23,2)</f>
        <v>36.229999999999997</v>
      </c>
      <c r="AF331" s="460" t="s">
        <v>308</v>
      </c>
      <c r="AG331" s="561">
        <f t="shared" si="5"/>
        <v>0</v>
      </c>
      <c r="AH331" s="460" t="s">
        <v>2671</v>
      </c>
      <c r="AI331" s="460" t="s">
        <v>1214</v>
      </c>
      <c r="AJ331" s="460"/>
      <c r="AK331" s="460"/>
      <c r="AL331" s="560"/>
      <c r="AM331" s="460"/>
    </row>
    <row r="332" spans="1:39" ht="22.8">
      <c r="A332" s="460" t="s">
        <v>1810</v>
      </c>
      <c r="B332" s="460"/>
      <c r="C332" s="460" t="s">
        <v>1709</v>
      </c>
      <c r="D332" s="460" t="s">
        <v>2241</v>
      </c>
      <c r="E332" s="460" t="s">
        <v>1814</v>
      </c>
      <c r="F332" s="460" t="s">
        <v>1812</v>
      </c>
      <c r="G332" s="461" t="s">
        <v>1218</v>
      </c>
      <c r="H332" s="461" t="s">
        <v>1822</v>
      </c>
      <c r="I332" s="460" t="s">
        <v>2041</v>
      </c>
      <c r="J332" s="460" t="s">
        <v>1983</v>
      </c>
      <c r="K332" s="460" t="s">
        <v>2669</v>
      </c>
      <c r="L332" s="460" t="s">
        <v>2703</v>
      </c>
      <c r="M332" s="460" t="s">
        <v>1982</v>
      </c>
      <c r="N332" s="460" t="s">
        <v>1981</v>
      </c>
      <c r="O332" s="460" t="s">
        <v>1980</v>
      </c>
      <c r="P332" s="460" t="s">
        <v>2675</v>
      </c>
      <c r="Q332" s="460" t="s">
        <v>2676</v>
      </c>
      <c r="R332" s="460" t="s">
        <v>2677</v>
      </c>
      <c r="S332" s="460" t="s">
        <v>2676</v>
      </c>
      <c r="T332" s="460" t="s">
        <v>1827</v>
      </c>
      <c r="U332" s="461" t="s">
        <v>1824</v>
      </c>
      <c r="V332" s="460" t="s">
        <v>1119</v>
      </c>
      <c r="W332" s="560"/>
      <c r="X332" s="461" t="s">
        <v>1824</v>
      </c>
      <c r="Y332" s="461" t="s">
        <v>1824</v>
      </c>
      <c r="Z332" s="461" t="s">
        <v>170</v>
      </c>
      <c r="AA332" s="460" t="s">
        <v>1218</v>
      </c>
      <c r="AB332" s="561">
        <f>ROUND(10,2)</f>
        <v>10</v>
      </c>
      <c r="AC332" s="460" t="s">
        <v>2678</v>
      </c>
      <c r="AD332" s="460"/>
      <c r="AE332" s="561">
        <f>ROUND(500.05,2)</f>
        <v>500.05</v>
      </c>
      <c r="AF332" s="460" t="s">
        <v>2679</v>
      </c>
      <c r="AG332" s="561">
        <f t="shared" si="5"/>
        <v>0</v>
      </c>
      <c r="AH332" s="460" t="s">
        <v>2671</v>
      </c>
      <c r="AI332" s="460" t="s">
        <v>1214</v>
      </c>
      <c r="AJ332" s="460" t="s">
        <v>2550</v>
      </c>
      <c r="AK332" s="460" t="s">
        <v>2672</v>
      </c>
      <c r="AL332" s="560" t="s">
        <v>2725</v>
      </c>
      <c r="AM332" s="460" t="s">
        <v>2674</v>
      </c>
    </row>
    <row r="333" spans="1:39" ht="22.8">
      <c r="A333" s="460" t="s">
        <v>1810</v>
      </c>
      <c r="B333" s="460"/>
      <c r="C333" s="460" t="s">
        <v>1709</v>
      </c>
      <c r="D333" s="460" t="s">
        <v>2241</v>
      </c>
      <c r="E333" s="460" t="s">
        <v>1814</v>
      </c>
      <c r="F333" s="460" t="s">
        <v>1812</v>
      </c>
      <c r="G333" s="461" t="s">
        <v>1218</v>
      </c>
      <c r="H333" s="461" t="s">
        <v>1822</v>
      </c>
      <c r="I333" s="460" t="s">
        <v>2041</v>
      </c>
      <c r="J333" s="460" t="s">
        <v>1983</v>
      </c>
      <c r="K333" s="460" t="s">
        <v>2669</v>
      </c>
      <c r="L333" s="460" t="s">
        <v>2703</v>
      </c>
      <c r="M333" s="460" t="s">
        <v>1982</v>
      </c>
      <c r="N333" s="460" t="s">
        <v>1981</v>
      </c>
      <c r="O333" s="460" t="s">
        <v>1980</v>
      </c>
      <c r="P333" s="460" t="s">
        <v>1979</v>
      </c>
      <c r="Q333" s="460" t="s">
        <v>1978</v>
      </c>
      <c r="R333" s="460" t="s">
        <v>1977</v>
      </c>
      <c r="S333" s="460" t="s">
        <v>1826</v>
      </c>
      <c r="T333" s="460" t="s">
        <v>1827</v>
      </c>
      <c r="U333" s="461" t="s">
        <v>1976</v>
      </c>
      <c r="V333" s="460" t="s">
        <v>1119</v>
      </c>
      <c r="W333" s="560"/>
      <c r="X333" s="461" t="s">
        <v>2063</v>
      </c>
      <c r="Y333" s="461" t="s">
        <v>2063</v>
      </c>
      <c r="Z333" s="461" t="s">
        <v>170</v>
      </c>
      <c r="AA333" s="460" t="s">
        <v>1218</v>
      </c>
      <c r="AB333" s="561">
        <f>ROUND(29.05,2)</f>
        <v>29.05</v>
      </c>
      <c r="AC333" s="460" t="s">
        <v>308</v>
      </c>
      <c r="AD333" s="460"/>
      <c r="AE333" s="561">
        <f>ROUND(825.23,2)</f>
        <v>825.23</v>
      </c>
      <c r="AF333" s="460" t="s">
        <v>308</v>
      </c>
      <c r="AG333" s="561">
        <f t="shared" si="5"/>
        <v>0</v>
      </c>
      <c r="AH333" s="460" t="s">
        <v>2671</v>
      </c>
      <c r="AI333" s="460" t="s">
        <v>1214</v>
      </c>
      <c r="AJ333" s="460" t="s">
        <v>2549</v>
      </c>
      <c r="AK333" s="460" t="s">
        <v>2672</v>
      </c>
      <c r="AL333" s="560" t="s">
        <v>2692</v>
      </c>
      <c r="AM333" s="460" t="s">
        <v>2674</v>
      </c>
    </row>
    <row r="334" spans="1:39" ht="34.200000000000003">
      <c r="A334" s="460" t="s">
        <v>1810</v>
      </c>
      <c r="B334" s="460"/>
      <c r="C334" s="460" t="s">
        <v>1557</v>
      </c>
      <c r="D334" s="460" t="s">
        <v>2240</v>
      </c>
      <c r="E334" s="460" t="s">
        <v>1819</v>
      </c>
      <c r="F334" s="460" t="s">
        <v>1812</v>
      </c>
      <c r="G334" s="461" t="s">
        <v>1218</v>
      </c>
      <c r="H334" s="461" t="s">
        <v>375</v>
      </c>
      <c r="I334" s="460" t="s">
        <v>2239</v>
      </c>
      <c r="J334" s="460" t="s">
        <v>1983</v>
      </c>
      <c r="K334" s="460" t="s">
        <v>2669</v>
      </c>
      <c r="L334" s="460" t="s">
        <v>2705</v>
      </c>
      <c r="M334" s="460" t="s">
        <v>2002</v>
      </c>
      <c r="N334" s="460" t="s">
        <v>1981</v>
      </c>
      <c r="O334" s="460" t="s">
        <v>2001</v>
      </c>
      <c r="P334" s="460" t="s">
        <v>1979</v>
      </c>
      <c r="Q334" s="460" t="s">
        <v>95</v>
      </c>
      <c r="R334" s="460" t="s">
        <v>1977</v>
      </c>
      <c r="S334" s="460" t="s">
        <v>1842</v>
      </c>
      <c r="T334" s="460" t="s">
        <v>1827</v>
      </c>
      <c r="U334" s="461" t="s">
        <v>1976</v>
      </c>
      <c r="V334" s="460" t="s">
        <v>1119</v>
      </c>
      <c r="W334" s="560"/>
      <c r="X334" s="461" t="s">
        <v>1824</v>
      </c>
      <c r="Y334" s="461" t="s">
        <v>1824</v>
      </c>
      <c r="Z334" s="461" t="s">
        <v>170</v>
      </c>
      <c r="AA334" s="460" t="s">
        <v>1218</v>
      </c>
      <c r="AB334" s="561">
        <f>ROUND(0,2)</f>
        <v>0</v>
      </c>
      <c r="AC334" s="460" t="s">
        <v>308</v>
      </c>
      <c r="AD334" s="460"/>
      <c r="AE334" s="561">
        <f>ROUND(36.23,2)</f>
        <v>36.229999999999997</v>
      </c>
      <c r="AF334" s="460" t="s">
        <v>308</v>
      </c>
      <c r="AG334" s="561">
        <f t="shared" si="5"/>
        <v>0</v>
      </c>
      <c r="AH334" s="460" t="s">
        <v>2671</v>
      </c>
      <c r="AI334" s="460" t="s">
        <v>1214</v>
      </c>
      <c r="AJ334" s="460"/>
      <c r="AK334" s="460"/>
      <c r="AL334" s="560"/>
      <c r="AM334" s="460"/>
    </row>
    <row r="335" spans="1:39" ht="34.200000000000003">
      <c r="A335" s="460" t="s">
        <v>1810</v>
      </c>
      <c r="B335" s="460"/>
      <c r="C335" s="460" t="s">
        <v>1557</v>
      </c>
      <c r="D335" s="460" t="s">
        <v>2240</v>
      </c>
      <c r="E335" s="460" t="s">
        <v>1819</v>
      </c>
      <c r="F335" s="460" t="s">
        <v>1812</v>
      </c>
      <c r="G335" s="461" t="s">
        <v>1218</v>
      </c>
      <c r="H335" s="461" t="s">
        <v>375</v>
      </c>
      <c r="I335" s="460" t="s">
        <v>2239</v>
      </c>
      <c r="J335" s="460" t="s">
        <v>1983</v>
      </c>
      <c r="K335" s="460" t="s">
        <v>2669</v>
      </c>
      <c r="L335" s="460" t="s">
        <v>2705</v>
      </c>
      <c r="M335" s="460" t="s">
        <v>2002</v>
      </c>
      <c r="N335" s="460" t="s">
        <v>1981</v>
      </c>
      <c r="O335" s="460" t="s">
        <v>2001</v>
      </c>
      <c r="P335" s="460" t="s">
        <v>2675</v>
      </c>
      <c r="Q335" s="460" t="s">
        <v>2676</v>
      </c>
      <c r="R335" s="460" t="s">
        <v>2677</v>
      </c>
      <c r="S335" s="460" t="s">
        <v>2676</v>
      </c>
      <c r="T335" s="460" t="s">
        <v>1827</v>
      </c>
      <c r="U335" s="461" t="s">
        <v>1824</v>
      </c>
      <c r="V335" s="460" t="s">
        <v>1119</v>
      </c>
      <c r="W335" s="560"/>
      <c r="X335" s="461" t="s">
        <v>1824</v>
      </c>
      <c r="Y335" s="461" t="s">
        <v>1824</v>
      </c>
      <c r="Z335" s="461" t="s">
        <v>170</v>
      </c>
      <c r="AA335" s="460" t="s">
        <v>1218</v>
      </c>
      <c r="AB335" s="561">
        <f>ROUND(0,2)</f>
        <v>0</v>
      </c>
      <c r="AC335" s="460" t="s">
        <v>2678</v>
      </c>
      <c r="AD335" s="460"/>
      <c r="AE335" s="561">
        <f>ROUND(500.05,2)</f>
        <v>500.05</v>
      </c>
      <c r="AF335" s="460" t="s">
        <v>2679</v>
      </c>
      <c r="AG335" s="561">
        <f t="shared" si="5"/>
        <v>0</v>
      </c>
      <c r="AH335" s="460" t="s">
        <v>2671</v>
      </c>
      <c r="AI335" s="460" t="s">
        <v>1214</v>
      </c>
      <c r="AJ335" s="460"/>
      <c r="AK335" s="460"/>
      <c r="AL335" s="560"/>
      <c r="AM335" s="460"/>
    </row>
    <row r="336" spans="1:39" ht="34.200000000000003">
      <c r="A336" s="460" t="s">
        <v>1810</v>
      </c>
      <c r="B336" s="460"/>
      <c r="C336" s="460" t="s">
        <v>1557</v>
      </c>
      <c r="D336" s="460" t="s">
        <v>2240</v>
      </c>
      <c r="E336" s="460" t="s">
        <v>1819</v>
      </c>
      <c r="F336" s="460" t="s">
        <v>1812</v>
      </c>
      <c r="G336" s="461" t="s">
        <v>1218</v>
      </c>
      <c r="H336" s="461" t="s">
        <v>375</v>
      </c>
      <c r="I336" s="460" t="s">
        <v>2239</v>
      </c>
      <c r="J336" s="460" t="s">
        <v>1983</v>
      </c>
      <c r="K336" s="460" t="s">
        <v>2669</v>
      </c>
      <c r="L336" s="460" t="s">
        <v>2705</v>
      </c>
      <c r="M336" s="460" t="s">
        <v>2002</v>
      </c>
      <c r="N336" s="460" t="s">
        <v>1981</v>
      </c>
      <c r="O336" s="460" t="s">
        <v>2001</v>
      </c>
      <c r="P336" s="460" t="s">
        <v>1979</v>
      </c>
      <c r="Q336" s="460" t="s">
        <v>1978</v>
      </c>
      <c r="R336" s="460" t="s">
        <v>1977</v>
      </c>
      <c r="S336" s="460" t="s">
        <v>1826</v>
      </c>
      <c r="T336" s="460" t="s">
        <v>1827</v>
      </c>
      <c r="U336" s="461" t="s">
        <v>1976</v>
      </c>
      <c r="V336" s="460" t="s">
        <v>1119</v>
      </c>
      <c r="W336" s="560"/>
      <c r="X336" s="461" t="s">
        <v>1824</v>
      </c>
      <c r="Y336" s="461" t="s">
        <v>1824</v>
      </c>
      <c r="Z336" s="461" t="s">
        <v>170</v>
      </c>
      <c r="AA336" s="460" t="s">
        <v>1218</v>
      </c>
      <c r="AB336" s="561">
        <f>ROUND(35.03,2)</f>
        <v>35.03</v>
      </c>
      <c r="AC336" s="460" t="s">
        <v>308</v>
      </c>
      <c r="AD336" s="460"/>
      <c r="AE336" s="561">
        <f>ROUND(819.25,2)</f>
        <v>819.25</v>
      </c>
      <c r="AF336" s="460" t="s">
        <v>308</v>
      </c>
      <c r="AG336" s="561">
        <f t="shared" si="5"/>
        <v>0</v>
      </c>
      <c r="AH336" s="460" t="s">
        <v>2671</v>
      </c>
      <c r="AI336" s="460" t="s">
        <v>1214</v>
      </c>
      <c r="AJ336" s="460" t="s">
        <v>2549</v>
      </c>
      <c r="AK336" s="460" t="s">
        <v>2672</v>
      </c>
      <c r="AL336" s="560" t="s">
        <v>2694</v>
      </c>
      <c r="AM336" s="460" t="s">
        <v>2674</v>
      </c>
    </row>
    <row r="337" spans="1:39" ht="34.200000000000003">
      <c r="A337" s="460" t="s">
        <v>1810</v>
      </c>
      <c r="B337" s="460"/>
      <c r="C337" s="460" t="s">
        <v>1362</v>
      </c>
      <c r="D337" s="460" t="s">
        <v>2238</v>
      </c>
      <c r="E337" s="460" t="s">
        <v>1841</v>
      </c>
      <c r="F337" s="460" t="s">
        <v>2015</v>
      </c>
      <c r="G337" s="461" t="s">
        <v>1218</v>
      </c>
      <c r="H337" s="461" t="s">
        <v>281</v>
      </c>
      <c r="I337" s="460" t="s">
        <v>2237</v>
      </c>
      <c r="J337" s="460" t="s">
        <v>1990</v>
      </c>
      <c r="K337" s="460" t="s">
        <v>2669</v>
      </c>
      <c r="L337" s="460" t="s">
        <v>2812</v>
      </c>
      <c r="M337" s="460" t="s">
        <v>2002</v>
      </c>
      <c r="N337" s="460" t="s">
        <v>2018</v>
      </c>
      <c r="O337" s="460" t="s">
        <v>170</v>
      </c>
      <c r="P337" s="460" t="s">
        <v>1979</v>
      </c>
      <c r="Q337" s="460" t="s">
        <v>95</v>
      </c>
      <c r="R337" s="460" t="s">
        <v>1977</v>
      </c>
      <c r="S337" s="460" t="s">
        <v>1842</v>
      </c>
      <c r="T337" s="460" t="s">
        <v>1827</v>
      </c>
      <c r="U337" s="461" t="s">
        <v>1976</v>
      </c>
      <c r="V337" s="460" t="s">
        <v>1119</v>
      </c>
      <c r="W337" s="560"/>
      <c r="X337" s="461" t="s">
        <v>1824</v>
      </c>
      <c r="Y337" s="461" t="s">
        <v>1824</v>
      </c>
      <c r="Z337" s="461" t="s">
        <v>170</v>
      </c>
      <c r="AA337" s="460" t="s">
        <v>1218</v>
      </c>
      <c r="AB337" s="561">
        <f>ROUND(0,2)</f>
        <v>0</v>
      </c>
      <c r="AC337" s="460" t="s">
        <v>308</v>
      </c>
      <c r="AD337" s="460"/>
      <c r="AE337" s="561">
        <f>ROUND(36.23,2)</f>
        <v>36.229999999999997</v>
      </c>
      <c r="AF337" s="460" t="s">
        <v>308</v>
      </c>
      <c r="AG337" s="561">
        <f t="shared" si="5"/>
        <v>0</v>
      </c>
      <c r="AH337" s="460" t="s">
        <v>2671</v>
      </c>
      <c r="AI337" s="460" t="s">
        <v>1214</v>
      </c>
      <c r="AJ337" s="460"/>
      <c r="AK337" s="460"/>
      <c r="AL337" s="560"/>
      <c r="AM337" s="460"/>
    </row>
    <row r="338" spans="1:39" ht="34.200000000000003">
      <c r="A338" s="460" t="s">
        <v>1810</v>
      </c>
      <c r="B338" s="460"/>
      <c r="C338" s="460" t="s">
        <v>1362</v>
      </c>
      <c r="D338" s="460" t="s">
        <v>2238</v>
      </c>
      <c r="E338" s="460" t="s">
        <v>1841</v>
      </c>
      <c r="F338" s="460" t="s">
        <v>2015</v>
      </c>
      <c r="G338" s="461" t="s">
        <v>1218</v>
      </c>
      <c r="H338" s="461" t="s">
        <v>281</v>
      </c>
      <c r="I338" s="460" t="s">
        <v>2237</v>
      </c>
      <c r="J338" s="460" t="s">
        <v>1990</v>
      </c>
      <c r="K338" s="460" t="s">
        <v>2669</v>
      </c>
      <c r="L338" s="460" t="s">
        <v>2812</v>
      </c>
      <c r="M338" s="460" t="s">
        <v>2002</v>
      </c>
      <c r="N338" s="460" t="s">
        <v>2018</v>
      </c>
      <c r="O338" s="460" t="s">
        <v>170</v>
      </c>
      <c r="P338" s="460" t="s">
        <v>2675</v>
      </c>
      <c r="Q338" s="460" t="s">
        <v>2676</v>
      </c>
      <c r="R338" s="460" t="s">
        <v>2677</v>
      </c>
      <c r="S338" s="460" t="s">
        <v>2676</v>
      </c>
      <c r="T338" s="460" t="s">
        <v>1827</v>
      </c>
      <c r="U338" s="461" t="s">
        <v>1824</v>
      </c>
      <c r="V338" s="460" t="s">
        <v>1119</v>
      </c>
      <c r="W338" s="560"/>
      <c r="X338" s="461" t="s">
        <v>1824</v>
      </c>
      <c r="Y338" s="461" t="s">
        <v>1824</v>
      </c>
      <c r="Z338" s="461" t="s">
        <v>170</v>
      </c>
      <c r="AA338" s="460" t="s">
        <v>1218</v>
      </c>
      <c r="AB338" s="561">
        <f>ROUND(25,2)</f>
        <v>25</v>
      </c>
      <c r="AC338" s="460" t="s">
        <v>2678</v>
      </c>
      <c r="AD338" s="460"/>
      <c r="AE338" s="561">
        <f>ROUND(500.05,2)</f>
        <v>500.05</v>
      </c>
      <c r="AF338" s="460" t="s">
        <v>2679</v>
      </c>
      <c r="AG338" s="561">
        <f t="shared" si="5"/>
        <v>0</v>
      </c>
      <c r="AH338" s="460" t="s">
        <v>2671</v>
      </c>
      <c r="AI338" s="460" t="s">
        <v>1214</v>
      </c>
      <c r="AJ338" s="460" t="s">
        <v>2550</v>
      </c>
      <c r="AK338" s="460" t="s">
        <v>2672</v>
      </c>
      <c r="AL338" s="560" t="s">
        <v>2680</v>
      </c>
      <c r="AM338" s="460" t="s">
        <v>2674</v>
      </c>
    </row>
    <row r="339" spans="1:39" ht="34.200000000000003">
      <c r="A339" s="460" t="s">
        <v>1810</v>
      </c>
      <c r="B339" s="460"/>
      <c r="C339" s="460" t="s">
        <v>1362</v>
      </c>
      <c r="D339" s="460" t="s">
        <v>2238</v>
      </c>
      <c r="E339" s="460" t="s">
        <v>1841</v>
      </c>
      <c r="F339" s="460" t="s">
        <v>2015</v>
      </c>
      <c r="G339" s="461" t="s">
        <v>1218</v>
      </c>
      <c r="H339" s="461" t="s">
        <v>281</v>
      </c>
      <c r="I339" s="460" t="s">
        <v>2237</v>
      </c>
      <c r="J339" s="460" t="s">
        <v>1990</v>
      </c>
      <c r="K339" s="460" t="s">
        <v>2669</v>
      </c>
      <c r="L339" s="460" t="s">
        <v>2812</v>
      </c>
      <c r="M339" s="460" t="s">
        <v>2002</v>
      </c>
      <c r="N339" s="460" t="s">
        <v>2018</v>
      </c>
      <c r="O339" s="460" t="s">
        <v>170</v>
      </c>
      <c r="P339" s="460" t="s">
        <v>1979</v>
      </c>
      <c r="Q339" s="460" t="s">
        <v>1978</v>
      </c>
      <c r="R339" s="460" t="s">
        <v>1977</v>
      </c>
      <c r="S339" s="460" t="s">
        <v>1826</v>
      </c>
      <c r="T339" s="460" t="s">
        <v>1827</v>
      </c>
      <c r="U339" s="461" t="s">
        <v>1976</v>
      </c>
      <c r="V339" s="460" t="s">
        <v>1119</v>
      </c>
      <c r="W339" s="560"/>
      <c r="X339" s="461" t="s">
        <v>1824</v>
      </c>
      <c r="Y339" s="461" t="s">
        <v>1824</v>
      </c>
      <c r="Z339" s="461" t="s">
        <v>170</v>
      </c>
      <c r="AA339" s="460" t="s">
        <v>1218</v>
      </c>
      <c r="AB339" s="561">
        <f>ROUND(35.03,2)</f>
        <v>35.03</v>
      </c>
      <c r="AC339" s="460" t="s">
        <v>308</v>
      </c>
      <c r="AD339" s="460"/>
      <c r="AE339" s="561">
        <f>ROUND(819.25,2)</f>
        <v>819.25</v>
      </c>
      <c r="AF339" s="460" t="s">
        <v>308</v>
      </c>
      <c r="AG339" s="561">
        <f t="shared" si="5"/>
        <v>0</v>
      </c>
      <c r="AH339" s="460" t="s">
        <v>2671</v>
      </c>
      <c r="AI339" s="460" t="s">
        <v>1214</v>
      </c>
      <c r="AJ339" s="460" t="s">
        <v>2549</v>
      </c>
      <c r="AK339" s="460" t="s">
        <v>2672</v>
      </c>
      <c r="AL339" s="560" t="s">
        <v>2694</v>
      </c>
      <c r="AM339" s="460" t="s">
        <v>2674</v>
      </c>
    </row>
    <row r="340" spans="1:39" ht="22.8">
      <c r="A340" s="460" t="s">
        <v>1810</v>
      </c>
      <c r="B340" s="460"/>
      <c r="C340" s="535" t="s">
        <v>2924</v>
      </c>
      <c r="D340" s="460" t="s">
        <v>2236</v>
      </c>
      <c r="E340" s="460" t="s">
        <v>1814</v>
      </c>
      <c r="F340" s="460" t="s">
        <v>1812</v>
      </c>
      <c r="G340" s="461" t="s">
        <v>1218</v>
      </c>
      <c r="H340" s="461" t="s">
        <v>649</v>
      </c>
      <c r="I340" s="460" t="s">
        <v>2160</v>
      </c>
      <c r="J340" s="460" t="s">
        <v>1990</v>
      </c>
      <c r="K340" s="460" t="s">
        <v>2669</v>
      </c>
      <c r="L340" s="460" t="s">
        <v>2715</v>
      </c>
      <c r="M340" s="460" t="s">
        <v>1982</v>
      </c>
      <c r="N340" s="460" t="s">
        <v>1981</v>
      </c>
      <c r="O340" s="460" t="s">
        <v>1980</v>
      </c>
      <c r="P340" s="460" t="s">
        <v>1979</v>
      </c>
      <c r="Q340" s="460" t="s">
        <v>95</v>
      </c>
      <c r="R340" s="460" t="s">
        <v>1977</v>
      </c>
      <c r="S340" s="460" t="s">
        <v>1842</v>
      </c>
      <c r="T340" s="460" t="s">
        <v>1827</v>
      </c>
      <c r="U340" s="461" t="s">
        <v>1976</v>
      </c>
      <c r="V340" s="460" t="s">
        <v>1843</v>
      </c>
      <c r="W340" s="560"/>
      <c r="X340" s="461" t="s">
        <v>1824</v>
      </c>
      <c r="Y340" s="461" t="s">
        <v>2683</v>
      </c>
      <c r="Z340" s="461" t="s">
        <v>170</v>
      </c>
      <c r="AA340" s="460" t="s">
        <v>1218</v>
      </c>
      <c r="AB340" s="561">
        <f>ROUND(30.41,2)</f>
        <v>30.41</v>
      </c>
      <c r="AC340" s="460" t="s">
        <v>308</v>
      </c>
      <c r="AD340" s="460"/>
      <c r="AE340" s="561">
        <f>ROUND(70.29,2)</f>
        <v>70.290000000000006</v>
      </c>
      <c r="AF340" s="460" t="s">
        <v>308</v>
      </c>
      <c r="AG340" s="561">
        <f t="shared" si="5"/>
        <v>0</v>
      </c>
      <c r="AH340" s="460" t="s">
        <v>2671</v>
      </c>
      <c r="AI340" s="460" t="s">
        <v>1214</v>
      </c>
      <c r="AJ340" s="460" t="s">
        <v>2548</v>
      </c>
      <c r="AK340" s="460" t="s">
        <v>2672</v>
      </c>
      <c r="AL340" s="560" t="s">
        <v>2673</v>
      </c>
      <c r="AM340" s="460" t="s">
        <v>2674</v>
      </c>
    </row>
    <row r="341" spans="1:39" ht="22.8">
      <c r="A341" s="460" t="s">
        <v>1810</v>
      </c>
      <c r="B341" s="460"/>
      <c r="C341" s="535" t="s">
        <v>2924</v>
      </c>
      <c r="D341" s="460" t="s">
        <v>2236</v>
      </c>
      <c r="E341" s="460" t="s">
        <v>1814</v>
      </c>
      <c r="F341" s="460" t="s">
        <v>1812</v>
      </c>
      <c r="G341" s="461" t="s">
        <v>1218</v>
      </c>
      <c r="H341" s="461" t="s">
        <v>649</v>
      </c>
      <c r="I341" s="460" t="s">
        <v>2160</v>
      </c>
      <c r="J341" s="460" t="s">
        <v>1990</v>
      </c>
      <c r="K341" s="460" t="s">
        <v>2669</v>
      </c>
      <c r="L341" s="460" t="s">
        <v>2715</v>
      </c>
      <c r="M341" s="460" t="s">
        <v>1982</v>
      </c>
      <c r="N341" s="460" t="s">
        <v>1981</v>
      </c>
      <c r="O341" s="460" t="s">
        <v>1980</v>
      </c>
      <c r="P341" s="460" t="s">
        <v>2675</v>
      </c>
      <c r="Q341" s="460" t="s">
        <v>2676</v>
      </c>
      <c r="R341" s="460" t="s">
        <v>2677</v>
      </c>
      <c r="S341" s="460" t="s">
        <v>2676</v>
      </c>
      <c r="T341" s="460" t="s">
        <v>1827</v>
      </c>
      <c r="U341" s="461" t="s">
        <v>1824</v>
      </c>
      <c r="V341" s="460" t="s">
        <v>1843</v>
      </c>
      <c r="W341" s="560"/>
      <c r="X341" s="461" t="s">
        <v>1968</v>
      </c>
      <c r="Y341" s="461" t="s">
        <v>2683</v>
      </c>
      <c r="Z341" s="461" t="s">
        <v>170</v>
      </c>
      <c r="AA341" s="460" t="s">
        <v>1218</v>
      </c>
      <c r="AB341" s="561">
        <f>ROUND(100,2)</f>
        <v>100</v>
      </c>
      <c r="AC341" s="460" t="s">
        <v>2678</v>
      </c>
      <c r="AD341" s="460"/>
      <c r="AE341" s="561">
        <f>ROUND(1000,2)</f>
        <v>1000</v>
      </c>
      <c r="AF341" s="460" t="s">
        <v>2679</v>
      </c>
      <c r="AG341" s="561">
        <f t="shared" si="5"/>
        <v>0</v>
      </c>
      <c r="AH341" s="460" t="s">
        <v>2671</v>
      </c>
      <c r="AI341" s="460" t="s">
        <v>1214</v>
      </c>
      <c r="AJ341" s="460" t="s">
        <v>2550</v>
      </c>
      <c r="AK341" s="460" t="s">
        <v>2672</v>
      </c>
      <c r="AL341" s="560" t="s">
        <v>2691</v>
      </c>
      <c r="AM341" s="460" t="s">
        <v>2674</v>
      </c>
    </row>
    <row r="342" spans="1:39" ht="22.8">
      <c r="A342" s="460" t="s">
        <v>1810</v>
      </c>
      <c r="B342" s="460"/>
      <c r="C342" s="535" t="s">
        <v>2924</v>
      </c>
      <c r="D342" s="460" t="s">
        <v>2236</v>
      </c>
      <c r="E342" s="460" t="s">
        <v>1814</v>
      </c>
      <c r="F342" s="460" t="s">
        <v>1812</v>
      </c>
      <c r="G342" s="461" t="s">
        <v>1218</v>
      </c>
      <c r="H342" s="461" t="s">
        <v>649</v>
      </c>
      <c r="I342" s="460" t="s">
        <v>2160</v>
      </c>
      <c r="J342" s="460" t="s">
        <v>1990</v>
      </c>
      <c r="K342" s="460" t="s">
        <v>2669</v>
      </c>
      <c r="L342" s="460" t="s">
        <v>2715</v>
      </c>
      <c r="M342" s="460" t="s">
        <v>1982</v>
      </c>
      <c r="N342" s="460" t="s">
        <v>1981</v>
      </c>
      <c r="O342" s="460" t="s">
        <v>1980</v>
      </c>
      <c r="P342" s="460" t="s">
        <v>1979</v>
      </c>
      <c r="Q342" s="460" t="s">
        <v>1978</v>
      </c>
      <c r="R342" s="460" t="s">
        <v>1977</v>
      </c>
      <c r="S342" s="460" t="s">
        <v>1826</v>
      </c>
      <c r="T342" s="460" t="s">
        <v>1827</v>
      </c>
      <c r="U342" s="461" t="s">
        <v>1976</v>
      </c>
      <c r="V342" s="460" t="s">
        <v>1843</v>
      </c>
      <c r="W342" s="560"/>
      <c r="X342" s="461" t="s">
        <v>1824</v>
      </c>
      <c r="Y342" s="461" t="s">
        <v>2683</v>
      </c>
      <c r="Z342" s="461" t="s">
        <v>170</v>
      </c>
      <c r="AA342" s="460" t="s">
        <v>1218</v>
      </c>
      <c r="AB342" s="561">
        <f>ROUND(383.66,2)</f>
        <v>383.66</v>
      </c>
      <c r="AC342" s="460" t="s">
        <v>308</v>
      </c>
      <c r="AD342" s="460"/>
      <c r="AE342" s="561">
        <f>ROUND(1747.8,2)</f>
        <v>1747.8</v>
      </c>
      <c r="AF342" s="460" t="s">
        <v>308</v>
      </c>
      <c r="AG342" s="561">
        <f t="shared" si="5"/>
        <v>0</v>
      </c>
      <c r="AH342" s="460" t="s">
        <v>2671</v>
      </c>
      <c r="AI342" s="460" t="s">
        <v>1214</v>
      </c>
      <c r="AJ342" s="460" t="s">
        <v>2549</v>
      </c>
      <c r="AK342" s="460" t="s">
        <v>2672</v>
      </c>
      <c r="AL342" s="560" t="s">
        <v>2696</v>
      </c>
      <c r="AM342" s="460" t="s">
        <v>2674</v>
      </c>
    </row>
    <row r="343" spans="1:39" ht="22.8">
      <c r="A343" s="460" t="s">
        <v>1810</v>
      </c>
      <c r="B343" s="460"/>
      <c r="C343" s="460" t="s">
        <v>1590</v>
      </c>
      <c r="D343" s="460" t="s">
        <v>2236</v>
      </c>
      <c r="E343" s="460" t="s">
        <v>1814</v>
      </c>
      <c r="F343" s="460" t="s">
        <v>1812</v>
      </c>
      <c r="G343" s="461" t="s">
        <v>1218</v>
      </c>
      <c r="H343" s="461" t="s">
        <v>649</v>
      </c>
      <c r="I343" s="460" t="s">
        <v>2160</v>
      </c>
      <c r="J343" s="460" t="s">
        <v>1990</v>
      </c>
      <c r="K343" s="460" t="s">
        <v>2669</v>
      </c>
      <c r="L343" s="460" t="s">
        <v>2715</v>
      </c>
      <c r="M343" s="460" t="s">
        <v>1982</v>
      </c>
      <c r="N343" s="460" t="s">
        <v>1981</v>
      </c>
      <c r="O343" s="460" t="s">
        <v>1980</v>
      </c>
      <c r="P343" s="460" t="s">
        <v>1979</v>
      </c>
      <c r="Q343" s="460" t="s">
        <v>95</v>
      </c>
      <c r="R343" s="460" t="s">
        <v>1977</v>
      </c>
      <c r="S343" s="460" t="s">
        <v>1842</v>
      </c>
      <c r="T343" s="460" t="s">
        <v>1827</v>
      </c>
      <c r="U343" s="461" t="s">
        <v>1976</v>
      </c>
      <c r="V343" s="460" t="s">
        <v>1843</v>
      </c>
      <c r="W343" s="560"/>
      <c r="X343" s="461" t="s">
        <v>1824</v>
      </c>
      <c r="Y343" s="461" t="s">
        <v>2683</v>
      </c>
      <c r="Z343" s="461" t="s">
        <v>170</v>
      </c>
      <c r="AA343" s="460" t="s">
        <v>1218</v>
      </c>
      <c r="AB343" s="561">
        <f>ROUND(30.41,2)</f>
        <v>30.41</v>
      </c>
      <c r="AC343" s="460" t="s">
        <v>308</v>
      </c>
      <c r="AD343" s="460"/>
      <c r="AE343" s="561">
        <f>ROUND(70.29,2)</f>
        <v>70.290000000000006</v>
      </c>
      <c r="AF343" s="460" t="s">
        <v>308</v>
      </c>
      <c r="AG343" s="561">
        <f t="shared" si="5"/>
        <v>0</v>
      </c>
      <c r="AH343" s="460" t="s">
        <v>2671</v>
      </c>
      <c r="AI343" s="460" t="s">
        <v>1214</v>
      </c>
      <c r="AJ343" s="460" t="s">
        <v>2548</v>
      </c>
      <c r="AK343" s="460" t="s">
        <v>2672</v>
      </c>
      <c r="AL343" s="560" t="s">
        <v>2673</v>
      </c>
      <c r="AM343" s="460" t="s">
        <v>2674</v>
      </c>
    </row>
    <row r="344" spans="1:39" ht="22.8">
      <c r="A344" s="460" t="s">
        <v>1810</v>
      </c>
      <c r="B344" s="460"/>
      <c r="C344" s="460" t="s">
        <v>1590</v>
      </c>
      <c r="D344" s="460" t="s">
        <v>2236</v>
      </c>
      <c r="E344" s="460" t="s">
        <v>1814</v>
      </c>
      <c r="F344" s="460" t="s">
        <v>1812</v>
      </c>
      <c r="G344" s="461" t="s">
        <v>1218</v>
      </c>
      <c r="H344" s="461" t="s">
        <v>649</v>
      </c>
      <c r="I344" s="460" t="s">
        <v>2160</v>
      </c>
      <c r="J344" s="460" t="s">
        <v>1990</v>
      </c>
      <c r="K344" s="460" t="s">
        <v>2669</v>
      </c>
      <c r="L344" s="460" t="s">
        <v>2715</v>
      </c>
      <c r="M344" s="460" t="s">
        <v>1982</v>
      </c>
      <c r="N344" s="460" t="s">
        <v>1981</v>
      </c>
      <c r="O344" s="460" t="s">
        <v>1980</v>
      </c>
      <c r="P344" s="460" t="s">
        <v>2675</v>
      </c>
      <c r="Q344" s="460" t="s">
        <v>2676</v>
      </c>
      <c r="R344" s="460" t="s">
        <v>2677</v>
      </c>
      <c r="S344" s="460" t="s">
        <v>2676</v>
      </c>
      <c r="T344" s="460" t="s">
        <v>1827</v>
      </c>
      <c r="U344" s="461" t="s">
        <v>1824</v>
      </c>
      <c r="V344" s="460" t="s">
        <v>1843</v>
      </c>
      <c r="W344" s="560"/>
      <c r="X344" s="461" t="s">
        <v>1968</v>
      </c>
      <c r="Y344" s="461" t="s">
        <v>2683</v>
      </c>
      <c r="Z344" s="461" t="s">
        <v>170</v>
      </c>
      <c r="AA344" s="460" t="s">
        <v>1218</v>
      </c>
      <c r="AB344" s="561">
        <f>ROUND(100,2)</f>
        <v>100</v>
      </c>
      <c r="AC344" s="460" t="s">
        <v>2678</v>
      </c>
      <c r="AD344" s="460"/>
      <c r="AE344" s="561">
        <f>ROUND(1000,2)</f>
        <v>1000</v>
      </c>
      <c r="AF344" s="460" t="s">
        <v>2679</v>
      </c>
      <c r="AG344" s="561">
        <f t="shared" si="5"/>
        <v>0</v>
      </c>
      <c r="AH344" s="460" t="s">
        <v>2671</v>
      </c>
      <c r="AI344" s="460" t="s">
        <v>1214</v>
      </c>
      <c r="AJ344" s="460" t="s">
        <v>2550</v>
      </c>
      <c r="AK344" s="460" t="s">
        <v>2672</v>
      </c>
      <c r="AL344" s="560" t="s">
        <v>2691</v>
      </c>
      <c r="AM344" s="460" t="s">
        <v>2674</v>
      </c>
    </row>
    <row r="345" spans="1:39" ht="22.8">
      <c r="A345" s="460" t="s">
        <v>1810</v>
      </c>
      <c r="B345" s="460"/>
      <c r="C345" s="460" t="s">
        <v>1590</v>
      </c>
      <c r="D345" s="460" t="s">
        <v>2236</v>
      </c>
      <c r="E345" s="460" t="s">
        <v>1814</v>
      </c>
      <c r="F345" s="460" t="s">
        <v>1812</v>
      </c>
      <c r="G345" s="461" t="s">
        <v>1218</v>
      </c>
      <c r="H345" s="461" t="s">
        <v>649</v>
      </c>
      <c r="I345" s="460" t="s">
        <v>2160</v>
      </c>
      <c r="J345" s="460" t="s">
        <v>1990</v>
      </c>
      <c r="K345" s="460" t="s">
        <v>2669</v>
      </c>
      <c r="L345" s="460" t="s">
        <v>2715</v>
      </c>
      <c r="M345" s="460" t="s">
        <v>1982</v>
      </c>
      <c r="N345" s="460" t="s">
        <v>1981</v>
      </c>
      <c r="O345" s="460" t="s">
        <v>1980</v>
      </c>
      <c r="P345" s="460" t="s">
        <v>1979</v>
      </c>
      <c r="Q345" s="460" t="s">
        <v>1978</v>
      </c>
      <c r="R345" s="460" t="s">
        <v>1977</v>
      </c>
      <c r="S345" s="460" t="s">
        <v>1826</v>
      </c>
      <c r="T345" s="460" t="s">
        <v>1827</v>
      </c>
      <c r="U345" s="461" t="s">
        <v>1976</v>
      </c>
      <c r="V345" s="460" t="s">
        <v>1843</v>
      </c>
      <c r="W345" s="560"/>
      <c r="X345" s="461" t="s">
        <v>1824</v>
      </c>
      <c r="Y345" s="461" t="s">
        <v>2683</v>
      </c>
      <c r="Z345" s="461" t="s">
        <v>170</v>
      </c>
      <c r="AA345" s="460" t="s">
        <v>1218</v>
      </c>
      <c r="AB345" s="561">
        <f>ROUND(383.66,2)</f>
        <v>383.66</v>
      </c>
      <c r="AC345" s="460" t="s">
        <v>308</v>
      </c>
      <c r="AD345" s="460"/>
      <c r="AE345" s="561">
        <f>ROUND(1747.8,2)</f>
        <v>1747.8</v>
      </c>
      <c r="AF345" s="460" t="s">
        <v>308</v>
      </c>
      <c r="AG345" s="561">
        <f t="shared" si="5"/>
        <v>0</v>
      </c>
      <c r="AH345" s="460" t="s">
        <v>2671</v>
      </c>
      <c r="AI345" s="460" t="s">
        <v>1214</v>
      </c>
      <c r="AJ345" s="460" t="s">
        <v>2549</v>
      </c>
      <c r="AK345" s="460" t="s">
        <v>2672</v>
      </c>
      <c r="AL345" s="560" t="s">
        <v>2696</v>
      </c>
      <c r="AM345" s="460" t="s">
        <v>2674</v>
      </c>
    </row>
    <row r="346" spans="1:39" ht="22.8">
      <c r="A346" s="460" t="s">
        <v>1810</v>
      </c>
      <c r="B346" s="460"/>
      <c r="C346" s="460" t="s">
        <v>1366</v>
      </c>
      <c r="D346" s="460" t="s">
        <v>2235</v>
      </c>
      <c r="E346" s="460" t="s">
        <v>1817</v>
      </c>
      <c r="F346" s="460" t="s">
        <v>1812</v>
      </c>
      <c r="G346" s="461" t="s">
        <v>1218</v>
      </c>
      <c r="H346" s="461" t="s">
        <v>217</v>
      </c>
      <c r="I346" s="460" t="s">
        <v>2234</v>
      </c>
      <c r="J346" s="460" t="s">
        <v>1983</v>
      </c>
      <c r="K346" s="460" t="s">
        <v>2669</v>
      </c>
      <c r="L346" s="460" t="s">
        <v>2796</v>
      </c>
      <c r="M346" s="460" t="s">
        <v>1987</v>
      </c>
      <c r="N346" s="460" t="s">
        <v>1986</v>
      </c>
      <c r="O346" s="460" t="s">
        <v>1980</v>
      </c>
      <c r="P346" s="460" t="s">
        <v>1979</v>
      </c>
      <c r="Q346" s="460" t="s">
        <v>95</v>
      </c>
      <c r="R346" s="460" t="s">
        <v>1977</v>
      </c>
      <c r="S346" s="460" t="s">
        <v>1842</v>
      </c>
      <c r="T346" s="460" t="s">
        <v>1827</v>
      </c>
      <c r="U346" s="461" t="s">
        <v>1976</v>
      </c>
      <c r="V346" s="460" t="s">
        <v>1843</v>
      </c>
      <c r="W346" s="560"/>
      <c r="X346" s="461" t="s">
        <v>1824</v>
      </c>
      <c r="Y346" s="461" t="s">
        <v>1824</v>
      </c>
      <c r="Z346" s="461" t="s">
        <v>170</v>
      </c>
      <c r="AA346" s="460" t="s">
        <v>1218</v>
      </c>
      <c r="AB346" s="561">
        <f>ROUND(30.41,2)</f>
        <v>30.41</v>
      </c>
      <c r="AC346" s="460" t="s">
        <v>308</v>
      </c>
      <c r="AD346" s="460"/>
      <c r="AE346" s="561">
        <f>ROUND(70.29,2)</f>
        <v>70.290000000000006</v>
      </c>
      <c r="AF346" s="460" t="s">
        <v>308</v>
      </c>
      <c r="AG346" s="561">
        <f t="shared" si="5"/>
        <v>0</v>
      </c>
      <c r="AH346" s="460" t="s">
        <v>2671</v>
      </c>
      <c r="AI346" s="460" t="s">
        <v>1214</v>
      </c>
      <c r="AJ346" s="460" t="s">
        <v>2548</v>
      </c>
      <c r="AK346" s="460" t="s">
        <v>2672</v>
      </c>
      <c r="AL346" s="560" t="s">
        <v>2673</v>
      </c>
      <c r="AM346" s="460" t="s">
        <v>2674</v>
      </c>
    </row>
    <row r="347" spans="1:39" ht="22.8">
      <c r="A347" s="460" t="s">
        <v>1810</v>
      </c>
      <c r="B347" s="460"/>
      <c r="C347" s="460" t="s">
        <v>1366</v>
      </c>
      <c r="D347" s="460" t="s">
        <v>2235</v>
      </c>
      <c r="E347" s="460" t="s">
        <v>1817</v>
      </c>
      <c r="F347" s="460" t="s">
        <v>1812</v>
      </c>
      <c r="G347" s="461" t="s">
        <v>1218</v>
      </c>
      <c r="H347" s="461" t="s">
        <v>217</v>
      </c>
      <c r="I347" s="460" t="s">
        <v>2234</v>
      </c>
      <c r="J347" s="460" t="s">
        <v>1983</v>
      </c>
      <c r="K347" s="460" t="s">
        <v>2669</v>
      </c>
      <c r="L347" s="460" t="s">
        <v>2796</v>
      </c>
      <c r="M347" s="460" t="s">
        <v>1987</v>
      </c>
      <c r="N347" s="460" t="s">
        <v>1986</v>
      </c>
      <c r="O347" s="460" t="s">
        <v>1980</v>
      </c>
      <c r="P347" s="460" t="s">
        <v>2675</v>
      </c>
      <c r="Q347" s="460" t="s">
        <v>2676</v>
      </c>
      <c r="R347" s="460" t="s">
        <v>2677</v>
      </c>
      <c r="S347" s="460" t="s">
        <v>2676</v>
      </c>
      <c r="T347" s="460" t="s">
        <v>1827</v>
      </c>
      <c r="U347" s="461" t="s">
        <v>1824</v>
      </c>
      <c r="V347" s="460" t="s">
        <v>1843</v>
      </c>
      <c r="W347" s="560"/>
      <c r="X347" s="461" t="s">
        <v>1824</v>
      </c>
      <c r="Y347" s="461" t="s">
        <v>1824</v>
      </c>
      <c r="Z347" s="461" t="s">
        <v>170</v>
      </c>
      <c r="AA347" s="460" t="s">
        <v>1218</v>
      </c>
      <c r="AB347" s="561">
        <f>ROUND(25,2)</f>
        <v>25</v>
      </c>
      <c r="AC347" s="460" t="s">
        <v>2678</v>
      </c>
      <c r="AD347" s="460"/>
      <c r="AE347" s="561">
        <f>ROUND(1000,2)</f>
        <v>1000</v>
      </c>
      <c r="AF347" s="460" t="s">
        <v>2679</v>
      </c>
      <c r="AG347" s="561">
        <f t="shared" si="5"/>
        <v>0</v>
      </c>
      <c r="AH347" s="460" t="s">
        <v>2671</v>
      </c>
      <c r="AI347" s="460" t="s">
        <v>1214</v>
      </c>
      <c r="AJ347" s="460" t="s">
        <v>2550</v>
      </c>
      <c r="AK347" s="460" t="s">
        <v>2672</v>
      </c>
      <c r="AL347" s="560" t="s">
        <v>2680</v>
      </c>
      <c r="AM347" s="460" t="s">
        <v>2674</v>
      </c>
    </row>
    <row r="348" spans="1:39" ht="22.8">
      <c r="A348" s="460" t="s">
        <v>1810</v>
      </c>
      <c r="B348" s="460"/>
      <c r="C348" s="460" t="s">
        <v>1366</v>
      </c>
      <c r="D348" s="460" t="s">
        <v>2235</v>
      </c>
      <c r="E348" s="460" t="s">
        <v>1817</v>
      </c>
      <c r="F348" s="460" t="s">
        <v>1812</v>
      </c>
      <c r="G348" s="461" t="s">
        <v>1218</v>
      </c>
      <c r="H348" s="461" t="s">
        <v>217</v>
      </c>
      <c r="I348" s="460" t="s">
        <v>2234</v>
      </c>
      <c r="J348" s="460" t="s">
        <v>1983</v>
      </c>
      <c r="K348" s="460" t="s">
        <v>2669</v>
      </c>
      <c r="L348" s="460" t="s">
        <v>2796</v>
      </c>
      <c r="M348" s="460" t="s">
        <v>1987</v>
      </c>
      <c r="N348" s="460" t="s">
        <v>1986</v>
      </c>
      <c r="O348" s="460" t="s">
        <v>1980</v>
      </c>
      <c r="P348" s="460" t="s">
        <v>1979</v>
      </c>
      <c r="Q348" s="460" t="s">
        <v>1978</v>
      </c>
      <c r="R348" s="460" t="s">
        <v>1977</v>
      </c>
      <c r="S348" s="460" t="s">
        <v>1826</v>
      </c>
      <c r="T348" s="460" t="s">
        <v>1827</v>
      </c>
      <c r="U348" s="461" t="s">
        <v>1976</v>
      </c>
      <c r="V348" s="460" t="s">
        <v>1967</v>
      </c>
      <c r="W348" s="560"/>
      <c r="X348" s="461" t="s">
        <v>1824</v>
      </c>
      <c r="Y348" s="461" t="s">
        <v>1824</v>
      </c>
      <c r="Z348" s="461" t="s">
        <v>170</v>
      </c>
      <c r="AA348" s="460" t="s">
        <v>1218</v>
      </c>
      <c r="AB348" s="561">
        <f>ROUND(315.48,2)</f>
        <v>315.48</v>
      </c>
      <c r="AC348" s="460" t="s">
        <v>308</v>
      </c>
      <c r="AD348" s="460"/>
      <c r="AE348" s="561">
        <f>ROUND(1466.88,2)</f>
        <v>1466.88</v>
      </c>
      <c r="AF348" s="460" t="s">
        <v>308</v>
      </c>
      <c r="AG348" s="561">
        <f t="shared" si="5"/>
        <v>0</v>
      </c>
      <c r="AH348" s="460" t="s">
        <v>2671</v>
      </c>
      <c r="AI348" s="460" t="s">
        <v>1214</v>
      </c>
      <c r="AJ348" s="460" t="s">
        <v>2549</v>
      </c>
      <c r="AK348" s="460" t="s">
        <v>2672</v>
      </c>
      <c r="AL348" s="560" t="s">
        <v>2761</v>
      </c>
      <c r="AM348" s="460" t="s">
        <v>2674</v>
      </c>
    </row>
    <row r="349" spans="1:39" ht="22.8">
      <c r="A349" s="460" t="s">
        <v>1810</v>
      </c>
      <c r="B349" s="460"/>
      <c r="C349" s="460" t="s">
        <v>2425</v>
      </c>
      <c r="D349" s="460" t="s">
        <v>2813</v>
      </c>
      <c r="E349" s="460" t="s">
        <v>1838</v>
      </c>
      <c r="F349" s="460" t="s">
        <v>1812</v>
      </c>
      <c r="G349" s="461" t="s">
        <v>1218</v>
      </c>
      <c r="H349" s="461" t="s">
        <v>1820</v>
      </c>
      <c r="I349" s="460" t="s">
        <v>2232</v>
      </c>
      <c r="J349" s="460" t="s">
        <v>1990</v>
      </c>
      <c r="K349" s="460" t="s">
        <v>2669</v>
      </c>
      <c r="L349" s="460" t="s">
        <v>2780</v>
      </c>
      <c r="M349" s="460" t="s">
        <v>2002</v>
      </c>
      <c r="N349" s="460" t="s">
        <v>1981</v>
      </c>
      <c r="O349" s="460" t="s">
        <v>1980</v>
      </c>
      <c r="P349" s="460" t="s">
        <v>1979</v>
      </c>
      <c r="Q349" s="460" t="s">
        <v>95</v>
      </c>
      <c r="R349" s="460" t="s">
        <v>1977</v>
      </c>
      <c r="S349" s="460" t="s">
        <v>1842</v>
      </c>
      <c r="T349" s="460" t="s">
        <v>1827</v>
      </c>
      <c r="U349" s="461" t="s">
        <v>1976</v>
      </c>
      <c r="V349" s="460" t="s">
        <v>1843</v>
      </c>
      <c r="W349" s="560"/>
      <c r="X349" s="461" t="s">
        <v>2738</v>
      </c>
      <c r="Y349" s="461" t="s">
        <v>2738</v>
      </c>
      <c r="Z349" s="461" t="s">
        <v>170</v>
      </c>
      <c r="AA349" s="460" t="s">
        <v>1218</v>
      </c>
      <c r="AB349" s="561">
        <f>ROUND(30.41,2)</f>
        <v>30.41</v>
      </c>
      <c r="AC349" s="460" t="s">
        <v>308</v>
      </c>
      <c r="AD349" s="460"/>
      <c r="AE349" s="561">
        <f>ROUND(70.29,2)</f>
        <v>70.290000000000006</v>
      </c>
      <c r="AF349" s="460" t="s">
        <v>308</v>
      </c>
      <c r="AG349" s="561">
        <f t="shared" si="5"/>
        <v>0</v>
      </c>
      <c r="AH349" s="460" t="s">
        <v>2671</v>
      </c>
      <c r="AI349" s="460" t="s">
        <v>1214</v>
      </c>
      <c r="AJ349" s="460" t="s">
        <v>2548</v>
      </c>
      <c r="AK349" s="460" t="s">
        <v>2672</v>
      </c>
      <c r="AL349" s="560" t="s">
        <v>2673</v>
      </c>
      <c r="AM349" s="460" t="s">
        <v>2674</v>
      </c>
    </row>
    <row r="350" spans="1:39" ht="22.8">
      <c r="A350" s="460" t="s">
        <v>1810</v>
      </c>
      <c r="B350" s="460"/>
      <c r="C350" s="460" t="s">
        <v>2425</v>
      </c>
      <c r="D350" s="460" t="s">
        <v>2813</v>
      </c>
      <c r="E350" s="460" t="s">
        <v>1838</v>
      </c>
      <c r="F350" s="460" t="s">
        <v>1812</v>
      </c>
      <c r="G350" s="461" t="s">
        <v>1218</v>
      </c>
      <c r="H350" s="461" t="s">
        <v>1820</v>
      </c>
      <c r="I350" s="460" t="s">
        <v>2232</v>
      </c>
      <c r="J350" s="460" t="s">
        <v>1990</v>
      </c>
      <c r="K350" s="460" t="s">
        <v>2669</v>
      </c>
      <c r="L350" s="460" t="s">
        <v>2780</v>
      </c>
      <c r="M350" s="460" t="s">
        <v>2002</v>
      </c>
      <c r="N350" s="460" t="s">
        <v>1981</v>
      </c>
      <c r="O350" s="460" t="s">
        <v>1980</v>
      </c>
      <c r="P350" s="460" t="s">
        <v>2675</v>
      </c>
      <c r="Q350" s="460" t="s">
        <v>2676</v>
      </c>
      <c r="R350" s="460" t="s">
        <v>2677</v>
      </c>
      <c r="S350" s="460" t="s">
        <v>2676</v>
      </c>
      <c r="T350" s="460" t="s">
        <v>1827</v>
      </c>
      <c r="U350" s="461" t="s">
        <v>1824</v>
      </c>
      <c r="V350" s="460" t="s">
        <v>1843</v>
      </c>
      <c r="W350" s="560"/>
      <c r="X350" s="461" t="s">
        <v>2738</v>
      </c>
      <c r="Y350" s="461" t="s">
        <v>2814</v>
      </c>
      <c r="Z350" s="461" t="s">
        <v>170</v>
      </c>
      <c r="AA350" s="460" t="s">
        <v>1218</v>
      </c>
      <c r="AB350" s="561">
        <f>ROUND(75,2)</f>
        <v>75</v>
      </c>
      <c r="AC350" s="460" t="s">
        <v>2678</v>
      </c>
      <c r="AD350" s="460"/>
      <c r="AE350" s="561">
        <f>ROUND(1000,2)</f>
        <v>1000</v>
      </c>
      <c r="AF350" s="460" t="s">
        <v>2679</v>
      </c>
      <c r="AG350" s="561">
        <f t="shared" si="5"/>
        <v>0</v>
      </c>
      <c r="AH350" s="460" t="s">
        <v>2671</v>
      </c>
      <c r="AI350" s="460" t="s">
        <v>1214</v>
      </c>
      <c r="AJ350" s="460" t="s">
        <v>2550</v>
      </c>
      <c r="AK350" s="460" t="s">
        <v>2672</v>
      </c>
      <c r="AL350" s="560" t="s">
        <v>2797</v>
      </c>
      <c r="AM350" s="460" t="s">
        <v>2674</v>
      </c>
    </row>
    <row r="351" spans="1:39" ht="22.8">
      <c r="A351" s="460" t="s">
        <v>1810</v>
      </c>
      <c r="B351" s="460"/>
      <c r="C351" s="460" t="s">
        <v>2425</v>
      </c>
      <c r="D351" s="460" t="s">
        <v>2813</v>
      </c>
      <c r="E351" s="460" t="s">
        <v>1838</v>
      </c>
      <c r="F351" s="460" t="s">
        <v>1812</v>
      </c>
      <c r="G351" s="461" t="s">
        <v>1218</v>
      </c>
      <c r="H351" s="461" t="s">
        <v>1820</v>
      </c>
      <c r="I351" s="460" t="s">
        <v>2232</v>
      </c>
      <c r="J351" s="460" t="s">
        <v>1990</v>
      </c>
      <c r="K351" s="460" t="s">
        <v>2669</v>
      </c>
      <c r="L351" s="460" t="s">
        <v>2780</v>
      </c>
      <c r="M351" s="460" t="s">
        <v>2002</v>
      </c>
      <c r="N351" s="460" t="s">
        <v>1981</v>
      </c>
      <c r="O351" s="460" t="s">
        <v>1980</v>
      </c>
      <c r="P351" s="460" t="s">
        <v>1979</v>
      </c>
      <c r="Q351" s="460" t="s">
        <v>1978</v>
      </c>
      <c r="R351" s="460" t="s">
        <v>1977</v>
      </c>
      <c r="S351" s="460" t="s">
        <v>1826</v>
      </c>
      <c r="T351" s="460" t="s">
        <v>1827</v>
      </c>
      <c r="U351" s="461" t="s">
        <v>1976</v>
      </c>
      <c r="V351" s="460" t="s">
        <v>1843</v>
      </c>
      <c r="W351" s="560"/>
      <c r="X351" s="461" t="s">
        <v>2738</v>
      </c>
      <c r="Y351" s="461" t="s">
        <v>2738</v>
      </c>
      <c r="Z351" s="461" t="s">
        <v>170</v>
      </c>
      <c r="AA351" s="460" t="s">
        <v>1218</v>
      </c>
      <c r="AB351" s="561">
        <f>ROUND(321.85,2)</f>
        <v>321.85000000000002</v>
      </c>
      <c r="AC351" s="460" t="s">
        <v>308</v>
      </c>
      <c r="AD351" s="460"/>
      <c r="AE351" s="561">
        <f>ROUND(1809.61,2)</f>
        <v>1809.61</v>
      </c>
      <c r="AF351" s="460" t="s">
        <v>308</v>
      </c>
      <c r="AG351" s="561">
        <f t="shared" si="5"/>
        <v>0</v>
      </c>
      <c r="AH351" s="460" t="s">
        <v>2671</v>
      </c>
      <c r="AI351" s="460" t="s">
        <v>1214</v>
      </c>
      <c r="AJ351" s="460" t="s">
        <v>2549</v>
      </c>
      <c r="AK351" s="460" t="s">
        <v>2672</v>
      </c>
      <c r="AL351" s="560" t="s">
        <v>2712</v>
      </c>
      <c r="AM351" s="460" t="s">
        <v>2674</v>
      </c>
    </row>
    <row r="352" spans="1:39" ht="34.200000000000003">
      <c r="A352" s="460" t="s">
        <v>1810</v>
      </c>
      <c r="B352" s="460"/>
      <c r="C352" s="460" t="s">
        <v>1359</v>
      </c>
      <c r="D352" s="460" t="s">
        <v>2233</v>
      </c>
      <c r="E352" s="460" t="s">
        <v>1828</v>
      </c>
      <c r="F352" s="460" t="s">
        <v>2015</v>
      </c>
      <c r="G352" s="461" t="s">
        <v>1218</v>
      </c>
      <c r="H352" s="461" t="s">
        <v>172</v>
      </c>
      <c r="I352" s="460" t="s">
        <v>2232</v>
      </c>
      <c r="J352" s="460" t="s">
        <v>1990</v>
      </c>
      <c r="K352" s="460" t="s">
        <v>2669</v>
      </c>
      <c r="L352" s="460" t="s">
        <v>2815</v>
      </c>
      <c r="M352" s="460" t="s">
        <v>2002</v>
      </c>
      <c r="N352" s="460" t="s">
        <v>1981</v>
      </c>
      <c r="O352" s="460" t="s">
        <v>2001</v>
      </c>
      <c r="P352" s="460" t="s">
        <v>1979</v>
      </c>
      <c r="Q352" s="460" t="s">
        <v>95</v>
      </c>
      <c r="R352" s="460" t="s">
        <v>1977</v>
      </c>
      <c r="S352" s="460" t="s">
        <v>1842</v>
      </c>
      <c r="T352" s="460" t="s">
        <v>1827</v>
      </c>
      <c r="U352" s="461" t="s">
        <v>1976</v>
      </c>
      <c r="V352" s="460" t="s">
        <v>1843</v>
      </c>
      <c r="W352" s="560"/>
      <c r="X352" s="461" t="s">
        <v>1824</v>
      </c>
      <c r="Y352" s="461" t="s">
        <v>1824</v>
      </c>
      <c r="Z352" s="461" t="s">
        <v>170</v>
      </c>
      <c r="AA352" s="460" t="s">
        <v>1218</v>
      </c>
      <c r="AB352" s="561">
        <f>ROUND(30.41,2)</f>
        <v>30.41</v>
      </c>
      <c r="AC352" s="460" t="s">
        <v>308</v>
      </c>
      <c r="AD352" s="460"/>
      <c r="AE352" s="561">
        <f>ROUND(70.29,2)</f>
        <v>70.290000000000006</v>
      </c>
      <c r="AF352" s="460" t="s">
        <v>308</v>
      </c>
      <c r="AG352" s="561">
        <f t="shared" si="5"/>
        <v>0</v>
      </c>
      <c r="AH352" s="460" t="s">
        <v>2671</v>
      </c>
      <c r="AI352" s="460" t="s">
        <v>1214</v>
      </c>
      <c r="AJ352" s="460" t="s">
        <v>2548</v>
      </c>
      <c r="AK352" s="460" t="s">
        <v>2672</v>
      </c>
      <c r="AL352" s="560" t="s">
        <v>2673</v>
      </c>
      <c r="AM352" s="460" t="s">
        <v>2674</v>
      </c>
    </row>
    <row r="353" spans="1:39" ht="34.200000000000003">
      <c r="A353" s="460" t="s">
        <v>1810</v>
      </c>
      <c r="B353" s="460"/>
      <c r="C353" s="460" t="s">
        <v>1359</v>
      </c>
      <c r="D353" s="460" t="s">
        <v>2233</v>
      </c>
      <c r="E353" s="460" t="s">
        <v>1828</v>
      </c>
      <c r="F353" s="460" t="s">
        <v>2015</v>
      </c>
      <c r="G353" s="461" t="s">
        <v>1218</v>
      </c>
      <c r="H353" s="461" t="s">
        <v>172</v>
      </c>
      <c r="I353" s="460" t="s">
        <v>2232</v>
      </c>
      <c r="J353" s="460" t="s">
        <v>1990</v>
      </c>
      <c r="K353" s="460" t="s">
        <v>2669</v>
      </c>
      <c r="L353" s="460" t="s">
        <v>2815</v>
      </c>
      <c r="M353" s="460" t="s">
        <v>2002</v>
      </c>
      <c r="N353" s="460" t="s">
        <v>1981</v>
      </c>
      <c r="O353" s="460" t="s">
        <v>2001</v>
      </c>
      <c r="P353" s="460" t="s">
        <v>2675</v>
      </c>
      <c r="Q353" s="460" t="s">
        <v>2676</v>
      </c>
      <c r="R353" s="460" t="s">
        <v>2677</v>
      </c>
      <c r="S353" s="460" t="s">
        <v>2676</v>
      </c>
      <c r="T353" s="460" t="s">
        <v>1827</v>
      </c>
      <c r="U353" s="461" t="s">
        <v>1824</v>
      </c>
      <c r="V353" s="460" t="s">
        <v>1843</v>
      </c>
      <c r="W353" s="560"/>
      <c r="X353" s="461" t="s">
        <v>1824</v>
      </c>
      <c r="Y353" s="461" t="s">
        <v>1824</v>
      </c>
      <c r="Z353" s="461" t="s">
        <v>170</v>
      </c>
      <c r="AA353" s="460" t="s">
        <v>1218</v>
      </c>
      <c r="AB353" s="561">
        <f>ROUND(50,2)</f>
        <v>50</v>
      </c>
      <c r="AC353" s="460" t="s">
        <v>2678</v>
      </c>
      <c r="AD353" s="460"/>
      <c r="AE353" s="561">
        <f>ROUND(1000,2)</f>
        <v>1000</v>
      </c>
      <c r="AF353" s="460" t="s">
        <v>2679</v>
      </c>
      <c r="AG353" s="561">
        <f t="shared" si="5"/>
        <v>0</v>
      </c>
      <c r="AH353" s="460" t="s">
        <v>2671</v>
      </c>
      <c r="AI353" s="460" t="s">
        <v>1214</v>
      </c>
      <c r="AJ353" s="460" t="s">
        <v>2550</v>
      </c>
      <c r="AK353" s="460" t="s">
        <v>2672</v>
      </c>
      <c r="AL353" s="560" t="s">
        <v>2690</v>
      </c>
      <c r="AM353" s="460" t="s">
        <v>2674</v>
      </c>
    </row>
    <row r="354" spans="1:39" ht="34.200000000000003">
      <c r="A354" s="460" t="s">
        <v>1810</v>
      </c>
      <c r="B354" s="460"/>
      <c r="C354" s="460" t="s">
        <v>1359</v>
      </c>
      <c r="D354" s="460" t="s">
        <v>2233</v>
      </c>
      <c r="E354" s="460" t="s">
        <v>1828</v>
      </c>
      <c r="F354" s="460" t="s">
        <v>2015</v>
      </c>
      <c r="G354" s="461" t="s">
        <v>1218</v>
      </c>
      <c r="H354" s="461" t="s">
        <v>172</v>
      </c>
      <c r="I354" s="460" t="s">
        <v>2232</v>
      </c>
      <c r="J354" s="460" t="s">
        <v>1990</v>
      </c>
      <c r="K354" s="460" t="s">
        <v>2669</v>
      </c>
      <c r="L354" s="460" t="s">
        <v>2815</v>
      </c>
      <c r="M354" s="460" t="s">
        <v>2002</v>
      </c>
      <c r="N354" s="460" t="s">
        <v>1981</v>
      </c>
      <c r="O354" s="460" t="s">
        <v>2001</v>
      </c>
      <c r="P354" s="460" t="s">
        <v>1979</v>
      </c>
      <c r="Q354" s="460" t="s">
        <v>1978</v>
      </c>
      <c r="R354" s="460" t="s">
        <v>1977</v>
      </c>
      <c r="S354" s="460" t="s">
        <v>1826</v>
      </c>
      <c r="T354" s="460" t="s">
        <v>1827</v>
      </c>
      <c r="U354" s="461" t="s">
        <v>1976</v>
      </c>
      <c r="V354" s="460" t="s">
        <v>1851</v>
      </c>
      <c r="W354" s="560"/>
      <c r="X354" s="461" t="s">
        <v>1824</v>
      </c>
      <c r="Y354" s="461" t="s">
        <v>1824</v>
      </c>
      <c r="Z354" s="461" t="s">
        <v>170</v>
      </c>
      <c r="AA354" s="460" t="s">
        <v>1218</v>
      </c>
      <c r="AB354" s="561">
        <f>ROUND(403.53,2)</f>
        <v>403.53</v>
      </c>
      <c r="AC354" s="460" t="s">
        <v>308</v>
      </c>
      <c r="AD354" s="460"/>
      <c r="AE354" s="561">
        <f>ROUND(1217.06,2)</f>
        <v>1217.06</v>
      </c>
      <c r="AF354" s="460" t="s">
        <v>308</v>
      </c>
      <c r="AG354" s="561">
        <f t="shared" si="5"/>
        <v>0</v>
      </c>
      <c r="AH354" s="460" t="s">
        <v>2671</v>
      </c>
      <c r="AI354" s="460" t="s">
        <v>1214</v>
      </c>
      <c r="AJ354" s="460" t="s">
        <v>2549</v>
      </c>
      <c r="AK354" s="460" t="s">
        <v>2672</v>
      </c>
      <c r="AL354" s="560" t="s">
        <v>2706</v>
      </c>
      <c r="AM354" s="460" t="s">
        <v>2674</v>
      </c>
    </row>
    <row r="355" spans="1:39" ht="34.200000000000003">
      <c r="A355" s="460" t="s">
        <v>1810</v>
      </c>
      <c r="B355" s="460"/>
      <c r="C355" s="460" t="s">
        <v>1505</v>
      </c>
      <c r="D355" s="460" t="s">
        <v>2231</v>
      </c>
      <c r="E355" s="460" t="s">
        <v>1844</v>
      </c>
      <c r="F355" s="460" t="s">
        <v>1812</v>
      </c>
      <c r="G355" s="461" t="s">
        <v>1218</v>
      </c>
      <c r="H355" s="461" t="s">
        <v>259</v>
      </c>
      <c r="I355" s="460" t="s">
        <v>2084</v>
      </c>
      <c r="J355" s="460" t="s">
        <v>1983</v>
      </c>
      <c r="K355" s="460" t="s">
        <v>2669</v>
      </c>
      <c r="L355" s="460" t="s">
        <v>2767</v>
      </c>
      <c r="M355" s="460" t="s">
        <v>1987</v>
      </c>
      <c r="N355" s="460" t="s">
        <v>2025</v>
      </c>
      <c r="O355" s="460" t="s">
        <v>1980</v>
      </c>
      <c r="P355" s="460" t="s">
        <v>1979</v>
      </c>
      <c r="Q355" s="460" t="s">
        <v>95</v>
      </c>
      <c r="R355" s="460" t="s">
        <v>1977</v>
      </c>
      <c r="S355" s="460" t="s">
        <v>1842</v>
      </c>
      <c r="T355" s="460" t="s">
        <v>1827</v>
      </c>
      <c r="U355" s="461" t="s">
        <v>1976</v>
      </c>
      <c r="V355" s="460" t="s">
        <v>1119</v>
      </c>
      <c r="W355" s="560"/>
      <c r="X355" s="461" t="s">
        <v>1824</v>
      </c>
      <c r="Y355" s="461" t="s">
        <v>1824</v>
      </c>
      <c r="Z355" s="461" t="s">
        <v>170</v>
      </c>
      <c r="AA355" s="460" t="s">
        <v>1218</v>
      </c>
      <c r="AB355" s="561">
        <f>ROUND(0,2)</f>
        <v>0</v>
      </c>
      <c r="AC355" s="460" t="s">
        <v>308</v>
      </c>
      <c r="AD355" s="460"/>
      <c r="AE355" s="561">
        <f>ROUND(36.23,2)</f>
        <v>36.229999999999997</v>
      </c>
      <c r="AF355" s="460" t="s">
        <v>308</v>
      </c>
      <c r="AG355" s="561">
        <f t="shared" si="5"/>
        <v>0</v>
      </c>
      <c r="AH355" s="460" t="s">
        <v>2671</v>
      </c>
      <c r="AI355" s="460" t="s">
        <v>1214</v>
      </c>
      <c r="AJ355" s="460"/>
      <c r="AK355" s="460"/>
      <c r="AL355" s="560"/>
      <c r="AM355" s="460"/>
    </row>
    <row r="356" spans="1:39" ht="34.200000000000003">
      <c r="A356" s="460" t="s">
        <v>1810</v>
      </c>
      <c r="B356" s="460"/>
      <c r="C356" s="460" t="s">
        <v>1505</v>
      </c>
      <c r="D356" s="460" t="s">
        <v>2231</v>
      </c>
      <c r="E356" s="460" t="s">
        <v>1844</v>
      </c>
      <c r="F356" s="460" t="s">
        <v>1812</v>
      </c>
      <c r="G356" s="461" t="s">
        <v>1218</v>
      </c>
      <c r="H356" s="461" t="s">
        <v>259</v>
      </c>
      <c r="I356" s="460" t="s">
        <v>2084</v>
      </c>
      <c r="J356" s="460" t="s">
        <v>1983</v>
      </c>
      <c r="K356" s="460" t="s">
        <v>2669</v>
      </c>
      <c r="L356" s="460" t="s">
        <v>2767</v>
      </c>
      <c r="M356" s="460" t="s">
        <v>1987</v>
      </c>
      <c r="N356" s="460" t="s">
        <v>2025</v>
      </c>
      <c r="O356" s="460" t="s">
        <v>1980</v>
      </c>
      <c r="P356" s="460" t="s">
        <v>2675</v>
      </c>
      <c r="Q356" s="460" t="s">
        <v>2676</v>
      </c>
      <c r="R356" s="460" t="s">
        <v>2677</v>
      </c>
      <c r="S356" s="460" t="s">
        <v>2676</v>
      </c>
      <c r="T356" s="460" t="s">
        <v>1827</v>
      </c>
      <c r="U356" s="461" t="s">
        <v>1824</v>
      </c>
      <c r="V356" s="460" t="s">
        <v>1119</v>
      </c>
      <c r="W356" s="560"/>
      <c r="X356" s="461" t="s">
        <v>1824</v>
      </c>
      <c r="Y356" s="461" t="s">
        <v>1824</v>
      </c>
      <c r="Z356" s="461" t="s">
        <v>170</v>
      </c>
      <c r="AA356" s="460" t="s">
        <v>1218</v>
      </c>
      <c r="AB356" s="561">
        <f>ROUND(0,2)</f>
        <v>0</v>
      </c>
      <c r="AC356" s="460" t="s">
        <v>2678</v>
      </c>
      <c r="AD356" s="460"/>
      <c r="AE356" s="561">
        <f>ROUND(500.05,2)</f>
        <v>500.05</v>
      </c>
      <c r="AF356" s="460" t="s">
        <v>2679</v>
      </c>
      <c r="AG356" s="561">
        <f t="shared" si="5"/>
        <v>0</v>
      </c>
      <c r="AH356" s="460" t="s">
        <v>2671</v>
      </c>
      <c r="AI356" s="460" t="s">
        <v>1214</v>
      </c>
      <c r="AJ356" s="460"/>
      <c r="AK356" s="460"/>
      <c r="AL356" s="560"/>
      <c r="AM356" s="460"/>
    </row>
    <row r="357" spans="1:39" ht="34.200000000000003">
      <c r="A357" s="460" t="s">
        <v>1810</v>
      </c>
      <c r="B357" s="460"/>
      <c r="C357" s="460" t="s">
        <v>1505</v>
      </c>
      <c r="D357" s="460" t="s">
        <v>2231</v>
      </c>
      <c r="E357" s="460" t="s">
        <v>1844</v>
      </c>
      <c r="F357" s="460" t="s">
        <v>1812</v>
      </c>
      <c r="G357" s="461" t="s">
        <v>1218</v>
      </c>
      <c r="H357" s="461" t="s">
        <v>259</v>
      </c>
      <c r="I357" s="460" t="s">
        <v>2084</v>
      </c>
      <c r="J357" s="460" t="s">
        <v>1983</v>
      </c>
      <c r="K357" s="460" t="s">
        <v>2669</v>
      </c>
      <c r="L357" s="460" t="s">
        <v>2767</v>
      </c>
      <c r="M357" s="460" t="s">
        <v>1987</v>
      </c>
      <c r="N357" s="460" t="s">
        <v>2025</v>
      </c>
      <c r="O357" s="460" t="s">
        <v>1980</v>
      </c>
      <c r="P357" s="460" t="s">
        <v>1979</v>
      </c>
      <c r="Q357" s="460" t="s">
        <v>1978</v>
      </c>
      <c r="R357" s="460" t="s">
        <v>1977</v>
      </c>
      <c r="S357" s="460" t="s">
        <v>1826</v>
      </c>
      <c r="T357" s="460" t="s">
        <v>1827</v>
      </c>
      <c r="U357" s="461" t="s">
        <v>1976</v>
      </c>
      <c r="V357" s="460" t="s">
        <v>1119</v>
      </c>
      <c r="W357" s="560"/>
      <c r="X357" s="461" t="s">
        <v>1824</v>
      </c>
      <c r="Y357" s="461" t="s">
        <v>1824</v>
      </c>
      <c r="Z357" s="461" t="s">
        <v>170</v>
      </c>
      <c r="AA357" s="460" t="s">
        <v>1218</v>
      </c>
      <c r="AB357" s="561">
        <f>ROUND(25.63,2)</f>
        <v>25.63</v>
      </c>
      <c r="AC357" s="460" t="s">
        <v>308</v>
      </c>
      <c r="AD357" s="460"/>
      <c r="AE357" s="561">
        <f>ROUND(828.65,2)</f>
        <v>828.65</v>
      </c>
      <c r="AF357" s="460" t="s">
        <v>308</v>
      </c>
      <c r="AG357" s="561">
        <f t="shared" si="5"/>
        <v>0</v>
      </c>
      <c r="AH357" s="460" t="s">
        <v>2671</v>
      </c>
      <c r="AI357" s="460" t="s">
        <v>1214</v>
      </c>
      <c r="AJ357" s="460" t="s">
        <v>2549</v>
      </c>
      <c r="AK357" s="460" t="s">
        <v>2672</v>
      </c>
      <c r="AL357" s="560" t="s">
        <v>2685</v>
      </c>
      <c r="AM357" s="460" t="s">
        <v>2674</v>
      </c>
    </row>
    <row r="358" spans="1:39" ht="34.200000000000003">
      <c r="A358" s="460" t="s">
        <v>1810</v>
      </c>
      <c r="B358" s="460"/>
      <c r="C358" s="460" t="s">
        <v>1368</v>
      </c>
      <c r="D358" s="460" t="s">
        <v>2230</v>
      </c>
      <c r="E358" s="460" t="s">
        <v>1828</v>
      </c>
      <c r="F358" s="460" t="s">
        <v>1812</v>
      </c>
      <c r="G358" s="461" t="s">
        <v>1218</v>
      </c>
      <c r="H358" s="461" t="s">
        <v>187</v>
      </c>
      <c r="I358" s="460" t="s">
        <v>2229</v>
      </c>
      <c r="J358" s="460" t="s">
        <v>1990</v>
      </c>
      <c r="K358" s="460" t="s">
        <v>2669</v>
      </c>
      <c r="L358" s="460" t="s">
        <v>2742</v>
      </c>
      <c r="M358" s="460" t="s">
        <v>2002</v>
      </c>
      <c r="N358" s="460" t="s">
        <v>1981</v>
      </c>
      <c r="O358" s="460" t="s">
        <v>2001</v>
      </c>
      <c r="P358" s="460" t="s">
        <v>1979</v>
      </c>
      <c r="Q358" s="460" t="s">
        <v>95</v>
      </c>
      <c r="R358" s="460" t="s">
        <v>1977</v>
      </c>
      <c r="S358" s="460" t="s">
        <v>1842</v>
      </c>
      <c r="T358" s="460" t="s">
        <v>1827</v>
      </c>
      <c r="U358" s="461" t="s">
        <v>1976</v>
      </c>
      <c r="V358" s="460" t="s">
        <v>1119</v>
      </c>
      <c r="W358" s="560"/>
      <c r="X358" s="461" t="s">
        <v>1824</v>
      </c>
      <c r="Y358" s="461" t="s">
        <v>1824</v>
      </c>
      <c r="Z358" s="461" t="s">
        <v>170</v>
      </c>
      <c r="AA358" s="460" t="s">
        <v>1218</v>
      </c>
      <c r="AB358" s="561">
        <f>ROUND(0,2)</f>
        <v>0</v>
      </c>
      <c r="AC358" s="460" t="s">
        <v>308</v>
      </c>
      <c r="AD358" s="460"/>
      <c r="AE358" s="561">
        <f>ROUND(36.23,2)</f>
        <v>36.229999999999997</v>
      </c>
      <c r="AF358" s="460" t="s">
        <v>308</v>
      </c>
      <c r="AG358" s="561">
        <f t="shared" si="5"/>
        <v>0</v>
      </c>
      <c r="AH358" s="460" t="s">
        <v>2671</v>
      </c>
      <c r="AI358" s="460" t="s">
        <v>1214</v>
      </c>
      <c r="AJ358" s="460"/>
      <c r="AK358" s="460"/>
      <c r="AL358" s="560"/>
      <c r="AM358" s="460"/>
    </row>
    <row r="359" spans="1:39" ht="34.200000000000003">
      <c r="A359" s="460" t="s">
        <v>1810</v>
      </c>
      <c r="B359" s="460"/>
      <c r="C359" s="460" t="s">
        <v>1368</v>
      </c>
      <c r="D359" s="460" t="s">
        <v>2230</v>
      </c>
      <c r="E359" s="460" t="s">
        <v>1828</v>
      </c>
      <c r="F359" s="460" t="s">
        <v>1812</v>
      </c>
      <c r="G359" s="461" t="s">
        <v>1218</v>
      </c>
      <c r="H359" s="461" t="s">
        <v>187</v>
      </c>
      <c r="I359" s="460" t="s">
        <v>2229</v>
      </c>
      <c r="J359" s="460" t="s">
        <v>1990</v>
      </c>
      <c r="K359" s="460" t="s">
        <v>2669</v>
      </c>
      <c r="L359" s="460" t="s">
        <v>2742</v>
      </c>
      <c r="M359" s="460" t="s">
        <v>2002</v>
      </c>
      <c r="N359" s="460" t="s">
        <v>1981</v>
      </c>
      <c r="O359" s="460" t="s">
        <v>2001</v>
      </c>
      <c r="P359" s="460" t="s">
        <v>2675</v>
      </c>
      <c r="Q359" s="460" t="s">
        <v>2676</v>
      </c>
      <c r="R359" s="460" t="s">
        <v>2677</v>
      </c>
      <c r="S359" s="460" t="s">
        <v>2676</v>
      </c>
      <c r="T359" s="460" t="s">
        <v>1827</v>
      </c>
      <c r="U359" s="461" t="s">
        <v>1824</v>
      </c>
      <c r="V359" s="460" t="s">
        <v>1119</v>
      </c>
      <c r="W359" s="560"/>
      <c r="X359" s="461" t="s">
        <v>1824</v>
      </c>
      <c r="Y359" s="461" t="s">
        <v>2683</v>
      </c>
      <c r="Z359" s="461" t="s">
        <v>170</v>
      </c>
      <c r="AA359" s="460" t="s">
        <v>1218</v>
      </c>
      <c r="AB359" s="561">
        <f>ROUND(3349.95,2)</f>
        <v>3349.95</v>
      </c>
      <c r="AC359" s="460" t="s">
        <v>2679</v>
      </c>
      <c r="AD359" s="460"/>
      <c r="AE359" s="561">
        <f>ROUND(500.05,2)</f>
        <v>500.05</v>
      </c>
      <c r="AF359" s="460" t="s">
        <v>2679</v>
      </c>
      <c r="AG359" s="561">
        <f t="shared" si="5"/>
        <v>0</v>
      </c>
      <c r="AH359" s="460" t="s">
        <v>2671</v>
      </c>
      <c r="AI359" s="460" t="s">
        <v>1214</v>
      </c>
      <c r="AJ359" s="460" t="s">
        <v>2550</v>
      </c>
      <c r="AK359" s="460" t="s">
        <v>2672</v>
      </c>
      <c r="AL359" s="560" t="s">
        <v>2798</v>
      </c>
      <c r="AM359" s="460" t="s">
        <v>2674</v>
      </c>
    </row>
    <row r="360" spans="1:39" ht="34.200000000000003">
      <c r="A360" s="460" t="s">
        <v>1810</v>
      </c>
      <c r="B360" s="460"/>
      <c r="C360" s="460" t="s">
        <v>1368</v>
      </c>
      <c r="D360" s="460" t="s">
        <v>2230</v>
      </c>
      <c r="E360" s="460" t="s">
        <v>1828</v>
      </c>
      <c r="F360" s="460" t="s">
        <v>1812</v>
      </c>
      <c r="G360" s="461" t="s">
        <v>1218</v>
      </c>
      <c r="H360" s="461" t="s">
        <v>187</v>
      </c>
      <c r="I360" s="460" t="s">
        <v>2229</v>
      </c>
      <c r="J360" s="460" t="s">
        <v>1990</v>
      </c>
      <c r="K360" s="460" t="s">
        <v>2669</v>
      </c>
      <c r="L360" s="460" t="s">
        <v>2742</v>
      </c>
      <c r="M360" s="460" t="s">
        <v>2002</v>
      </c>
      <c r="N360" s="460" t="s">
        <v>1981</v>
      </c>
      <c r="O360" s="460" t="s">
        <v>2001</v>
      </c>
      <c r="P360" s="460" t="s">
        <v>1979</v>
      </c>
      <c r="Q360" s="460" t="s">
        <v>1978</v>
      </c>
      <c r="R360" s="460" t="s">
        <v>1977</v>
      </c>
      <c r="S360" s="460" t="s">
        <v>1826</v>
      </c>
      <c r="T360" s="460" t="s">
        <v>1827</v>
      </c>
      <c r="U360" s="461" t="s">
        <v>1976</v>
      </c>
      <c r="V360" s="460" t="s">
        <v>1119</v>
      </c>
      <c r="W360" s="560"/>
      <c r="X360" s="461" t="s">
        <v>1824</v>
      </c>
      <c r="Y360" s="461" t="s">
        <v>1824</v>
      </c>
      <c r="Z360" s="461" t="s">
        <v>170</v>
      </c>
      <c r="AA360" s="460" t="s">
        <v>1218</v>
      </c>
      <c r="AB360" s="561">
        <f>ROUND(35.03,2)</f>
        <v>35.03</v>
      </c>
      <c r="AC360" s="460" t="s">
        <v>308</v>
      </c>
      <c r="AD360" s="460"/>
      <c r="AE360" s="561">
        <f>ROUND(819.25,2)</f>
        <v>819.25</v>
      </c>
      <c r="AF360" s="460" t="s">
        <v>308</v>
      </c>
      <c r="AG360" s="561">
        <f t="shared" si="5"/>
        <v>0</v>
      </c>
      <c r="AH360" s="460" t="s">
        <v>2671</v>
      </c>
      <c r="AI360" s="460" t="s">
        <v>1214</v>
      </c>
      <c r="AJ360" s="460" t="s">
        <v>2549</v>
      </c>
      <c r="AK360" s="460" t="s">
        <v>2672</v>
      </c>
      <c r="AL360" s="560" t="s">
        <v>2694</v>
      </c>
      <c r="AM360" s="460" t="s">
        <v>2674</v>
      </c>
    </row>
    <row r="361" spans="1:39" ht="22.8">
      <c r="A361" s="460" t="s">
        <v>1810</v>
      </c>
      <c r="B361" s="460"/>
      <c r="C361" s="460" t="s">
        <v>1365</v>
      </c>
      <c r="D361" s="460" t="s">
        <v>2228</v>
      </c>
      <c r="E361" s="460" t="s">
        <v>1821</v>
      </c>
      <c r="F361" s="460" t="s">
        <v>1812</v>
      </c>
      <c r="G361" s="461" t="s">
        <v>1218</v>
      </c>
      <c r="H361" s="461" t="s">
        <v>240</v>
      </c>
      <c r="I361" s="460" t="s">
        <v>2227</v>
      </c>
      <c r="J361" s="460" t="s">
        <v>1983</v>
      </c>
      <c r="K361" s="460" t="s">
        <v>2669</v>
      </c>
      <c r="L361" s="460" t="s">
        <v>2714</v>
      </c>
      <c r="M361" s="460" t="s">
        <v>1994</v>
      </c>
      <c r="N361" s="460" t="s">
        <v>1981</v>
      </c>
      <c r="O361" s="460" t="s">
        <v>1980</v>
      </c>
      <c r="P361" s="460" t="s">
        <v>1979</v>
      </c>
      <c r="Q361" s="460" t="s">
        <v>95</v>
      </c>
      <c r="R361" s="460" t="s">
        <v>1977</v>
      </c>
      <c r="S361" s="460" t="s">
        <v>1842</v>
      </c>
      <c r="T361" s="460" t="s">
        <v>1827</v>
      </c>
      <c r="U361" s="461" t="s">
        <v>1976</v>
      </c>
      <c r="V361" s="460" t="s">
        <v>1843</v>
      </c>
      <c r="W361" s="560"/>
      <c r="X361" s="461" t="s">
        <v>1824</v>
      </c>
      <c r="Y361" s="461" t="s">
        <v>1824</v>
      </c>
      <c r="Z361" s="461" t="s">
        <v>170</v>
      </c>
      <c r="AA361" s="460" t="s">
        <v>1218</v>
      </c>
      <c r="AB361" s="561">
        <f>ROUND(30.41,2)</f>
        <v>30.41</v>
      </c>
      <c r="AC361" s="460" t="s">
        <v>308</v>
      </c>
      <c r="AD361" s="460"/>
      <c r="AE361" s="561">
        <f>ROUND(70.29,2)</f>
        <v>70.290000000000006</v>
      </c>
      <c r="AF361" s="460" t="s">
        <v>308</v>
      </c>
      <c r="AG361" s="561">
        <f t="shared" si="5"/>
        <v>0</v>
      </c>
      <c r="AH361" s="460" t="s">
        <v>2671</v>
      </c>
      <c r="AI361" s="460" t="s">
        <v>1214</v>
      </c>
      <c r="AJ361" s="460" t="s">
        <v>2548</v>
      </c>
      <c r="AK361" s="460" t="s">
        <v>2672</v>
      </c>
      <c r="AL361" s="560" t="s">
        <v>2673</v>
      </c>
      <c r="AM361" s="460" t="s">
        <v>2674</v>
      </c>
    </row>
    <row r="362" spans="1:39" ht="22.8">
      <c r="A362" s="460" t="s">
        <v>1810</v>
      </c>
      <c r="B362" s="460"/>
      <c r="C362" s="460" t="s">
        <v>1365</v>
      </c>
      <c r="D362" s="460" t="s">
        <v>2228</v>
      </c>
      <c r="E362" s="460" t="s">
        <v>1821</v>
      </c>
      <c r="F362" s="460" t="s">
        <v>1812</v>
      </c>
      <c r="G362" s="461" t="s">
        <v>1218</v>
      </c>
      <c r="H362" s="461" t="s">
        <v>240</v>
      </c>
      <c r="I362" s="460" t="s">
        <v>2227</v>
      </c>
      <c r="J362" s="460" t="s">
        <v>1983</v>
      </c>
      <c r="K362" s="460" t="s">
        <v>2669</v>
      </c>
      <c r="L362" s="460" t="s">
        <v>2714</v>
      </c>
      <c r="M362" s="460" t="s">
        <v>1994</v>
      </c>
      <c r="N362" s="460" t="s">
        <v>1981</v>
      </c>
      <c r="O362" s="460" t="s">
        <v>1980</v>
      </c>
      <c r="P362" s="460" t="s">
        <v>2675</v>
      </c>
      <c r="Q362" s="460" t="s">
        <v>2676</v>
      </c>
      <c r="R362" s="460" t="s">
        <v>2677</v>
      </c>
      <c r="S362" s="460" t="s">
        <v>2676</v>
      </c>
      <c r="T362" s="460" t="s">
        <v>1827</v>
      </c>
      <c r="U362" s="461" t="s">
        <v>1824</v>
      </c>
      <c r="V362" s="460" t="s">
        <v>1843</v>
      </c>
      <c r="W362" s="560"/>
      <c r="X362" s="461" t="s">
        <v>1824</v>
      </c>
      <c r="Y362" s="461" t="s">
        <v>1824</v>
      </c>
      <c r="Z362" s="461" t="s">
        <v>170</v>
      </c>
      <c r="AA362" s="460" t="s">
        <v>1218</v>
      </c>
      <c r="AB362" s="561">
        <f>ROUND(250,2)</f>
        <v>250</v>
      </c>
      <c r="AC362" s="460" t="s">
        <v>2678</v>
      </c>
      <c r="AD362" s="460"/>
      <c r="AE362" s="561">
        <f>ROUND(1000,2)</f>
        <v>1000</v>
      </c>
      <c r="AF362" s="460" t="s">
        <v>2679</v>
      </c>
      <c r="AG362" s="561">
        <f t="shared" si="5"/>
        <v>0</v>
      </c>
      <c r="AH362" s="460" t="s">
        <v>2671</v>
      </c>
      <c r="AI362" s="460" t="s">
        <v>1214</v>
      </c>
      <c r="AJ362" s="460" t="s">
        <v>2550</v>
      </c>
      <c r="AK362" s="460" t="s">
        <v>2672</v>
      </c>
      <c r="AL362" s="560" t="s">
        <v>2719</v>
      </c>
      <c r="AM362" s="460" t="s">
        <v>2674</v>
      </c>
    </row>
    <row r="363" spans="1:39" ht="22.8">
      <c r="A363" s="460" t="s">
        <v>1810</v>
      </c>
      <c r="B363" s="460"/>
      <c r="C363" s="460" t="s">
        <v>1365</v>
      </c>
      <c r="D363" s="460" t="s">
        <v>2228</v>
      </c>
      <c r="E363" s="460" t="s">
        <v>1821</v>
      </c>
      <c r="F363" s="460" t="s">
        <v>1812</v>
      </c>
      <c r="G363" s="461" t="s">
        <v>1218</v>
      </c>
      <c r="H363" s="461" t="s">
        <v>240</v>
      </c>
      <c r="I363" s="460" t="s">
        <v>2227</v>
      </c>
      <c r="J363" s="460" t="s">
        <v>1983</v>
      </c>
      <c r="K363" s="460" t="s">
        <v>2669</v>
      </c>
      <c r="L363" s="460" t="s">
        <v>2714</v>
      </c>
      <c r="M363" s="460" t="s">
        <v>1994</v>
      </c>
      <c r="N363" s="460" t="s">
        <v>1981</v>
      </c>
      <c r="O363" s="460" t="s">
        <v>1980</v>
      </c>
      <c r="P363" s="460" t="s">
        <v>1979</v>
      </c>
      <c r="Q363" s="460" t="s">
        <v>1978</v>
      </c>
      <c r="R363" s="460" t="s">
        <v>1977</v>
      </c>
      <c r="S363" s="460" t="s">
        <v>1826</v>
      </c>
      <c r="T363" s="460" t="s">
        <v>1827</v>
      </c>
      <c r="U363" s="461" t="s">
        <v>1976</v>
      </c>
      <c r="V363" s="460" t="s">
        <v>1843</v>
      </c>
      <c r="W363" s="560"/>
      <c r="X363" s="461" t="s">
        <v>1824</v>
      </c>
      <c r="Y363" s="461" t="s">
        <v>1824</v>
      </c>
      <c r="Z363" s="461" t="s">
        <v>170</v>
      </c>
      <c r="AA363" s="460" t="s">
        <v>1218</v>
      </c>
      <c r="AB363" s="561">
        <f>ROUND(603.2,2)</f>
        <v>603.20000000000005</v>
      </c>
      <c r="AC363" s="460" t="s">
        <v>308</v>
      </c>
      <c r="AD363" s="460"/>
      <c r="AE363" s="561">
        <f>ROUND(1528.26,2)</f>
        <v>1528.26</v>
      </c>
      <c r="AF363" s="460" t="s">
        <v>308</v>
      </c>
      <c r="AG363" s="561">
        <f t="shared" si="5"/>
        <v>0</v>
      </c>
      <c r="AH363" s="460" t="s">
        <v>2671</v>
      </c>
      <c r="AI363" s="460" t="s">
        <v>1214</v>
      </c>
      <c r="AJ363" s="460" t="s">
        <v>2549</v>
      </c>
      <c r="AK363" s="460" t="s">
        <v>2672</v>
      </c>
      <c r="AL363" s="560" t="s">
        <v>2702</v>
      </c>
      <c r="AM363" s="460" t="s">
        <v>2674</v>
      </c>
    </row>
    <row r="364" spans="1:39" ht="22.8">
      <c r="A364" s="460" t="s">
        <v>1810</v>
      </c>
      <c r="B364" s="460"/>
      <c r="C364" s="460" t="s">
        <v>1524</v>
      </c>
      <c r="D364" s="460" t="s">
        <v>2226</v>
      </c>
      <c r="E364" s="460" t="s">
        <v>1814</v>
      </c>
      <c r="F364" s="460" t="s">
        <v>1812</v>
      </c>
      <c r="G364" s="461" t="s">
        <v>1218</v>
      </c>
      <c r="H364" s="461" t="s">
        <v>219</v>
      </c>
      <c r="I364" s="460" t="s">
        <v>2059</v>
      </c>
      <c r="J364" s="460" t="s">
        <v>1990</v>
      </c>
      <c r="K364" s="460" t="s">
        <v>2669</v>
      </c>
      <c r="L364" s="460" t="s">
        <v>2816</v>
      </c>
      <c r="M364" s="460" t="s">
        <v>1982</v>
      </c>
      <c r="N364" s="460" t="s">
        <v>1981</v>
      </c>
      <c r="O364" s="460" t="s">
        <v>1980</v>
      </c>
      <c r="P364" s="460" t="s">
        <v>1979</v>
      </c>
      <c r="Q364" s="460" t="s">
        <v>95</v>
      </c>
      <c r="R364" s="460" t="s">
        <v>1977</v>
      </c>
      <c r="S364" s="460" t="s">
        <v>1842</v>
      </c>
      <c r="T364" s="460" t="s">
        <v>1827</v>
      </c>
      <c r="U364" s="461" t="s">
        <v>1976</v>
      </c>
      <c r="V364" s="460" t="s">
        <v>1843</v>
      </c>
      <c r="W364" s="560"/>
      <c r="X364" s="461" t="s">
        <v>1824</v>
      </c>
      <c r="Y364" s="461" t="s">
        <v>1824</v>
      </c>
      <c r="Z364" s="461" t="s">
        <v>170</v>
      </c>
      <c r="AA364" s="460" t="s">
        <v>1218</v>
      </c>
      <c r="AB364" s="561">
        <f>ROUND(30.41,2)</f>
        <v>30.41</v>
      </c>
      <c r="AC364" s="460" t="s">
        <v>308</v>
      </c>
      <c r="AD364" s="460"/>
      <c r="AE364" s="561">
        <f>ROUND(70.29,2)</f>
        <v>70.290000000000006</v>
      </c>
      <c r="AF364" s="460" t="s">
        <v>308</v>
      </c>
      <c r="AG364" s="561">
        <f t="shared" si="5"/>
        <v>0</v>
      </c>
      <c r="AH364" s="460" t="s">
        <v>2671</v>
      </c>
      <c r="AI364" s="460" t="s">
        <v>1214</v>
      </c>
      <c r="AJ364" s="460" t="s">
        <v>2548</v>
      </c>
      <c r="AK364" s="460" t="s">
        <v>2672</v>
      </c>
      <c r="AL364" s="560" t="s">
        <v>2673</v>
      </c>
      <c r="AM364" s="460" t="s">
        <v>2674</v>
      </c>
    </row>
    <row r="365" spans="1:39" ht="22.8">
      <c r="A365" s="460" t="s">
        <v>1810</v>
      </c>
      <c r="B365" s="460"/>
      <c r="C365" s="460" t="s">
        <v>1524</v>
      </c>
      <c r="D365" s="460" t="s">
        <v>2226</v>
      </c>
      <c r="E365" s="460" t="s">
        <v>1814</v>
      </c>
      <c r="F365" s="460" t="s">
        <v>1812</v>
      </c>
      <c r="G365" s="461" t="s">
        <v>1218</v>
      </c>
      <c r="H365" s="461" t="s">
        <v>219</v>
      </c>
      <c r="I365" s="460" t="s">
        <v>2059</v>
      </c>
      <c r="J365" s="460" t="s">
        <v>1990</v>
      </c>
      <c r="K365" s="460" t="s">
        <v>2669</v>
      </c>
      <c r="L365" s="460" t="s">
        <v>2816</v>
      </c>
      <c r="M365" s="460" t="s">
        <v>1982</v>
      </c>
      <c r="N365" s="460" t="s">
        <v>1981</v>
      </c>
      <c r="O365" s="460" t="s">
        <v>1980</v>
      </c>
      <c r="P365" s="460" t="s">
        <v>2675</v>
      </c>
      <c r="Q365" s="460" t="s">
        <v>2676</v>
      </c>
      <c r="R365" s="460" t="s">
        <v>2677</v>
      </c>
      <c r="S365" s="460" t="s">
        <v>2676</v>
      </c>
      <c r="T365" s="460" t="s">
        <v>1827</v>
      </c>
      <c r="U365" s="461" t="s">
        <v>1824</v>
      </c>
      <c r="V365" s="460" t="s">
        <v>1843</v>
      </c>
      <c r="W365" s="560"/>
      <c r="X365" s="461" t="s">
        <v>1824</v>
      </c>
      <c r="Y365" s="461" t="s">
        <v>1824</v>
      </c>
      <c r="Z365" s="461" t="s">
        <v>170</v>
      </c>
      <c r="AA365" s="460" t="s">
        <v>1218</v>
      </c>
      <c r="AB365" s="561">
        <f>ROUND(75,2)</f>
        <v>75</v>
      </c>
      <c r="AC365" s="460" t="s">
        <v>2678</v>
      </c>
      <c r="AD365" s="460"/>
      <c r="AE365" s="561">
        <f>ROUND(1000,2)</f>
        <v>1000</v>
      </c>
      <c r="AF365" s="460" t="s">
        <v>2679</v>
      </c>
      <c r="AG365" s="561">
        <f t="shared" si="5"/>
        <v>0</v>
      </c>
      <c r="AH365" s="460" t="s">
        <v>2671</v>
      </c>
      <c r="AI365" s="460" t="s">
        <v>1214</v>
      </c>
      <c r="AJ365" s="460" t="s">
        <v>2550</v>
      </c>
      <c r="AK365" s="460" t="s">
        <v>2672</v>
      </c>
      <c r="AL365" s="560" t="s">
        <v>2797</v>
      </c>
      <c r="AM365" s="460" t="s">
        <v>2674</v>
      </c>
    </row>
    <row r="366" spans="1:39" ht="22.8">
      <c r="A366" s="460" t="s">
        <v>1810</v>
      </c>
      <c r="B366" s="460"/>
      <c r="C366" s="460" t="s">
        <v>1524</v>
      </c>
      <c r="D366" s="460" t="s">
        <v>2226</v>
      </c>
      <c r="E366" s="460" t="s">
        <v>1814</v>
      </c>
      <c r="F366" s="460" t="s">
        <v>1812</v>
      </c>
      <c r="G366" s="461" t="s">
        <v>1218</v>
      </c>
      <c r="H366" s="461" t="s">
        <v>219</v>
      </c>
      <c r="I366" s="460" t="s">
        <v>2059</v>
      </c>
      <c r="J366" s="460" t="s">
        <v>1990</v>
      </c>
      <c r="K366" s="460" t="s">
        <v>2669</v>
      </c>
      <c r="L366" s="460" t="s">
        <v>2816</v>
      </c>
      <c r="M366" s="460" t="s">
        <v>1982</v>
      </c>
      <c r="N366" s="460" t="s">
        <v>1981</v>
      </c>
      <c r="O366" s="460" t="s">
        <v>1980</v>
      </c>
      <c r="P366" s="460" t="s">
        <v>1979</v>
      </c>
      <c r="Q366" s="460" t="s">
        <v>1978</v>
      </c>
      <c r="R366" s="460" t="s">
        <v>1977</v>
      </c>
      <c r="S366" s="460" t="s">
        <v>1826</v>
      </c>
      <c r="T366" s="460" t="s">
        <v>1827</v>
      </c>
      <c r="U366" s="461" t="s">
        <v>1976</v>
      </c>
      <c r="V366" s="460" t="s">
        <v>1851</v>
      </c>
      <c r="W366" s="560"/>
      <c r="X366" s="461" t="s">
        <v>1824</v>
      </c>
      <c r="Y366" s="461" t="s">
        <v>1824</v>
      </c>
      <c r="Z366" s="461" t="s">
        <v>170</v>
      </c>
      <c r="AA366" s="460" t="s">
        <v>1218</v>
      </c>
      <c r="AB366" s="561">
        <f>ROUND(226.88,2)</f>
        <v>226.88</v>
      </c>
      <c r="AC366" s="460" t="s">
        <v>308</v>
      </c>
      <c r="AD366" s="460"/>
      <c r="AE366" s="561">
        <f>ROUND(1393.71,2)</f>
        <v>1393.71</v>
      </c>
      <c r="AF366" s="460" t="s">
        <v>308</v>
      </c>
      <c r="AG366" s="561">
        <f t="shared" si="5"/>
        <v>0</v>
      </c>
      <c r="AH366" s="460" t="s">
        <v>2671</v>
      </c>
      <c r="AI366" s="460" t="s">
        <v>1214</v>
      </c>
      <c r="AJ366" s="460" t="s">
        <v>2549</v>
      </c>
      <c r="AK366" s="460" t="s">
        <v>2672</v>
      </c>
      <c r="AL366" s="560" t="s">
        <v>2681</v>
      </c>
      <c r="AM366" s="460" t="s">
        <v>2674</v>
      </c>
    </row>
    <row r="367" spans="1:39" ht="22.8">
      <c r="A367" s="460" t="s">
        <v>1810</v>
      </c>
      <c r="B367" s="460"/>
      <c r="C367" s="460" t="s">
        <v>1533</v>
      </c>
      <c r="D367" s="460" t="s">
        <v>2225</v>
      </c>
      <c r="E367" s="460" t="s">
        <v>1814</v>
      </c>
      <c r="F367" s="460" t="s">
        <v>1812</v>
      </c>
      <c r="G367" s="461" t="s">
        <v>1218</v>
      </c>
      <c r="H367" s="461" t="s">
        <v>196</v>
      </c>
      <c r="I367" s="460" t="s">
        <v>2224</v>
      </c>
      <c r="J367" s="460" t="s">
        <v>1983</v>
      </c>
      <c r="K367" s="460" t="s">
        <v>2669</v>
      </c>
      <c r="L367" s="460" t="s">
        <v>2703</v>
      </c>
      <c r="M367" s="460" t="s">
        <v>1982</v>
      </c>
      <c r="N367" s="460" t="s">
        <v>1981</v>
      </c>
      <c r="O367" s="460" t="s">
        <v>1980</v>
      </c>
      <c r="P367" s="460" t="s">
        <v>1979</v>
      </c>
      <c r="Q367" s="460" t="s">
        <v>95</v>
      </c>
      <c r="R367" s="460" t="s">
        <v>1977</v>
      </c>
      <c r="S367" s="460" t="s">
        <v>1842</v>
      </c>
      <c r="T367" s="460" t="s">
        <v>1827</v>
      </c>
      <c r="U367" s="461" t="s">
        <v>1976</v>
      </c>
      <c r="V367" s="460" t="s">
        <v>1119</v>
      </c>
      <c r="W367" s="560"/>
      <c r="X367" s="461" t="s">
        <v>1824</v>
      </c>
      <c r="Y367" s="461" t="s">
        <v>1824</v>
      </c>
      <c r="Z367" s="461" t="s">
        <v>170</v>
      </c>
      <c r="AA367" s="460" t="s">
        <v>1218</v>
      </c>
      <c r="AB367" s="561">
        <f>ROUND(0,2)</f>
        <v>0</v>
      </c>
      <c r="AC367" s="460" t="s">
        <v>308</v>
      </c>
      <c r="AD367" s="460"/>
      <c r="AE367" s="561">
        <f>ROUND(36.23,2)</f>
        <v>36.229999999999997</v>
      </c>
      <c r="AF367" s="460" t="s">
        <v>308</v>
      </c>
      <c r="AG367" s="561">
        <f t="shared" si="5"/>
        <v>0</v>
      </c>
      <c r="AH367" s="460" t="s">
        <v>2671</v>
      </c>
      <c r="AI367" s="460" t="s">
        <v>1214</v>
      </c>
      <c r="AJ367" s="460"/>
      <c r="AK367" s="460"/>
      <c r="AL367" s="560"/>
      <c r="AM367" s="460"/>
    </row>
    <row r="368" spans="1:39" ht="22.8">
      <c r="A368" s="460" t="s">
        <v>1810</v>
      </c>
      <c r="B368" s="460"/>
      <c r="C368" s="460" t="s">
        <v>1533</v>
      </c>
      <c r="D368" s="460" t="s">
        <v>2225</v>
      </c>
      <c r="E368" s="460" t="s">
        <v>1814</v>
      </c>
      <c r="F368" s="460" t="s">
        <v>1812</v>
      </c>
      <c r="G368" s="461" t="s">
        <v>1218</v>
      </c>
      <c r="H368" s="461" t="s">
        <v>196</v>
      </c>
      <c r="I368" s="460" t="s">
        <v>2224</v>
      </c>
      <c r="J368" s="460" t="s">
        <v>1983</v>
      </c>
      <c r="K368" s="460" t="s">
        <v>2669</v>
      </c>
      <c r="L368" s="460" t="s">
        <v>2703</v>
      </c>
      <c r="M368" s="460" t="s">
        <v>1982</v>
      </c>
      <c r="N368" s="460" t="s">
        <v>1981</v>
      </c>
      <c r="O368" s="460" t="s">
        <v>1980</v>
      </c>
      <c r="P368" s="460" t="s">
        <v>2675</v>
      </c>
      <c r="Q368" s="460" t="s">
        <v>2676</v>
      </c>
      <c r="R368" s="460" t="s">
        <v>2677</v>
      </c>
      <c r="S368" s="460" t="s">
        <v>2676</v>
      </c>
      <c r="T368" s="460" t="s">
        <v>1827</v>
      </c>
      <c r="U368" s="461" t="s">
        <v>1824</v>
      </c>
      <c r="V368" s="460" t="s">
        <v>1119</v>
      </c>
      <c r="W368" s="560"/>
      <c r="X368" s="461" t="s">
        <v>1824</v>
      </c>
      <c r="Y368" s="461" t="s">
        <v>1824</v>
      </c>
      <c r="Z368" s="461" t="s">
        <v>170</v>
      </c>
      <c r="AA368" s="460" t="s">
        <v>1218</v>
      </c>
      <c r="AB368" s="561">
        <f>ROUND(6.39,2)</f>
        <v>6.39</v>
      </c>
      <c r="AC368" s="460" t="s">
        <v>2678</v>
      </c>
      <c r="AD368" s="460"/>
      <c r="AE368" s="561">
        <f>ROUND(500.05,2)</f>
        <v>500.05</v>
      </c>
      <c r="AF368" s="460" t="s">
        <v>2679</v>
      </c>
      <c r="AG368" s="561">
        <f t="shared" si="5"/>
        <v>0</v>
      </c>
      <c r="AH368" s="460" t="s">
        <v>2671</v>
      </c>
      <c r="AI368" s="460" t="s">
        <v>1214</v>
      </c>
      <c r="AJ368" s="460" t="s">
        <v>2550</v>
      </c>
      <c r="AK368" s="460" t="s">
        <v>2672</v>
      </c>
      <c r="AL368" s="560" t="s">
        <v>2817</v>
      </c>
      <c r="AM368" s="460" t="s">
        <v>2674</v>
      </c>
    </row>
    <row r="369" spans="1:39" ht="22.8">
      <c r="A369" s="460" t="s">
        <v>1810</v>
      </c>
      <c r="B369" s="460"/>
      <c r="C369" s="460" t="s">
        <v>1533</v>
      </c>
      <c r="D369" s="460" t="s">
        <v>2225</v>
      </c>
      <c r="E369" s="460" t="s">
        <v>1814</v>
      </c>
      <c r="F369" s="460" t="s">
        <v>1812</v>
      </c>
      <c r="G369" s="461" t="s">
        <v>1218</v>
      </c>
      <c r="H369" s="461" t="s">
        <v>196</v>
      </c>
      <c r="I369" s="460" t="s">
        <v>2224</v>
      </c>
      <c r="J369" s="460" t="s">
        <v>1983</v>
      </c>
      <c r="K369" s="460" t="s">
        <v>2669</v>
      </c>
      <c r="L369" s="460" t="s">
        <v>2703</v>
      </c>
      <c r="M369" s="460" t="s">
        <v>1982</v>
      </c>
      <c r="N369" s="460" t="s">
        <v>1981</v>
      </c>
      <c r="O369" s="460" t="s">
        <v>1980</v>
      </c>
      <c r="P369" s="460" t="s">
        <v>1979</v>
      </c>
      <c r="Q369" s="460" t="s">
        <v>1978</v>
      </c>
      <c r="R369" s="460" t="s">
        <v>1977</v>
      </c>
      <c r="S369" s="460" t="s">
        <v>1826</v>
      </c>
      <c r="T369" s="460" t="s">
        <v>1827</v>
      </c>
      <c r="U369" s="461" t="s">
        <v>1976</v>
      </c>
      <c r="V369" s="460" t="s">
        <v>1119</v>
      </c>
      <c r="W369" s="560"/>
      <c r="X369" s="461" t="s">
        <v>1824</v>
      </c>
      <c r="Y369" s="461" t="s">
        <v>1824</v>
      </c>
      <c r="Z369" s="461" t="s">
        <v>170</v>
      </c>
      <c r="AA369" s="460" t="s">
        <v>1218</v>
      </c>
      <c r="AB369" s="561">
        <f>ROUND(35.03,2)</f>
        <v>35.03</v>
      </c>
      <c r="AC369" s="460" t="s">
        <v>308</v>
      </c>
      <c r="AD369" s="460"/>
      <c r="AE369" s="561">
        <f>ROUND(819.25,2)</f>
        <v>819.25</v>
      </c>
      <c r="AF369" s="460" t="s">
        <v>308</v>
      </c>
      <c r="AG369" s="561">
        <f t="shared" si="5"/>
        <v>0</v>
      </c>
      <c r="AH369" s="460" t="s">
        <v>2671</v>
      </c>
      <c r="AI369" s="460" t="s">
        <v>1214</v>
      </c>
      <c r="AJ369" s="460" t="s">
        <v>2549</v>
      </c>
      <c r="AK369" s="460" t="s">
        <v>2672</v>
      </c>
      <c r="AL369" s="560" t="s">
        <v>2694</v>
      </c>
      <c r="AM369" s="460" t="s">
        <v>2674</v>
      </c>
    </row>
    <row r="370" spans="1:39" ht="22.8">
      <c r="A370" s="460" t="s">
        <v>1810</v>
      </c>
      <c r="B370" s="460"/>
      <c r="C370" s="460" t="s">
        <v>1371</v>
      </c>
      <c r="D370" s="460" t="s">
        <v>2223</v>
      </c>
      <c r="E370" s="460" t="s">
        <v>1814</v>
      </c>
      <c r="F370" s="460" t="s">
        <v>1812</v>
      </c>
      <c r="G370" s="461" t="s">
        <v>1218</v>
      </c>
      <c r="H370" s="461" t="s">
        <v>205</v>
      </c>
      <c r="I370" s="460" t="s">
        <v>2222</v>
      </c>
      <c r="J370" s="460" t="s">
        <v>1983</v>
      </c>
      <c r="K370" s="460" t="s">
        <v>2669</v>
      </c>
      <c r="L370" s="460" t="s">
        <v>2703</v>
      </c>
      <c r="M370" s="460" t="s">
        <v>1982</v>
      </c>
      <c r="N370" s="460" t="s">
        <v>1981</v>
      </c>
      <c r="O370" s="460" t="s">
        <v>1980</v>
      </c>
      <c r="P370" s="460" t="s">
        <v>1979</v>
      </c>
      <c r="Q370" s="460" t="s">
        <v>95</v>
      </c>
      <c r="R370" s="460" t="s">
        <v>1977</v>
      </c>
      <c r="S370" s="460" t="s">
        <v>1842</v>
      </c>
      <c r="T370" s="460" t="s">
        <v>1827</v>
      </c>
      <c r="U370" s="461" t="s">
        <v>1976</v>
      </c>
      <c r="V370" s="460" t="s">
        <v>1967</v>
      </c>
      <c r="W370" s="560"/>
      <c r="X370" s="461" t="s">
        <v>1824</v>
      </c>
      <c r="Y370" s="461" t="s">
        <v>2738</v>
      </c>
      <c r="Z370" s="461" t="s">
        <v>170</v>
      </c>
      <c r="AA370" s="460" t="s">
        <v>1218</v>
      </c>
      <c r="AB370" s="561">
        <f>ROUND(30.41,2)</f>
        <v>30.41</v>
      </c>
      <c r="AC370" s="460" t="s">
        <v>308</v>
      </c>
      <c r="AD370" s="460"/>
      <c r="AE370" s="561">
        <f>ROUND(70.29,2)</f>
        <v>70.290000000000006</v>
      </c>
      <c r="AF370" s="460" t="s">
        <v>308</v>
      </c>
      <c r="AG370" s="561">
        <f t="shared" si="5"/>
        <v>0</v>
      </c>
      <c r="AH370" s="460" t="s">
        <v>2671</v>
      </c>
      <c r="AI370" s="460" t="s">
        <v>1214</v>
      </c>
      <c r="AJ370" s="460" t="s">
        <v>2548</v>
      </c>
      <c r="AK370" s="460" t="s">
        <v>2672</v>
      </c>
      <c r="AL370" s="560" t="s">
        <v>2673</v>
      </c>
      <c r="AM370" s="460" t="s">
        <v>2674</v>
      </c>
    </row>
    <row r="371" spans="1:39" ht="22.8">
      <c r="A371" s="460" t="s">
        <v>1810</v>
      </c>
      <c r="B371" s="460"/>
      <c r="C371" s="460" t="s">
        <v>1371</v>
      </c>
      <c r="D371" s="460" t="s">
        <v>2223</v>
      </c>
      <c r="E371" s="460" t="s">
        <v>1814</v>
      </c>
      <c r="F371" s="460" t="s">
        <v>1812</v>
      </c>
      <c r="G371" s="461" t="s">
        <v>1218</v>
      </c>
      <c r="H371" s="461" t="s">
        <v>205</v>
      </c>
      <c r="I371" s="460" t="s">
        <v>2222</v>
      </c>
      <c r="J371" s="460" t="s">
        <v>1983</v>
      </c>
      <c r="K371" s="460" t="s">
        <v>2669</v>
      </c>
      <c r="L371" s="460" t="s">
        <v>2703</v>
      </c>
      <c r="M371" s="460" t="s">
        <v>1982</v>
      </c>
      <c r="N371" s="460" t="s">
        <v>1981</v>
      </c>
      <c r="O371" s="460" t="s">
        <v>1980</v>
      </c>
      <c r="P371" s="460" t="s">
        <v>2675</v>
      </c>
      <c r="Q371" s="460" t="s">
        <v>2676</v>
      </c>
      <c r="R371" s="460" t="s">
        <v>2677</v>
      </c>
      <c r="S371" s="460" t="s">
        <v>2676</v>
      </c>
      <c r="T371" s="460" t="s">
        <v>1827</v>
      </c>
      <c r="U371" s="461" t="s">
        <v>1824</v>
      </c>
      <c r="V371" s="460" t="s">
        <v>1843</v>
      </c>
      <c r="W371" s="560"/>
      <c r="X371" s="461" t="s">
        <v>1824</v>
      </c>
      <c r="Y371" s="461" t="s">
        <v>2683</v>
      </c>
      <c r="Z371" s="461" t="s">
        <v>170</v>
      </c>
      <c r="AA371" s="460" t="s">
        <v>1218</v>
      </c>
      <c r="AB371" s="561">
        <f>ROUND(7750,2)</f>
        <v>7750</v>
      </c>
      <c r="AC371" s="460" t="s">
        <v>2679</v>
      </c>
      <c r="AD371" s="460"/>
      <c r="AE371" s="561">
        <f>ROUND(1000,2)</f>
        <v>1000</v>
      </c>
      <c r="AF371" s="460" t="s">
        <v>2679</v>
      </c>
      <c r="AG371" s="561">
        <f t="shared" si="5"/>
        <v>0</v>
      </c>
      <c r="AH371" s="460" t="s">
        <v>2671</v>
      </c>
      <c r="AI371" s="460" t="s">
        <v>1214</v>
      </c>
      <c r="AJ371" s="460" t="s">
        <v>2550</v>
      </c>
      <c r="AK371" s="460" t="s">
        <v>2672</v>
      </c>
      <c r="AL371" s="560" t="s">
        <v>2977</v>
      </c>
      <c r="AM371" s="460" t="s">
        <v>2674</v>
      </c>
    </row>
    <row r="372" spans="1:39" ht="22.8">
      <c r="A372" s="460" t="s">
        <v>1810</v>
      </c>
      <c r="B372" s="460"/>
      <c r="C372" s="460" t="s">
        <v>1371</v>
      </c>
      <c r="D372" s="460" t="s">
        <v>2223</v>
      </c>
      <c r="E372" s="460" t="s">
        <v>1814</v>
      </c>
      <c r="F372" s="460" t="s">
        <v>1812</v>
      </c>
      <c r="G372" s="461" t="s">
        <v>1218</v>
      </c>
      <c r="H372" s="461" t="s">
        <v>205</v>
      </c>
      <c r="I372" s="460" t="s">
        <v>2222</v>
      </c>
      <c r="J372" s="460" t="s">
        <v>1983</v>
      </c>
      <c r="K372" s="460" t="s">
        <v>2669</v>
      </c>
      <c r="L372" s="460" t="s">
        <v>2703</v>
      </c>
      <c r="M372" s="460" t="s">
        <v>1982</v>
      </c>
      <c r="N372" s="460" t="s">
        <v>1981</v>
      </c>
      <c r="O372" s="460" t="s">
        <v>1980</v>
      </c>
      <c r="P372" s="460" t="s">
        <v>1979</v>
      </c>
      <c r="Q372" s="460" t="s">
        <v>1978</v>
      </c>
      <c r="R372" s="460" t="s">
        <v>1977</v>
      </c>
      <c r="S372" s="460" t="s">
        <v>1826</v>
      </c>
      <c r="T372" s="460" t="s">
        <v>1827</v>
      </c>
      <c r="U372" s="461" t="s">
        <v>1976</v>
      </c>
      <c r="V372" s="460" t="s">
        <v>1967</v>
      </c>
      <c r="W372" s="560"/>
      <c r="X372" s="461" t="s">
        <v>1824</v>
      </c>
      <c r="Y372" s="461" t="s">
        <v>1824</v>
      </c>
      <c r="Z372" s="461" t="s">
        <v>170</v>
      </c>
      <c r="AA372" s="460" t="s">
        <v>1218</v>
      </c>
      <c r="AB372" s="561">
        <f>ROUND(509.75,2)</f>
        <v>509.75</v>
      </c>
      <c r="AC372" s="460" t="s">
        <v>308</v>
      </c>
      <c r="AD372" s="460"/>
      <c r="AE372" s="561">
        <f>ROUND(1272.61,2)</f>
        <v>1272.6099999999999</v>
      </c>
      <c r="AF372" s="460" t="s">
        <v>308</v>
      </c>
      <c r="AG372" s="561">
        <f t="shared" si="5"/>
        <v>0</v>
      </c>
      <c r="AH372" s="460" t="s">
        <v>2671</v>
      </c>
      <c r="AI372" s="460" t="s">
        <v>1214</v>
      </c>
      <c r="AJ372" s="460" t="s">
        <v>2549</v>
      </c>
      <c r="AK372" s="460" t="s">
        <v>2672</v>
      </c>
      <c r="AL372" s="560" t="s">
        <v>2818</v>
      </c>
      <c r="AM372" s="460" t="s">
        <v>2674</v>
      </c>
    </row>
    <row r="373" spans="1:39" ht="22.8">
      <c r="A373" s="460" t="s">
        <v>1810</v>
      </c>
      <c r="B373" s="460"/>
      <c r="C373" s="460" t="s">
        <v>2493</v>
      </c>
      <c r="D373" s="460" t="s">
        <v>2819</v>
      </c>
      <c r="E373" s="460" t="s">
        <v>1814</v>
      </c>
      <c r="F373" s="460" t="s">
        <v>1812</v>
      </c>
      <c r="G373" s="461" t="s">
        <v>1218</v>
      </c>
      <c r="H373" s="461" t="s">
        <v>2776</v>
      </c>
      <c r="I373" s="460" t="s">
        <v>2337</v>
      </c>
      <c r="J373" s="460" t="s">
        <v>1983</v>
      </c>
      <c r="K373" s="460" t="s">
        <v>2669</v>
      </c>
      <c r="L373" s="460" t="s">
        <v>2715</v>
      </c>
      <c r="M373" s="460" t="s">
        <v>1982</v>
      </c>
      <c r="N373" s="460" t="s">
        <v>1981</v>
      </c>
      <c r="O373" s="460" t="s">
        <v>1980</v>
      </c>
      <c r="P373" s="460" t="s">
        <v>1979</v>
      </c>
      <c r="Q373" s="460" t="s">
        <v>95</v>
      </c>
      <c r="R373" s="460" t="s">
        <v>1977</v>
      </c>
      <c r="S373" s="460" t="s">
        <v>1842</v>
      </c>
      <c r="T373" s="460" t="s">
        <v>1827</v>
      </c>
      <c r="U373" s="461" t="s">
        <v>1976</v>
      </c>
      <c r="V373" s="460" t="s">
        <v>1119</v>
      </c>
      <c r="W373" s="560"/>
      <c r="X373" s="461" t="s">
        <v>2747</v>
      </c>
      <c r="Y373" s="461" t="s">
        <v>2747</v>
      </c>
      <c r="Z373" s="461" t="s">
        <v>170</v>
      </c>
      <c r="AA373" s="460" t="s">
        <v>1218</v>
      </c>
      <c r="AB373" s="561">
        <f>ROUND(0,2)</f>
        <v>0</v>
      </c>
      <c r="AC373" s="460" t="s">
        <v>308</v>
      </c>
      <c r="AD373" s="460"/>
      <c r="AE373" s="561">
        <f>ROUND(36.23,2)</f>
        <v>36.229999999999997</v>
      </c>
      <c r="AF373" s="460" t="s">
        <v>308</v>
      </c>
      <c r="AG373" s="561">
        <f t="shared" si="5"/>
        <v>0</v>
      </c>
      <c r="AH373" s="460" t="s">
        <v>2671</v>
      </c>
      <c r="AI373" s="460" t="s">
        <v>1214</v>
      </c>
      <c r="AJ373" s="460"/>
      <c r="AK373" s="460"/>
      <c r="AL373" s="560"/>
      <c r="AM373" s="460"/>
    </row>
    <row r="374" spans="1:39" ht="22.8">
      <c r="A374" s="460" t="s">
        <v>1810</v>
      </c>
      <c r="B374" s="460"/>
      <c r="C374" s="460" t="s">
        <v>2493</v>
      </c>
      <c r="D374" s="460" t="s">
        <v>2819</v>
      </c>
      <c r="E374" s="460" t="s">
        <v>1814</v>
      </c>
      <c r="F374" s="460" t="s">
        <v>1812</v>
      </c>
      <c r="G374" s="461" t="s">
        <v>1218</v>
      </c>
      <c r="H374" s="461" t="s">
        <v>2776</v>
      </c>
      <c r="I374" s="460" t="s">
        <v>2337</v>
      </c>
      <c r="J374" s="460" t="s">
        <v>1983</v>
      </c>
      <c r="K374" s="460" t="s">
        <v>2669</v>
      </c>
      <c r="L374" s="460" t="s">
        <v>2715</v>
      </c>
      <c r="M374" s="460" t="s">
        <v>1982</v>
      </c>
      <c r="N374" s="460" t="s">
        <v>1981</v>
      </c>
      <c r="O374" s="460" t="s">
        <v>1980</v>
      </c>
      <c r="P374" s="460" t="s">
        <v>2675</v>
      </c>
      <c r="Q374" s="460" t="s">
        <v>2676</v>
      </c>
      <c r="R374" s="460" t="s">
        <v>2677</v>
      </c>
      <c r="S374" s="460" t="s">
        <v>2676</v>
      </c>
      <c r="T374" s="460" t="s">
        <v>1827</v>
      </c>
      <c r="U374" s="461" t="s">
        <v>1824</v>
      </c>
      <c r="V374" s="460" t="s">
        <v>1119</v>
      </c>
      <c r="W374" s="560"/>
      <c r="X374" s="461" t="s">
        <v>2747</v>
      </c>
      <c r="Y374" s="461" t="s">
        <v>2747</v>
      </c>
      <c r="Z374" s="461" t="s">
        <v>170</v>
      </c>
      <c r="AA374" s="460" t="s">
        <v>1218</v>
      </c>
      <c r="AB374" s="561">
        <f>ROUND(50,2)</f>
        <v>50</v>
      </c>
      <c r="AC374" s="460" t="s">
        <v>2678</v>
      </c>
      <c r="AD374" s="460"/>
      <c r="AE374" s="561">
        <f>ROUND(500.05,2)</f>
        <v>500.05</v>
      </c>
      <c r="AF374" s="460" t="s">
        <v>2679</v>
      </c>
      <c r="AG374" s="561">
        <f t="shared" si="5"/>
        <v>0</v>
      </c>
      <c r="AH374" s="460" t="s">
        <v>2671</v>
      </c>
      <c r="AI374" s="460" t="s">
        <v>1214</v>
      </c>
      <c r="AJ374" s="460" t="s">
        <v>2550</v>
      </c>
      <c r="AK374" s="460" t="s">
        <v>2672</v>
      </c>
      <c r="AL374" s="560" t="s">
        <v>2690</v>
      </c>
      <c r="AM374" s="460" t="s">
        <v>2674</v>
      </c>
    </row>
    <row r="375" spans="1:39" ht="22.8">
      <c r="A375" s="460" t="s">
        <v>1810</v>
      </c>
      <c r="B375" s="460"/>
      <c r="C375" s="460" t="s">
        <v>2493</v>
      </c>
      <c r="D375" s="460" t="s">
        <v>2819</v>
      </c>
      <c r="E375" s="460" t="s">
        <v>1814</v>
      </c>
      <c r="F375" s="460" t="s">
        <v>1812</v>
      </c>
      <c r="G375" s="461" t="s">
        <v>1218</v>
      </c>
      <c r="H375" s="461" t="s">
        <v>2776</v>
      </c>
      <c r="I375" s="460" t="s">
        <v>2337</v>
      </c>
      <c r="J375" s="460" t="s">
        <v>1983</v>
      </c>
      <c r="K375" s="460" t="s">
        <v>2669</v>
      </c>
      <c r="L375" s="460" t="s">
        <v>2715</v>
      </c>
      <c r="M375" s="460" t="s">
        <v>1982</v>
      </c>
      <c r="N375" s="460" t="s">
        <v>1981</v>
      </c>
      <c r="O375" s="460" t="s">
        <v>1980</v>
      </c>
      <c r="P375" s="460" t="s">
        <v>1979</v>
      </c>
      <c r="Q375" s="460" t="s">
        <v>1978</v>
      </c>
      <c r="R375" s="460" t="s">
        <v>1977</v>
      </c>
      <c r="S375" s="460" t="s">
        <v>1826</v>
      </c>
      <c r="T375" s="460" t="s">
        <v>1827</v>
      </c>
      <c r="U375" s="461" t="s">
        <v>1976</v>
      </c>
      <c r="V375" s="460" t="s">
        <v>1119</v>
      </c>
      <c r="W375" s="560"/>
      <c r="X375" s="461" t="s">
        <v>2747</v>
      </c>
      <c r="Y375" s="461" t="s">
        <v>2747</v>
      </c>
      <c r="Z375" s="461" t="s">
        <v>170</v>
      </c>
      <c r="AA375" s="460" t="s">
        <v>1218</v>
      </c>
      <c r="AB375" s="561">
        <f>ROUND(29.05,2)</f>
        <v>29.05</v>
      </c>
      <c r="AC375" s="460" t="s">
        <v>308</v>
      </c>
      <c r="AD375" s="460"/>
      <c r="AE375" s="561">
        <f>ROUND(825.23,2)</f>
        <v>825.23</v>
      </c>
      <c r="AF375" s="460" t="s">
        <v>308</v>
      </c>
      <c r="AG375" s="561">
        <f t="shared" si="5"/>
        <v>0</v>
      </c>
      <c r="AH375" s="460" t="s">
        <v>2671</v>
      </c>
      <c r="AI375" s="460" t="s">
        <v>1214</v>
      </c>
      <c r="AJ375" s="460" t="s">
        <v>2549</v>
      </c>
      <c r="AK375" s="460" t="s">
        <v>2672</v>
      </c>
      <c r="AL375" s="560" t="s">
        <v>2692</v>
      </c>
      <c r="AM375" s="460" t="s">
        <v>2674</v>
      </c>
    </row>
    <row r="376" spans="1:39" ht="34.200000000000003">
      <c r="A376" s="460" t="s">
        <v>1810</v>
      </c>
      <c r="B376" s="460"/>
      <c r="C376" s="460" t="s">
        <v>1503</v>
      </c>
      <c r="D376" s="460" t="s">
        <v>2221</v>
      </c>
      <c r="E376" s="460" t="s">
        <v>1835</v>
      </c>
      <c r="F376" s="460" t="s">
        <v>1812</v>
      </c>
      <c r="G376" s="461" t="s">
        <v>1218</v>
      </c>
      <c r="H376" s="461" t="s">
        <v>288</v>
      </c>
      <c r="I376" s="460" t="s">
        <v>2160</v>
      </c>
      <c r="J376" s="460" t="s">
        <v>1990</v>
      </c>
      <c r="K376" s="460" t="s">
        <v>2669</v>
      </c>
      <c r="L376" s="460" t="s">
        <v>2769</v>
      </c>
      <c r="M376" s="460" t="s">
        <v>2002</v>
      </c>
      <c r="N376" s="460" t="s">
        <v>1986</v>
      </c>
      <c r="O376" s="460" t="s">
        <v>2001</v>
      </c>
      <c r="P376" s="460" t="s">
        <v>1979</v>
      </c>
      <c r="Q376" s="460" t="s">
        <v>95</v>
      </c>
      <c r="R376" s="460" t="s">
        <v>1977</v>
      </c>
      <c r="S376" s="460" t="s">
        <v>1842</v>
      </c>
      <c r="T376" s="460" t="s">
        <v>1827</v>
      </c>
      <c r="U376" s="461" t="s">
        <v>1976</v>
      </c>
      <c r="V376" s="460" t="s">
        <v>1119</v>
      </c>
      <c r="W376" s="560"/>
      <c r="X376" s="461" t="s">
        <v>1824</v>
      </c>
      <c r="Y376" s="461" t="s">
        <v>1824</v>
      </c>
      <c r="Z376" s="461" t="s">
        <v>170</v>
      </c>
      <c r="AA376" s="460" t="s">
        <v>1218</v>
      </c>
      <c r="AB376" s="561">
        <f>ROUND(0,2)</f>
        <v>0</v>
      </c>
      <c r="AC376" s="460" t="s">
        <v>308</v>
      </c>
      <c r="AD376" s="460"/>
      <c r="AE376" s="561">
        <f>ROUND(36.23,2)</f>
        <v>36.229999999999997</v>
      </c>
      <c r="AF376" s="460" t="s">
        <v>308</v>
      </c>
      <c r="AG376" s="561">
        <f t="shared" si="5"/>
        <v>0</v>
      </c>
      <c r="AH376" s="460" t="s">
        <v>2671</v>
      </c>
      <c r="AI376" s="460" t="s">
        <v>1214</v>
      </c>
      <c r="AJ376" s="460"/>
      <c r="AK376" s="460"/>
      <c r="AL376" s="560"/>
      <c r="AM376" s="460"/>
    </row>
    <row r="377" spans="1:39" ht="34.200000000000003">
      <c r="A377" s="460" t="s">
        <v>1810</v>
      </c>
      <c r="B377" s="460"/>
      <c r="C377" s="460" t="s">
        <v>1503</v>
      </c>
      <c r="D377" s="460" t="s">
        <v>2221</v>
      </c>
      <c r="E377" s="460" t="s">
        <v>1835</v>
      </c>
      <c r="F377" s="460" t="s">
        <v>1812</v>
      </c>
      <c r="G377" s="461" t="s">
        <v>1218</v>
      </c>
      <c r="H377" s="461" t="s">
        <v>288</v>
      </c>
      <c r="I377" s="460" t="s">
        <v>2160</v>
      </c>
      <c r="J377" s="460" t="s">
        <v>1990</v>
      </c>
      <c r="K377" s="460" t="s">
        <v>2669</v>
      </c>
      <c r="L377" s="460" t="s">
        <v>2769</v>
      </c>
      <c r="M377" s="460" t="s">
        <v>2002</v>
      </c>
      <c r="N377" s="460" t="s">
        <v>1986</v>
      </c>
      <c r="O377" s="460" t="s">
        <v>2001</v>
      </c>
      <c r="P377" s="460" t="s">
        <v>2675</v>
      </c>
      <c r="Q377" s="460" t="s">
        <v>2676</v>
      </c>
      <c r="R377" s="460" t="s">
        <v>2677</v>
      </c>
      <c r="S377" s="460" t="s">
        <v>2676</v>
      </c>
      <c r="T377" s="460" t="s">
        <v>1827</v>
      </c>
      <c r="U377" s="461" t="s">
        <v>1824</v>
      </c>
      <c r="V377" s="460" t="s">
        <v>1843</v>
      </c>
      <c r="W377" s="560"/>
      <c r="X377" s="461" t="s">
        <v>1824</v>
      </c>
      <c r="Y377" s="461" t="s">
        <v>2820</v>
      </c>
      <c r="Z377" s="461" t="s">
        <v>170</v>
      </c>
      <c r="AA377" s="460" t="s">
        <v>1218</v>
      </c>
      <c r="AB377" s="561">
        <f>ROUND(100,2)</f>
        <v>100</v>
      </c>
      <c r="AC377" s="460" t="s">
        <v>2678</v>
      </c>
      <c r="AD377" s="460"/>
      <c r="AE377" s="561">
        <f>ROUND(1000,2)</f>
        <v>1000</v>
      </c>
      <c r="AF377" s="460" t="s">
        <v>2679</v>
      </c>
      <c r="AG377" s="561">
        <f t="shared" si="5"/>
        <v>0</v>
      </c>
      <c r="AH377" s="460" t="s">
        <v>2671</v>
      </c>
      <c r="AI377" s="460" t="s">
        <v>1214</v>
      </c>
      <c r="AJ377" s="460" t="s">
        <v>2550</v>
      </c>
      <c r="AK377" s="460" t="s">
        <v>2672</v>
      </c>
      <c r="AL377" s="560" t="s">
        <v>2691</v>
      </c>
      <c r="AM377" s="460" t="s">
        <v>2674</v>
      </c>
    </row>
    <row r="378" spans="1:39" ht="34.200000000000003">
      <c r="A378" s="460" t="s">
        <v>1810</v>
      </c>
      <c r="B378" s="460"/>
      <c r="C378" s="460" t="s">
        <v>1503</v>
      </c>
      <c r="D378" s="460" t="s">
        <v>2221</v>
      </c>
      <c r="E378" s="460" t="s">
        <v>1835</v>
      </c>
      <c r="F378" s="460" t="s">
        <v>1812</v>
      </c>
      <c r="G378" s="461" t="s">
        <v>1218</v>
      </c>
      <c r="H378" s="461" t="s">
        <v>288</v>
      </c>
      <c r="I378" s="460" t="s">
        <v>2160</v>
      </c>
      <c r="J378" s="460" t="s">
        <v>1990</v>
      </c>
      <c r="K378" s="460" t="s">
        <v>2669</v>
      </c>
      <c r="L378" s="460" t="s">
        <v>2769</v>
      </c>
      <c r="M378" s="460" t="s">
        <v>2002</v>
      </c>
      <c r="N378" s="460" t="s">
        <v>1986</v>
      </c>
      <c r="O378" s="460" t="s">
        <v>2001</v>
      </c>
      <c r="P378" s="460" t="s">
        <v>1979</v>
      </c>
      <c r="Q378" s="460" t="s">
        <v>1978</v>
      </c>
      <c r="R378" s="460" t="s">
        <v>1977</v>
      </c>
      <c r="S378" s="460" t="s">
        <v>1826</v>
      </c>
      <c r="T378" s="460" t="s">
        <v>1827</v>
      </c>
      <c r="U378" s="461" t="s">
        <v>1976</v>
      </c>
      <c r="V378" s="460" t="s">
        <v>1851</v>
      </c>
      <c r="W378" s="560"/>
      <c r="X378" s="461" t="s">
        <v>1824</v>
      </c>
      <c r="Y378" s="461" t="s">
        <v>1824</v>
      </c>
      <c r="Z378" s="461" t="s">
        <v>170</v>
      </c>
      <c r="AA378" s="460" t="s">
        <v>1218</v>
      </c>
      <c r="AB378" s="561">
        <f>ROUND(226.88,2)</f>
        <v>226.88</v>
      </c>
      <c r="AC378" s="460" t="s">
        <v>308</v>
      </c>
      <c r="AD378" s="460"/>
      <c r="AE378" s="561">
        <f>ROUND(1393.71,2)</f>
        <v>1393.71</v>
      </c>
      <c r="AF378" s="460" t="s">
        <v>308</v>
      </c>
      <c r="AG378" s="561">
        <f t="shared" si="5"/>
        <v>0</v>
      </c>
      <c r="AH378" s="460" t="s">
        <v>2671</v>
      </c>
      <c r="AI378" s="460" t="s">
        <v>1214</v>
      </c>
      <c r="AJ378" s="460" t="s">
        <v>2549</v>
      </c>
      <c r="AK378" s="460" t="s">
        <v>2672</v>
      </c>
      <c r="AL378" s="560" t="s">
        <v>2681</v>
      </c>
      <c r="AM378" s="460" t="s">
        <v>2674</v>
      </c>
    </row>
    <row r="379" spans="1:39" ht="22.8">
      <c r="A379" s="460" t="s">
        <v>1810</v>
      </c>
      <c r="B379" s="460"/>
      <c r="C379" s="460" t="s">
        <v>1320</v>
      </c>
      <c r="D379" s="460" t="s">
        <v>2220</v>
      </c>
      <c r="E379" s="460" t="s">
        <v>1814</v>
      </c>
      <c r="F379" s="460" t="s">
        <v>1812</v>
      </c>
      <c r="G379" s="461" t="s">
        <v>1218</v>
      </c>
      <c r="H379" s="461" t="s">
        <v>191</v>
      </c>
      <c r="I379" s="460" t="s">
        <v>2219</v>
      </c>
      <c r="J379" s="460" t="s">
        <v>1990</v>
      </c>
      <c r="K379" s="460" t="s">
        <v>2669</v>
      </c>
      <c r="L379" s="460" t="s">
        <v>2791</v>
      </c>
      <c r="M379" s="460" t="s">
        <v>1982</v>
      </c>
      <c r="N379" s="460" t="s">
        <v>1981</v>
      </c>
      <c r="O379" s="460" t="s">
        <v>1980</v>
      </c>
      <c r="P379" s="460" t="s">
        <v>1979</v>
      </c>
      <c r="Q379" s="460" t="s">
        <v>95</v>
      </c>
      <c r="R379" s="460" t="s">
        <v>1977</v>
      </c>
      <c r="S379" s="460" t="s">
        <v>1842</v>
      </c>
      <c r="T379" s="460" t="s">
        <v>1827</v>
      </c>
      <c r="U379" s="461" t="s">
        <v>1976</v>
      </c>
      <c r="V379" s="460" t="s">
        <v>1843</v>
      </c>
      <c r="W379" s="560"/>
      <c r="X379" s="461" t="s">
        <v>1824</v>
      </c>
      <c r="Y379" s="461" t="s">
        <v>1824</v>
      </c>
      <c r="Z379" s="461" t="s">
        <v>170</v>
      </c>
      <c r="AA379" s="460" t="s">
        <v>1218</v>
      </c>
      <c r="AB379" s="561">
        <f>ROUND(30.41,2)</f>
        <v>30.41</v>
      </c>
      <c r="AC379" s="460" t="s">
        <v>308</v>
      </c>
      <c r="AD379" s="460"/>
      <c r="AE379" s="561">
        <f>ROUND(70.29,2)</f>
        <v>70.290000000000006</v>
      </c>
      <c r="AF379" s="460" t="s">
        <v>308</v>
      </c>
      <c r="AG379" s="561">
        <f t="shared" si="5"/>
        <v>0</v>
      </c>
      <c r="AH379" s="460" t="s">
        <v>2671</v>
      </c>
      <c r="AI379" s="460" t="s">
        <v>1214</v>
      </c>
      <c r="AJ379" s="460" t="s">
        <v>2548</v>
      </c>
      <c r="AK379" s="460" t="s">
        <v>2672</v>
      </c>
      <c r="AL379" s="560" t="s">
        <v>2673</v>
      </c>
      <c r="AM379" s="460" t="s">
        <v>2674</v>
      </c>
    </row>
    <row r="380" spans="1:39" ht="22.8">
      <c r="A380" s="460" t="s">
        <v>1810</v>
      </c>
      <c r="B380" s="460"/>
      <c r="C380" s="460" t="s">
        <v>1320</v>
      </c>
      <c r="D380" s="460" t="s">
        <v>2220</v>
      </c>
      <c r="E380" s="460" t="s">
        <v>1814</v>
      </c>
      <c r="F380" s="460" t="s">
        <v>1812</v>
      </c>
      <c r="G380" s="461" t="s">
        <v>1218</v>
      </c>
      <c r="H380" s="461" t="s">
        <v>191</v>
      </c>
      <c r="I380" s="460" t="s">
        <v>2219</v>
      </c>
      <c r="J380" s="460" t="s">
        <v>1990</v>
      </c>
      <c r="K380" s="460" t="s">
        <v>2669</v>
      </c>
      <c r="L380" s="460" t="s">
        <v>2791</v>
      </c>
      <c r="M380" s="460" t="s">
        <v>1982</v>
      </c>
      <c r="N380" s="460" t="s">
        <v>1981</v>
      </c>
      <c r="O380" s="460" t="s">
        <v>1980</v>
      </c>
      <c r="P380" s="460" t="s">
        <v>2675</v>
      </c>
      <c r="Q380" s="460" t="s">
        <v>2676</v>
      </c>
      <c r="R380" s="460" t="s">
        <v>2677</v>
      </c>
      <c r="S380" s="460" t="s">
        <v>2676</v>
      </c>
      <c r="T380" s="460" t="s">
        <v>1827</v>
      </c>
      <c r="U380" s="461" t="s">
        <v>1824</v>
      </c>
      <c r="V380" s="460" t="s">
        <v>1843</v>
      </c>
      <c r="W380" s="560"/>
      <c r="X380" s="461" t="s">
        <v>1824</v>
      </c>
      <c r="Y380" s="461" t="s">
        <v>1824</v>
      </c>
      <c r="Z380" s="461" t="s">
        <v>170</v>
      </c>
      <c r="AA380" s="460" t="s">
        <v>1218</v>
      </c>
      <c r="AB380" s="561">
        <f>ROUND(100,2)</f>
        <v>100</v>
      </c>
      <c r="AC380" s="460" t="s">
        <v>2678</v>
      </c>
      <c r="AD380" s="460"/>
      <c r="AE380" s="561">
        <f>ROUND(1000,2)</f>
        <v>1000</v>
      </c>
      <c r="AF380" s="460" t="s">
        <v>2679</v>
      </c>
      <c r="AG380" s="561">
        <f t="shared" si="5"/>
        <v>0</v>
      </c>
      <c r="AH380" s="460" t="s">
        <v>2671</v>
      </c>
      <c r="AI380" s="460" t="s">
        <v>1214</v>
      </c>
      <c r="AJ380" s="460" t="s">
        <v>2550</v>
      </c>
      <c r="AK380" s="460" t="s">
        <v>2672</v>
      </c>
      <c r="AL380" s="560" t="s">
        <v>2691</v>
      </c>
      <c r="AM380" s="460" t="s">
        <v>2674</v>
      </c>
    </row>
    <row r="381" spans="1:39" ht="22.8">
      <c r="A381" s="460" t="s">
        <v>1810</v>
      </c>
      <c r="B381" s="460"/>
      <c r="C381" s="460" t="s">
        <v>1320</v>
      </c>
      <c r="D381" s="460" t="s">
        <v>2220</v>
      </c>
      <c r="E381" s="460" t="s">
        <v>1814</v>
      </c>
      <c r="F381" s="460" t="s">
        <v>1812</v>
      </c>
      <c r="G381" s="461" t="s">
        <v>1218</v>
      </c>
      <c r="H381" s="461" t="s">
        <v>191</v>
      </c>
      <c r="I381" s="460" t="s">
        <v>2219</v>
      </c>
      <c r="J381" s="460" t="s">
        <v>1990</v>
      </c>
      <c r="K381" s="460" t="s">
        <v>2669</v>
      </c>
      <c r="L381" s="460" t="s">
        <v>2791</v>
      </c>
      <c r="M381" s="460" t="s">
        <v>1982</v>
      </c>
      <c r="N381" s="460" t="s">
        <v>1981</v>
      </c>
      <c r="O381" s="460" t="s">
        <v>1980</v>
      </c>
      <c r="P381" s="460" t="s">
        <v>1979</v>
      </c>
      <c r="Q381" s="460" t="s">
        <v>1978</v>
      </c>
      <c r="R381" s="460" t="s">
        <v>1977</v>
      </c>
      <c r="S381" s="460" t="s">
        <v>1826</v>
      </c>
      <c r="T381" s="460" t="s">
        <v>1827</v>
      </c>
      <c r="U381" s="461" t="s">
        <v>1976</v>
      </c>
      <c r="V381" s="460" t="s">
        <v>1967</v>
      </c>
      <c r="W381" s="560"/>
      <c r="X381" s="461" t="s">
        <v>1824</v>
      </c>
      <c r="Y381" s="461" t="s">
        <v>1824</v>
      </c>
      <c r="Z381" s="461" t="s">
        <v>170</v>
      </c>
      <c r="AA381" s="460" t="s">
        <v>1218</v>
      </c>
      <c r="AB381" s="561">
        <f>ROUND(315.48,2)</f>
        <v>315.48</v>
      </c>
      <c r="AC381" s="460" t="s">
        <v>308</v>
      </c>
      <c r="AD381" s="460"/>
      <c r="AE381" s="561">
        <f>ROUND(1466.88,2)</f>
        <v>1466.88</v>
      </c>
      <c r="AF381" s="460" t="s">
        <v>308</v>
      </c>
      <c r="AG381" s="561">
        <f t="shared" si="5"/>
        <v>0</v>
      </c>
      <c r="AH381" s="460" t="s">
        <v>2671</v>
      </c>
      <c r="AI381" s="460" t="s">
        <v>1214</v>
      </c>
      <c r="AJ381" s="460" t="s">
        <v>2549</v>
      </c>
      <c r="AK381" s="460" t="s">
        <v>2672</v>
      </c>
      <c r="AL381" s="560" t="s">
        <v>2761</v>
      </c>
      <c r="AM381" s="460" t="s">
        <v>2674</v>
      </c>
    </row>
    <row r="382" spans="1:39" ht="22.8">
      <c r="A382" s="460" t="s">
        <v>1810</v>
      </c>
      <c r="B382" s="460"/>
      <c r="C382" s="460" t="s">
        <v>1377</v>
      </c>
      <c r="D382" s="460" t="s">
        <v>2218</v>
      </c>
      <c r="E382" s="460" t="s">
        <v>1814</v>
      </c>
      <c r="F382" s="460" t="s">
        <v>1812</v>
      </c>
      <c r="G382" s="461" t="s">
        <v>1218</v>
      </c>
      <c r="H382" s="461" t="s">
        <v>204</v>
      </c>
      <c r="I382" s="460" t="s">
        <v>2045</v>
      </c>
      <c r="J382" s="460" t="s">
        <v>1983</v>
      </c>
      <c r="K382" s="460" t="s">
        <v>2669</v>
      </c>
      <c r="L382" s="460" t="s">
        <v>2703</v>
      </c>
      <c r="M382" s="460" t="s">
        <v>1982</v>
      </c>
      <c r="N382" s="460" t="s">
        <v>1981</v>
      </c>
      <c r="O382" s="460" t="s">
        <v>1980</v>
      </c>
      <c r="P382" s="460" t="s">
        <v>1979</v>
      </c>
      <c r="Q382" s="460" t="s">
        <v>95</v>
      </c>
      <c r="R382" s="460" t="s">
        <v>1977</v>
      </c>
      <c r="S382" s="460" t="s">
        <v>1842</v>
      </c>
      <c r="T382" s="460" t="s">
        <v>1827</v>
      </c>
      <c r="U382" s="461" t="s">
        <v>1976</v>
      </c>
      <c r="V382" s="460" t="s">
        <v>1843</v>
      </c>
      <c r="W382" s="560"/>
      <c r="X382" s="461" t="s">
        <v>1824</v>
      </c>
      <c r="Y382" s="461" t="s">
        <v>2773</v>
      </c>
      <c r="Z382" s="461" t="s">
        <v>170</v>
      </c>
      <c r="AA382" s="460" t="s">
        <v>1218</v>
      </c>
      <c r="AB382" s="561">
        <f>ROUND(30.41,2)</f>
        <v>30.41</v>
      </c>
      <c r="AC382" s="460" t="s">
        <v>308</v>
      </c>
      <c r="AD382" s="460"/>
      <c r="AE382" s="561">
        <f>ROUND(70.29,2)</f>
        <v>70.290000000000006</v>
      </c>
      <c r="AF382" s="460" t="s">
        <v>308</v>
      </c>
      <c r="AG382" s="561">
        <f t="shared" si="5"/>
        <v>0</v>
      </c>
      <c r="AH382" s="460" t="s">
        <v>2671</v>
      </c>
      <c r="AI382" s="460" t="s">
        <v>1214</v>
      </c>
      <c r="AJ382" s="460" t="s">
        <v>2548</v>
      </c>
      <c r="AK382" s="460" t="s">
        <v>2672</v>
      </c>
      <c r="AL382" s="560" t="s">
        <v>2673</v>
      </c>
      <c r="AM382" s="460" t="s">
        <v>2674</v>
      </c>
    </row>
    <row r="383" spans="1:39" ht="22.8">
      <c r="A383" s="460" t="s">
        <v>1810</v>
      </c>
      <c r="B383" s="460"/>
      <c r="C383" s="460" t="s">
        <v>1377</v>
      </c>
      <c r="D383" s="460" t="s">
        <v>2218</v>
      </c>
      <c r="E383" s="460" t="s">
        <v>1814</v>
      </c>
      <c r="F383" s="460" t="s">
        <v>1812</v>
      </c>
      <c r="G383" s="461" t="s">
        <v>1218</v>
      </c>
      <c r="H383" s="461" t="s">
        <v>204</v>
      </c>
      <c r="I383" s="460" t="s">
        <v>2045</v>
      </c>
      <c r="J383" s="460" t="s">
        <v>1983</v>
      </c>
      <c r="K383" s="460" t="s">
        <v>2669</v>
      </c>
      <c r="L383" s="460" t="s">
        <v>2703</v>
      </c>
      <c r="M383" s="460" t="s">
        <v>1982</v>
      </c>
      <c r="N383" s="460" t="s">
        <v>1981</v>
      </c>
      <c r="O383" s="460" t="s">
        <v>1980</v>
      </c>
      <c r="P383" s="460" t="s">
        <v>2675</v>
      </c>
      <c r="Q383" s="460" t="s">
        <v>2676</v>
      </c>
      <c r="R383" s="460" t="s">
        <v>2677</v>
      </c>
      <c r="S383" s="460" t="s">
        <v>2676</v>
      </c>
      <c r="T383" s="460" t="s">
        <v>1827</v>
      </c>
      <c r="U383" s="461" t="s">
        <v>1824</v>
      </c>
      <c r="V383" s="460" t="s">
        <v>1843</v>
      </c>
      <c r="W383" s="560"/>
      <c r="X383" s="461" t="s">
        <v>2821</v>
      </c>
      <c r="Y383" s="461" t="s">
        <v>2821</v>
      </c>
      <c r="Z383" s="461" t="s">
        <v>170</v>
      </c>
      <c r="AA383" s="460" t="s">
        <v>1218</v>
      </c>
      <c r="AB383" s="561">
        <f>ROUND(250,2)</f>
        <v>250</v>
      </c>
      <c r="AC383" s="460" t="s">
        <v>2678</v>
      </c>
      <c r="AD383" s="460"/>
      <c r="AE383" s="561">
        <f>ROUND(1000,2)</f>
        <v>1000</v>
      </c>
      <c r="AF383" s="460" t="s">
        <v>2679</v>
      </c>
      <c r="AG383" s="561">
        <f t="shared" si="5"/>
        <v>0</v>
      </c>
      <c r="AH383" s="460" t="s">
        <v>2671</v>
      </c>
      <c r="AI383" s="460" t="s">
        <v>1214</v>
      </c>
      <c r="AJ383" s="460" t="s">
        <v>2550</v>
      </c>
      <c r="AK383" s="460" t="s">
        <v>2672</v>
      </c>
      <c r="AL383" s="560" t="s">
        <v>2719</v>
      </c>
      <c r="AM383" s="460" t="s">
        <v>2674</v>
      </c>
    </row>
    <row r="384" spans="1:39" ht="22.8">
      <c r="A384" s="460" t="s">
        <v>1810</v>
      </c>
      <c r="B384" s="460"/>
      <c r="C384" s="460" t="s">
        <v>1377</v>
      </c>
      <c r="D384" s="460" t="s">
        <v>2218</v>
      </c>
      <c r="E384" s="460" t="s">
        <v>1814</v>
      </c>
      <c r="F384" s="460" t="s">
        <v>1812</v>
      </c>
      <c r="G384" s="461" t="s">
        <v>1218</v>
      </c>
      <c r="H384" s="461" t="s">
        <v>204</v>
      </c>
      <c r="I384" s="460" t="s">
        <v>2045</v>
      </c>
      <c r="J384" s="460" t="s">
        <v>1983</v>
      </c>
      <c r="K384" s="460" t="s">
        <v>2669</v>
      </c>
      <c r="L384" s="460" t="s">
        <v>2703</v>
      </c>
      <c r="M384" s="460" t="s">
        <v>1982</v>
      </c>
      <c r="N384" s="460" t="s">
        <v>1981</v>
      </c>
      <c r="O384" s="460" t="s">
        <v>1980</v>
      </c>
      <c r="P384" s="460" t="s">
        <v>1979</v>
      </c>
      <c r="Q384" s="460" t="s">
        <v>1978</v>
      </c>
      <c r="R384" s="460" t="s">
        <v>1977</v>
      </c>
      <c r="S384" s="460" t="s">
        <v>1826</v>
      </c>
      <c r="T384" s="460" t="s">
        <v>1827</v>
      </c>
      <c r="U384" s="461" t="s">
        <v>1976</v>
      </c>
      <c r="V384" s="460" t="s">
        <v>1843</v>
      </c>
      <c r="W384" s="560"/>
      <c r="X384" s="461" t="s">
        <v>1824</v>
      </c>
      <c r="Y384" s="461" t="s">
        <v>2773</v>
      </c>
      <c r="Z384" s="461" t="s">
        <v>170</v>
      </c>
      <c r="AA384" s="460" t="s">
        <v>1218</v>
      </c>
      <c r="AB384" s="561">
        <f>ROUND(475.32,2)</f>
        <v>475.32</v>
      </c>
      <c r="AC384" s="460" t="s">
        <v>308</v>
      </c>
      <c r="AD384" s="460"/>
      <c r="AE384" s="561">
        <f>ROUND(1656.14,2)</f>
        <v>1656.14</v>
      </c>
      <c r="AF384" s="460" t="s">
        <v>308</v>
      </c>
      <c r="AG384" s="561">
        <f t="shared" si="5"/>
        <v>0</v>
      </c>
      <c r="AH384" s="460" t="s">
        <v>2671</v>
      </c>
      <c r="AI384" s="460" t="s">
        <v>1214</v>
      </c>
      <c r="AJ384" s="460" t="s">
        <v>2549</v>
      </c>
      <c r="AK384" s="460" t="s">
        <v>2672</v>
      </c>
      <c r="AL384" s="560" t="s">
        <v>2718</v>
      </c>
      <c r="AM384" s="460" t="s">
        <v>2674</v>
      </c>
    </row>
    <row r="385" spans="1:39" ht="22.8">
      <c r="A385" s="460" t="s">
        <v>1810</v>
      </c>
      <c r="B385" s="460"/>
      <c r="C385" s="460" t="s">
        <v>1378</v>
      </c>
      <c r="D385" s="460" t="s">
        <v>2217</v>
      </c>
      <c r="E385" s="460" t="s">
        <v>1821</v>
      </c>
      <c r="F385" s="460" t="s">
        <v>1812</v>
      </c>
      <c r="G385" s="461" t="s">
        <v>1218</v>
      </c>
      <c r="H385" s="461" t="s">
        <v>180</v>
      </c>
      <c r="I385" s="460" t="s">
        <v>2216</v>
      </c>
      <c r="J385" s="460" t="s">
        <v>1983</v>
      </c>
      <c r="K385" s="460" t="s">
        <v>2669</v>
      </c>
      <c r="L385" s="460" t="s">
        <v>2714</v>
      </c>
      <c r="M385" s="460" t="s">
        <v>1994</v>
      </c>
      <c r="N385" s="460" t="s">
        <v>1981</v>
      </c>
      <c r="O385" s="460" t="s">
        <v>1980</v>
      </c>
      <c r="P385" s="460" t="s">
        <v>1979</v>
      </c>
      <c r="Q385" s="460" t="s">
        <v>95</v>
      </c>
      <c r="R385" s="460" t="s">
        <v>1977</v>
      </c>
      <c r="S385" s="460" t="s">
        <v>1842</v>
      </c>
      <c r="T385" s="460" t="s">
        <v>1827</v>
      </c>
      <c r="U385" s="461" t="s">
        <v>1976</v>
      </c>
      <c r="V385" s="460" t="s">
        <v>1119</v>
      </c>
      <c r="W385" s="560"/>
      <c r="X385" s="461" t="s">
        <v>1824</v>
      </c>
      <c r="Y385" s="461" t="s">
        <v>1824</v>
      </c>
      <c r="Z385" s="461" t="s">
        <v>170</v>
      </c>
      <c r="AA385" s="460" t="s">
        <v>1218</v>
      </c>
      <c r="AB385" s="561">
        <f>ROUND(0,2)</f>
        <v>0</v>
      </c>
      <c r="AC385" s="460" t="s">
        <v>308</v>
      </c>
      <c r="AD385" s="460"/>
      <c r="AE385" s="561">
        <f>ROUND(36.23,2)</f>
        <v>36.229999999999997</v>
      </c>
      <c r="AF385" s="460" t="s">
        <v>308</v>
      </c>
      <c r="AG385" s="561">
        <f t="shared" si="5"/>
        <v>0</v>
      </c>
      <c r="AH385" s="460" t="s">
        <v>2671</v>
      </c>
      <c r="AI385" s="460" t="s">
        <v>1214</v>
      </c>
      <c r="AJ385" s="460"/>
      <c r="AK385" s="460"/>
      <c r="AL385" s="560"/>
      <c r="AM385" s="460"/>
    </row>
    <row r="386" spans="1:39" ht="22.8">
      <c r="A386" s="460" t="s">
        <v>1810</v>
      </c>
      <c r="B386" s="460"/>
      <c r="C386" s="460" t="s">
        <v>1378</v>
      </c>
      <c r="D386" s="460" t="s">
        <v>2217</v>
      </c>
      <c r="E386" s="460" t="s">
        <v>1821</v>
      </c>
      <c r="F386" s="460" t="s">
        <v>1812</v>
      </c>
      <c r="G386" s="461" t="s">
        <v>1218</v>
      </c>
      <c r="H386" s="461" t="s">
        <v>180</v>
      </c>
      <c r="I386" s="460" t="s">
        <v>2216</v>
      </c>
      <c r="J386" s="460" t="s">
        <v>1983</v>
      </c>
      <c r="K386" s="460" t="s">
        <v>2669</v>
      </c>
      <c r="L386" s="460" t="s">
        <v>2714</v>
      </c>
      <c r="M386" s="460" t="s">
        <v>1994</v>
      </c>
      <c r="N386" s="460" t="s">
        <v>1981</v>
      </c>
      <c r="O386" s="460" t="s">
        <v>1980</v>
      </c>
      <c r="P386" s="460" t="s">
        <v>2675</v>
      </c>
      <c r="Q386" s="460" t="s">
        <v>2676</v>
      </c>
      <c r="R386" s="460" t="s">
        <v>2677</v>
      </c>
      <c r="S386" s="460" t="s">
        <v>2676</v>
      </c>
      <c r="T386" s="460" t="s">
        <v>1827</v>
      </c>
      <c r="U386" s="461" t="s">
        <v>1824</v>
      </c>
      <c r="V386" s="460" t="s">
        <v>1119</v>
      </c>
      <c r="W386" s="560"/>
      <c r="X386" s="461" t="s">
        <v>1824</v>
      </c>
      <c r="Y386" s="461" t="s">
        <v>2683</v>
      </c>
      <c r="Z386" s="461" t="s">
        <v>170</v>
      </c>
      <c r="AA386" s="460" t="s">
        <v>1218</v>
      </c>
      <c r="AB386" s="561">
        <f>ROUND(3349.95,2)</f>
        <v>3349.95</v>
      </c>
      <c r="AC386" s="460" t="s">
        <v>2679</v>
      </c>
      <c r="AD386" s="460"/>
      <c r="AE386" s="561">
        <f>ROUND(500.05,2)</f>
        <v>500.05</v>
      </c>
      <c r="AF386" s="460" t="s">
        <v>2679</v>
      </c>
      <c r="AG386" s="561">
        <f t="shared" si="5"/>
        <v>0</v>
      </c>
      <c r="AH386" s="460" t="s">
        <v>2671</v>
      </c>
      <c r="AI386" s="460" t="s">
        <v>1214</v>
      </c>
      <c r="AJ386" s="460" t="s">
        <v>2550</v>
      </c>
      <c r="AK386" s="460" t="s">
        <v>2672</v>
      </c>
      <c r="AL386" s="560" t="s">
        <v>2798</v>
      </c>
      <c r="AM386" s="460" t="s">
        <v>2674</v>
      </c>
    </row>
    <row r="387" spans="1:39" ht="22.8">
      <c r="A387" s="460" t="s">
        <v>1810</v>
      </c>
      <c r="B387" s="460"/>
      <c r="C387" s="460" t="s">
        <v>1378</v>
      </c>
      <c r="D387" s="460" t="s">
        <v>2217</v>
      </c>
      <c r="E387" s="460" t="s">
        <v>1821</v>
      </c>
      <c r="F387" s="460" t="s">
        <v>1812</v>
      </c>
      <c r="G387" s="461" t="s">
        <v>1218</v>
      </c>
      <c r="H387" s="461" t="s">
        <v>180</v>
      </c>
      <c r="I387" s="460" t="s">
        <v>2216</v>
      </c>
      <c r="J387" s="460" t="s">
        <v>1983</v>
      </c>
      <c r="K387" s="460" t="s">
        <v>2669</v>
      </c>
      <c r="L387" s="460" t="s">
        <v>2714</v>
      </c>
      <c r="M387" s="460" t="s">
        <v>1994</v>
      </c>
      <c r="N387" s="460" t="s">
        <v>1981</v>
      </c>
      <c r="O387" s="460" t="s">
        <v>1980</v>
      </c>
      <c r="P387" s="460" t="s">
        <v>1979</v>
      </c>
      <c r="Q387" s="460" t="s">
        <v>1978</v>
      </c>
      <c r="R387" s="460" t="s">
        <v>1977</v>
      </c>
      <c r="S387" s="460" t="s">
        <v>1826</v>
      </c>
      <c r="T387" s="460" t="s">
        <v>1827</v>
      </c>
      <c r="U387" s="461" t="s">
        <v>1976</v>
      </c>
      <c r="V387" s="460" t="s">
        <v>1119</v>
      </c>
      <c r="W387" s="560"/>
      <c r="X387" s="461" t="s">
        <v>1824</v>
      </c>
      <c r="Y387" s="461" t="s">
        <v>1824</v>
      </c>
      <c r="Z387" s="461" t="s">
        <v>170</v>
      </c>
      <c r="AA387" s="460" t="s">
        <v>1218</v>
      </c>
      <c r="AB387" s="561">
        <f>ROUND(45.28,2)</f>
        <v>45.28</v>
      </c>
      <c r="AC387" s="460" t="s">
        <v>308</v>
      </c>
      <c r="AD387" s="460"/>
      <c r="AE387" s="561">
        <f>ROUND(809,2)</f>
        <v>809</v>
      </c>
      <c r="AF387" s="460" t="s">
        <v>308</v>
      </c>
      <c r="AG387" s="561">
        <f t="shared" si="5"/>
        <v>0</v>
      </c>
      <c r="AH387" s="460" t="s">
        <v>2671</v>
      </c>
      <c r="AI387" s="460" t="s">
        <v>1214</v>
      </c>
      <c r="AJ387" s="460" t="s">
        <v>2549</v>
      </c>
      <c r="AK387" s="460" t="s">
        <v>2672</v>
      </c>
      <c r="AL387" s="560" t="s">
        <v>2752</v>
      </c>
      <c r="AM387" s="460" t="s">
        <v>2674</v>
      </c>
    </row>
    <row r="388" spans="1:39" ht="22.8">
      <c r="A388" s="460" t="s">
        <v>1810</v>
      </c>
      <c r="B388" s="460"/>
      <c r="C388" s="460" t="s">
        <v>1379</v>
      </c>
      <c r="D388" s="460" t="s">
        <v>2388</v>
      </c>
      <c r="E388" s="460" t="s">
        <v>1811</v>
      </c>
      <c r="F388" s="460" t="s">
        <v>1812</v>
      </c>
      <c r="G388" s="461" t="s">
        <v>1218</v>
      </c>
      <c r="H388" s="461" t="s">
        <v>264</v>
      </c>
      <c r="I388" s="460" t="s">
        <v>2387</v>
      </c>
      <c r="J388" s="460" t="s">
        <v>1983</v>
      </c>
      <c r="K388" s="460" t="s">
        <v>2669</v>
      </c>
      <c r="L388" s="460" t="s">
        <v>2689</v>
      </c>
      <c r="M388" s="460" t="s">
        <v>1987</v>
      </c>
      <c r="N388" s="460" t="s">
        <v>1981</v>
      </c>
      <c r="O388" s="460" t="s">
        <v>1980</v>
      </c>
      <c r="P388" s="460" t="s">
        <v>1979</v>
      </c>
      <c r="Q388" s="460" t="s">
        <v>95</v>
      </c>
      <c r="R388" s="460" t="s">
        <v>1977</v>
      </c>
      <c r="S388" s="460" t="s">
        <v>1842</v>
      </c>
      <c r="T388" s="460" t="s">
        <v>1827</v>
      </c>
      <c r="U388" s="461" t="s">
        <v>1976</v>
      </c>
      <c r="V388" s="460" t="s">
        <v>1843</v>
      </c>
      <c r="W388" s="560"/>
      <c r="X388" s="461" t="s">
        <v>2083</v>
      </c>
      <c r="Y388" s="461" t="s">
        <v>2083</v>
      </c>
      <c r="Z388" s="461" t="s">
        <v>170</v>
      </c>
      <c r="AA388" s="460" t="s">
        <v>1218</v>
      </c>
      <c r="AB388" s="561">
        <f>ROUND(30.41,2)</f>
        <v>30.41</v>
      </c>
      <c r="AC388" s="460" t="s">
        <v>308</v>
      </c>
      <c r="AD388" s="460"/>
      <c r="AE388" s="561">
        <f>ROUND(70.29,2)</f>
        <v>70.290000000000006</v>
      </c>
      <c r="AF388" s="460" t="s">
        <v>308</v>
      </c>
      <c r="AG388" s="561">
        <f t="shared" si="5"/>
        <v>0</v>
      </c>
      <c r="AH388" s="460" t="s">
        <v>2671</v>
      </c>
      <c r="AI388" s="460" t="s">
        <v>1214</v>
      </c>
      <c r="AJ388" s="460" t="s">
        <v>2548</v>
      </c>
      <c r="AK388" s="460" t="s">
        <v>2672</v>
      </c>
      <c r="AL388" s="560" t="s">
        <v>2673</v>
      </c>
      <c r="AM388" s="460" t="s">
        <v>2674</v>
      </c>
    </row>
    <row r="389" spans="1:39" ht="22.8">
      <c r="A389" s="460" t="s">
        <v>1810</v>
      </c>
      <c r="B389" s="460"/>
      <c r="C389" s="460" t="s">
        <v>1511</v>
      </c>
      <c r="D389" s="460" t="s">
        <v>2215</v>
      </c>
      <c r="E389" s="460" t="s">
        <v>1814</v>
      </c>
      <c r="F389" s="460" t="s">
        <v>1812</v>
      </c>
      <c r="G389" s="461" t="s">
        <v>1218</v>
      </c>
      <c r="H389" s="461" t="s">
        <v>177</v>
      </c>
      <c r="I389" s="460" t="s">
        <v>2033</v>
      </c>
      <c r="J389" s="460" t="s">
        <v>1983</v>
      </c>
      <c r="K389" s="460" t="s">
        <v>2669</v>
      </c>
      <c r="L389" s="460" t="s">
        <v>2703</v>
      </c>
      <c r="M389" s="460" t="s">
        <v>1982</v>
      </c>
      <c r="N389" s="460" t="s">
        <v>1981</v>
      </c>
      <c r="O389" s="460" t="s">
        <v>1980</v>
      </c>
      <c r="P389" s="460" t="s">
        <v>1979</v>
      </c>
      <c r="Q389" s="460" t="s">
        <v>95</v>
      </c>
      <c r="R389" s="460" t="s">
        <v>1977</v>
      </c>
      <c r="S389" s="460" t="s">
        <v>1842</v>
      </c>
      <c r="T389" s="460" t="s">
        <v>1827</v>
      </c>
      <c r="U389" s="461" t="s">
        <v>1976</v>
      </c>
      <c r="V389" s="460" t="s">
        <v>1843</v>
      </c>
      <c r="W389" s="560"/>
      <c r="X389" s="461" t="s">
        <v>2061</v>
      </c>
      <c r="Y389" s="461" t="s">
        <v>2061</v>
      </c>
      <c r="Z389" s="461" t="s">
        <v>170</v>
      </c>
      <c r="AA389" s="460" t="s">
        <v>1218</v>
      </c>
      <c r="AB389" s="561">
        <f>ROUND(30.41,2)</f>
        <v>30.41</v>
      </c>
      <c r="AC389" s="460" t="s">
        <v>308</v>
      </c>
      <c r="AD389" s="460"/>
      <c r="AE389" s="561">
        <f>ROUND(70.29,2)</f>
        <v>70.290000000000006</v>
      </c>
      <c r="AF389" s="460" t="s">
        <v>308</v>
      </c>
      <c r="AG389" s="561">
        <f t="shared" si="5"/>
        <v>0</v>
      </c>
      <c r="AH389" s="460" t="s">
        <v>2671</v>
      </c>
      <c r="AI389" s="460" t="s">
        <v>1214</v>
      </c>
      <c r="AJ389" s="460" t="s">
        <v>2548</v>
      </c>
      <c r="AK389" s="460" t="s">
        <v>2672</v>
      </c>
      <c r="AL389" s="560" t="s">
        <v>2673</v>
      </c>
      <c r="AM389" s="460" t="s">
        <v>2674</v>
      </c>
    </row>
    <row r="390" spans="1:39" ht="22.8">
      <c r="A390" s="460" t="s">
        <v>1810</v>
      </c>
      <c r="B390" s="460"/>
      <c r="C390" s="460" t="s">
        <v>1511</v>
      </c>
      <c r="D390" s="460" t="s">
        <v>2215</v>
      </c>
      <c r="E390" s="460" t="s">
        <v>1814</v>
      </c>
      <c r="F390" s="460" t="s">
        <v>1812</v>
      </c>
      <c r="G390" s="461" t="s">
        <v>1218</v>
      </c>
      <c r="H390" s="461" t="s">
        <v>177</v>
      </c>
      <c r="I390" s="460" t="s">
        <v>2033</v>
      </c>
      <c r="J390" s="460" t="s">
        <v>1983</v>
      </c>
      <c r="K390" s="460" t="s">
        <v>2669</v>
      </c>
      <c r="L390" s="460" t="s">
        <v>2703</v>
      </c>
      <c r="M390" s="460" t="s">
        <v>1982</v>
      </c>
      <c r="N390" s="460" t="s">
        <v>1981</v>
      </c>
      <c r="O390" s="460" t="s">
        <v>1980</v>
      </c>
      <c r="P390" s="460" t="s">
        <v>2675</v>
      </c>
      <c r="Q390" s="460" t="s">
        <v>2676</v>
      </c>
      <c r="R390" s="460" t="s">
        <v>2677</v>
      </c>
      <c r="S390" s="460" t="s">
        <v>2676</v>
      </c>
      <c r="T390" s="460" t="s">
        <v>1827</v>
      </c>
      <c r="U390" s="461" t="s">
        <v>1824</v>
      </c>
      <c r="V390" s="460" t="s">
        <v>1843</v>
      </c>
      <c r="W390" s="560"/>
      <c r="X390" s="461" t="s">
        <v>2061</v>
      </c>
      <c r="Y390" s="461" t="s">
        <v>2683</v>
      </c>
      <c r="Z390" s="461" t="s">
        <v>170</v>
      </c>
      <c r="AA390" s="460" t="s">
        <v>1218</v>
      </c>
      <c r="AB390" s="561">
        <f>ROUND(55,2)</f>
        <v>55</v>
      </c>
      <c r="AC390" s="460" t="s">
        <v>2678</v>
      </c>
      <c r="AD390" s="460"/>
      <c r="AE390" s="561">
        <f>ROUND(1000,2)</f>
        <v>1000</v>
      </c>
      <c r="AF390" s="460" t="s">
        <v>2679</v>
      </c>
      <c r="AG390" s="561">
        <f t="shared" si="5"/>
        <v>0</v>
      </c>
      <c r="AH390" s="460" t="s">
        <v>2671</v>
      </c>
      <c r="AI390" s="460" t="s">
        <v>1214</v>
      </c>
      <c r="AJ390" s="460" t="s">
        <v>2550</v>
      </c>
      <c r="AK390" s="460" t="s">
        <v>2672</v>
      </c>
      <c r="AL390" s="560" t="s">
        <v>2790</v>
      </c>
      <c r="AM390" s="460" t="s">
        <v>2674</v>
      </c>
    </row>
    <row r="391" spans="1:39" ht="22.8">
      <c r="A391" s="460" t="s">
        <v>1810</v>
      </c>
      <c r="B391" s="460"/>
      <c r="C391" s="460" t="s">
        <v>1511</v>
      </c>
      <c r="D391" s="460" t="s">
        <v>2215</v>
      </c>
      <c r="E391" s="460" t="s">
        <v>1814</v>
      </c>
      <c r="F391" s="460" t="s">
        <v>1812</v>
      </c>
      <c r="G391" s="461" t="s">
        <v>1218</v>
      </c>
      <c r="H391" s="461" t="s">
        <v>177</v>
      </c>
      <c r="I391" s="460" t="s">
        <v>2033</v>
      </c>
      <c r="J391" s="460" t="s">
        <v>1983</v>
      </c>
      <c r="K391" s="460" t="s">
        <v>2669</v>
      </c>
      <c r="L391" s="460" t="s">
        <v>2703</v>
      </c>
      <c r="M391" s="460" t="s">
        <v>1982</v>
      </c>
      <c r="N391" s="460" t="s">
        <v>1981</v>
      </c>
      <c r="O391" s="460" t="s">
        <v>1980</v>
      </c>
      <c r="P391" s="460" t="s">
        <v>1979</v>
      </c>
      <c r="Q391" s="460" t="s">
        <v>1978</v>
      </c>
      <c r="R391" s="460" t="s">
        <v>1977</v>
      </c>
      <c r="S391" s="460" t="s">
        <v>1826</v>
      </c>
      <c r="T391" s="460" t="s">
        <v>1827</v>
      </c>
      <c r="U391" s="461" t="s">
        <v>1976</v>
      </c>
      <c r="V391" s="460" t="s">
        <v>1843</v>
      </c>
      <c r="W391" s="560"/>
      <c r="X391" s="461" t="s">
        <v>2061</v>
      </c>
      <c r="Y391" s="461" t="s">
        <v>2683</v>
      </c>
      <c r="Z391" s="461" t="s">
        <v>170</v>
      </c>
      <c r="AA391" s="460" t="s">
        <v>1218</v>
      </c>
      <c r="AB391" s="561">
        <f>ROUND(475.32,2)</f>
        <v>475.32</v>
      </c>
      <c r="AC391" s="460" t="s">
        <v>308</v>
      </c>
      <c r="AD391" s="460"/>
      <c r="AE391" s="561">
        <f>ROUND(1656.14,2)</f>
        <v>1656.14</v>
      </c>
      <c r="AF391" s="460" t="s">
        <v>308</v>
      </c>
      <c r="AG391" s="561">
        <f t="shared" si="5"/>
        <v>0</v>
      </c>
      <c r="AH391" s="460" t="s">
        <v>2671</v>
      </c>
      <c r="AI391" s="460" t="s">
        <v>1214</v>
      </c>
      <c r="AJ391" s="460" t="s">
        <v>2549</v>
      </c>
      <c r="AK391" s="460" t="s">
        <v>2672</v>
      </c>
      <c r="AL391" s="560" t="s">
        <v>2718</v>
      </c>
      <c r="AM391" s="460" t="s">
        <v>2674</v>
      </c>
    </row>
    <row r="392" spans="1:39" ht="34.200000000000003">
      <c r="A392" s="460" t="s">
        <v>1810</v>
      </c>
      <c r="B392" s="460"/>
      <c r="C392" s="460" t="s">
        <v>1381</v>
      </c>
      <c r="D392" s="460" t="s">
        <v>2214</v>
      </c>
      <c r="E392" s="460" t="s">
        <v>1819</v>
      </c>
      <c r="F392" s="460" t="s">
        <v>2015</v>
      </c>
      <c r="G392" s="461" t="s">
        <v>1218</v>
      </c>
      <c r="H392" s="461" t="s">
        <v>287</v>
      </c>
      <c r="I392" s="460" t="s">
        <v>2213</v>
      </c>
      <c r="J392" s="460" t="s">
        <v>1983</v>
      </c>
      <c r="K392" s="460" t="s">
        <v>2669</v>
      </c>
      <c r="L392" s="460" t="s">
        <v>2778</v>
      </c>
      <c r="M392" s="460" t="s">
        <v>2002</v>
      </c>
      <c r="N392" s="460" t="s">
        <v>1981</v>
      </c>
      <c r="O392" s="460" t="s">
        <v>1980</v>
      </c>
      <c r="P392" s="460" t="s">
        <v>1979</v>
      </c>
      <c r="Q392" s="460" t="s">
        <v>95</v>
      </c>
      <c r="R392" s="460" t="s">
        <v>1977</v>
      </c>
      <c r="S392" s="460" t="s">
        <v>1842</v>
      </c>
      <c r="T392" s="460" t="s">
        <v>1827</v>
      </c>
      <c r="U392" s="461" t="s">
        <v>1976</v>
      </c>
      <c r="V392" s="460" t="s">
        <v>1843</v>
      </c>
      <c r="W392" s="560"/>
      <c r="X392" s="461" t="s">
        <v>1824</v>
      </c>
      <c r="Y392" s="461" t="s">
        <v>1824</v>
      </c>
      <c r="Z392" s="461" t="s">
        <v>170</v>
      </c>
      <c r="AA392" s="460" t="s">
        <v>1218</v>
      </c>
      <c r="AB392" s="561">
        <f>ROUND(30.41,2)</f>
        <v>30.41</v>
      </c>
      <c r="AC392" s="460" t="s">
        <v>308</v>
      </c>
      <c r="AD392" s="460"/>
      <c r="AE392" s="561">
        <f>ROUND(70.29,2)</f>
        <v>70.290000000000006</v>
      </c>
      <c r="AF392" s="460" t="s">
        <v>308</v>
      </c>
      <c r="AG392" s="561">
        <f t="shared" si="5"/>
        <v>0</v>
      </c>
      <c r="AH392" s="460" t="s">
        <v>2671</v>
      </c>
      <c r="AI392" s="460" t="s">
        <v>1214</v>
      </c>
      <c r="AJ392" s="460" t="s">
        <v>2548</v>
      </c>
      <c r="AK392" s="460" t="s">
        <v>2672</v>
      </c>
      <c r="AL392" s="560" t="s">
        <v>2673</v>
      </c>
      <c r="AM392" s="460" t="s">
        <v>2674</v>
      </c>
    </row>
    <row r="393" spans="1:39" ht="34.200000000000003">
      <c r="A393" s="460" t="s">
        <v>1810</v>
      </c>
      <c r="B393" s="460"/>
      <c r="C393" s="460" t="s">
        <v>1381</v>
      </c>
      <c r="D393" s="460" t="s">
        <v>2214</v>
      </c>
      <c r="E393" s="460" t="s">
        <v>1819</v>
      </c>
      <c r="F393" s="460" t="s">
        <v>2015</v>
      </c>
      <c r="G393" s="461" t="s">
        <v>1218</v>
      </c>
      <c r="H393" s="461" t="s">
        <v>287</v>
      </c>
      <c r="I393" s="460" t="s">
        <v>2213</v>
      </c>
      <c r="J393" s="460" t="s">
        <v>1983</v>
      </c>
      <c r="K393" s="460" t="s">
        <v>2669</v>
      </c>
      <c r="L393" s="460" t="s">
        <v>2778</v>
      </c>
      <c r="M393" s="460" t="s">
        <v>2002</v>
      </c>
      <c r="N393" s="460" t="s">
        <v>1981</v>
      </c>
      <c r="O393" s="460" t="s">
        <v>1980</v>
      </c>
      <c r="P393" s="460" t="s">
        <v>2675</v>
      </c>
      <c r="Q393" s="460" t="s">
        <v>2676</v>
      </c>
      <c r="R393" s="460" t="s">
        <v>2677</v>
      </c>
      <c r="S393" s="460" t="s">
        <v>2676</v>
      </c>
      <c r="T393" s="460" t="s">
        <v>1827</v>
      </c>
      <c r="U393" s="461" t="s">
        <v>1824</v>
      </c>
      <c r="V393" s="460" t="s">
        <v>1843</v>
      </c>
      <c r="W393" s="560"/>
      <c r="X393" s="461" t="s">
        <v>1824</v>
      </c>
      <c r="Y393" s="461" t="s">
        <v>1824</v>
      </c>
      <c r="Z393" s="461" t="s">
        <v>170</v>
      </c>
      <c r="AA393" s="460" t="s">
        <v>1218</v>
      </c>
      <c r="AB393" s="561">
        <f>ROUND(100,2)</f>
        <v>100</v>
      </c>
      <c r="AC393" s="460" t="s">
        <v>2678</v>
      </c>
      <c r="AD393" s="460"/>
      <c r="AE393" s="561">
        <f>ROUND(1000,2)</f>
        <v>1000</v>
      </c>
      <c r="AF393" s="460" t="s">
        <v>2679</v>
      </c>
      <c r="AG393" s="561">
        <f t="shared" si="5"/>
        <v>0</v>
      </c>
      <c r="AH393" s="460" t="s">
        <v>2671</v>
      </c>
      <c r="AI393" s="460" t="s">
        <v>1214</v>
      </c>
      <c r="AJ393" s="460" t="s">
        <v>2550</v>
      </c>
      <c r="AK393" s="460" t="s">
        <v>2672</v>
      </c>
      <c r="AL393" s="560" t="s">
        <v>2691</v>
      </c>
      <c r="AM393" s="460" t="s">
        <v>2674</v>
      </c>
    </row>
    <row r="394" spans="1:39" ht="34.200000000000003">
      <c r="A394" s="460" t="s">
        <v>1810</v>
      </c>
      <c r="B394" s="460"/>
      <c r="C394" s="460" t="s">
        <v>1381</v>
      </c>
      <c r="D394" s="460" t="s">
        <v>2214</v>
      </c>
      <c r="E394" s="460" t="s">
        <v>1819</v>
      </c>
      <c r="F394" s="460" t="s">
        <v>2015</v>
      </c>
      <c r="G394" s="461" t="s">
        <v>1218</v>
      </c>
      <c r="H394" s="461" t="s">
        <v>287</v>
      </c>
      <c r="I394" s="460" t="s">
        <v>2213</v>
      </c>
      <c r="J394" s="460" t="s">
        <v>1983</v>
      </c>
      <c r="K394" s="460" t="s">
        <v>2669</v>
      </c>
      <c r="L394" s="460" t="s">
        <v>2778</v>
      </c>
      <c r="M394" s="460" t="s">
        <v>2002</v>
      </c>
      <c r="N394" s="460" t="s">
        <v>1981</v>
      </c>
      <c r="O394" s="460" t="s">
        <v>1980</v>
      </c>
      <c r="P394" s="460" t="s">
        <v>1979</v>
      </c>
      <c r="Q394" s="460" t="s">
        <v>1978</v>
      </c>
      <c r="R394" s="460" t="s">
        <v>1977</v>
      </c>
      <c r="S394" s="460" t="s">
        <v>1826</v>
      </c>
      <c r="T394" s="460" t="s">
        <v>1827</v>
      </c>
      <c r="U394" s="461" t="s">
        <v>1976</v>
      </c>
      <c r="V394" s="460" t="s">
        <v>1967</v>
      </c>
      <c r="W394" s="560"/>
      <c r="X394" s="461" t="s">
        <v>1824</v>
      </c>
      <c r="Y394" s="461" t="s">
        <v>1824</v>
      </c>
      <c r="Z394" s="461" t="s">
        <v>170</v>
      </c>
      <c r="AA394" s="460" t="s">
        <v>1218</v>
      </c>
      <c r="AB394" s="561">
        <f>ROUND(509.75,2)</f>
        <v>509.75</v>
      </c>
      <c r="AC394" s="460" t="s">
        <v>308</v>
      </c>
      <c r="AD394" s="460"/>
      <c r="AE394" s="561">
        <f>ROUND(1272.61,2)</f>
        <v>1272.6099999999999</v>
      </c>
      <c r="AF394" s="460" t="s">
        <v>308</v>
      </c>
      <c r="AG394" s="561">
        <f t="shared" si="5"/>
        <v>0</v>
      </c>
      <c r="AH394" s="460" t="s">
        <v>2671</v>
      </c>
      <c r="AI394" s="460" t="s">
        <v>1214</v>
      </c>
      <c r="AJ394" s="460" t="s">
        <v>2549</v>
      </c>
      <c r="AK394" s="460" t="s">
        <v>2672</v>
      </c>
      <c r="AL394" s="560" t="s">
        <v>2818</v>
      </c>
      <c r="AM394" s="460" t="s">
        <v>2674</v>
      </c>
    </row>
    <row r="395" spans="1:39" ht="22.8">
      <c r="A395" s="460" t="s">
        <v>1810</v>
      </c>
      <c r="B395" s="460"/>
      <c r="C395" s="460" t="s">
        <v>1701</v>
      </c>
      <c r="D395" s="460" t="s">
        <v>2212</v>
      </c>
      <c r="E395" s="460" t="s">
        <v>1834</v>
      </c>
      <c r="F395" s="460" t="s">
        <v>1812</v>
      </c>
      <c r="G395" s="461" t="s">
        <v>1218</v>
      </c>
      <c r="H395" s="461" t="s">
        <v>1118</v>
      </c>
      <c r="I395" s="460" t="s">
        <v>2211</v>
      </c>
      <c r="J395" s="460" t="s">
        <v>1983</v>
      </c>
      <c r="K395" s="460" t="s">
        <v>2669</v>
      </c>
      <c r="L395" s="460" t="s">
        <v>2749</v>
      </c>
      <c r="M395" s="460" t="s">
        <v>2002</v>
      </c>
      <c r="N395" s="460" t="s">
        <v>1981</v>
      </c>
      <c r="O395" s="460" t="s">
        <v>2001</v>
      </c>
      <c r="P395" s="460" t="s">
        <v>1979</v>
      </c>
      <c r="Q395" s="460" t="s">
        <v>95</v>
      </c>
      <c r="R395" s="460" t="s">
        <v>1977</v>
      </c>
      <c r="S395" s="460" t="s">
        <v>1842</v>
      </c>
      <c r="T395" s="460" t="s">
        <v>1827</v>
      </c>
      <c r="U395" s="461" t="s">
        <v>1976</v>
      </c>
      <c r="V395" s="460" t="s">
        <v>1119</v>
      </c>
      <c r="W395" s="560"/>
      <c r="X395" s="461" t="s">
        <v>2063</v>
      </c>
      <c r="Y395" s="461" t="s">
        <v>2063</v>
      </c>
      <c r="Z395" s="461" t="s">
        <v>170</v>
      </c>
      <c r="AA395" s="460" t="s">
        <v>1218</v>
      </c>
      <c r="AB395" s="561">
        <f>ROUND(0,2)</f>
        <v>0</v>
      </c>
      <c r="AC395" s="460" t="s">
        <v>308</v>
      </c>
      <c r="AD395" s="460"/>
      <c r="AE395" s="561">
        <f>ROUND(36.23,2)</f>
        <v>36.229999999999997</v>
      </c>
      <c r="AF395" s="460" t="s">
        <v>308</v>
      </c>
      <c r="AG395" s="561">
        <f t="shared" ref="AG395:AG458" si="6">ROUND(0,2)</f>
        <v>0</v>
      </c>
      <c r="AH395" s="460" t="s">
        <v>2671</v>
      </c>
      <c r="AI395" s="460" t="s">
        <v>1214</v>
      </c>
      <c r="AJ395" s="460"/>
      <c r="AK395" s="460"/>
      <c r="AL395" s="560"/>
      <c r="AM395" s="460"/>
    </row>
    <row r="396" spans="1:39" ht="22.8">
      <c r="A396" s="460" t="s">
        <v>1810</v>
      </c>
      <c r="B396" s="460"/>
      <c r="C396" s="460" t="s">
        <v>1701</v>
      </c>
      <c r="D396" s="460" t="s">
        <v>2212</v>
      </c>
      <c r="E396" s="460" t="s">
        <v>1834</v>
      </c>
      <c r="F396" s="460" t="s">
        <v>1812</v>
      </c>
      <c r="G396" s="461" t="s">
        <v>1218</v>
      </c>
      <c r="H396" s="461" t="s">
        <v>1118</v>
      </c>
      <c r="I396" s="460" t="s">
        <v>2211</v>
      </c>
      <c r="J396" s="460" t="s">
        <v>1983</v>
      </c>
      <c r="K396" s="460" t="s">
        <v>2669</v>
      </c>
      <c r="L396" s="460" t="s">
        <v>2749</v>
      </c>
      <c r="M396" s="460" t="s">
        <v>2002</v>
      </c>
      <c r="N396" s="460" t="s">
        <v>1981</v>
      </c>
      <c r="O396" s="460" t="s">
        <v>2001</v>
      </c>
      <c r="P396" s="460" t="s">
        <v>2675</v>
      </c>
      <c r="Q396" s="460" t="s">
        <v>2676</v>
      </c>
      <c r="R396" s="460" t="s">
        <v>2677</v>
      </c>
      <c r="S396" s="460" t="s">
        <v>2676</v>
      </c>
      <c r="T396" s="460" t="s">
        <v>1827</v>
      </c>
      <c r="U396" s="461" t="s">
        <v>1824</v>
      </c>
      <c r="V396" s="460" t="s">
        <v>1119</v>
      </c>
      <c r="W396" s="560"/>
      <c r="X396" s="461" t="s">
        <v>1824</v>
      </c>
      <c r="Y396" s="461" t="s">
        <v>1824</v>
      </c>
      <c r="Z396" s="461" t="s">
        <v>170</v>
      </c>
      <c r="AA396" s="460" t="s">
        <v>1218</v>
      </c>
      <c r="AB396" s="561">
        <f>ROUND(10,2)</f>
        <v>10</v>
      </c>
      <c r="AC396" s="460" t="s">
        <v>2678</v>
      </c>
      <c r="AD396" s="460"/>
      <c r="AE396" s="561">
        <f>ROUND(500.05,2)</f>
        <v>500.05</v>
      </c>
      <c r="AF396" s="460" t="s">
        <v>2679</v>
      </c>
      <c r="AG396" s="561">
        <f t="shared" si="6"/>
        <v>0</v>
      </c>
      <c r="AH396" s="460" t="s">
        <v>2671</v>
      </c>
      <c r="AI396" s="460" t="s">
        <v>1214</v>
      </c>
      <c r="AJ396" s="460" t="s">
        <v>2550</v>
      </c>
      <c r="AK396" s="460" t="s">
        <v>2672</v>
      </c>
      <c r="AL396" s="560" t="s">
        <v>2725</v>
      </c>
      <c r="AM396" s="460" t="s">
        <v>2674</v>
      </c>
    </row>
    <row r="397" spans="1:39" ht="22.8">
      <c r="A397" s="460" t="s">
        <v>1810</v>
      </c>
      <c r="B397" s="460"/>
      <c r="C397" s="460" t="s">
        <v>1701</v>
      </c>
      <c r="D397" s="460" t="s">
        <v>2212</v>
      </c>
      <c r="E397" s="460" t="s">
        <v>1834</v>
      </c>
      <c r="F397" s="460" t="s">
        <v>1812</v>
      </c>
      <c r="G397" s="461" t="s">
        <v>1218</v>
      </c>
      <c r="H397" s="461" t="s">
        <v>1118</v>
      </c>
      <c r="I397" s="460" t="s">
        <v>2211</v>
      </c>
      <c r="J397" s="460" t="s">
        <v>1983</v>
      </c>
      <c r="K397" s="460" t="s">
        <v>2669</v>
      </c>
      <c r="L397" s="460" t="s">
        <v>2749</v>
      </c>
      <c r="M397" s="460" t="s">
        <v>2002</v>
      </c>
      <c r="N397" s="460" t="s">
        <v>1981</v>
      </c>
      <c r="O397" s="460" t="s">
        <v>2001</v>
      </c>
      <c r="P397" s="460" t="s">
        <v>1979</v>
      </c>
      <c r="Q397" s="460" t="s">
        <v>1978</v>
      </c>
      <c r="R397" s="460" t="s">
        <v>1977</v>
      </c>
      <c r="S397" s="460" t="s">
        <v>1826</v>
      </c>
      <c r="T397" s="460" t="s">
        <v>1827</v>
      </c>
      <c r="U397" s="461" t="s">
        <v>1976</v>
      </c>
      <c r="V397" s="460" t="s">
        <v>1119</v>
      </c>
      <c r="W397" s="560"/>
      <c r="X397" s="461" t="s">
        <v>2063</v>
      </c>
      <c r="Y397" s="461" t="s">
        <v>2063</v>
      </c>
      <c r="Z397" s="461" t="s">
        <v>170</v>
      </c>
      <c r="AA397" s="460" t="s">
        <v>1218</v>
      </c>
      <c r="AB397" s="561">
        <f>ROUND(29.05,2)</f>
        <v>29.05</v>
      </c>
      <c r="AC397" s="460" t="s">
        <v>308</v>
      </c>
      <c r="AD397" s="460"/>
      <c r="AE397" s="561">
        <f>ROUND(825.23,2)</f>
        <v>825.23</v>
      </c>
      <c r="AF397" s="460" t="s">
        <v>308</v>
      </c>
      <c r="AG397" s="561">
        <f t="shared" si="6"/>
        <v>0</v>
      </c>
      <c r="AH397" s="460" t="s">
        <v>2671</v>
      </c>
      <c r="AI397" s="460" t="s">
        <v>1214</v>
      </c>
      <c r="AJ397" s="460" t="s">
        <v>2549</v>
      </c>
      <c r="AK397" s="460" t="s">
        <v>2672</v>
      </c>
      <c r="AL397" s="560" t="s">
        <v>2692</v>
      </c>
      <c r="AM397" s="460" t="s">
        <v>2674</v>
      </c>
    </row>
    <row r="398" spans="1:39" ht="34.200000000000003">
      <c r="A398" s="460" t="s">
        <v>1810</v>
      </c>
      <c r="B398" s="460"/>
      <c r="C398" s="460" t="s">
        <v>1636</v>
      </c>
      <c r="D398" s="460" t="s">
        <v>2210</v>
      </c>
      <c r="E398" s="460" t="s">
        <v>1835</v>
      </c>
      <c r="F398" s="460" t="s">
        <v>1812</v>
      </c>
      <c r="G398" s="461" t="s">
        <v>1218</v>
      </c>
      <c r="H398" s="461" t="s">
        <v>1039</v>
      </c>
      <c r="I398" s="460" t="s">
        <v>2201</v>
      </c>
      <c r="J398" s="460" t="s">
        <v>1983</v>
      </c>
      <c r="K398" s="460" t="s">
        <v>2669</v>
      </c>
      <c r="L398" s="460" t="s">
        <v>2733</v>
      </c>
      <c r="M398" s="460" t="s">
        <v>2002</v>
      </c>
      <c r="N398" s="460" t="s">
        <v>1986</v>
      </c>
      <c r="O398" s="460" t="s">
        <v>1980</v>
      </c>
      <c r="P398" s="460" t="s">
        <v>1979</v>
      </c>
      <c r="Q398" s="460" t="s">
        <v>95</v>
      </c>
      <c r="R398" s="460" t="s">
        <v>1977</v>
      </c>
      <c r="S398" s="460" t="s">
        <v>1842</v>
      </c>
      <c r="T398" s="460" t="s">
        <v>1827</v>
      </c>
      <c r="U398" s="461" t="s">
        <v>1976</v>
      </c>
      <c r="V398" s="460" t="s">
        <v>1843</v>
      </c>
      <c r="W398" s="560"/>
      <c r="X398" s="461" t="s">
        <v>1824</v>
      </c>
      <c r="Y398" s="461" t="s">
        <v>1824</v>
      </c>
      <c r="Z398" s="461" t="s">
        <v>170</v>
      </c>
      <c r="AA398" s="460" t="s">
        <v>1218</v>
      </c>
      <c r="AB398" s="561">
        <f>ROUND(30.41,2)</f>
        <v>30.41</v>
      </c>
      <c r="AC398" s="460" t="s">
        <v>308</v>
      </c>
      <c r="AD398" s="460"/>
      <c r="AE398" s="561">
        <f>ROUND(70.29,2)</f>
        <v>70.290000000000006</v>
      </c>
      <c r="AF398" s="460" t="s">
        <v>308</v>
      </c>
      <c r="AG398" s="561">
        <f t="shared" si="6"/>
        <v>0</v>
      </c>
      <c r="AH398" s="460" t="s">
        <v>2671</v>
      </c>
      <c r="AI398" s="460" t="s">
        <v>1214</v>
      </c>
      <c r="AJ398" s="460" t="s">
        <v>2548</v>
      </c>
      <c r="AK398" s="460" t="s">
        <v>2672</v>
      </c>
      <c r="AL398" s="560" t="s">
        <v>2673</v>
      </c>
      <c r="AM398" s="460" t="s">
        <v>2674</v>
      </c>
    </row>
    <row r="399" spans="1:39" ht="34.200000000000003">
      <c r="A399" s="460" t="s">
        <v>1810</v>
      </c>
      <c r="B399" s="460"/>
      <c r="C399" s="460" t="s">
        <v>1636</v>
      </c>
      <c r="D399" s="460" t="s">
        <v>2210</v>
      </c>
      <c r="E399" s="460" t="s">
        <v>1835</v>
      </c>
      <c r="F399" s="460" t="s">
        <v>1812</v>
      </c>
      <c r="G399" s="461" t="s">
        <v>1218</v>
      </c>
      <c r="H399" s="461" t="s">
        <v>1039</v>
      </c>
      <c r="I399" s="460" t="s">
        <v>2201</v>
      </c>
      <c r="J399" s="460" t="s">
        <v>1983</v>
      </c>
      <c r="K399" s="460" t="s">
        <v>2669</v>
      </c>
      <c r="L399" s="460" t="s">
        <v>2733</v>
      </c>
      <c r="M399" s="460" t="s">
        <v>2002</v>
      </c>
      <c r="N399" s="460" t="s">
        <v>1986</v>
      </c>
      <c r="O399" s="460" t="s">
        <v>1980</v>
      </c>
      <c r="P399" s="460" t="s">
        <v>2675</v>
      </c>
      <c r="Q399" s="460" t="s">
        <v>2676</v>
      </c>
      <c r="R399" s="460" t="s">
        <v>2677</v>
      </c>
      <c r="S399" s="460" t="s">
        <v>2676</v>
      </c>
      <c r="T399" s="460" t="s">
        <v>1827</v>
      </c>
      <c r="U399" s="461" t="s">
        <v>1824</v>
      </c>
      <c r="V399" s="460" t="s">
        <v>1843</v>
      </c>
      <c r="W399" s="560"/>
      <c r="X399" s="461" t="s">
        <v>1824</v>
      </c>
      <c r="Y399" s="461" t="s">
        <v>1824</v>
      </c>
      <c r="Z399" s="461" t="s">
        <v>170</v>
      </c>
      <c r="AA399" s="460" t="s">
        <v>1218</v>
      </c>
      <c r="AB399" s="561">
        <f>ROUND(0,2)</f>
        <v>0</v>
      </c>
      <c r="AC399" s="460" t="s">
        <v>2678</v>
      </c>
      <c r="AD399" s="460"/>
      <c r="AE399" s="561">
        <f>ROUND(1000,2)</f>
        <v>1000</v>
      </c>
      <c r="AF399" s="460" t="s">
        <v>2679</v>
      </c>
      <c r="AG399" s="561">
        <f t="shared" si="6"/>
        <v>0</v>
      </c>
      <c r="AH399" s="460" t="s">
        <v>2671</v>
      </c>
      <c r="AI399" s="460" t="s">
        <v>1214</v>
      </c>
      <c r="AJ399" s="460"/>
      <c r="AK399" s="460"/>
      <c r="AL399" s="560"/>
      <c r="AM399" s="460"/>
    </row>
    <row r="400" spans="1:39" ht="34.200000000000003">
      <c r="A400" s="460" t="s">
        <v>1810</v>
      </c>
      <c r="B400" s="460"/>
      <c r="C400" s="460" t="s">
        <v>1636</v>
      </c>
      <c r="D400" s="460" t="s">
        <v>2210</v>
      </c>
      <c r="E400" s="460" t="s">
        <v>1835</v>
      </c>
      <c r="F400" s="460" t="s">
        <v>1812</v>
      </c>
      <c r="G400" s="461" t="s">
        <v>1218</v>
      </c>
      <c r="H400" s="461" t="s">
        <v>1039</v>
      </c>
      <c r="I400" s="460" t="s">
        <v>2201</v>
      </c>
      <c r="J400" s="460" t="s">
        <v>1983</v>
      </c>
      <c r="K400" s="460" t="s">
        <v>2669</v>
      </c>
      <c r="L400" s="460" t="s">
        <v>2733</v>
      </c>
      <c r="M400" s="460" t="s">
        <v>2002</v>
      </c>
      <c r="N400" s="460" t="s">
        <v>1986</v>
      </c>
      <c r="O400" s="460" t="s">
        <v>1980</v>
      </c>
      <c r="P400" s="460" t="s">
        <v>1979</v>
      </c>
      <c r="Q400" s="460" t="s">
        <v>1978</v>
      </c>
      <c r="R400" s="460" t="s">
        <v>1977</v>
      </c>
      <c r="S400" s="460" t="s">
        <v>1826</v>
      </c>
      <c r="T400" s="460" t="s">
        <v>1827</v>
      </c>
      <c r="U400" s="461" t="s">
        <v>1976</v>
      </c>
      <c r="V400" s="460" t="s">
        <v>1843</v>
      </c>
      <c r="W400" s="560"/>
      <c r="X400" s="461" t="s">
        <v>1824</v>
      </c>
      <c r="Y400" s="461" t="s">
        <v>1824</v>
      </c>
      <c r="Z400" s="461" t="s">
        <v>170</v>
      </c>
      <c r="AA400" s="460" t="s">
        <v>1218</v>
      </c>
      <c r="AB400" s="561">
        <f>ROUND(321.85,2)</f>
        <v>321.85000000000002</v>
      </c>
      <c r="AC400" s="460" t="s">
        <v>308</v>
      </c>
      <c r="AD400" s="460"/>
      <c r="AE400" s="561">
        <f>ROUND(1809.61,2)</f>
        <v>1809.61</v>
      </c>
      <c r="AF400" s="460" t="s">
        <v>308</v>
      </c>
      <c r="AG400" s="561">
        <f t="shared" si="6"/>
        <v>0</v>
      </c>
      <c r="AH400" s="460" t="s">
        <v>2671</v>
      </c>
      <c r="AI400" s="460" t="s">
        <v>1214</v>
      </c>
      <c r="AJ400" s="460" t="s">
        <v>2549</v>
      </c>
      <c r="AK400" s="460" t="s">
        <v>2672</v>
      </c>
      <c r="AL400" s="560" t="s">
        <v>2712</v>
      </c>
      <c r="AM400" s="460" t="s">
        <v>2674</v>
      </c>
    </row>
    <row r="401" spans="1:39" ht="22.8">
      <c r="A401" s="460" t="s">
        <v>1810</v>
      </c>
      <c r="B401" s="460"/>
      <c r="C401" s="460" t="s">
        <v>1518</v>
      </c>
      <c r="D401" s="460" t="s">
        <v>2209</v>
      </c>
      <c r="E401" s="460" t="s">
        <v>1814</v>
      </c>
      <c r="F401" s="460" t="s">
        <v>1812</v>
      </c>
      <c r="G401" s="461" t="s">
        <v>1218</v>
      </c>
      <c r="H401" s="461" t="s">
        <v>193</v>
      </c>
      <c r="I401" s="460" t="s">
        <v>2208</v>
      </c>
      <c r="J401" s="460" t="s">
        <v>1983</v>
      </c>
      <c r="K401" s="460" t="s">
        <v>2669</v>
      </c>
      <c r="L401" s="460" t="s">
        <v>2703</v>
      </c>
      <c r="M401" s="460" t="s">
        <v>1982</v>
      </c>
      <c r="N401" s="460" t="s">
        <v>1981</v>
      </c>
      <c r="O401" s="460" t="s">
        <v>1980</v>
      </c>
      <c r="P401" s="460" t="s">
        <v>1979</v>
      </c>
      <c r="Q401" s="460" t="s">
        <v>95</v>
      </c>
      <c r="R401" s="460" t="s">
        <v>1977</v>
      </c>
      <c r="S401" s="460" t="s">
        <v>1842</v>
      </c>
      <c r="T401" s="460" t="s">
        <v>1827</v>
      </c>
      <c r="U401" s="461" t="s">
        <v>1976</v>
      </c>
      <c r="V401" s="460" t="s">
        <v>1843</v>
      </c>
      <c r="W401" s="560"/>
      <c r="X401" s="461" t="s">
        <v>1824</v>
      </c>
      <c r="Y401" s="461" t="s">
        <v>1824</v>
      </c>
      <c r="Z401" s="461" t="s">
        <v>170</v>
      </c>
      <c r="AA401" s="460" t="s">
        <v>1218</v>
      </c>
      <c r="AB401" s="561">
        <f>ROUND(30.41,2)</f>
        <v>30.41</v>
      </c>
      <c r="AC401" s="460" t="s">
        <v>308</v>
      </c>
      <c r="AD401" s="460"/>
      <c r="AE401" s="561">
        <f>ROUND(70.29,2)</f>
        <v>70.290000000000006</v>
      </c>
      <c r="AF401" s="460" t="s">
        <v>308</v>
      </c>
      <c r="AG401" s="561">
        <f t="shared" si="6"/>
        <v>0</v>
      </c>
      <c r="AH401" s="460" t="s">
        <v>2671</v>
      </c>
      <c r="AI401" s="460" t="s">
        <v>1214</v>
      </c>
      <c r="AJ401" s="460" t="s">
        <v>2548</v>
      </c>
      <c r="AK401" s="460" t="s">
        <v>2672</v>
      </c>
      <c r="AL401" s="560" t="s">
        <v>2673</v>
      </c>
      <c r="AM401" s="460" t="s">
        <v>2674</v>
      </c>
    </row>
    <row r="402" spans="1:39" ht="22.8">
      <c r="A402" s="460" t="s">
        <v>1810</v>
      </c>
      <c r="B402" s="460"/>
      <c r="C402" s="460" t="s">
        <v>1518</v>
      </c>
      <c r="D402" s="460" t="s">
        <v>2209</v>
      </c>
      <c r="E402" s="460" t="s">
        <v>1814</v>
      </c>
      <c r="F402" s="460" t="s">
        <v>1812</v>
      </c>
      <c r="G402" s="461" t="s">
        <v>1218</v>
      </c>
      <c r="H402" s="461" t="s">
        <v>193</v>
      </c>
      <c r="I402" s="460" t="s">
        <v>2208</v>
      </c>
      <c r="J402" s="460" t="s">
        <v>1983</v>
      </c>
      <c r="K402" s="460" t="s">
        <v>2669</v>
      </c>
      <c r="L402" s="460" t="s">
        <v>2703</v>
      </c>
      <c r="M402" s="460" t="s">
        <v>1982</v>
      </c>
      <c r="N402" s="460" t="s">
        <v>1981</v>
      </c>
      <c r="O402" s="460" t="s">
        <v>1980</v>
      </c>
      <c r="P402" s="460" t="s">
        <v>2675</v>
      </c>
      <c r="Q402" s="460" t="s">
        <v>2676</v>
      </c>
      <c r="R402" s="460" t="s">
        <v>2677</v>
      </c>
      <c r="S402" s="460" t="s">
        <v>2676</v>
      </c>
      <c r="T402" s="460" t="s">
        <v>1827</v>
      </c>
      <c r="U402" s="461" t="s">
        <v>1824</v>
      </c>
      <c r="V402" s="460" t="s">
        <v>1843</v>
      </c>
      <c r="W402" s="560"/>
      <c r="X402" s="461" t="s">
        <v>2822</v>
      </c>
      <c r="Y402" s="461" t="s">
        <v>2822</v>
      </c>
      <c r="Z402" s="461" t="s">
        <v>170</v>
      </c>
      <c r="AA402" s="460" t="s">
        <v>1218</v>
      </c>
      <c r="AB402" s="561">
        <f>ROUND(0,2)</f>
        <v>0</v>
      </c>
      <c r="AC402" s="460" t="s">
        <v>2678</v>
      </c>
      <c r="AD402" s="460"/>
      <c r="AE402" s="561">
        <f>ROUND(1000,2)</f>
        <v>1000</v>
      </c>
      <c r="AF402" s="460" t="s">
        <v>2679</v>
      </c>
      <c r="AG402" s="561">
        <f t="shared" si="6"/>
        <v>0</v>
      </c>
      <c r="AH402" s="460" t="s">
        <v>2671</v>
      </c>
      <c r="AI402" s="460" t="s">
        <v>1214</v>
      </c>
      <c r="AJ402" s="460"/>
      <c r="AK402" s="460"/>
      <c r="AL402" s="560"/>
      <c r="AM402" s="460"/>
    </row>
    <row r="403" spans="1:39" ht="22.8">
      <c r="A403" s="460" t="s">
        <v>1810</v>
      </c>
      <c r="B403" s="460"/>
      <c r="C403" s="460" t="s">
        <v>1518</v>
      </c>
      <c r="D403" s="460" t="s">
        <v>2209</v>
      </c>
      <c r="E403" s="460" t="s">
        <v>1814</v>
      </c>
      <c r="F403" s="460" t="s">
        <v>1812</v>
      </c>
      <c r="G403" s="461" t="s">
        <v>1218</v>
      </c>
      <c r="H403" s="461" t="s">
        <v>193</v>
      </c>
      <c r="I403" s="460" t="s">
        <v>2208</v>
      </c>
      <c r="J403" s="460" t="s">
        <v>1983</v>
      </c>
      <c r="K403" s="460" t="s">
        <v>2669</v>
      </c>
      <c r="L403" s="460" t="s">
        <v>2703</v>
      </c>
      <c r="M403" s="460" t="s">
        <v>1982</v>
      </c>
      <c r="N403" s="460" t="s">
        <v>1981</v>
      </c>
      <c r="O403" s="460" t="s">
        <v>1980</v>
      </c>
      <c r="P403" s="460" t="s">
        <v>1979</v>
      </c>
      <c r="Q403" s="460" t="s">
        <v>1978</v>
      </c>
      <c r="R403" s="460" t="s">
        <v>1977</v>
      </c>
      <c r="S403" s="460" t="s">
        <v>1826</v>
      </c>
      <c r="T403" s="460" t="s">
        <v>1827</v>
      </c>
      <c r="U403" s="461" t="s">
        <v>1976</v>
      </c>
      <c r="V403" s="460" t="s">
        <v>1843</v>
      </c>
      <c r="W403" s="560"/>
      <c r="X403" s="461" t="s">
        <v>1824</v>
      </c>
      <c r="Y403" s="461" t="s">
        <v>2822</v>
      </c>
      <c r="Z403" s="461" t="s">
        <v>170</v>
      </c>
      <c r="AA403" s="460" t="s">
        <v>1218</v>
      </c>
      <c r="AB403" s="561">
        <f>ROUND(475.32,2)</f>
        <v>475.32</v>
      </c>
      <c r="AC403" s="460" t="s">
        <v>308</v>
      </c>
      <c r="AD403" s="460"/>
      <c r="AE403" s="561">
        <f>ROUND(1656.14,2)</f>
        <v>1656.14</v>
      </c>
      <c r="AF403" s="460" t="s">
        <v>308</v>
      </c>
      <c r="AG403" s="561">
        <f t="shared" si="6"/>
        <v>0</v>
      </c>
      <c r="AH403" s="460" t="s">
        <v>2671</v>
      </c>
      <c r="AI403" s="460" t="s">
        <v>1214</v>
      </c>
      <c r="AJ403" s="460" t="s">
        <v>2549</v>
      </c>
      <c r="AK403" s="460" t="s">
        <v>2672</v>
      </c>
      <c r="AL403" s="560" t="s">
        <v>2718</v>
      </c>
      <c r="AM403" s="460" t="s">
        <v>2674</v>
      </c>
    </row>
    <row r="404" spans="1:39" ht="22.8">
      <c r="A404" s="460" t="s">
        <v>1810</v>
      </c>
      <c r="B404" s="460"/>
      <c r="C404" s="460" t="s">
        <v>1728</v>
      </c>
      <c r="D404" s="460" t="s">
        <v>2207</v>
      </c>
      <c r="E404" s="460" t="s">
        <v>1821</v>
      </c>
      <c r="F404" s="460" t="s">
        <v>1812</v>
      </c>
      <c r="G404" s="461" t="s">
        <v>1218</v>
      </c>
      <c r="H404" s="461" t="s">
        <v>1845</v>
      </c>
      <c r="I404" s="460" t="s">
        <v>2107</v>
      </c>
      <c r="J404" s="460" t="s">
        <v>1990</v>
      </c>
      <c r="K404" s="460" t="s">
        <v>2669</v>
      </c>
      <c r="L404" s="460" t="s">
        <v>2714</v>
      </c>
      <c r="M404" s="460" t="s">
        <v>1994</v>
      </c>
      <c r="N404" s="460" t="s">
        <v>1981</v>
      </c>
      <c r="O404" s="460" t="s">
        <v>1980</v>
      </c>
      <c r="P404" s="460" t="s">
        <v>1979</v>
      </c>
      <c r="Q404" s="460" t="s">
        <v>95</v>
      </c>
      <c r="R404" s="460" t="s">
        <v>1977</v>
      </c>
      <c r="S404" s="460" t="s">
        <v>1842</v>
      </c>
      <c r="T404" s="460" t="s">
        <v>1827</v>
      </c>
      <c r="U404" s="461" t="s">
        <v>1976</v>
      </c>
      <c r="V404" s="460" t="s">
        <v>1119</v>
      </c>
      <c r="W404" s="560"/>
      <c r="X404" s="461" t="s">
        <v>2061</v>
      </c>
      <c r="Y404" s="461" t="s">
        <v>2061</v>
      </c>
      <c r="Z404" s="461" t="s">
        <v>170</v>
      </c>
      <c r="AA404" s="460" t="s">
        <v>1218</v>
      </c>
      <c r="AB404" s="561">
        <f>ROUND(0,2)</f>
        <v>0</v>
      </c>
      <c r="AC404" s="460" t="s">
        <v>308</v>
      </c>
      <c r="AD404" s="460"/>
      <c r="AE404" s="561">
        <f>ROUND(36.23,2)</f>
        <v>36.229999999999997</v>
      </c>
      <c r="AF404" s="460" t="s">
        <v>308</v>
      </c>
      <c r="AG404" s="561">
        <f t="shared" si="6"/>
        <v>0</v>
      </c>
      <c r="AH404" s="460" t="s">
        <v>2671</v>
      </c>
      <c r="AI404" s="460" t="s">
        <v>1214</v>
      </c>
      <c r="AJ404" s="460"/>
      <c r="AK404" s="460"/>
      <c r="AL404" s="560"/>
      <c r="AM404" s="460"/>
    </row>
    <row r="405" spans="1:39" ht="22.8">
      <c r="A405" s="460" t="s">
        <v>1810</v>
      </c>
      <c r="B405" s="460"/>
      <c r="C405" s="460" t="s">
        <v>1728</v>
      </c>
      <c r="D405" s="460" t="s">
        <v>2207</v>
      </c>
      <c r="E405" s="460" t="s">
        <v>1821</v>
      </c>
      <c r="F405" s="460" t="s">
        <v>1812</v>
      </c>
      <c r="G405" s="461" t="s">
        <v>1218</v>
      </c>
      <c r="H405" s="461" t="s">
        <v>1845</v>
      </c>
      <c r="I405" s="460" t="s">
        <v>2107</v>
      </c>
      <c r="J405" s="460" t="s">
        <v>1990</v>
      </c>
      <c r="K405" s="460" t="s">
        <v>2669</v>
      </c>
      <c r="L405" s="460" t="s">
        <v>2714</v>
      </c>
      <c r="M405" s="460" t="s">
        <v>1994</v>
      </c>
      <c r="N405" s="460" t="s">
        <v>1981</v>
      </c>
      <c r="O405" s="460" t="s">
        <v>1980</v>
      </c>
      <c r="P405" s="460" t="s">
        <v>2675</v>
      </c>
      <c r="Q405" s="460" t="s">
        <v>2676</v>
      </c>
      <c r="R405" s="460" t="s">
        <v>2677</v>
      </c>
      <c r="S405" s="460" t="s">
        <v>2676</v>
      </c>
      <c r="T405" s="460" t="s">
        <v>1827</v>
      </c>
      <c r="U405" s="461" t="s">
        <v>1824</v>
      </c>
      <c r="V405" s="460" t="s">
        <v>1119</v>
      </c>
      <c r="W405" s="560"/>
      <c r="X405" s="461" t="s">
        <v>2061</v>
      </c>
      <c r="Y405" s="461" t="s">
        <v>2683</v>
      </c>
      <c r="Z405" s="461" t="s">
        <v>170</v>
      </c>
      <c r="AA405" s="460" t="s">
        <v>1218</v>
      </c>
      <c r="AB405" s="561">
        <f>ROUND(10,2)</f>
        <v>10</v>
      </c>
      <c r="AC405" s="460" t="s">
        <v>2678</v>
      </c>
      <c r="AD405" s="460"/>
      <c r="AE405" s="561">
        <f>ROUND(500.05,2)</f>
        <v>500.05</v>
      </c>
      <c r="AF405" s="460" t="s">
        <v>2679</v>
      </c>
      <c r="AG405" s="561">
        <f t="shared" si="6"/>
        <v>0</v>
      </c>
      <c r="AH405" s="460" t="s">
        <v>2671</v>
      </c>
      <c r="AI405" s="460" t="s">
        <v>1214</v>
      </c>
      <c r="AJ405" s="460" t="s">
        <v>2550</v>
      </c>
      <c r="AK405" s="460" t="s">
        <v>2672</v>
      </c>
      <c r="AL405" s="560" t="s">
        <v>2725</v>
      </c>
      <c r="AM405" s="460" t="s">
        <v>2674</v>
      </c>
    </row>
    <row r="406" spans="1:39" ht="22.8">
      <c r="A406" s="460" t="s">
        <v>1810</v>
      </c>
      <c r="B406" s="460"/>
      <c r="C406" s="460" t="s">
        <v>1728</v>
      </c>
      <c r="D406" s="460" t="s">
        <v>2207</v>
      </c>
      <c r="E406" s="460" t="s">
        <v>1821</v>
      </c>
      <c r="F406" s="460" t="s">
        <v>1812</v>
      </c>
      <c r="G406" s="461" t="s">
        <v>1218</v>
      </c>
      <c r="H406" s="461" t="s">
        <v>1845</v>
      </c>
      <c r="I406" s="460" t="s">
        <v>2107</v>
      </c>
      <c r="J406" s="460" t="s">
        <v>1990</v>
      </c>
      <c r="K406" s="460" t="s">
        <v>2669</v>
      </c>
      <c r="L406" s="460" t="s">
        <v>2714</v>
      </c>
      <c r="M406" s="460" t="s">
        <v>1994</v>
      </c>
      <c r="N406" s="460" t="s">
        <v>1981</v>
      </c>
      <c r="O406" s="460" t="s">
        <v>1980</v>
      </c>
      <c r="P406" s="460" t="s">
        <v>1979</v>
      </c>
      <c r="Q406" s="460" t="s">
        <v>1978</v>
      </c>
      <c r="R406" s="460" t="s">
        <v>1977</v>
      </c>
      <c r="S406" s="460" t="s">
        <v>1826</v>
      </c>
      <c r="T406" s="460" t="s">
        <v>1827</v>
      </c>
      <c r="U406" s="461" t="s">
        <v>1976</v>
      </c>
      <c r="V406" s="460" t="s">
        <v>1119</v>
      </c>
      <c r="W406" s="560"/>
      <c r="X406" s="461" t="s">
        <v>2061</v>
      </c>
      <c r="Y406" s="461" t="s">
        <v>2061</v>
      </c>
      <c r="Z406" s="461" t="s">
        <v>170</v>
      </c>
      <c r="AA406" s="460" t="s">
        <v>1218</v>
      </c>
      <c r="AB406" s="561">
        <f>ROUND(29.05,2)</f>
        <v>29.05</v>
      </c>
      <c r="AC406" s="460" t="s">
        <v>308</v>
      </c>
      <c r="AD406" s="460"/>
      <c r="AE406" s="561">
        <f>ROUND(825.23,2)</f>
        <v>825.23</v>
      </c>
      <c r="AF406" s="460" t="s">
        <v>308</v>
      </c>
      <c r="AG406" s="561">
        <f t="shared" si="6"/>
        <v>0</v>
      </c>
      <c r="AH406" s="460" t="s">
        <v>2671</v>
      </c>
      <c r="AI406" s="460" t="s">
        <v>1214</v>
      </c>
      <c r="AJ406" s="460" t="s">
        <v>2549</v>
      </c>
      <c r="AK406" s="460" t="s">
        <v>2672</v>
      </c>
      <c r="AL406" s="560" t="s">
        <v>2692</v>
      </c>
      <c r="AM406" s="460" t="s">
        <v>2674</v>
      </c>
    </row>
    <row r="407" spans="1:39" ht="22.8">
      <c r="A407" s="460" t="s">
        <v>1810</v>
      </c>
      <c r="B407" s="460"/>
      <c r="C407" s="460" t="s">
        <v>2456</v>
      </c>
      <c r="D407" s="460" t="s">
        <v>2823</v>
      </c>
      <c r="E407" s="460" t="s">
        <v>1814</v>
      </c>
      <c r="F407" s="460" t="s">
        <v>1812</v>
      </c>
      <c r="G407" s="461" t="s">
        <v>1218</v>
      </c>
      <c r="H407" s="461" t="s">
        <v>2824</v>
      </c>
      <c r="I407" s="460" t="s">
        <v>2825</v>
      </c>
      <c r="J407" s="460" t="s">
        <v>1990</v>
      </c>
      <c r="K407" s="460" t="s">
        <v>2669</v>
      </c>
      <c r="L407" s="460" t="s">
        <v>2715</v>
      </c>
      <c r="M407" s="460" t="s">
        <v>1982</v>
      </c>
      <c r="N407" s="460" t="s">
        <v>1981</v>
      </c>
      <c r="O407" s="460" t="s">
        <v>2001</v>
      </c>
      <c r="P407" s="460" t="s">
        <v>1979</v>
      </c>
      <c r="Q407" s="460" t="s">
        <v>95</v>
      </c>
      <c r="R407" s="460" t="s">
        <v>1977</v>
      </c>
      <c r="S407" s="460" t="s">
        <v>1842</v>
      </c>
      <c r="T407" s="460" t="s">
        <v>1827</v>
      </c>
      <c r="U407" s="461" t="s">
        <v>1976</v>
      </c>
      <c r="V407" s="460" t="s">
        <v>1119</v>
      </c>
      <c r="W407" s="560"/>
      <c r="X407" s="461" t="s">
        <v>2789</v>
      </c>
      <c r="Y407" s="461" t="s">
        <v>2789</v>
      </c>
      <c r="Z407" s="461" t="s">
        <v>170</v>
      </c>
      <c r="AA407" s="460" t="s">
        <v>1218</v>
      </c>
      <c r="AB407" s="561">
        <f>ROUND(0,2)</f>
        <v>0</v>
      </c>
      <c r="AC407" s="460" t="s">
        <v>308</v>
      </c>
      <c r="AD407" s="460"/>
      <c r="AE407" s="561">
        <f>ROUND(36.23,2)</f>
        <v>36.229999999999997</v>
      </c>
      <c r="AF407" s="460" t="s">
        <v>308</v>
      </c>
      <c r="AG407" s="561">
        <f t="shared" si="6"/>
        <v>0</v>
      </c>
      <c r="AH407" s="460" t="s">
        <v>2671</v>
      </c>
      <c r="AI407" s="460" t="s">
        <v>1214</v>
      </c>
      <c r="AJ407" s="460"/>
      <c r="AK407" s="460"/>
      <c r="AL407" s="560"/>
      <c r="AM407" s="460"/>
    </row>
    <row r="408" spans="1:39" ht="22.8">
      <c r="A408" s="460" t="s">
        <v>1810</v>
      </c>
      <c r="B408" s="460"/>
      <c r="C408" s="460" t="s">
        <v>2456</v>
      </c>
      <c r="D408" s="460" t="s">
        <v>2823</v>
      </c>
      <c r="E408" s="460" t="s">
        <v>1814</v>
      </c>
      <c r="F408" s="460" t="s">
        <v>1812</v>
      </c>
      <c r="G408" s="461" t="s">
        <v>1218</v>
      </c>
      <c r="H408" s="461" t="s">
        <v>2824</v>
      </c>
      <c r="I408" s="460" t="s">
        <v>2825</v>
      </c>
      <c r="J408" s="460" t="s">
        <v>1990</v>
      </c>
      <c r="K408" s="460" t="s">
        <v>2669</v>
      </c>
      <c r="L408" s="460" t="s">
        <v>2715</v>
      </c>
      <c r="M408" s="460" t="s">
        <v>1982</v>
      </c>
      <c r="N408" s="460" t="s">
        <v>1981</v>
      </c>
      <c r="O408" s="460" t="s">
        <v>2001</v>
      </c>
      <c r="P408" s="460" t="s">
        <v>2675</v>
      </c>
      <c r="Q408" s="460" t="s">
        <v>2676</v>
      </c>
      <c r="R408" s="460" t="s">
        <v>2677</v>
      </c>
      <c r="S408" s="460" t="s">
        <v>2676</v>
      </c>
      <c r="T408" s="460" t="s">
        <v>1827</v>
      </c>
      <c r="U408" s="461" t="s">
        <v>1824</v>
      </c>
      <c r="V408" s="460" t="s">
        <v>1119</v>
      </c>
      <c r="W408" s="560"/>
      <c r="X408" s="461" t="s">
        <v>2789</v>
      </c>
      <c r="Y408" s="461" t="s">
        <v>2789</v>
      </c>
      <c r="Z408" s="461" t="s">
        <v>170</v>
      </c>
      <c r="AA408" s="460" t="s">
        <v>1218</v>
      </c>
      <c r="AB408" s="561">
        <f>ROUND(0,2)</f>
        <v>0</v>
      </c>
      <c r="AC408" s="460" t="s">
        <v>2678</v>
      </c>
      <c r="AD408" s="460"/>
      <c r="AE408" s="561">
        <f>ROUND(500.05,2)</f>
        <v>500.05</v>
      </c>
      <c r="AF408" s="460" t="s">
        <v>2679</v>
      </c>
      <c r="AG408" s="561">
        <f t="shared" si="6"/>
        <v>0</v>
      </c>
      <c r="AH408" s="460" t="s">
        <v>2671</v>
      </c>
      <c r="AI408" s="460" t="s">
        <v>1214</v>
      </c>
      <c r="AJ408" s="460"/>
      <c r="AK408" s="460"/>
      <c r="AL408" s="560"/>
      <c r="AM408" s="460"/>
    </row>
    <row r="409" spans="1:39" ht="22.8">
      <c r="A409" s="460" t="s">
        <v>1810</v>
      </c>
      <c r="B409" s="460"/>
      <c r="C409" s="460" t="s">
        <v>2456</v>
      </c>
      <c r="D409" s="460" t="s">
        <v>2823</v>
      </c>
      <c r="E409" s="460" t="s">
        <v>1814</v>
      </c>
      <c r="F409" s="460" t="s">
        <v>1812</v>
      </c>
      <c r="G409" s="461" t="s">
        <v>1218</v>
      </c>
      <c r="H409" s="461" t="s">
        <v>2824</v>
      </c>
      <c r="I409" s="460" t="s">
        <v>2825</v>
      </c>
      <c r="J409" s="460" t="s">
        <v>1990</v>
      </c>
      <c r="K409" s="460" t="s">
        <v>2669</v>
      </c>
      <c r="L409" s="460" t="s">
        <v>2715</v>
      </c>
      <c r="M409" s="460" t="s">
        <v>1982</v>
      </c>
      <c r="N409" s="460" t="s">
        <v>1981</v>
      </c>
      <c r="O409" s="460" t="s">
        <v>2001</v>
      </c>
      <c r="P409" s="460" t="s">
        <v>1979</v>
      </c>
      <c r="Q409" s="460" t="s">
        <v>1978</v>
      </c>
      <c r="R409" s="460" t="s">
        <v>1977</v>
      </c>
      <c r="S409" s="460" t="s">
        <v>1826</v>
      </c>
      <c r="T409" s="460" t="s">
        <v>1827</v>
      </c>
      <c r="U409" s="461" t="s">
        <v>1976</v>
      </c>
      <c r="V409" s="460" t="s">
        <v>1119</v>
      </c>
      <c r="W409" s="560"/>
      <c r="X409" s="461" t="s">
        <v>2789</v>
      </c>
      <c r="Y409" s="461" t="s">
        <v>2789</v>
      </c>
      <c r="Z409" s="461" t="s">
        <v>170</v>
      </c>
      <c r="AA409" s="460" t="s">
        <v>1218</v>
      </c>
      <c r="AB409" s="561">
        <f>ROUND(35.03,2)</f>
        <v>35.03</v>
      </c>
      <c r="AC409" s="460" t="s">
        <v>308</v>
      </c>
      <c r="AD409" s="460"/>
      <c r="AE409" s="561">
        <f>ROUND(819.25,2)</f>
        <v>819.25</v>
      </c>
      <c r="AF409" s="460" t="s">
        <v>308</v>
      </c>
      <c r="AG409" s="561">
        <f t="shared" si="6"/>
        <v>0</v>
      </c>
      <c r="AH409" s="460" t="s">
        <v>2671</v>
      </c>
      <c r="AI409" s="460" t="s">
        <v>1214</v>
      </c>
      <c r="AJ409" s="460" t="s">
        <v>2549</v>
      </c>
      <c r="AK409" s="460" t="s">
        <v>2672</v>
      </c>
      <c r="AL409" s="560" t="s">
        <v>2694</v>
      </c>
      <c r="AM409" s="460" t="s">
        <v>2674</v>
      </c>
    </row>
    <row r="410" spans="1:39" ht="22.8">
      <c r="A410" s="460" t="s">
        <v>1810</v>
      </c>
      <c r="B410" s="460"/>
      <c r="C410" s="460" t="s">
        <v>2458</v>
      </c>
      <c r="D410" s="460" t="s">
        <v>2826</v>
      </c>
      <c r="E410" s="460" t="s">
        <v>1821</v>
      </c>
      <c r="F410" s="460" t="s">
        <v>1812</v>
      </c>
      <c r="G410" s="461" t="s">
        <v>1218</v>
      </c>
      <c r="H410" s="461" t="s">
        <v>2824</v>
      </c>
      <c r="I410" s="460" t="s">
        <v>2353</v>
      </c>
      <c r="J410" s="460" t="s">
        <v>1983</v>
      </c>
      <c r="K410" s="460" t="s">
        <v>2669</v>
      </c>
      <c r="L410" s="460" t="s">
        <v>2714</v>
      </c>
      <c r="M410" s="460" t="s">
        <v>1994</v>
      </c>
      <c r="N410" s="460" t="s">
        <v>1981</v>
      </c>
      <c r="O410" s="460" t="s">
        <v>1980</v>
      </c>
      <c r="P410" s="460" t="s">
        <v>1979</v>
      </c>
      <c r="Q410" s="460" t="s">
        <v>95</v>
      </c>
      <c r="R410" s="460" t="s">
        <v>1977</v>
      </c>
      <c r="S410" s="460" t="s">
        <v>1842</v>
      </c>
      <c r="T410" s="460" t="s">
        <v>1827</v>
      </c>
      <c r="U410" s="461" t="s">
        <v>1976</v>
      </c>
      <c r="V410" s="460" t="s">
        <v>1119</v>
      </c>
      <c r="W410" s="560"/>
      <c r="X410" s="461" t="s">
        <v>2789</v>
      </c>
      <c r="Y410" s="461" t="s">
        <v>2789</v>
      </c>
      <c r="Z410" s="461" t="s">
        <v>170</v>
      </c>
      <c r="AA410" s="460" t="s">
        <v>1218</v>
      </c>
      <c r="AB410" s="561">
        <f>ROUND(0,2)</f>
        <v>0</v>
      </c>
      <c r="AC410" s="460" t="s">
        <v>308</v>
      </c>
      <c r="AD410" s="460"/>
      <c r="AE410" s="561">
        <f>ROUND(36.23,2)</f>
        <v>36.229999999999997</v>
      </c>
      <c r="AF410" s="460" t="s">
        <v>308</v>
      </c>
      <c r="AG410" s="561">
        <f t="shared" si="6"/>
        <v>0</v>
      </c>
      <c r="AH410" s="460" t="s">
        <v>2671</v>
      </c>
      <c r="AI410" s="460" t="s">
        <v>1214</v>
      </c>
      <c r="AJ410" s="460"/>
      <c r="AK410" s="460"/>
      <c r="AL410" s="560"/>
      <c r="AM410" s="460"/>
    </row>
    <row r="411" spans="1:39" ht="22.8">
      <c r="A411" s="460" t="s">
        <v>1810</v>
      </c>
      <c r="B411" s="460"/>
      <c r="C411" s="460" t="s">
        <v>2458</v>
      </c>
      <c r="D411" s="460" t="s">
        <v>2826</v>
      </c>
      <c r="E411" s="460" t="s">
        <v>1821</v>
      </c>
      <c r="F411" s="460" t="s">
        <v>1812</v>
      </c>
      <c r="G411" s="461" t="s">
        <v>1218</v>
      </c>
      <c r="H411" s="461" t="s">
        <v>2824</v>
      </c>
      <c r="I411" s="460" t="s">
        <v>2353</v>
      </c>
      <c r="J411" s="460" t="s">
        <v>1983</v>
      </c>
      <c r="K411" s="460" t="s">
        <v>2669</v>
      </c>
      <c r="L411" s="460" t="s">
        <v>2714</v>
      </c>
      <c r="M411" s="460" t="s">
        <v>1994</v>
      </c>
      <c r="N411" s="460" t="s">
        <v>1981</v>
      </c>
      <c r="O411" s="460" t="s">
        <v>1980</v>
      </c>
      <c r="P411" s="460" t="s">
        <v>2675</v>
      </c>
      <c r="Q411" s="460" t="s">
        <v>2676</v>
      </c>
      <c r="R411" s="460" t="s">
        <v>2677</v>
      </c>
      <c r="S411" s="460" t="s">
        <v>2676</v>
      </c>
      <c r="T411" s="460" t="s">
        <v>1827</v>
      </c>
      <c r="U411" s="461" t="s">
        <v>1824</v>
      </c>
      <c r="V411" s="460" t="s">
        <v>1119</v>
      </c>
      <c r="W411" s="560"/>
      <c r="X411" s="461" t="s">
        <v>2789</v>
      </c>
      <c r="Y411" s="461" t="s">
        <v>2789</v>
      </c>
      <c r="Z411" s="461" t="s">
        <v>170</v>
      </c>
      <c r="AA411" s="460" t="s">
        <v>1218</v>
      </c>
      <c r="AB411" s="561">
        <f>ROUND(50,2)</f>
        <v>50</v>
      </c>
      <c r="AC411" s="460" t="s">
        <v>2678</v>
      </c>
      <c r="AD411" s="460"/>
      <c r="AE411" s="561">
        <f>ROUND(500.05,2)</f>
        <v>500.05</v>
      </c>
      <c r="AF411" s="460" t="s">
        <v>2679</v>
      </c>
      <c r="AG411" s="561">
        <f t="shared" si="6"/>
        <v>0</v>
      </c>
      <c r="AH411" s="460" t="s">
        <v>2671</v>
      </c>
      <c r="AI411" s="460" t="s">
        <v>1214</v>
      </c>
      <c r="AJ411" s="460" t="s">
        <v>2550</v>
      </c>
      <c r="AK411" s="460" t="s">
        <v>2672</v>
      </c>
      <c r="AL411" s="560" t="s">
        <v>2690</v>
      </c>
      <c r="AM411" s="460" t="s">
        <v>2674</v>
      </c>
    </row>
    <row r="412" spans="1:39" ht="22.8">
      <c r="A412" s="460" t="s">
        <v>1810</v>
      </c>
      <c r="B412" s="460"/>
      <c r="C412" s="460" t="s">
        <v>2458</v>
      </c>
      <c r="D412" s="460" t="s">
        <v>2826</v>
      </c>
      <c r="E412" s="460" t="s">
        <v>1821</v>
      </c>
      <c r="F412" s="460" t="s">
        <v>1812</v>
      </c>
      <c r="G412" s="461" t="s">
        <v>1218</v>
      </c>
      <c r="H412" s="461" t="s">
        <v>2824</v>
      </c>
      <c r="I412" s="460" t="s">
        <v>2353</v>
      </c>
      <c r="J412" s="460" t="s">
        <v>1983</v>
      </c>
      <c r="K412" s="460" t="s">
        <v>2669</v>
      </c>
      <c r="L412" s="460" t="s">
        <v>2714</v>
      </c>
      <c r="M412" s="460" t="s">
        <v>1994</v>
      </c>
      <c r="N412" s="460" t="s">
        <v>1981</v>
      </c>
      <c r="O412" s="460" t="s">
        <v>1980</v>
      </c>
      <c r="P412" s="460" t="s">
        <v>1979</v>
      </c>
      <c r="Q412" s="460" t="s">
        <v>1978</v>
      </c>
      <c r="R412" s="460" t="s">
        <v>1977</v>
      </c>
      <c r="S412" s="460" t="s">
        <v>1826</v>
      </c>
      <c r="T412" s="460" t="s">
        <v>1827</v>
      </c>
      <c r="U412" s="461" t="s">
        <v>1976</v>
      </c>
      <c r="V412" s="460" t="s">
        <v>1119</v>
      </c>
      <c r="W412" s="560"/>
      <c r="X412" s="461" t="s">
        <v>2789</v>
      </c>
      <c r="Y412" s="461" t="s">
        <v>2789</v>
      </c>
      <c r="Z412" s="461" t="s">
        <v>170</v>
      </c>
      <c r="AA412" s="460" t="s">
        <v>1218</v>
      </c>
      <c r="AB412" s="561">
        <f>ROUND(29.05,2)</f>
        <v>29.05</v>
      </c>
      <c r="AC412" s="460" t="s">
        <v>308</v>
      </c>
      <c r="AD412" s="460"/>
      <c r="AE412" s="561">
        <f>ROUND(825.23,2)</f>
        <v>825.23</v>
      </c>
      <c r="AF412" s="460" t="s">
        <v>308</v>
      </c>
      <c r="AG412" s="561">
        <f t="shared" si="6"/>
        <v>0</v>
      </c>
      <c r="AH412" s="460" t="s">
        <v>2671</v>
      </c>
      <c r="AI412" s="460" t="s">
        <v>1214</v>
      </c>
      <c r="AJ412" s="460" t="s">
        <v>2549</v>
      </c>
      <c r="AK412" s="460" t="s">
        <v>2672</v>
      </c>
      <c r="AL412" s="560" t="s">
        <v>2692</v>
      </c>
      <c r="AM412" s="460" t="s">
        <v>2674</v>
      </c>
    </row>
    <row r="413" spans="1:39" ht="34.200000000000003">
      <c r="A413" s="460" t="s">
        <v>1810</v>
      </c>
      <c r="B413" s="460"/>
      <c r="C413" s="460" t="s">
        <v>1385</v>
      </c>
      <c r="D413" s="460" t="s">
        <v>2206</v>
      </c>
      <c r="E413" s="460" t="s">
        <v>1844</v>
      </c>
      <c r="F413" s="460" t="s">
        <v>1812</v>
      </c>
      <c r="G413" s="461" t="s">
        <v>1218</v>
      </c>
      <c r="H413" s="461" t="s">
        <v>299</v>
      </c>
      <c r="I413" s="460" t="s">
        <v>2140</v>
      </c>
      <c r="J413" s="460" t="s">
        <v>1983</v>
      </c>
      <c r="K413" s="460" t="s">
        <v>2669</v>
      </c>
      <c r="L413" s="460" t="s">
        <v>2767</v>
      </c>
      <c r="M413" s="460" t="s">
        <v>1987</v>
      </c>
      <c r="N413" s="460" t="s">
        <v>2025</v>
      </c>
      <c r="O413" s="460" t="s">
        <v>1980</v>
      </c>
      <c r="P413" s="460" t="s">
        <v>1979</v>
      </c>
      <c r="Q413" s="460" t="s">
        <v>95</v>
      </c>
      <c r="R413" s="460" t="s">
        <v>1977</v>
      </c>
      <c r="S413" s="460" t="s">
        <v>1842</v>
      </c>
      <c r="T413" s="460" t="s">
        <v>1827</v>
      </c>
      <c r="U413" s="461" t="s">
        <v>1976</v>
      </c>
      <c r="V413" s="460" t="s">
        <v>1843</v>
      </c>
      <c r="W413" s="560"/>
      <c r="X413" s="461" t="s">
        <v>1824</v>
      </c>
      <c r="Y413" s="461" t="s">
        <v>1824</v>
      </c>
      <c r="Z413" s="461" t="s">
        <v>170</v>
      </c>
      <c r="AA413" s="460" t="s">
        <v>1218</v>
      </c>
      <c r="AB413" s="561">
        <f>ROUND(30.41,2)</f>
        <v>30.41</v>
      </c>
      <c r="AC413" s="460" t="s">
        <v>308</v>
      </c>
      <c r="AD413" s="460"/>
      <c r="AE413" s="561">
        <f>ROUND(70.29,2)</f>
        <v>70.290000000000006</v>
      </c>
      <c r="AF413" s="460" t="s">
        <v>308</v>
      </c>
      <c r="AG413" s="561">
        <f t="shared" si="6"/>
        <v>0</v>
      </c>
      <c r="AH413" s="460" t="s">
        <v>2671</v>
      </c>
      <c r="AI413" s="460" t="s">
        <v>1214</v>
      </c>
      <c r="AJ413" s="460" t="s">
        <v>2548</v>
      </c>
      <c r="AK413" s="460" t="s">
        <v>2672</v>
      </c>
      <c r="AL413" s="560" t="s">
        <v>2673</v>
      </c>
      <c r="AM413" s="460" t="s">
        <v>2674</v>
      </c>
    </row>
    <row r="414" spans="1:39" ht="34.200000000000003">
      <c r="A414" s="460" t="s">
        <v>1810</v>
      </c>
      <c r="B414" s="460"/>
      <c r="C414" s="460" t="s">
        <v>1385</v>
      </c>
      <c r="D414" s="460" t="s">
        <v>2206</v>
      </c>
      <c r="E414" s="460" t="s">
        <v>1844</v>
      </c>
      <c r="F414" s="460" t="s">
        <v>1812</v>
      </c>
      <c r="G414" s="461" t="s">
        <v>1218</v>
      </c>
      <c r="H414" s="461" t="s">
        <v>299</v>
      </c>
      <c r="I414" s="460" t="s">
        <v>2140</v>
      </c>
      <c r="J414" s="460" t="s">
        <v>1983</v>
      </c>
      <c r="K414" s="460" t="s">
        <v>2669</v>
      </c>
      <c r="L414" s="460" t="s">
        <v>2767</v>
      </c>
      <c r="M414" s="460" t="s">
        <v>1987</v>
      </c>
      <c r="N414" s="460" t="s">
        <v>2025</v>
      </c>
      <c r="O414" s="460" t="s">
        <v>1980</v>
      </c>
      <c r="P414" s="460" t="s">
        <v>2675</v>
      </c>
      <c r="Q414" s="460" t="s">
        <v>2676</v>
      </c>
      <c r="R414" s="460" t="s">
        <v>2677</v>
      </c>
      <c r="S414" s="460" t="s">
        <v>2676</v>
      </c>
      <c r="T414" s="460" t="s">
        <v>1827</v>
      </c>
      <c r="U414" s="461" t="s">
        <v>1824</v>
      </c>
      <c r="V414" s="460" t="s">
        <v>1843</v>
      </c>
      <c r="W414" s="560"/>
      <c r="X414" s="461" t="s">
        <v>1824</v>
      </c>
      <c r="Y414" s="461" t="s">
        <v>1824</v>
      </c>
      <c r="Z414" s="461" t="s">
        <v>170</v>
      </c>
      <c r="AA414" s="460" t="s">
        <v>1218</v>
      </c>
      <c r="AB414" s="561">
        <f>ROUND(100,2)</f>
        <v>100</v>
      </c>
      <c r="AC414" s="460" t="s">
        <v>2678</v>
      </c>
      <c r="AD414" s="460"/>
      <c r="AE414" s="561">
        <f>ROUND(1000,2)</f>
        <v>1000</v>
      </c>
      <c r="AF414" s="460" t="s">
        <v>2679</v>
      </c>
      <c r="AG414" s="561">
        <f t="shared" si="6"/>
        <v>0</v>
      </c>
      <c r="AH414" s="460" t="s">
        <v>2671</v>
      </c>
      <c r="AI414" s="460" t="s">
        <v>1214</v>
      </c>
      <c r="AJ414" s="460" t="s">
        <v>2550</v>
      </c>
      <c r="AK414" s="460" t="s">
        <v>2672</v>
      </c>
      <c r="AL414" s="560" t="s">
        <v>2691</v>
      </c>
      <c r="AM414" s="460" t="s">
        <v>2674</v>
      </c>
    </row>
    <row r="415" spans="1:39" ht="34.200000000000003">
      <c r="A415" s="460" t="s">
        <v>1810</v>
      </c>
      <c r="B415" s="460"/>
      <c r="C415" s="460" t="s">
        <v>1385</v>
      </c>
      <c r="D415" s="460" t="s">
        <v>2206</v>
      </c>
      <c r="E415" s="460" t="s">
        <v>1844</v>
      </c>
      <c r="F415" s="460" t="s">
        <v>1812</v>
      </c>
      <c r="G415" s="461" t="s">
        <v>1218</v>
      </c>
      <c r="H415" s="461" t="s">
        <v>299</v>
      </c>
      <c r="I415" s="460" t="s">
        <v>2140</v>
      </c>
      <c r="J415" s="460" t="s">
        <v>1983</v>
      </c>
      <c r="K415" s="460" t="s">
        <v>2669</v>
      </c>
      <c r="L415" s="460" t="s">
        <v>2767</v>
      </c>
      <c r="M415" s="460" t="s">
        <v>1987</v>
      </c>
      <c r="N415" s="460" t="s">
        <v>2025</v>
      </c>
      <c r="O415" s="460" t="s">
        <v>1980</v>
      </c>
      <c r="P415" s="460" t="s">
        <v>1979</v>
      </c>
      <c r="Q415" s="460" t="s">
        <v>1978</v>
      </c>
      <c r="R415" s="460" t="s">
        <v>1977</v>
      </c>
      <c r="S415" s="460" t="s">
        <v>1826</v>
      </c>
      <c r="T415" s="460" t="s">
        <v>1827</v>
      </c>
      <c r="U415" s="461" t="s">
        <v>1976</v>
      </c>
      <c r="V415" s="460" t="s">
        <v>1851</v>
      </c>
      <c r="W415" s="560"/>
      <c r="X415" s="461" t="s">
        <v>1824</v>
      </c>
      <c r="Y415" s="461" t="s">
        <v>1824</v>
      </c>
      <c r="Z415" s="461" t="s">
        <v>170</v>
      </c>
      <c r="AA415" s="460" t="s">
        <v>1218</v>
      </c>
      <c r="AB415" s="561">
        <f>ROUND(226.88,2)</f>
        <v>226.88</v>
      </c>
      <c r="AC415" s="460" t="s">
        <v>308</v>
      </c>
      <c r="AD415" s="460"/>
      <c r="AE415" s="561">
        <f>ROUND(1393.71,2)</f>
        <v>1393.71</v>
      </c>
      <c r="AF415" s="460" t="s">
        <v>308</v>
      </c>
      <c r="AG415" s="561">
        <f t="shared" si="6"/>
        <v>0</v>
      </c>
      <c r="AH415" s="460" t="s">
        <v>2671</v>
      </c>
      <c r="AI415" s="460" t="s">
        <v>1214</v>
      </c>
      <c r="AJ415" s="460" t="s">
        <v>2549</v>
      </c>
      <c r="AK415" s="460" t="s">
        <v>2672</v>
      </c>
      <c r="AL415" s="560" t="s">
        <v>2681</v>
      </c>
      <c r="AM415" s="460" t="s">
        <v>2674</v>
      </c>
    </row>
    <row r="416" spans="1:39" ht="22.8">
      <c r="A416" s="460" t="s">
        <v>1810</v>
      </c>
      <c r="B416" s="460"/>
      <c r="C416" s="460" t="s">
        <v>1384</v>
      </c>
      <c r="D416" s="460" t="s">
        <v>2205</v>
      </c>
      <c r="E416" s="460" t="s">
        <v>1814</v>
      </c>
      <c r="F416" s="460" t="s">
        <v>1812</v>
      </c>
      <c r="G416" s="461" t="s">
        <v>1218</v>
      </c>
      <c r="H416" s="461" t="s">
        <v>192</v>
      </c>
      <c r="I416" s="460" t="s">
        <v>2204</v>
      </c>
      <c r="J416" s="460" t="s">
        <v>1990</v>
      </c>
      <c r="K416" s="460" t="s">
        <v>2669</v>
      </c>
      <c r="L416" s="460" t="s">
        <v>2715</v>
      </c>
      <c r="M416" s="460" t="s">
        <v>1982</v>
      </c>
      <c r="N416" s="460" t="s">
        <v>1981</v>
      </c>
      <c r="O416" s="460" t="s">
        <v>1980</v>
      </c>
      <c r="P416" s="460" t="s">
        <v>1979</v>
      </c>
      <c r="Q416" s="460" t="s">
        <v>95</v>
      </c>
      <c r="R416" s="460" t="s">
        <v>1977</v>
      </c>
      <c r="S416" s="460" t="s">
        <v>1842</v>
      </c>
      <c r="T416" s="460" t="s">
        <v>1827</v>
      </c>
      <c r="U416" s="461" t="s">
        <v>1976</v>
      </c>
      <c r="V416" s="460" t="s">
        <v>1119</v>
      </c>
      <c r="W416" s="560"/>
      <c r="X416" s="461" t="s">
        <v>1824</v>
      </c>
      <c r="Y416" s="461" t="s">
        <v>1824</v>
      </c>
      <c r="Z416" s="461" t="s">
        <v>170</v>
      </c>
      <c r="AA416" s="460" t="s">
        <v>1218</v>
      </c>
      <c r="AB416" s="561">
        <f>ROUND(0,2)</f>
        <v>0</v>
      </c>
      <c r="AC416" s="460" t="s">
        <v>308</v>
      </c>
      <c r="AD416" s="460"/>
      <c r="AE416" s="561">
        <f>ROUND(36.23,2)</f>
        <v>36.229999999999997</v>
      </c>
      <c r="AF416" s="460" t="s">
        <v>308</v>
      </c>
      <c r="AG416" s="561">
        <f t="shared" si="6"/>
        <v>0</v>
      </c>
      <c r="AH416" s="460" t="s">
        <v>2671</v>
      </c>
      <c r="AI416" s="460" t="s">
        <v>1214</v>
      </c>
      <c r="AJ416" s="460"/>
      <c r="AK416" s="460"/>
      <c r="AL416" s="560"/>
      <c r="AM416" s="460"/>
    </row>
    <row r="417" spans="1:39" ht="22.8">
      <c r="A417" s="460" t="s">
        <v>1810</v>
      </c>
      <c r="B417" s="460"/>
      <c r="C417" s="460" t="s">
        <v>1384</v>
      </c>
      <c r="D417" s="460" t="s">
        <v>2205</v>
      </c>
      <c r="E417" s="460" t="s">
        <v>1814</v>
      </c>
      <c r="F417" s="460" t="s">
        <v>1812</v>
      </c>
      <c r="G417" s="461" t="s">
        <v>1218</v>
      </c>
      <c r="H417" s="461" t="s">
        <v>192</v>
      </c>
      <c r="I417" s="460" t="s">
        <v>2204</v>
      </c>
      <c r="J417" s="460" t="s">
        <v>1990</v>
      </c>
      <c r="K417" s="460" t="s">
        <v>2669</v>
      </c>
      <c r="L417" s="460" t="s">
        <v>2715</v>
      </c>
      <c r="M417" s="460" t="s">
        <v>1982</v>
      </c>
      <c r="N417" s="460" t="s">
        <v>1981</v>
      </c>
      <c r="O417" s="460" t="s">
        <v>1980</v>
      </c>
      <c r="P417" s="460" t="s">
        <v>2675</v>
      </c>
      <c r="Q417" s="460" t="s">
        <v>2676</v>
      </c>
      <c r="R417" s="460" t="s">
        <v>2677</v>
      </c>
      <c r="S417" s="460" t="s">
        <v>2676</v>
      </c>
      <c r="T417" s="460" t="s">
        <v>1827</v>
      </c>
      <c r="U417" s="461" t="s">
        <v>1824</v>
      </c>
      <c r="V417" s="460" t="s">
        <v>1119</v>
      </c>
      <c r="W417" s="560"/>
      <c r="X417" s="461" t="s">
        <v>1824</v>
      </c>
      <c r="Y417" s="461" t="s">
        <v>1824</v>
      </c>
      <c r="Z417" s="461" t="s">
        <v>170</v>
      </c>
      <c r="AA417" s="460" t="s">
        <v>1218</v>
      </c>
      <c r="AB417" s="561">
        <f>ROUND(50,2)</f>
        <v>50</v>
      </c>
      <c r="AC417" s="460" t="s">
        <v>2678</v>
      </c>
      <c r="AD417" s="460"/>
      <c r="AE417" s="561">
        <f>ROUND(500.05,2)</f>
        <v>500.05</v>
      </c>
      <c r="AF417" s="460" t="s">
        <v>2679</v>
      </c>
      <c r="AG417" s="561">
        <f t="shared" si="6"/>
        <v>0</v>
      </c>
      <c r="AH417" s="460" t="s">
        <v>2671</v>
      </c>
      <c r="AI417" s="460" t="s">
        <v>1214</v>
      </c>
      <c r="AJ417" s="460" t="s">
        <v>2550</v>
      </c>
      <c r="AK417" s="460" t="s">
        <v>2672</v>
      </c>
      <c r="AL417" s="560" t="s">
        <v>2690</v>
      </c>
      <c r="AM417" s="460" t="s">
        <v>2674</v>
      </c>
    </row>
    <row r="418" spans="1:39" ht="22.8">
      <c r="A418" s="460" t="s">
        <v>1810</v>
      </c>
      <c r="B418" s="460"/>
      <c r="C418" s="460" t="s">
        <v>1384</v>
      </c>
      <c r="D418" s="460" t="s">
        <v>2205</v>
      </c>
      <c r="E418" s="460" t="s">
        <v>1814</v>
      </c>
      <c r="F418" s="460" t="s">
        <v>1812</v>
      </c>
      <c r="G418" s="461" t="s">
        <v>1218</v>
      </c>
      <c r="H418" s="461" t="s">
        <v>192</v>
      </c>
      <c r="I418" s="460" t="s">
        <v>2204</v>
      </c>
      <c r="J418" s="460" t="s">
        <v>1990</v>
      </c>
      <c r="K418" s="460" t="s">
        <v>2669</v>
      </c>
      <c r="L418" s="460" t="s">
        <v>2715</v>
      </c>
      <c r="M418" s="460" t="s">
        <v>1982</v>
      </c>
      <c r="N418" s="460" t="s">
        <v>1981</v>
      </c>
      <c r="O418" s="460" t="s">
        <v>1980</v>
      </c>
      <c r="P418" s="460" t="s">
        <v>1979</v>
      </c>
      <c r="Q418" s="460" t="s">
        <v>1978</v>
      </c>
      <c r="R418" s="460" t="s">
        <v>1977</v>
      </c>
      <c r="S418" s="460" t="s">
        <v>1826</v>
      </c>
      <c r="T418" s="460" t="s">
        <v>1827</v>
      </c>
      <c r="U418" s="461" t="s">
        <v>1976</v>
      </c>
      <c r="V418" s="460" t="s">
        <v>1119</v>
      </c>
      <c r="W418" s="560"/>
      <c r="X418" s="461" t="s">
        <v>1824</v>
      </c>
      <c r="Y418" s="461" t="s">
        <v>1824</v>
      </c>
      <c r="Z418" s="461" t="s">
        <v>170</v>
      </c>
      <c r="AA418" s="460" t="s">
        <v>1218</v>
      </c>
      <c r="AB418" s="561">
        <f>ROUND(29.05,2)</f>
        <v>29.05</v>
      </c>
      <c r="AC418" s="460" t="s">
        <v>308</v>
      </c>
      <c r="AD418" s="460"/>
      <c r="AE418" s="561">
        <f>ROUND(825.23,2)</f>
        <v>825.23</v>
      </c>
      <c r="AF418" s="460" t="s">
        <v>308</v>
      </c>
      <c r="AG418" s="561">
        <f t="shared" si="6"/>
        <v>0</v>
      </c>
      <c r="AH418" s="460" t="s">
        <v>2671</v>
      </c>
      <c r="AI418" s="460" t="s">
        <v>1214</v>
      </c>
      <c r="AJ418" s="460" t="s">
        <v>2549</v>
      </c>
      <c r="AK418" s="460" t="s">
        <v>2672</v>
      </c>
      <c r="AL418" s="560" t="s">
        <v>2692</v>
      </c>
      <c r="AM418" s="460" t="s">
        <v>2674</v>
      </c>
    </row>
    <row r="419" spans="1:39" ht="22.8">
      <c r="A419" s="460" t="s">
        <v>1810</v>
      </c>
      <c r="B419" s="460"/>
      <c r="C419" s="460" t="s">
        <v>1395</v>
      </c>
      <c r="D419" s="460" t="s">
        <v>2200</v>
      </c>
      <c r="E419" s="460" t="s">
        <v>1821</v>
      </c>
      <c r="F419" s="460" t="s">
        <v>1812</v>
      </c>
      <c r="G419" s="461" t="s">
        <v>1218</v>
      </c>
      <c r="H419" s="461" t="s">
        <v>241</v>
      </c>
      <c r="I419" s="460" t="s">
        <v>2026</v>
      </c>
      <c r="J419" s="460" t="s">
        <v>1983</v>
      </c>
      <c r="K419" s="460" t="s">
        <v>2669</v>
      </c>
      <c r="L419" s="460" t="s">
        <v>2714</v>
      </c>
      <c r="M419" s="460" t="s">
        <v>1994</v>
      </c>
      <c r="N419" s="460" t="s">
        <v>1981</v>
      </c>
      <c r="O419" s="460" t="s">
        <v>1980</v>
      </c>
      <c r="P419" s="460" t="s">
        <v>1979</v>
      </c>
      <c r="Q419" s="460" t="s">
        <v>95</v>
      </c>
      <c r="R419" s="460" t="s">
        <v>1977</v>
      </c>
      <c r="S419" s="460" t="s">
        <v>1842</v>
      </c>
      <c r="T419" s="460" t="s">
        <v>1827</v>
      </c>
      <c r="U419" s="461" t="s">
        <v>1976</v>
      </c>
      <c r="V419" s="460" t="s">
        <v>1119</v>
      </c>
      <c r="W419" s="560"/>
      <c r="X419" s="461" t="s">
        <v>1824</v>
      </c>
      <c r="Y419" s="461" t="s">
        <v>1824</v>
      </c>
      <c r="Z419" s="461" t="s">
        <v>170</v>
      </c>
      <c r="AA419" s="460" t="s">
        <v>1218</v>
      </c>
      <c r="AB419" s="561">
        <f>ROUND(0,2)</f>
        <v>0</v>
      </c>
      <c r="AC419" s="460" t="s">
        <v>308</v>
      </c>
      <c r="AD419" s="460"/>
      <c r="AE419" s="561">
        <f>ROUND(36.23,2)</f>
        <v>36.229999999999997</v>
      </c>
      <c r="AF419" s="460" t="s">
        <v>308</v>
      </c>
      <c r="AG419" s="561">
        <f t="shared" si="6"/>
        <v>0</v>
      </c>
      <c r="AH419" s="460" t="s">
        <v>2671</v>
      </c>
      <c r="AI419" s="460" t="s">
        <v>1214</v>
      </c>
      <c r="AJ419" s="460"/>
      <c r="AK419" s="460"/>
      <c r="AL419" s="560"/>
      <c r="AM419" s="460"/>
    </row>
    <row r="420" spans="1:39" ht="22.8">
      <c r="A420" s="460" t="s">
        <v>1810</v>
      </c>
      <c r="B420" s="460"/>
      <c r="C420" s="460" t="s">
        <v>1395</v>
      </c>
      <c r="D420" s="460" t="s">
        <v>2200</v>
      </c>
      <c r="E420" s="460" t="s">
        <v>1821</v>
      </c>
      <c r="F420" s="460" t="s">
        <v>1812</v>
      </c>
      <c r="G420" s="461" t="s">
        <v>1218</v>
      </c>
      <c r="H420" s="461" t="s">
        <v>241</v>
      </c>
      <c r="I420" s="460" t="s">
        <v>2026</v>
      </c>
      <c r="J420" s="460" t="s">
        <v>1983</v>
      </c>
      <c r="K420" s="460" t="s">
        <v>2669</v>
      </c>
      <c r="L420" s="460" t="s">
        <v>2714</v>
      </c>
      <c r="M420" s="460" t="s">
        <v>1994</v>
      </c>
      <c r="N420" s="460" t="s">
        <v>1981</v>
      </c>
      <c r="O420" s="460" t="s">
        <v>1980</v>
      </c>
      <c r="P420" s="460" t="s">
        <v>2675</v>
      </c>
      <c r="Q420" s="460" t="s">
        <v>2676</v>
      </c>
      <c r="R420" s="460" t="s">
        <v>2677</v>
      </c>
      <c r="S420" s="460" t="s">
        <v>2676</v>
      </c>
      <c r="T420" s="460" t="s">
        <v>1827</v>
      </c>
      <c r="U420" s="461" t="s">
        <v>1824</v>
      </c>
      <c r="V420" s="460" t="s">
        <v>1119</v>
      </c>
      <c r="W420" s="560"/>
      <c r="X420" s="461" t="s">
        <v>1824</v>
      </c>
      <c r="Y420" s="461" t="s">
        <v>2683</v>
      </c>
      <c r="Z420" s="461" t="s">
        <v>170</v>
      </c>
      <c r="AA420" s="460" t="s">
        <v>1218</v>
      </c>
      <c r="AB420" s="561">
        <f>ROUND(3349.95,2)</f>
        <v>3349.95</v>
      </c>
      <c r="AC420" s="460" t="s">
        <v>2679</v>
      </c>
      <c r="AD420" s="460"/>
      <c r="AE420" s="561">
        <f>ROUND(500.05,2)</f>
        <v>500.05</v>
      </c>
      <c r="AF420" s="460" t="s">
        <v>2679</v>
      </c>
      <c r="AG420" s="561">
        <f t="shared" si="6"/>
        <v>0</v>
      </c>
      <c r="AH420" s="460" t="s">
        <v>2671</v>
      </c>
      <c r="AI420" s="460" t="s">
        <v>1214</v>
      </c>
      <c r="AJ420" s="460" t="s">
        <v>2550</v>
      </c>
      <c r="AK420" s="460" t="s">
        <v>2672</v>
      </c>
      <c r="AL420" s="560" t="s">
        <v>2798</v>
      </c>
      <c r="AM420" s="460" t="s">
        <v>2674</v>
      </c>
    </row>
    <row r="421" spans="1:39" ht="22.8">
      <c r="A421" s="460" t="s">
        <v>1810</v>
      </c>
      <c r="B421" s="460"/>
      <c r="C421" s="460" t="s">
        <v>1395</v>
      </c>
      <c r="D421" s="460" t="s">
        <v>2200</v>
      </c>
      <c r="E421" s="460" t="s">
        <v>1821</v>
      </c>
      <c r="F421" s="460" t="s">
        <v>1812</v>
      </c>
      <c r="G421" s="461" t="s">
        <v>1218</v>
      </c>
      <c r="H421" s="461" t="s">
        <v>241</v>
      </c>
      <c r="I421" s="460" t="s">
        <v>2026</v>
      </c>
      <c r="J421" s="460" t="s">
        <v>1983</v>
      </c>
      <c r="K421" s="460" t="s">
        <v>2669</v>
      </c>
      <c r="L421" s="460" t="s">
        <v>2714</v>
      </c>
      <c r="M421" s="460" t="s">
        <v>1994</v>
      </c>
      <c r="N421" s="460" t="s">
        <v>1981</v>
      </c>
      <c r="O421" s="460" t="s">
        <v>1980</v>
      </c>
      <c r="P421" s="460" t="s">
        <v>1979</v>
      </c>
      <c r="Q421" s="460" t="s">
        <v>1978</v>
      </c>
      <c r="R421" s="460" t="s">
        <v>1977</v>
      </c>
      <c r="S421" s="460" t="s">
        <v>1826</v>
      </c>
      <c r="T421" s="460" t="s">
        <v>1827</v>
      </c>
      <c r="U421" s="461" t="s">
        <v>1976</v>
      </c>
      <c r="V421" s="460" t="s">
        <v>1119</v>
      </c>
      <c r="W421" s="560"/>
      <c r="X421" s="461" t="s">
        <v>1824</v>
      </c>
      <c r="Y421" s="461" t="s">
        <v>1824</v>
      </c>
      <c r="Z421" s="461" t="s">
        <v>170</v>
      </c>
      <c r="AA421" s="460" t="s">
        <v>1218</v>
      </c>
      <c r="AB421" s="561">
        <f>ROUND(35.03,2)</f>
        <v>35.03</v>
      </c>
      <c r="AC421" s="460" t="s">
        <v>308</v>
      </c>
      <c r="AD421" s="460"/>
      <c r="AE421" s="561">
        <f>ROUND(819.25,2)</f>
        <v>819.25</v>
      </c>
      <c r="AF421" s="460" t="s">
        <v>308</v>
      </c>
      <c r="AG421" s="561">
        <f t="shared" si="6"/>
        <v>0</v>
      </c>
      <c r="AH421" s="460" t="s">
        <v>2671</v>
      </c>
      <c r="AI421" s="460" t="s">
        <v>1214</v>
      </c>
      <c r="AJ421" s="460" t="s">
        <v>2549</v>
      </c>
      <c r="AK421" s="460" t="s">
        <v>2672</v>
      </c>
      <c r="AL421" s="560" t="s">
        <v>2694</v>
      </c>
      <c r="AM421" s="460" t="s">
        <v>2674</v>
      </c>
    </row>
    <row r="422" spans="1:39" ht="34.200000000000003">
      <c r="A422" s="460" t="s">
        <v>1810</v>
      </c>
      <c r="B422" s="460"/>
      <c r="C422" s="460" t="s">
        <v>1393</v>
      </c>
      <c r="D422" s="460" t="s">
        <v>2199</v>
      </c>
      <c r="E422" s="460" t="s">
        <v>1829</v>
      </c>
      <c r="F422" s="460" t="s">
        <v>1812</v>
      </c>
      <c r="G422" s="461" t="s">
        <v>1218</v>
      </c>
      <c r="H422" s="461" t="s">
        <v>297</v>
      </c>
      <c r="I422" s="460" t="s">
        <v>2198</v>
      </c>
      <c r="J422" s="460" t="s">
        <v>1983</v>
      </c>
      <c r="K422" s="460" t="s">
        <v>2669</v>
      </c>
      <c r="L422" s="460" t="s">
        <v>2737</v>
      </c>
      <c r="M422" s="460" t="s">
        <v>2002</v>
      </c>
      <c r="N422" s="460" t="s">
        <v>1986</v>
      </c>
      <c r="O422" s="460" t="s">
        <v>2001</v>
      </c>
      <c r="P422" s="460" t="s">
        <v>1979</v>
      </c>
      <c r="Q422" s="460" t="s">
        <v>95</v>
      </c>
      <c r="R422" s="460" t="s">
        <v>1977</v>
      </c>
      <c r="S422" s="460" t="s">
        <v>1842</v>
      </c>
      <c r="T422" s="460" t="s">
        <v>1827</v>
      </c>
      <c r="U422" s="461" t="s">
        <v>1976</v>
      </c>
      <c r="V422" s="460" t="s">
        <v>1119</v>
      </c>
      <c r="W422" s="560"/>
      <c r="X422" s="461" t="s">
        <v>1824</v>
      </c>
      <c r="Y422" s="461" t="s">
        <v>1824</v>
      </c>
      <c r="Z422" s="461" t="s">
        <v>170</v>
      </c>
      <c r="AA422" s="460" t="s">
        <v>1218</v>
      </c>
      <c r="AB422" s="561">
        <f>ROUND(0,2)</f>
        <v>0</v>
      </c>
      <c r="AC422" s="460" t="s">
        <v>308</v>
      </c>
      <c r="AD422" s="460"/>
      <c r="AE422" s="561">
        <f>ROUND(36.23,2)</f>
        <v>36.229999999999997</v>
      </c>
      <c r="AF422" s="460" t="s">
        <v>308</v>
      </c>
      <c r="AG422" s="561">
        <f t="shared" si="6"/>
        <v>0</v>
      </c>
      <c r="AH422" s="460" t="s">
        <v>2671</v>
      </c>
      <c r="AI422" s="460" t="s">
        <v>1214</v>
      </c>
      <c r="AJ422" s="460"/>
      <c r="AK422" s="460"/>
      <c r="AL422" s="560"/>
      <c r="AM422" s="460"/>
    </row>
    <row r="423" spans="1:39" ht="34.200000000000003">
      <c r="A423" s="460" t="s">
        <v>1810</v>
      </c>
      <c r="B423" s="460"/>
      <c r="C423" s="460" t="s">
        <v>1393</v>
      </c>
      <c r="D423" s="460" t="s">
        <v>2199</v>
      </c>
      <c r="E423" s="460" t="s">
        <v>1829</v>
      </c>
      <c r="F423" s="460" t="s">
        <v>1812</v>
      </c>
      <c r="G423" s="461" t="s">
        <v>1218</v>
      </c>
      <c r="H423" s="461" t="s">
        <v>297</v>
      </c>
      <c r="I423" s="460" t="s">
        <v>2198</v>
      </c>
      <c r="J423" s="460" t="s">
        <v>1983</v>
      </c>
      <c r="K423" s="460" t="s">
        <v>2669</v>
      </c>
      <c r="L423" s="460" t="s">
        <v>2737</v>
      </c>
      <c r="M423" s="460" t="s">
        <v>2002</v>
      </c>
      <c r="N423" s="460" t="s">
        <v>1986</v>
      </c>
      <c r="O423" s="460" t="s">
        <v>2001</v>
      </c>
      <c r="P423" s="460" t="s">
        <v>2675</v>
      </c>
      <c r="Q423" s="460" t="s">
        <v>2676</v>
      </c>
      <c r="R423" s="460" t="s">
        <v>2677</v>
      </c>
      <c r="S423" s="460" t="s">
        <v>2676</v>
      </c>
      <c r="T423" s="460" t="s">
        <v>1827</v>
      </c>
      <c r="U423" s="461" t="s">
        <v>1824</v>
      </c>
      <c r="V423" s="460" t="s">
        <v>1119</v>
      </c>
      <c r="W423" s="560"/>
      <c r="X423" s="461" t="s">
        <v>1824</v>
      </c>
      <c r="Y423" s="461" t="s">
        <v>1824</v>
      </c>
      <c r="Z423" s="461" t="s">
        <v>170</v>
      </c>
      <c r="AA423" s="460" t="s">
        <v>1218</v>
      </c>
      <c r="AB423" s="561">
        <f>ROUND(100,2)</f>
        <v>100</v>
      </c>
      <c r="AC423" s="460" t="s">
        <v>2678</v>
      </c>
      <c r="AD423" s="460"/>
      <c r="AE423" s="561">
        <f>ROUND(500.05,2)</f>
        <v>500.05</v>
      </c>
      <c r="AF423" s="460" t="s">
        <v>2679</v>
      </c>
      <c r="AG423" s="561">
        <f t="shared" si="6"/>
        <v>0</v>
      </c>
      <c r="AH423" s="460" t="s">
        <v>2671</v>
      </c>
      <c r="AI423" s="460" t="s">
        <v>1214</v>
      </c>
      <c r="AJ423" s="460" t="s">
        <v>2550</v>
      </c>
      <c r="AK423" s="460" t="s">
        <v>2672</v>
      </c>
      <c r="AL423" s="560" t="s">
        <v>2691</v>
      </c>
      <c r="AM423" s="460" t="s">
        <v>2674</v>
      </c>
    </row>
    <row r="424" spans="1:39" ht="34.200000000000003">
      <c r="A424" s="460" t="s">
        <v>1810</v>
      </c>
      <c r="B424" s="460"/>
      <c r="C424" s="460" t="s">
        <v>1393</v>
      </c>
      <c r="D424" s="460" t="s">
        <v>2199</v>
      </c>
      <c r="E424" s="460" t="s">
        <v>1829</v>
      </c>
      <c r="F424" s="460" t="s">
        <v>1812</v>
      </c>
      <c r="G424" s="461" t="s">
        <v>1218</v>
      </c>
      <c r="H424" s="461" t="s">
        <v>297</v>
      </c>
      <c r="I424" s="460" t="s">
        <v>2198</v>
      </c>
      <c r="J424" s="460" t="s">
        <v>1983</v>
      </c>
      <c r="K424" s="460" t="s">
        <v>2669</v>
      </c>
      <c r="L424" s="460" t="s">
        <v>2737</v>
      </c>
      <c r="M424" s="460" t="s">
        <v>2002</v>
      </c>
      <c r="N424" s="460" t="s">
        <v>1986</v>
      </c>
      <c r="O424" s="460" t="s">
        <v>2001</v>
      </c>
      <c r="P424" s="460" t="s">
        <v>1979</v>
      </c>
      <c r="Q424" s="460" t="s">
        <v>1978</v>
      </c>
      <c r="R424" s="460" t="s">
        <v>1977</v>
      </c>
      <c r="S424" s="460" t="s">
        <v>1826</v>
      </c>
      <c r="T424" s="460" t="s">
        <v>1827</v>
      </c>
      <c r="U424" s="461" t="s">
        <v>1976</v>
      </c>
      <c r="V424" s="460" t="s">
        <v>1119</v>
      </c>
      <c r="W424" s="560"/>
      <c r="X424" s="461" t="s">
        <v>1824</v>
      </c>
      <c r="Y424" s="461" t="s">
        <v>1824</v>
      </c>
      <c r="Z424" s="461" t="s">
        <v>170</v>
      </c>
      <c r="AA424" s="460" t="s">
        <v>1218</v>
      </c>
      <c r="AB424" s="561">
        <f>ROUND(35.03,2)</f>
        <v>35.03</v>
      </c>
      <c r="AC424" s="460" t="s">
        <v>308</v>
      </c>
      <c r="AD424" s="460"/>
      <c r="AE424" s="561">
        <f>ROUND(819.25,2)</f>
        <v>819.25</v>
      </c>
      <c r="AF424" s="460" t="s">
        <v>308</v>
      </c>
      <c r="AG424" s="561">
        <f t="shared" si="6"/>
        <v>0</v>
      </c>
      <c r="AH424" s="460" t="s">
        <v>2671</v>
      </c>
      <c r="AI424" s="460" t="s">
        <v>1214</v>
      </c>
      <c r="AJ424" s="460" t="s">
        <v>2549</v>
      </c>
      <c r="AK424" s="460" t="s">
        <v>2672</v>
      </c>
      <c r="AL424" s="560" t="s">
        <v>2694</v>
      </c>
      <c r="AM424" s="460" t="s">
        <v>2674</v>
      </c>
    </row>
    <row r="425" spans="1:39" ht="22.8">
      <c r="A425" s="460" t="s">
        <v>1810</v>
      </c>
      <c r="B425" s="460"/>
      <c r="C425" s="460" t="s">
        <v>1396</v>
      </c>
      <c r="D425" s="460" t="s">
        <v>2197</v>
      </c>
      <c r="E425" s="460" t="s">
        <v>1814</v>
      </c>
      <c r="F425" s="460" t="s">
        <v>1812</v>
      </c>
      <c r="G425" s="461" t="s">
        <v>1218</v>
      </c>
      <c r="H425" s="461" t="s">
        <v>1820</v>
      </c>
      <c r="I425" s="460" t="s">
        <v>2196</v>
      </c>
      <c r="J425" s="460" t="s">
        <v>1983</v>
      </c>
      <c r="K425" s="460" t="s">
        <v>2669</v>
      </c>
      <c r="L425" s="460" t="s">
        <v>2703</v>
      </c>
      <c r="M425" s="460" t="s">
        <v>1982</v>
      </c>
      <c r="N425" s="460" t="s">
        <v>1981</v>
      </c>
      <c r="O425" s="460" t="s">
        <v>1980</v>
      </c>
      <c r="P425" s="460" t="s">
        <v>1979</v>
      </c>
      <c r="Q425" s="460" t="s">
        <v>95</v>
      </c>
      <c r="R425" s="460" t="s">
        <v>1977</v>
      </c>
      <c r="S425" s="460" t="s">
        <v>1842</v>
      </c>
      <c r="T425" s="460" t="s">
        <v>1827</v>
      </c>
      <c r="U425" s="461" t="s">
        <v>1976</v>
      </c>
      <c r="V425" s="460" t="s">
        <v>1843</v>
      </c>
      <c r="W425" s="560"/>
      <c r="X425" s="461" t="s">
        <v>2083</v>
      </c>
      <c r="Y425" s="461" t="s">
        <v>2083</v>
      </c>
      <c r="Z425" s="461" t="s">
        <v>170</v>
      </c>
      <c r="AA425" s="460" t="s">
        <v>1218</v>
      </c>
      <c r="AB425" s="561">
        <f>ROUND(30.41,2)</f>
        <v>30.41</v>
      </c>
      <c r="AC425" s="460" t="s">
        <v>308</v>
      </c>
      <c r="AD425" s="460"/>
      <c r="AE425" s="561">
        <f>ROUND(70.29,2)</f>
        <v>70.290000000000006</v>
      </c>
      <c r="AF425" s="460" t="s">
        <v>308</v>
      </c>
      <c r="AG425" s="561">
        <f t="shared" si="6"/>
        <v>0</v>
      </c>
      <c r="AH425" s="460" t="s">
        <v>2671</v>
      </c>
      <c r="AI425" s="460" t="s">
        <v>1214</v>
      </c>
      <c r="AJ425" s="460" t="s">
        <v>2548</v>
      </c>
      <c r="AK425" s="460" t="s">
        <v>2672</v>
      </c>
      <c r="AL425" s="560" t="s">
        <v>2673</v>
      </c>
      <c r="AM425" s="460" t="s">
        <v>2674</v>
      </c>
    </row>
    <row r="426" spans="1:39" ht="22.8">
      <c r="A426" s="460" t="s">
        <v>1810</v>
      </c>
      <c r="B426" s="460"/>
      <c r="C426" s="460" t="s">
        <v>1396</v>
      </c>
      <c r="D426" s="460" t="s">
        <v>2197</v>
      </c>
      <c r="E426" s="460" t="s">
        <v>1814</v>
      </c>
      <c r="F426" s="460" t="s">
        <v>1812</v>
      </c>
      <c r="G426" s="461" t="s">
        <v>1218</v>
      </c>
      <c r="H426" s="461" t="s">
        <v>1820</v>
      </c>
      <c r="I426" s="460" t="s">
        <v>2196</v>
      </c>
      <c r="J426" s="460" t="s">
        <v>1983</v>
      </c>
      <c r="K426" s="460" t="s">
        <v>2669</v>
      </c>
      <c r="L426" s="460" t="s">
        <v>2703</v>
      </c>
      <c r="M426" s="460" t="s">
        <v>1982</v>
      </c>
      <c r="N426" s="460" t="s">
        <v>1981</v>
      </c>
      <c r="O426" s="460" t="s">
        <v>1980</v>
      </c>
      <c r="P426" s="460" t="s">
        <v>2675</v>
      </c>
      <c r="Q426" s="460" t="s">
        <v>2676</v>
      </c>
      <c r="R426" s="460" t="s">
        <v>2677</v>
      </c>
      <c r="S426" s="460" t="s">
        <v>2676</v>
      </c>
      <c r="T426" s="460" t="s">
        <v>1827</v>
      </c>
      <c r="U426" s="461" t="s">
        <v>1824</v>
      </c>
      <c r="V426" s="460" t="s">
        <v>1843</v>
      </c>
      <c r="W426" s="560"/>
      <c r="X426" s="461" t="s">
        <v>2083</v>
      </c>
      <c r="Y426" s="461" t="s">
        <v>2083</v>
      </c>
      <c r="Z426" s="461" t="s">
        <v>170</v>
      </c>
      <c r="AA426" s="460" t="s">
        <v>1218</v>
      </c>
      <c r="AB426" s="561">
        <f>ROUND(5,2)</f>
        <v>5</v>
      </c>
      <c r="AC426" s="460" t="s">
        <v>2678</v>
      </c>
      <c r="AD426" s="460"/>
      <c r="AE426" s="561">
        <f>ROUND(1000,2)</f>
        <v>1000</v>
      </c>
      <c r="AF426" s="460" t="s">
        <v>2679</v>
      </c>
      <c r="AG426" s="561">
        <f t="shared" si="6"/>
        <v>0</v>
      </c>
      <c r="AH426" s="460" t="s">
        <v>2671</v>
      </c>
      <c r="AI426" s="460" t="s">
        <v>1214</v>
      </c>
      <c r="AJ426" s="460" t="s">
        <v>2550</v>
      </c>
      <c r="AK426" s="460" t="s">
        <v>2672</v>
      </c>
      <c r="AL426" s="560" t="s">
        <v>2713</v>
      </c>
      <c r="AM426" s="460" t="s">
        <v>2674</v>
      </c>
    </row>
    <row r="427" spans="1:39" ht="22.8">
      <c r="A427" s="460" t="s">
        <v>1810</v>
      </c>
      <c r="B427" s="460"/>
      <c r="C427" s="460" t="s">
        <v>1396</v>
      </c>
      <c r="D427" s="460" t="s">
        <v>2197</v>
      </c>
      <c r="E427" s="460" t="s">
        <v>1814</v>
      </c>
      <c r="F427" s="460" t="s">
        <v>1812</v>
      </c>
      <c r="G427" s="461" t="s">
        <v>1218</v>
      </c>
      <c r="H427" s="461" t="s">
        <v>1820</v>
      </c>
      <c r="I427" s="460" t="s">
        <v>2196</v>
      </c>
      <c r="J427" s="460" t="s">
        <v>1983</v>
      </c>
      <c r="K427" s="460" t="s">
        <v>2669</v>
      </c>
      <c r="L427" s="460" t="s">
        <v>2703</v>
      </c>
      <c r="M427" s="460" t="s">
        <v>1982</v>
      </c>
      <c r="N427" s="460" t="s">
        <v>1981</v>
      </c>
      <c r="O427" s="460" t="s">
        <v>1980</v>
      </c>
      <c r="P427" s="460" t="s">
        <v>1979</v>
      </c>
      <c r="Q427" s="460" t="s">
        <v>1978</v>
      </c>
      <c r="R427" s="460" t="s">
        <v>1977</v>
      </c>
      <c r="S427" s="460" t="s">
        <v>1826</v>
      </c>
      <c r="T427" s="460" t="s">
        <v>1827</v>
      </c>
      <c r="U427" s="461" t="s">
        <v>1976</v>
      </c>
      <c r="V427" s="460" t="s">
        <v>1967</v>
      </c>
      <c r="W427" s="560"/>
      <c r="X427" s="461" t="s">
        <v>2083</v>
      </c>
      <c r="Y427" s="461" t="s">
        <v>2083</v>
      </c>
      <c r="Z427" s="461" t="s">
        <v>170</v>
      </c>
      <c r="AA427" s="460" t="s">
        <v>1218</v>
      </c>
      <c r="AB427" s="561">
        <f>ROUND(258.44,2)</f>
        <v>258.44</v>
      </c>
      <c r="AC427" s="460" t="s">
        <v>308</v>
      </c>
      <c r="AD427" s="460"/>
      <c r="AE427" s="561">
        <f>ROUND(1523.92,2)</f>
        <v>1523.92</v>
      </c>
      <c r="AF427" s="460" t="s">
        <v>308</v>
      </c>
      <c r="AG427" s="561">
        <f t="shared" si="6"/>
        <v>0</v>
      </c>
      <c r="AH427" s="460" t="s">
        <v>2671</v>
      </c>
      <c r="AI427" s="460" t="s">
        <v>1214</v>
      </c>
      <c r="AJ427" s="460" t="s">
        <v>2549</v>
      </c>
      <c r="AK427" s="460" t="s">
        <v>2672</v>
      </c>
      <c r="AL427" s="560" t="s">
        <v>2748</v>
      </c>
      <c r="AM427" s="460" t="s">
        <v>2674</v>
      </c>
    </row>
    <row r="428" spans="1:39" ht="22.8">
      <c r="A428" s="460" t="s">
        <v>1810</v>
      </c>
      <c r="B428" s="460"/>
      <c r="C428" s="460" t="s">
        <v>1389</v>
      </c>
      <c r="D428" s="460" t="s">
        <v>2195</v>
      </c>
      <c r="E428" s="460" t="s">
        <v>1814</v>
      </c>
      <c r="F428" s="460" t="s">
        <v>2015</v>
      </c>
      <c r="G428" s="461" t="s">
        <v>1218</v>
      </c>
      <c r="H428" s="461" t="s">
        <v>206</v>
      </c>
      <c r="I428" s="460" t="s">
        <v>2194</v>
      </c>
      <c r="J428" s="460" t="s">
        <v>1983</v>
      </c>
      <c r="K428" s="460" t="s">
        <v>2669</v>
      </c>
      <c r="L428" s="460" t="s">
        <v>2791</v>
      </c>
      <c r="M428" s="460" t="s">
        <v>1982</v>
      </c>
      <c r="N428" s="460" t="s">
        <v>1981</v>
      </c>
      <c r="O428" s="460" t="s">
        <v>2001</v>
      </c>
      <c r="P428" s="460" t="s">
        <v>1979</v>
      </c>
      <c r="Q428" s="460" t="s">
        <v>95</v>
      </c>
      <c r="R428" s="460" t="s">
        <v>1977</v>
      </c>
      <c r="S428" s="460" t="s">
        <v>1842</v>
      </c>
      <c r="T428" s="460" t="s">
        <v>1827</v>
      </c>
      <c r="U428" s="461" t="s">
        <v>1976</v>
      </c>
      <c r="V428" s="460" t="s">
        <v>1843</v>
      </c>
      <c r="W428" s="560"/>
      <c r="X428" s="461" t="s">
        <v>2184</v>
      </c>
      <c r="Y428" s="461" t="s">
        <v>2683</v>
      </c>
      <c r="Z428" s="461" t="s">
        <v>170</v>
      </c>
      <c r="AA428" s="460" t="s">
        <v>1218</v>
      </c>
      <c r="AB428" s="561">
        <f>ROUND(30.41,2)</f>
        <v>30.41</v>
      </c>
      <c r="AC428" s="460" t="s">
        <v>308</v>
      </c>
      <c r="AD428" s="460"/>
      <c r="AE428" s="561">
        <f>ROUND(70.29,2)</f>
        <v>70.290000000000006</v>
      </c>
      <c r="AF428" s="460" t="s">
        <v>308</v>
      </c>
      <c r="AG428" s="561">
        <f t="shared" si="6"/>
        <v>0</v>
      </c>
      <c r="AH428" s="460" t="s">
        <v>2671</v>
      </c>
      <c r="AI428" s="460" t="s">
        <v>1214</v>
      </c>
      <c r="AJ428" s="460" t="s">
        <v>2548</v>
      </c>
      <c r="AK428" s="460" t="s">
        <v>2672</v>
      </c>
      <c r="AL428" s="560" t="s">
        <v>2673</v>
      </c>
      <c r="AM428" s="460" t="s">
        <v>2674</v>
      </c>
    </row>
    <row r="429" spans="1:39" ht="22.8">
      <c r="A429" s="460" t="s">
        <v>1810</v>
      </c>
      <c r="B429" s="460"/>
      <c r="C429" s="460" t="s">
        <v>1389</v>
      </c>
      <c r="D429" s="460" t="s">
        <v>2195</v>
      </c>
      <c r="E429" s="460" t="s">
        <v>1814</v>
      </c>
      <c r="F429" s="460" t="s">
        <v>2015</v>
      </c>
      <c r="G429" s="461" t="s">
        <v>1218</v>
      </c>
      <c r="H429" s="461" t="s">
        <v>206</v>
      </c>
      <c r="I429" s="460" t="s">
        <v>2194</v>
      </c>
      <c r="J429" s="460" t="s">
        <v>1983</v>
      </c>
      <c r="K429" s="460" t="s">
        <v>2669</v>
      </c>
      <c r="L429" s="460" t="s">
        <v>2791</v>
      </c>
      <c r="M429" s="460" t="s">
        <v>1982</v>
      </c>
      <c r="N429" s="460" t="s">
        <v>1981</v>
      </c>
      <c r="O429" s="460" t="s">
        <v>2001</v>
      </c>
      <c r="P429" s="460" t="s">
        <v>2675</v>
      </c>
      <c r="Q429" s="460" t="s">
        <v>2676</v>
      </c>
      <c r="R429" s="460" t="s">
        <v>2677</v>
      </c>
      <c r="S429" s="460" t="s">
        <v>2676</v>
      </c>
      <c r="T429" s="460" t="s">
        <v>1827</v>
      </c>
      <c r="U429" s="461" t="s">
        <v>1824</v>
      </c>
      <c r="V429" s="460" t="s">
        <v>1843</v>
      </c>
      <c r="W429" s="560"/>
      <c r="X429" s="461" t="s">
        <v>1824</v>
      </c>
      <c r="Y429" s="461" t="s">
        <v>1824</v>
      </c>
      <c r="Z429" s="461" t="s">
        <v>170</v>
      </c>
      <c r="AA429" s="460" t="s">
        <v>1218</v>
      </c>
      <c r="AB429" s="561">
        <f>ROUND(75,2)</f>
        <v>75</v>
      </c>
      <c r="AC429" s="460" t="s">
        <v>2678</v>
      </c>
      <c r="AD429" s="460"/>
      <c r="AE429" s="561">
        <f>ROUND(1000,2)</f>
        <v>1000</v>
      </c>
      <c r="AF429" s="460" t="s">
        <v>2679</v>
      </c>
      <c r="AG429" s="561">
        <f t="shared" si="6"/>
        <v>0</v>
      </c>
      <c r="AH429" s="460" t="s">
        <v>2671</v>
      </c>
      <c r="AI429" s="460" t="s">
        <v>1214</v>
      </c>
      <c r="AJ429" s="460" t="s">
        <v>2550</v>
      </c>
      <c r="AK429" s="460" t="s">
        <v>2672</v>
      </c>
      <c r="AL429" s="560" t="s">
        <v>2797</v>
      </c>
      <c r="AM429" s="460" t="s">
        <v>2674</v>
      </c>
    </row>
    <row r="430" spans="1:39" ht="22.8">
      <c r="A430" s="460" t="s">
        <v>1810</v>
      </c>
      <c r="B430" s="460"/>
      <c r="C430" s="460" t="s">
        <v>1389</v>
      </c>
      <c r="D430" s="460" t="s">
        <v>2195</v>
      </c>
      <c r="E430" s="460" t="s">
        <v>1814</v>
      </c>
      <c r="F430" s="460" t="s">
        <v>2015</v>
      </c>
      <c r="G430" s="461" t="s">
        <v>1218</v>
      </c>
      <c r="H430" s="461" t="s">
        <v>206</v>
      </c>
      <c r="I430" s="460" t="s">
        <v>2194</v>
      </c>
      <c r="J430" s="460" t="s">
        <v>1983</v>
      </c>
      <c r="K430" s="460" t="s">
        <v>2669</v>
      </c>
      <c r="L430" s="460" t="s">
        <v>2791</v>
      </c>
      <c r="M430" s="460" t="s">
        <v>1982</v>
      </c>
      <c r="N430" s="460" t="s">
        <v>1981</v>
      </c>
      <c r="O430" s="460" t="s">
        <v>2001</v>
      </c>
      <c r="P430" s="460" t="s">
        <v>1979</v>
      </c>
      <c r="Q430" s="460" t="s">
        <v>1978</v>
      </c>
      <c r="R430" s="460" t="s">
        <v>1977</v>
      </c>
      <c r="S430" s="460" t="s">
        <v>1826</v>
      </c>
      <c r="T430" s="460" t="s">
        <v>1827</v>
      </c>
      <c r="U430" s="461" t="s">
        <v>1976</v>
      </c>
      <c r="V430" s="460" t="s">
        <v>1843</v>
      </c>
      <c r="W430" s="560"/>
      <c r="X430" s="461" t="s">
        <v>2184</v>
      </c>
      <c r="Y430" s="461" t="s">
        <v>2683</v>
      </c>
      <c r="Z430" s="461" t="s">
        <v>170</v>
      </c>
      <c r="AA430" s="460" t="s">
        <v>1218</v>
      </c>
      <c r="AB430" s="561">
        <f>ROUND(603.2,2)</f>
        <v>603.20000000000005</v>
      </c>
      <c r="AC430" s="460" t="s">
        <v>308</v>
      </c>
      <c r="AD430" s="460"/>
      <c r="AE430" s="561">
        <f>ROUND(1528.26,2)</f>
        <v>1528.26</v>
      </c>
      <c r="AF430" s="460" t="s">
        <v>308</v>
      </c>
      <c r="AG430" s="561">
        <f t="shared" si="6"/>
        <v>0</v>
      </c>
      <c r="AH430" s="460" t="s">
        <v>2671</v>
      </c>
      <c r="AI430" s="460" t="s">
        <v>1214</v>
      </c>
      <c r="AJ430" s="460" t="s">
        <v>2549</v>
      </c>
      <c r="AK430" s="460" t="s">
        <v>2672</v>
      </c>
      <c r="AL430" s="560" t="s">
        <v>2702</v>
      </c>
      <c r="AM430" s="460" t="s">
        <v>2674</v>
      </c>
    </row>
    <row r="431" spans="1:39" ht="22.8">
      <c r="A431" s="460" t="s">
        <v>1810</v>
      </c>
      <c r="B431" s="460"/>
      <c r="C431" s="460" t="s">
        <v>1594</v>
      </c>
      <c r="D431" s="460" t="s">
        <v>2193</v>
      </c>
      <c r="E431" s="460" t="s">
        <v>1814</v>
      </c>
      <c r="F431" s="460" t="s">
        <v>1812</v>
      </c>
      <c r="G431" s="461" t="s">
        <v>1218</v>
      </c>
      <c r="H431" s="461" t="s">
        <v>651</v>
      </c>
      <c r="I431" s="460" t="s">
        <v>2192</v>
      </c>
      <c r="J431" s="460" t="s">
        <v>1983</v>
      </c>
      <c r="K431" s="460" t="s">
        <v>2669</v>
      </c>
      <c r="L431" s="460" t="s">
        <v>2703</v>
      </c>
      <c r="M431" s="460" t="s">
        <v>1982</v>
      </c>
      <c r="N431" s="460" t="s">
        <v>1981</v>
      </c>
      <c r="O431" s="460" t="s">
        <v>1980</v>
      </c>
      <c r="P431" s="460" t="s">
        <v>1979</v>
      </c>
      <c r="Q431" s="460" t="s">
        <v>95</v>
      </c>
      <c r="R431" s="460" t="s">
        <v>1977</v>
      </c>
      <c r="S431" s="460" t="s">
        <v>1842</v>
      </c>
      <c r="T431" s="460" t="s">
        <v>1827</v>
      </c>
      <c r="U431" s="461" t="s">
        <v>1976</v>
      </c>
      <c r="V431" s="460" t="s">
        <v>1119</v>
      </c>
      <c r="W431" s="560"/>
      <c r="X431" s="461" t="s">
        <v>1824</v>
      </c>
      <c r="Y431" s="461" t="s">
        <v>1824</v>
      </c>
      <c r="Z431" s="461" t="s">
        <v>170</v>
      </c>
      <c r="AA431" s="460" t="s">
        <v>1218</v>
      </c>
      <c r="AB431" s="561">
        <f>ROUND(0,2)</f>
        <v>0</v>
      </c>
      <c r="AC431" s="460" t="s">
        <v>308</v>
      </c>
      <c r="AD431" s="460"/>
      <c r="AE431" s="561">
        <f>ROUND(36.23,2)</f>
        <v>36.229999999999997</v>
      </c>
      <c r="AF431" s="460" t="s">
        <v>308</v>
      </c>
      <c r="AG431" s="561">
        <f t="shared" si="6"/>
        <v>0</v>
      </c>
      <c r="AH431" s="460" t="s">
        <v>2671</v>
      </c>
      <c r="AI431" s="460" t="s">
        <v>1214</v>
      </c>
      <c r="AJ431" s="460"/>
      <c r="AK431" s="460"/>
      <c r="AL431" s="560"/>
      <c r="AM431" s="460"/>
    </row>
    <row r="432" spans="1:39" ht="22.8">
      <c r="A432" s="460" t="s">
        <v>1810</v>
      </c>
      <c r="B432" s="460"/>
      <c r="C432" s="460" t="s">
        <v>1594</v>
      </c>
      <c r="D432" s="460" t="s">
        <v>2193</v>
      </c>
      <c r="E432" s="460" t="s">
        <v>1814</v>
      </c>
      <c r="F432" s="460" t="s">
        <v>1812</v>
      </c>
      <c r="G432" s="461" t="s">
        <v>1218</v>
      </c>
      <c r="H432" s="461" t="s">
        <v>651</v>
      </c>
      <c r="I432" s="460" t="s">
        <v>2192</v>
      </c>
      <c r="J432" s="460" t="s">
        <v>1983</v>
      </c>
      <c r="K432" s="460" t="s">
        <v>2669</v>
      </c>
      <c r="L432" s="460" t="s">
        <v>2703</v>
      </c>
      <c r="M432" s="460" t="s">
        <v>1982</v>
      </c>
      <c r="N432" s="460" t="s">
        <v>1981</v>
      </c>
      <c r="O432" s="460" t="s">
        <v>1980</v>
      </c>
      <c r="P432" s="460" t="s">
        <v>2675</v>
      </c>
      <c r="Q432" s="460" t="s">
        <v>2676</v>
      </c>
      <c r="R432" s="460" t="s">
        <v>2677</v>
      </c>
      <c r="S432" s="460" t="s">
        <v>2676</v>
      </c>
      <c r="T432" s="460" t="s">
        <v>1827</v>
      </c>
      <c r="U432" s="461" t="s">
        <v>1824</v>
      </c>
      <c r="V432" s="460" t="s">
        <v>1119</v>
      </c>
      <c r="W432" s="560"/>
      <c r="X432" s="461" t="s">
        <v>1824</v>
      </c>
      <c r="Y432" s="461" t="s">
        <v>1824</v>
      </c>
      <c r="Z432" s="461" t="s">
        <v>170</v>
      </c>
      <c r="AA432" s="460" t="s">
        <v>1218</v>
      </c>
      <c r="AB432" s="561">
        <f>ROUND(139.5,2)</f>
        <v>139.5</v>
      </c>
      <c r="AC432" s="460" t="s">
        <v>2678</v>
      </c>
      <c r="AD432" s="460"/>
      <c r="AE432" s="561">
        <f>ROUND(500.05,2)</f>
        <v>500.05</v>
      </c>
      <c r="AF432" s="460" t="s">
        <v>2679</v>
      </c>
      <c r="AG432" s="561">
        <f t="shared" si="6"/>
        <v>0</v>
      </c>
      <c r="AH432" s="460" t="s">
        <v>2671</v>
      </c>
      <c r="AI432" s="460" t="s">
        <v>1214</v>
      </c>
      <c r="AJ432" s="460" t="s">
        <v>2550</v>
      </c>
      <c r="AK432" s="460" t="s">
        <v>2672</v>
      </c>
      <c r="AL432" s="560" t="s">
        <v>2827</v>
      </c>
      <c r="AM432" s="460" t="s">
        <v>2674</v>
      </c>
    </row>
    <row r="433" spans="1:39" ht="22.8">
      <c r="A433" s="460" t="s">
        <v>1810</v>
      </c>
      <c r="B433" s="460"/>
      <c r="C433" s="460" t="s">
        <v>1594</v>
      </c>
      <c r="D433" s="460" t="s">
        <v>2193</v>
      </c>
      <c r="E433" s="460" t="s">
        <v>1814</v>
      </c>
      <c r="F433" s="460" t="s">
        <v>1812</v>
      </c>
      <c r="G433" s="461" t="s">
        <v>1218</v>
      </c>
      <c r="H433" s="461" t="s">
        <v>651</v>
      </c>
      <c r="I433" s="460" t="s">
        <v>2192</v>
      </c>
      <c r="J433" s="460" t="s">
        <v>1983</v>
      </c>
      <c r="K433" s="460" t="s">
        <v>2669</v>
      </c>
      <c r="L433" s="460" t="s">
        <v>2703</v>
      </c>
      <c r="M433" s="460" t="s">
        <v>1982</v>
      </c>
      <c r="N433" s="460" t="s">
        <v>1981</v>
      </c>
      <c r="O433" s="460" t="s">
        <v>1980</v>
      </c>
      <c r="P433" s="460" t="s">
        <v>1979</v>
      </c>
      <c r="Q433" s="460" t="s">
        <v>1978</v>
      </c>
      <c r="R433" s="460" t="s">
        <v>1977</v>
      </c>
      <c r="S433" s="460" t="s">
        <v>1826</v>
      </c>
      <c r="T433" s="460" t="s">
        <v>1827</v>
      </c>
      <c r="U433" s="461" t="s">
        <v>1976</v>
      </c>
      <c r="V433" s="460" t="s">
        <v>1119</v>
      </c>
      <c r="W433" s="560"/>
      <c r="X433" s="461" t="s">
        <v>1824</v>
      </c>
      <c r="Y433" s="461" t="s">
        <v>1824</v>
      </c>
      <c r="Z433" s="461" t="s">
        <v>170</v>
      </c>
      <c r="AA433" s="460" t="s">
        <v>1218</v>
      </c>
      <c r="AB433" s="561">
        <f>ROUND(35.03,2)</f>
        <v>35.03</v>
      </c>
      <c r="AC433" s="460" t="s">
        <v>308</v>
      </c>
      <c r="AD433" s="460"/>
      <c r="AE433" s="561">
        <f>ROUND(819.25,2)</f>
        <v>819.25</v>
      </c>
      <c r="AF433" s="460" t="s">
        <v>308</v>
      </c>
      <c r="AG433" s="561">
        <f t="shared" si="6"/>
        <v>0</v>
      </c>
      <c r="AH433" s="460" t="s">
        <v>2671</v>
      </c>
      <c r="AI433" s="460" t="s">
        <v>1214</v>
      </c>
      <c r="AJ433" s="460" t="s">
        <v>2549</v>
      </c>
      <c r="AK433" s="460" t="s">
        <v>2672</v>
      </c>
      <c r="AL433" s="560" t="s">
        <v>2694</v>
      </c>
      <c r="AM433" s="460" t="s">
        <v>2674</v>
      </c>
    </row>
    <row r="434" spans="1:39" ht="34.200000000000003">
      <c r="A434" s="460" t="s">
        <v>1810</v>
      </c>
      <c r="B434" s="460"/>
      <c r="C434" s="460" t="s">
        <v>1670</v>
      </c>
      <c r="D434" s="460" t="s">
        <v>2191</v>
      </c>
      <c r="E434" s="460" t="s">
        <v>1819</v>
      </c>
      <c r="F434" s="460" t="s">
        <v>2015</v>
      </c>
      <c r="G434" s="461" t="s">
        <v>1218</v>
      </c>
      <c r="H434" s="461" t="s">
        <v>257</v>
      </c>
      <c r="I434" s="460" t="s">
        <v>2190</v>
      </c>
      <c r="J434" s="460" t="s">
        <v>1983</v>
      </c>
      <c r="K434" s="460" t="s">
        <v>2669</v>
      </c>
      <c r="L434" s="460" t="s">
        <v>2778</v>
      </c>
      <c r="M434" s="460" t="s">
        <v>2002</v>
      </c>
      <c r="N434" s="460" t="s">
        <v>1981</v>
      </c>
      <c r="O434" s="460" t="s">
        <v>2001</v>
      </c>
      <c r="P434" s="460" t="s">
        <v>1979</v>
      </c>
      <c r="Q434" s="460" t="s">
        <v>95</v>
      </c>
      <c r="R434" s="460" t="s">
        <v>1977</v>
      </c>
      <c r="S434" s="460" t="s">
        <v>1842</v>
      </c>
      <c r="T434" s="460" t="s">
        <v>1827</v>
      </c>
      <c r="U434" s="461" t="s">
        <v>1976</v>
      </c>
      <c r="V434" s="460" t="s">
        <v>1967</v>
      </c>
      <c r="W434" s="560"/>
      <c r="X434" s="461" t="s">
        <v>1824</v>
      </c>
      <c r="Y434" s="461" t="s">
        <v>2966</v>
      </c>
      <c r="Z434" s="461" t="s">
        <v>170</v>
      </c>
      <c r="AA434" s="460" t="s">
        <v>1218</v>
      </c>
      <c r="AB434" s="561">
        <f>ROUND(30.41,2)</f>
        <v>30.41</v>
      </c>
      <c r="AC434" s="460" t="s">
        <v>308</v>
      </c>
      <c r="AD434" s="460"/>
      <c r="AE434" s="561">
        <f>ROUND(70.29,2)</f>
        <v>70.290000000000006</v>
      </c>
      <c r="AF434" s="460" t="s">
        <v>308</v>
      </c>
      <c r="AG434" s="561">
        <f t="shared" si="6"/>
        <v>0</v>
      </c>
      <c r="AH434" s="460" t="s">
        <v>2671</v>
      </c>
      <c r="AI434" s="460" t="s">
        <v>1214</v>
      </c>
      <c r="AJ434" s="460" t="s">
        <v>2548</v>
      </c>
      <c r="AK434" s="460" t="s">
        <v>2672</v>
      </c>
      <c r="AL434" s="560" t="s">
        <v>2673</v>
      </c>
      <c r="AM434" s="460" t="s">
        <v>2674</v>
      </c>
    </row>
    <row r="435" spans="1:39" ht="34.200000000000003">
      <c r="A435" s="460" t="s">
        <v>1810</v>
      </c>
      <c r="B435" s="460"/>
      <c r="C435" s="460" t="s">
        <v>1670</v>
      </c>
      <c r="D435" s="460" t="s">
        <v>2191</v>
      </c>
      <c r="E435" s="460" t="s">
        <v>1819</v>
      </c>
      <c r="F435" s="460" t="s">
        <v>2015</v>
      </c>
      <c r="G435" s="461" t="s">
        <v>1218</v>
      </c>
      <c r="H435" s="461" t="s">
        <v>257</v>
      </c>
      <c r="I435" s="460" t="s">
        <v>2190</v>
      </c>
      <c r="J435" s="460" t="s">
        <v>1983</v>
      </c>
      <c r="K435" s="460" t="s">
        <v>2669</v>
      </c>
      <c r="L435" s="460" t="s">
        <v>2778</v>
      </c>
      <c r="M435" s="460" t="s">
        <v>2002</v>
      </c>
      <c r="N435" s="460" t="s">
        <v>1981</v>
      </c>
      <c r="O435" s="460" t="s">
        <v>2001</v>
      </c>
      <c r="P435" s="460" t="s">
        <v>2675</v>
      </c>
      <c r="Q435" s="460" t="s">
        <v>2676</v>
      </c>
      <c r="R435" s="460" t="s">
        <v>2677</v>
      </c>
      <c r="S435" s="460" t="s">
        <v>2676</v>
      </c>
      <c r="T435" s="460" t="s">
        <v>1827</v>
      </c>
      <c r="U435" s="461" t="s">
        <v>1824</v>
      </c>
      <c r="V435" s="460" t="s">
        <v>1843</v>
      </c>
      <c r="W435" s="560"/>
      <c r="X435" s="461" t="s">
        <v>1824</v>
      </c>
      <c r="Y435" s="461" t="s">
        <v>1824</v>
      </c>
      <c r="Z435" s="461" t="s">
        <v>170</v>
      </c>
      <c r="AA435" s="460" t="s">
        <v>1218</v>
      </c>
      <c r="AB435" s="561">
        <f>ROUND(62.5,2)</f>
        <v>62.5</v>
      </c>
      <c r="AC435" s="460" t="s">
        <v>2678</v>
      </c>
      <c r="AD435" s="460"/>
      <c r="AE435" s="561">
        <f>ROUND(1000,2)</f>
        <v>1000</v>
      </c>
      <c r="AF435" s="460" t="s">
        <v>2679</v>
      </c>
      <c r="AG435" s="561">
        <f t="shared" si="6"/>
        <v>0</v>
      </c>
      <c r="AH435" s="460" t="s">
        <v>2671</v>
      </c>
      <c r="AI435" s="460" t="s">
        <v>1214</v>
      </c>
      <c r="AJ435" s="460" t="s">
        <v>2550</v>
      </c>
      <c r="AK435" s="460" t="s">
        <v>2672</v>
      </c>
      <c r="AL435" s="560" t="s">
        <v>2828</v>
      </c>
      <c r="AM435" s="460" t="s">
        <v>2674</v>
      </c>
    </row>
    <row r="436" spans="1:39" ht="34.200000000000003">
      <c r="A436" s="460" t="s">
        <v>1810</v>
      </c>
      <c r="B436" s="460"/>
      <c r="C436" s="460" t="s">
        <v>1670</v>
      </c>
      <c r="D436" s="460" t="s">
        <v>2191</v>
      </c>
      <c r="E436" s="460" t="s">
        <v>1819</v>
      </c>
      <c r="F436" s="460" t="s">
        <v>2015</v>
      </c>
      <c r="G436" s="461" t="s">
        <v>1218</v>
      </c>
      <c r="H436" s="461" t="s">
        <v>257</v>
      </c>
      <c r="I436" s="460" t="s">
        <v>2190</v>
      </c>
      <c r="J436" s="460" t="s">
        <v>1983</v>
      </c>
      <c r="K436" s="460" t="s">
        <v>2669</v>
      </c>
      <c r="L436" s="460" t="s">
        <v>2778</v>
      </c>
      <c r="M436" s="460" t="s">
        <v>2002</v>
      </c>
      <c r="N436" s="460" t="s">
        <v>1981</v>
      </c>
      <c r="O436" s="460" t="s">
        <v>2001</v>
      </c>
      <c r="P436" s="460" t="s">
        <v>1979</v>
      </c>
      <c r="Q436" s="460" t="s">
        <v>1978</v>
      </c>
      <c r="R436" s="460" t="s">
        <v>1977</v>
      </c>
      <c r="S436" s="460" t="s">
        <v>1826</v>
      </c>
      <c r="T436" s="460" t="s">
        <v>1827</v>
      </c>
      <c r="U436" s="461" t="s">
        <v>1976</v>
      </c>
      <c r="V436" s="460" t="s">
        <v>1967</v>
      </c>
      <c r="W436" s="560"/>
      <c r="X436" s="461" t="s">
        <v>1824</v>
      </c>
      <c r="Y436" s="461" t="s">
        <v>1824</v>
      </c>
      <c r="Z436" s="461" t="s">
        <v>170</v>
      </c>
      <c r="AA436" s="460" t="s">
        <v>1218</v>
      </c>
      <c r="AB436" s="561">
        <f>ROUND(509.75,2)</f>
        <v>509.75</v>
      </c>
      <c r="AC436" s="460" t="s">
        <v>308</v>
      </c>
      <c r="AD436" s="460"/>
      <c r="AE436" s="561">
        <f>ROUND(1272.61,2)</f>
        <v>1272.6099999999999</v>
      </c>
      <c r="AF436" s="460" t="s">
        <v>308</v>
      </c>
      <c r="AG436" s="561">
        <f t="shared" si="6"/>
        <v>0</v>
      </c>
      <c r="AH436" s="460" t="s">
        <v>2671</v>
      </c>
      <c r="AI436" s="460" t="s">
        <v>1214</v>
      </c>
      <c r="AJ436" s="460" t="s">
        <v>2549</v>
      </c>
      <c r="AK436" s="460" t="s">
        <v>2672</v>
      </c>
      <c r="AL436" s="560" t="s">
        <v>2818</v>
      </c>
      <c r="AM436" s="460" t="s">
        <v>2674</v>
      </c>
    </row>
    <row r="437" spans="1:39" ht="22.8">
      <c r="A437" s="460" t="s">
        <v>1810</v>
      </c>
      <c r="B437" s="460"/>
      <c r="C437" s="460" t="s">
        <v>1515</v>
      </c>
      <c r="D437" s="460" t="s">
        <v>2189</v>
      </c>
      <c r="E437" s="460" t="s">
        <v>1816</v>
      </c>
      <c r="F437" s="460" t="s">
        <v>1812</v>
      </c>
      <c r="G437" s="461" t="s">
        <v>1218</v>
      </c>
      <c r="H437" s="461" t="s">
        <v>177</v>
      </c>
      <c r="I437" s="460" t="s">
        <v>2186</v>
      </c>
      <c r="J437" s="460" t="s">
        <v>1983</v>
      </c>
      <c r="K437" s="460" t="s">
        <v>2669</v>
      </c>
      <c r="L437" s="460" t="s">
        <v>2829</v>
      </c>
      <c r="M437" s="460" t="s">
        <v>2022</v>
      </c>
      <c r="N437" s="460" t="s">
        <v>2021</v>
      </c>
      <c r="O437" s="460" t="s">
        <v>2001</v>
      </c>
      <c r="P437" s="460" t="s">
        <v>1979</v>
      </c>
      <c r="Q437" s="460" t="s">
        <v>95</v>
      </c>
      <c r="R437" s="460" t="s">
        <v>1977</v>
      </c>
      <c r="S437" s="460" t="s">
        <v>1842</v>
      </c>
      <c r="T437" s="460" t="s">
        <v>1827</v>
      </c>
      <c r="U437" s="461" t="s">
        <v>1976</v>
      </c>
      <c r="V437" s="460" t="s">
        <v>1851</v>
      </c>
      <c r="W437" s="560"/>
      <c r="X437" s="461" t="s">
        <v>1824</v>
      </c>
      <c r="Y437" s="461" t="s">
        <v>2683</v>
      </c>
      <c r="Z437" s="461" t="s">
        <v>170</v>
      </c>
      <c r="AA437" s="460" t="s">
        <v>1218</v>
      </c>
      <c r="AB437" s="561">
        <f>ROUND(30.41,2)</f>
        <v>30.41</v>
      </c>
      <c r="AC437" s="460" t="s">
        <v>308</v>
      </c>
      <c r="AD437" s="460"/>
      <c r="AE437" s="561">
        <f>ROUND(70.29,2)</f>
        <v>70.290000000000006</v>
      </c>
      <c r="AF437" s="460" t="s">
        <v>308</v>
      </c>
      <c r="AG437" s="561">
        <f t="shared" si="6"/>
        <v>0</v>
      </c>
      <c r="AH437" s="460" t="s">
        <v>2671</v>
      </c>
      <c r="AI437" s="460" t="s">
        <v>1214</v>
      </c>
      <c r="AJ437" s="460" t="s">
        <v>2548</v>
      </c>
      <c r="AK437" s="460" t="s">
        <v>2672</v>
      </c>
      <c r="AL437" s="560" t="s">
        <v>2673</v>
      </c>
      <c r="AM437" s="460" t="s">
        <v>2674</v>
      </c>
    </row>
    <row r="438" spans="1:39" ht="22.8">
      <c r="A438" s="460" t="s">
        <v>1810</v>
      </c>
      <c r="B438" s="460"/>
      <c r="C438" s="460" t="s">
        <v>1515</v>
      </c>
      <c r="D438" s="460" t="s">
        <v>2189</v>
      </c>
      <c r="E438" s="460" t="s">
        <v>1816</v>
      </c>
      <c r="F438" s="460" t="s">
        <v>1812</v>
      </c>
      <c r="G438" s="461" t="s">
        <v>1218</v>
      </c>
      <c r="H438" s="461" t="s">
        <v>177</v>
      </c>
      <c r="I438" s="460" t="s">
        <v>2186</v>
      </c>
      <c r="J438" s="460" t="s">
        <v>1983</v>
      </c>
      <c r="K438" s="460" t="s">
        <v>2669</v>
      </c>
      <c r="L438" s="460" t="s">
        <v>2829</v>
      </c>
      <c r="M438" s="460" t="s">
        <v>2022</v>
      </c>
      <c r="N438" s="460" t="s">
        <v>2021</v>
      </c>
      <c r="O438" s="460" t="s">
        <v>2001</v>
      </c>
      <c r="P438" s="460" t="s">
        <v>2675</v>
      </c>
      <c r="Q438" s="460" t="s">
        <v>2676</v>
      </c>
      <c r="R438" s="460" t="s">
        <v>2677</v>
      </c>
      <c r="S438" s="460" t="s">
        <v>2676</v>
      </c>
      <c r="T438" s="460" t="s">
        <v>1827</v>
      </c>
      <c r="U438" s="461" t="s">
        <v>1824</v>
      </c>
      <c r="V438" s="460" t="s">
        <v>1119</v>
      </c>
      <c r="W438" s="560"/>
      <c r="X438" s="461" t="s">
        <v>1824</v>
      </c>
      <c r="Y438" s="461" t="s">
        <v>2683</v>
      </c>
      <c r="Z438" s="461" t="s">
        <v>170</v>
      </c>
      <c r="AA438" s="460" t="s">
        <v>1218</v>
      </c>
      <c r="AB438" s="561">
        <f>ROUND(20,2)</f>
        <v>20</v>
      </c>
      <c r="AC438" s="460" t="s">
        <v>2678</v>
      </c>
      <c r="AD438" s="460"/>
      <c r="AE438" s="561">
        <f>ROUND(500.05,2)</f>
        <v>500.05</v>
      </c>
      <c r="AF438" s="460" t="s">
        <v>2679</v>
      </c>
      <c r="AG438" s="561">
        <f t="shared" si="6"/>
        <v>0</v>
      </c>
      <c r="AH438" s="460" t="s">
        <v>2671</v>
      </c>
      <c r="AI438" s="460" t="s">
        <v>1214</v>
      </c>
      <c r="AJ438" s="460" t="s">
        <v>2550</v>
      </c>
      <c r="AK438" s="460" t="s">
        <v>2672</v>
      </c>
      <c r="AL438" s="560" t="s">
        <v>2711</v>
      </c>
      <c r="AM438" s="460" t="s">
        <v>2674</v>
      </c>
    </row>
    <row r="439" spans="1:39" ht="22.8">
      <c r="A439" s="460" t="s">
        <v>1810</v>
      </c>
      <c r="B439" s="460"/>
      <c r="C439" s="460" t="s">
        <v>1515</v>
      </c>
      <c r="D439" s="460" t="s">
        <v>2189</v>
      </c>
      <c r="E439" s="460" t="s">
        <v>1816</v>
      </c>
      <c r="F439" s="460" t="s">
        <v>1812</v>
      </c>
      <c r="G439" s="461" t="s">
        <v>1218</v>
      </c>
      <c r="H439" s="461" t="s">
        <v>177</v>
      </c>
      <c r="I439" s="460" t="s">
        <v>2186</v>
      </c>
      <c r="J439" s="460" t="s">
        <v>1983</v>
      </c>
      <c r="K439" s="460" t="s">
        <v>2669</v>
      </c>
      <c r="L439" s="460" t="s">
        <v>2829</v>
      </c>
      <c r="M439" s="460" t="s">
        <v>2022</v>
      </c>
      <c r="N439" s="460" t="s">
        <v>2021</v>
      </c>
      <c r="O439" s="460" t="s">
        <v>2001</v>
      </c>
      <c r="P439" s="460" t="s">
        <v>1979</v>
      </c>
      <c r="Q439" s="460" t="s">
        <v>1978</v>
      </c>
      <c r="R439" s="460" t="s">
        <v>1977</v>
      </c>
      <c r="S439" s="460" t="s">
        <v>1826</v>
      </c>
      <c r="T439" s="460" t="s">
        <v>1827</v>
      </c>
      <c r="U439" s="461" t="s">
        <v>1976</v>
      </c>
      <c r="V439" s="460" t="s">
        <v>1119</v>
      </c>
      <c r="W439" s="560"/>
      <c r="X439" s="461" t="s">
        <v>1824</v>
      </c>
      <c r="Y439" s="461" t="s">
        <v>2683</v>
      </c>
      <c r="Z439" s="461" t="s">
        <v>170</v>
      </c>
      <c r="AA439" s="460" t="s">
        <v>1218</v>
      </c>
      <c r="AB439" s="561">
        <f>ROUND(29.05,2)</f>
        <v>29.05</v>
      </c>
      <c r="AC439" s="460" t="s">
        <v>308</v>
      </c>
      <c r="AD439" s="460"/>
      <c r="AE439" s="561">
        <f>ROUND(825.23,2)</f>
        <v>825.23</v>
      </c>
      <c r="AF439" s="460" t="s">
        <v>308</v>
      </c>
      <c r="AG439" s="561">
        <f t="shared" si="6"/>
        <v>0</v>
      </c>
      <c r="AH439" s="460" t="s">
        <v>2671</v>
      </c>
      <c r="AI439" s="460" t="s">
        <v>1214</v>
      </c>
      <c r="AJ439" s="460" t="s">
        <v>2549</v>
      </c>
      <c r="AK439" s="460" t="s">
        <v>2672</v>
      </c>
      <c r="AL439" s="560" t="s">
        <v>2692</v>
      </c>
      <c r="AM439" s="460" t="s">
        <v>2674</v>
      </c>
    </row>
    <row r="440" spans="1:39" ht="34.200000000000003">
      <c r="A440" s="460" t="s">
        <v>1810</v>
      </c>
      <c r="B440" s="460"/>
      <c r="C440" s="460" t="s">
        <v>1295</v>
      </c>
      <c r="D440" s="460" t="s">
        <v>2188</v>
      </c>
      <c r="E440" s="460" t="s">
        <v>1841</v>
      </c>
      <c r="F440" s="460" t="s">
        <v>1812</v>
      </c>
      <c r="G440" s="461" t="s">
        <v>1218</v>
      </c>
      <c r="H440" s="461" t="s">
        <v>277</v>
      </c>
      <c r="I440" s="460" t="s">
        <v>1991</v>
      </c>
      <c r="J440" s="460" t="s">
        <v>1990</v>
      </c>
      <c r="K440" s="460" t="s">
        <v>2669</v>
      </c>
      <c r="L440" s="460" t="s">
        <v>2802</v>
      </c>
      <c r="M440" s="460" t="s">
        <v>2002</v>
      </c>
      <c r="N440" s="460" t="s">
        <v>2018</v>
      </c>
      <c r="O440" s="460" t="s">
        <v>2001</v>
      </c>
      <c r="P440" s="460" t="s">
        <v>1979</v>
      </c>
      <c r="Q440" s="460" t="s">
        <v>95</v>
      </c>
      <c r="R440" s="460" t="s">
        <v>1977</v>
      </c>
      <c r="S440" s="460" t="s">
        <v>1842</v>
      </c>
      <c r="T440" s="460" t="s">
        <v>1827</v>
      </c>
      <c r="U440" s="461" t="s">
        <v>1976</v>
      </c>
      <c r="V440" s="460" t="s">
        <v>1843</v>
      </c>
      <c r="W440" s="560"/>
      <c r="X440" s="461" t="s">
        <v>1824</v>
      </c>
      <c r="Y440" s="461" t="s">
        <v>1824</v>
      </c>
      <c r="Z440" s="461" t="s">
        <v>170</v>
      </c>
      <c r="AA440" s="460" t="s">
        <v>1218</v>
      </c>
      <c r="AB440" s="561">
        <f>ROUND(30.41,2)</f>
        <v>30.41</v>
      </c>
      <c r="AC440" s="460" t="s">
        <v>308</v>
      </c>
      <c r="AD440" s="460"/>
      <c r="AE440" s="561">
        <f>ROUND(70.29,2)</f>
        <v>70.290000000000006</v>
      </c>
      <c r="AF440" s="460" t="s">
        <v>308</v>
      </c>
      <c r="AG440" s="561">
        <f t="shared" si="6"/>
        <v>0</v>
      </c>
      <c r="AH440" s="460" t="s">
        <v>2671</v>
      </c>
      <c r="AI440" s="460" t="s">
        <v>1214</v>
      </c>
      <c r="AJ440" s="460" t="s">
        <v>2548</v>
      </c>
      <c r="AK440" s="460" t="s">
        <v>2672</v>
      </c>
      <c r="AL440" s="560" t="s">
        <v>2673</v>
      </c>
      <c r="AM440" s="460" t="s">
        <v>2674</v>
      </c>
    </row>
    <row r="441" spans="1:39" ht="34.200000000000003">
      <c r="A441" s="460" t="s">
        <v>1810</v>
      </c>
      <c r="B441" s="460"/>
      <c r="C441" s="460" t="s">
        <v>1295</v>
      </c>
      <c r="D441" s="460" t="s">
        <v>2188</v>
      </c>
      <c r="E441" s="460" t="s">
        <v>1841</v>
      </c>
      <c r="F441" s="460" t="s">
        <v>1812</v>
      </c>
      <c r="G441" s="461" t="s">
        <v>1218</v>
      </c>
      <c r="H441" s="461" t="s">
        <v>277</v>
      </c>
      <c r="I441" s="460" t="s">
        <v>1991</v>
      </c>
      <c r="J441" s="460" t="s">
        <v>1990</v>
      </c>
      <c r="K441" s="460" t="s">
        <v>2669</v>
      </c>
      <c r="L441" s="460" t="s">
        <v>2802</v>
      </c>
      <c r="M441" s="460" t="s">
        <v>2002</v>
      </c>
      <c r="N441" s="460" t="s">
        <v>2018</v>
      </c>
      <c r="O441" s="460" t="s">
        <v>2001</v>
      </c>
      <c r="P441" s="460" t="s">
        <v>2675</v>
      </c>
      <c r="Q441" s="460" t="s">
        <v>2676</v>
      </c>
      <c r="R441" s="460" t="s">
        <v>2677</v>
      </c>
      <c r="S441" s="460" t="s">
        <v>2676</v>
      </c>
      <c r="T441" s="460" t="s">
        <v>1827</v>
      </c>
      <c r="U441" s="461" t="s">
        <v>1824</v>
      </c>
      <c r="V441" s="460" t="s">
        <v>1843</v>
      </c>
      <c r="W441" s="560"/>
      <c r="X441" s="461" t="s">
        <v>1824</v>
      </c>
      <c r="Y441" s="461" t="s">
        <v>1824</v>
      </c>
      <c r="Z441" s="461" t="s">
        <v>170</v>
      </c>
      <c r="AA441" s="460" t="s">
        <v>1218</v>
      </c>
      <c r="AB441" s="561">
        <f>ROUND(250,2)</f>
        <v>250</v>
      </c>
      <c r="AC441" s="460" t="s">
        <v>2678</v>
      </c>
      <c r="AD441" s="460"/>
      <c r="AE441" s="561">
        <f>ROUND(1000,2)</f>
        <v>1000</v>
      </c>
      <c r="AF441" s="460" t="s">
        <v>2679</v>
      </c>
      <c r="AG441" s="561">
        <f t="shared" si="6"/>
        <v>0</v>
      </c>
      <c r="AH441" s="460" t="s">
        <v>2671</v>
      </c>
      <c r="AI441" s="460" t="s">
        <v>1214</v>
      </c>
      <c r="AJ441" s="460" t="s">
        <v>2550</v>
      </c>
      <c r="AK441" s="460" t="s">
        <v>2672</v>
      </c>
      <c r="AL441" s="560" t="s">
        <v>2719</v>
      </c>
      <c r="AM441" s="460" t="s">
        <v>2674</v>
      </c>
    </row>
    <row r="442" spans="1:39" ht="34.200000000000003">
      <c r="A442" s="460" t="s">
        <v>1810</v>
      </c>
      <c r="B442" s="460"/>
      <c r="C442" s="460" t="s">
        <v>1295</v>
      </c>
      <c r="D442" s="460" t="s">
        <v>2188</v>
      </c>
      <c r="E442" s="460" t="s">
        <v>1841</v>
      </c>
      <c r="F442" s="460" t="s">
        <v>1812</v>
      </c>
      <c r="G442" s="461" t="s">
        <v>1218</v>
      </c>
      <c r="H442" s="461" t="s">
        <v>277</v>
      </c>
      <c r="I442" s="460" t="s">
        <v>1991</v>
      </c>
      <c r="J442" s="460" t="s">
        <v>1990</v>
      </c>
      <c r="K442" s="460" t="s">
        <v>2669</v>
      </c>
      <c r="L442" s="460" t="s">
        <v>2802</v>
      </c>
      <c r="M442" s="460" t="s">
        <v>2002</v>
      </c>
      <c r="N442" s="460" t="s">
        <v>2018</v>
      </c>
      <c r="O442" s="460" t="s">
        <v>2001</v>
      </c>
      <c r="P442" s="460" t="s">
        <v>1979</v>
      </c>
      <c r="Q442" s="460" t="s">
        <v>1978</v>
      </c>
      <c r="R442" s="460" t="s">
        <v>1977</v>
      </c>
      <c r="S442" s="460" t="s">
        <v>1826</v>
      </c>
      <c r="T442" s="460" t="s">
        <v>1827</v>
      </c>
      <c r="U442" s="461" t="s">
        <v>1976</v>
      </c>
      <c r="V442" s="460" t="s">
        <v>1843</v>
      </c>
      <c r="W442" s="560"/>
      <c r="X442" s="461" t="s">
        <v>1824</v>
      </c>
      <c r="Y442" s="461" t="s">
        <v>1824</v>
      </c>
      <c r="Z442" s="461" t="s">
        <v>170</v>
      </c>
      <c r="AA442" s="460" t="s">
        <v>1218</v>
      </c>
      <c r="AB442" s="561">
        <f>ROUND(475.32,2)</f>
        <v>475.32</v>
      </c>
      <c r="AC442" s="460" t="s">
        <v>308</v>
      </c>
      <c r="AD442" s="460"/>
      <c r="AE442" s="561">
        <f>ROUND(1656.14,2)</f>
        <v>1656.14</v>
      </c>
      <c r="AF442" s="460" t="s">
        <v>308</v>
      </c>
      <c r="AG442" s="561">
        <f t="shared" si="6"/>
        <v>0</v>
      </c>
      <c r="AH442" s="460" t="s">
        <v>2671</v>
      </c>
      <c r="AI442" s="460" t="s">
        <v>1214</v>
      </c>
      <c r="AJ442" s="460" t="s">
        <v>2549</v>
      </c>
      <c r="AK442" s="460" t="s">
        <v>2672</v>
      </c>
      <c r="AL442" s="560" t="s">
        <v>2718</v>
      </c>
      <c r="AM442" s="460" t="s">
        <v>2674</v>
      </c>
    </row>
    <row r="443" spans="1:39" ht="22.8">
      <c r="A443" s="460" t="s">
        <v>1810</v>
      </c>
      <c r="B443" s="460"/>
      <c r="C443" s="460" t="s">
        <v>1924</v>
      </c>
      <c r="D443" s="460" t="s">
        <v>2187</v>
      </c>
      <c r="E443" s="460" t="s">
        <v>1821</v>
      </c>
      <c r="F443" s="460" t="s">
        <v>1812</v>
      </c>
      <c r="G443" s="461" t="s">
        <v>1218</v>
      </c>
      <c r="H443" s="461" t="s">
        <v>1969</v>
      </c>
      <c r="I443" s="460" t="s">
        <v>2186</v>
      </c>
      <c r="J443" s="460" t="s">
        <v>1983</v>
      </c>
      <c r="K443" s="460" t="s">
        <v>2669</v>
      </c>
      <c r="L443" s="460" t="s">
        <v>2714</v>
      </c>
      <c r="M443" s="460" t="s">
        <v>1994</v>
      </c>
      <c r="N443" s="460" t="s">
        <v>1981</v>
      </c>
      <c r="O443" s="460" t="s">
        <v>1980</v>
      </c>
      <c r="P443" s="460" t="s">
        <v>1979</v>
      </c>
      <c r="Q443" s="460" t="s">
        <v>95</v>
      </c>
      <c r="R443" s="460" t="s">
        <v>1977</v>
      </c>
      <c r="S443" s="460" t="s">
        <v>1842</v>
      </c>
      <c r="T443" s="460" t="s">
        <v>1827</v>
      </c>
      <c r="U443" s="461" t="s">
        <v>1976</v>
      </c>
      <c r="V443" s="460" t="s">
        <v>1843</v>
      </c>
      <c r="W443" s="560"/>
      <c r="X443" s="461" t="s">
        <v>1993</v>
      </c>
      <c r="Y443" s="461" t="s">
        <v>1993</v>
      </c>
      <c r="Z443" s="461" t="s">
        <v>170</v>
      </c>
      <c r="AA443" s="460" t="s">
        <v>1218</v>
      </c>
      <c r="AB443" s="561">
        <f>ROUND(30.41,2)</f>
        <v>30.41</v>
      </c>
      <c r="AC443" s="460" t="s">
        <v>308</v>
      </c>
      <c r="AD443" s="460"/>
      <c r="AE443" s="561">
        <f>ROUND(70.29,2)</f>
        <v>70.290000000000006</v>
      </c>
      <c r="AF443" s="460" t="s">
        <v>308</v>
      </c>
      <c r="AG443" s="561">
        <f t="shared" si="6"/>
        <v>0</v>
      </c>
      <c r="AH443" s="460" t="s">
        <v>2671</v>
      </c>
      <c r="AI443" s="460" t="s">
        <v>1214</v>
      </c>
      <c r="AJ443" s="460" t="s">
        <v>2548</v>
      </c>
      <c r="AK443" s="460" t="s">
        <v>2672</v>
      </c>
      <c r="AL443" s="560" t="s">
        <v>2673</v>
      </c>
      <c r="AM443" s="460" t="s">
        <v>2674</v>
      </c>
    </row>
    <row r="444" spans="1:39" ht="22.8">
      <c r="A444" s="460" t="s">
        <v>1810</v>
      </c>
      <c r="B444" s="460"/>
      <c r="C444" s="460" t="s">
        <v>1924</v>
      </c>
      <c r="D444" s="460" t="s">
        <v>2187</v>
      </c>
      <c r="E444" s="460" t="s">
        <v>1821</v>
      </c>
      <c r="F444" s="460" t="s">
        <v>1812</v>
      </c>
      <c r="G444" s="461" t="s">
        <v>1218</v>
      </c>
      <c r="H444" s="461" t="s">
        <v>1969</v>
      </c>
      <c r="I444" s="460" t="s">
        <v>2186</v>
      </c>
      <c r="J444" s="460" t="s">
        <v>1983</v>
      </c>
      <c r="K444" s="460" t="s">
        <v>2669</v>
      </c>
      <c r="L444" s="460" t="s">
        <v>2714</v>
      </c>
      <c r="M444" s="460" t="s">
        <v>1994</v>
      </c>
      <c r="N444" s="460" t="s">
        <v>1981</v>
      </c>
      <c r="O444" s="460" t="s">
        <v>1980</v>
      </c>
      <c r="P444" s="460" t="s">
        <v>2675</v>
      </c>
      <c r="Q444" s="460" t="s">
        <v>2676</v>
      </c>
      <c r="R444" s="460" t="s">
        <v>2677</v>
      </c>
      <c r="S444" s="460" t="s">
        <v>2676</v>
      </c>
      <c r="T444" s="460" t="s">
        <v>1827</v>
      </c>
      <c r="U444" s="461" t="s">
        <v>1824</v>
      </c>
      <c r="V444" s="460" t="s">
        <v>1843</v>
      </c>
      <c r="W444" s="560"/>
      <c r="X444" s="461" t="s">
        <v>1993</v>
      </c>
      <c r="Y444" s="461" t="s">
        <v>1993</v>
      </c>
      <c r="Z444" s="461" t="s">
        <v>170</v>
      </c>
      <c r="AA444" s="460" t="s">
        <v>1218</v>
      </c>
      <c r="AB444" s="561">
        <f>ROUND(0,2)</f>
        <v>0</v>
      </c>
      <c r="AC444" s="460" t="s">
        <v>2678</v>
      </c>
      <c r="AD444" s="460"/>
      <c r="AE444" s="561">
        <f>ROUND(1000,2)</f>
        <v>1000</v>
      </c>
      <c r="AF444" s="460" t="s">
        <v>2679</v>
      </c>
      <c r="AG444" s="561">
        <f t="shared" si="6"/>
        <v>0</v>
      </c>
      <c r="AH444" s="460" t="s">
        <v>2671</v>
      </c>
      <c r="AI444" s="460" t="s">
        <v>1214</v>
      </c>
      <c r="AJ444" s="460"/>
      <c r="AK444" s="460"/>
      <c r="AL444" s="560"/>
      <c r="AM444" s="460"/>
    </row>
    <row r="445" spans="1:39" ht="22.8">
      <c r="A445" s="460" t="s">
        <v>1810</v>
      </c>
      <c r="B445" s="460"/>
      <c r="C445" s="460" t="s">
        <v>1924</v>
      </c>
      <c r="D445" s="460" t="s">
        <v>2187</v>
      </c>
      <c r="E445" s="460" t="s">
        <v>1821</v>
      </c>
      <c r="F445" s="460" t="s">
        <v>1812</v>
      </c>
      <c r="G445" s="461" t="s">
        <v>1218</v>
      </c>
      <c r="H445" s="461" t="s">
        <v>1969</v>
      </c>
      <c r="I445" s="460" t="s">
        <v>2186</v>
      </c>
      <c r="J445" s="460" t="s">
        <v>1983</v>
      </c>
      <c r="K445" s="460" t="s">
        <v>2669</v>
      </c>
      <c r="L445" s="460" t="s">
        <v>2714</v>
      </c>
      <c r="M445" s="460" t="s">
        <v>1994</v>
      </c>
      <c r="N445" s="460" t="s">
        <v>1981</v>
      </c>
      <c r="O445" s="460" t="s">
        <v>1980</v>
      </c>
      <c r="P445" s="460" t="s">
        <v>1979</v>
      </c>
      <c r="Q445" s="460" t="s">
        <v>1978</v>
      </c>
      <c r="R445" s="460" t="s">
        <v>1977</v>
      </c>
      <c r="S445" s="460" t="s">
        <v>1826</v>
      </c>
      <c r="T445" s="460" t="s">
        <v>1827</v>
      </c>
      <c r="U445" s="461" t="s">
        <v>1976</v>
      </c>
      <c r="V445" s="460" t="s">
        <v>1843</v>
      </c>
      <c r="W445" s="560"/>
      <c r="X445" s="461" t="s">
        <v>1993</v>
      </c>
      <c r="Y445" s="461" t="s">
        <v>1993</v>
      </c>
      <c r="Z445" s="461" t="s">
        <v>170</v>
      </c>
      <c r="AA445" s="460" t="s">
        <v>1218</v>
      </c>
      <c r="AB445" s="561">
        <f>ROUND(383.66,2)</f>
        <v>383.66</v>
      </c>
      <c r="AC445" s="460" t="s">
        <v>308</v>
      </c>
      <c r="AD445" s="460"/>
      <c r="AE445" s="561">
        <f>ROUND(1747.8,2)</f>
        <v>1747.8</v>
      </c>
      <c r="AF445" s="460" t="s">
        <v>308</v>
      </c>
      <c r="AG445" s="561">
        <f t="shared" si="6"/>
        <v>0</v>
      </c>
      <c r="AH445" s="460" t="s">
        <v>2671</v>
      </c>
      <c r="AI445" s="460" t="s">
        <v>1214</v>
      </c>
      <c r="AJ445" s="460" t="s">
        <v>2549</v>
      </c>
      <c r="AK445" s="460" t="s">
        <v>2672</v>
      </c>
      <c r="AL445" s="560" t="s">
        <v>2696</v>
      </c>
      <c r="AM445" s="460" t="s">
        <v>2674</v>
      </c>
    </row>
    <row r="446" spans="1:39" ht="22.8">
      <c r="A446" s="460" t="s">
        <v>1810</v>
      </c>
      <c r="B446" s="460"/>
      <c r="C446" s="460" t="s">
        <v>1412</v>
      </c>
      <c r="D446" s="460" t="s">
        <v>2185</v>
      </c>
      <c r="E446" s="460" t="s">
        <v>1811</v>
      </c>
      <c r="F446" s="460" t="s">
        <v>2015</v>
      </c>
      <c r="G446" s="461" t="s">
        <v>1218</v>
      </c>
      <c r="H446" s="461" t="s">
        <v>266</v>
      </c>
      <c r="I446" s="460" t="s">
        <v>2177</v>
      </c>
      <c r="J446" s="460" t="s">
        <v>1983</v>
      </c>
      <c r="K446" s="460" t="s">
        <v>2669</v>
      </c>
      <c r="L446" s="460" t="s">
        <v>2763</v>
      </c>
      <c r="M446" s="460" t="s">
        <v>2002</v>
      </c>
      <c r="N446" s="460" t="s">
        <v>1981</v>
      </c>
      <c r="O446" s="460" t="s">
        <v>2001</v>
      </c>
      <c r="P446" s="460" t="s">
        <v>1979</v>
      </c>
      <c r="Q446" s="460" t="s">
        <v>95</v>
      </c>
      <c r="R446" s="460" t="s">
        <v>1977</v>
      </c>
      <c r="S446" s="460" t="s">
        <v>1842</v>
      </c>
      <c r="T446" s="460" t="s">
        <v>1827</v>
      </c>
      <c r="U446" s="461" t="s">
        <v>1976</v>
      </c>
      <c r="V446" s="460" t="s">
        <v>1119</v>
      </c>
      <c r="W446" s="560"/>
      <c r="X446" s="461" t="s">
        <v>2184</v>
      </c>
      <c r="Y446" s="461" t="s">
        <v>2184</v>
      </c>
      <c r="Z446" s="461" t="s">
        <v>170</v>
      </c>
      <c r="AA446" s="460" t="s">
        <v>1218</v>
      </c>
      <c r="AB446" s="561">
        <f>ROUND(0,2)</f>
        <v>0</v>
      </c>
      <c r="AC446" s="460" t="s">
        <v>308</v>
      </c>
      <c r="AD446" s="460"/>
      <c r="AE446" s="561">
        <f>ROUND(36.23,2)</f>
        <v>36.229999999999997</v>
      </c>
      <c r="AF446" s="460" t="s">
        <v>308</v>
      </c>
      <c r="AG446" s="561">
        <f t="shared" si="6"/>
        <v>0</v>
      </c>
      <c r="AH446" s="460" t="s">
        <v>2671</v>
      </c>
      <c r="AI446" s="460" t="s">
        <v>1214</v>
      </c>
      <c r="AJ446" s="460"/>
      <c r="AK446" s="460"/>
      <c r="AL446" s="560"/>
      <c r="AM446" s="460"/>
    </row>
    <row r="447" spans="1:39" ht="22.8">
      <c r="A447" s="460" t="s">
        <v>1810</v>
      </c>
      <c r="B447" s="460"/>
      <c r="C447" s="460" t="s">
        <v>1412</v>
      </c>
      <c r="D447" s="460" t="s">
        <v>2185</v>
      </c>
      <c r="E447" s="460" t="s">
        <v>1811</v>
      </c>
      <c r="F447" s="460" t="s">
        <v>2015</v>
      </c>
      <c r="G447" s="461" t="s">
        <v>1218</v>
      </c>
      <c r="H447" s="461" t="s">
        <v>266</v>
      </c>
      <c r="I447" s="460" t="s">
        <v>2177</v>
      </c>
      <c r="J447" s="460" t="s">
        <v>1983</v>
      </c>
      <c r="K447" s="460" t="s">
        <v>2669</v>
      </c>
      <c r="L447" s="460" t="s">
        <v>2763</v>
      </c>
      <c r="M447" s="460" t="s">
        <v>2002</v>
      </c>
      <c r="N447" s="460" t="s">
        <v>1981</v>
      </c>
      <c r="O447" s="460" t="s">
        <v>2001</v>
      </c>
      <c r="P447" s="460" t="s">
        <v>2675</v>
      </c>
      <c r="Q447" s="460" t="s">
        <v>2676</v>
      </c>
      <c r="R447" s="460" t="s">
        <v>2677</v>
      </c>
      <c r="S447" s="460" t="s">
        <v>2676</v>
      </c>
      <c r="T447" s="460" t="s">
        <v>1827</v>
      </c>
      <c r="U447" s="461" t="s">
        <v>1824</v>
      </c>
      <c r="V447" s="460" t="s">
        <v>1119</v>
      </c>
      <c r="W447" s="560"/>
      <c r="X447" s="461" t="s">
        <v>1824</v>
      </c>
      <c r="Y447" s="461" t="s">
        <v>1824</v>
      </c>
      <c r="Z447" s="461" t="s">
        <v>170</v>
      </c>
      <c r="AA447" s="460" t="s">
        <v>1218</v>
      </c>
      <c r="AB447" s="561">
        <f>ROUND(20.84,2)</f>
        <v>20.84</v>
      </c>
      <c r="AC447" s="460" t="s">
        <v>2678</v>
      </c>
      <c r="AD447" s="460"/>
      <c r="AE447" s="561">
        <f>ROUND(500.05,2)</f>
        <v>500.05</v>
      </c>
      <c r="AF447" s="460" t="s">
        <v>2679</v>
      </c>
      <c r="AG447" s="561">
        <f t="shared" si="6"/>
        <v>0</v>
      </c>
      <c r="AH447" s="460" t="s">
        <v>2671</v>
      </c>
      <c r="AI447" s="460" t="s">
        <v>1214</v>
      </c>
      <c r="AJ447" s="460" t="s">
        <v>2550</v>
      </c>
      <c r="AK447" s="460" t="s">
        <v>2672</v>
      </c>
      <c r="AL447" s="560" t="s">
        <v>2743</v>
      </c>
      <c r="AM447" s="460" t="s">
        <v>2674</v>
      </c>
    </row>
    <row r="448" spans="1:39" ht="22.8">
      <c r="A448" s="460" t="s">
        <v>1810</v>
      </c>
      <c r="B448" s="460"/>
      <c r="C448" s="460" t="s">
        <v>1412</v>
      </c>
      <c r="D448" s="460" t="s">
        <v>2185</v>
      </c>
      <c r="E448" s="460" t="s">
        <v>1811</v>
      </c>
      <c r="F448" s="460" t="s">
        <v>2015</v>
      </c>
      <c r="G448" s="461" t="s">
        <v>1218</v>
      </c>
      <c r="H448" s="461" t="s">
        <v>266</v>
      </c>
      <c r="I448" s="460" t="s">
        <v>2177</v>
      </c>
      <c r="J448" s="460" t="s">
        <v>1983</v>
      </c>
      <c r="K448" s="460" t="s">
        <v>2669</v>
      </c>
      <c r="L448" s="460" t="s">
        <v>2763</v>
      </c>
      <c r="M448" s="460" t="s">
        <v>2002</v>
      </c>
      <c r="N448" s="460" t="s">
        <v>1981</v>
      </c>
      <c r="O448" s="460" t="s">
        <v>2001</v>
      </c>
      <c r="P448" s="460" t="s">
        <v>1979</v>
      </c>
      <c r="Q448" s="460" t="s">
        <v>1978</v>
      </c>
      <c r="R448" s="460" t="s">
        <v>1977</v>
      </c>
      <c r="S448" s="460" t="s">
        <v>1826</v>
      </c>
      <c r="T448" s="460" t="s">
        <v>1827</v>
      </c>
      <c r="U448" s="461" t="s">
        <v>1976</v>
      </c>
      <c r="V448" s="460" t="s">
        <v>1119</v>
      </c>
      <c r="W448" s="560"/>
      <c r="X448" s="461" t="s">
        <v>2184</v>
      </c>
      <c r="Y448" s="461" t="s">
        <v>2184</v>
      </c>
      <c r="Z448" s="461" t="s">
        <v>170</v>
      </c>
      <c r="AA448" s="460" t="s">
        <v>1218</v>
      </c>
      <c r="AB448" s="561">
        <f>ROUND(45.28,2)</f>
        <v>45.28</v>
      </c>
      <c r="AC448" s="460" t="s">
        <v>308</v>
      </c>
      <c r="AD448" s="460"/>
      <c r="AE448" s="561">
        <f>ROUND(809,2)</f>
        <v>809</v>
      </c>
      <c r="AF448" s="460" t="s">
        <v>308</v>
      </c>
      <c r="AG448" s="561">
        <f t="shared" si="6"/>
        <v>0</v>
      </c>
      <c r="AH448" s="460" t="s">
        <v>2671</v>
      </c>
      <c r="AI448" s="460" t="s">
        <v>1214</v>
      </c>
      <c r="AJ448" s="460" t="s">
        <v>2549</v>
      </c>
      <c r="AK448" s="460" t="s">
        <v>2672</v>
      </c>
      <c r="AL448" s="560" t="s">
        <v>2752</v>
      </c>
      <c r="AM448" s="460" t="s">
        <v>2674</v>
      </c>
    </row>
    <row r="449" spans="1:39" ht="22.8">
      <c r="A449" s="460" t="s">
        <v>1810</v>
      </c>
      <c r="B449" s="460"/>
      <c r="C449" s="460" t="s">
        <v>1617</v>
      </c>
      <c r="D449" s="460" t="s">
        <v>2183</v>
      </c>
      <c r="E449" s="460" t="s">
        <v>1834</v>
      </c>
      <c r="F449" s="460" t="s">
        <v>1812</v>
      </c>
      <c r="G449" s="461" t="s">
        <v>1218</v>
      </c>
      <c r="H449" s="461" t="s">
        <v>271</v>
      </c>
      <c r="I449" s="460" t="s">
        <v>2155</v>
      </c>
      <c r="J449" s="460" t="s">
        <v>1990</v>
      </c>
      <c r="K449" s="460" t="s">
        <v>2669</v>
      </c>
      <c r="L449" s="460" t="s">
        <v>2749</v>
      </c>
      <c r="M449" s="460" t="s">
        <v>2002</v>
      </c>
      <c r="N449" s="460" t="s">
        <v>1981</v>
      </c>
      <c r="O449" s="460" t="s">
        <v>2001</v>
      </c>
      <c r="P449" s="460" t="s">
        <v>1979</v>
      </c>
      <c r="Q449" s="460" t="s">
        <v>95</v>
      </c>
      <c r="R449" s="460" t="s">
        <v>1977</v>
      </c>
      <c r="S449" s="460" t="s">
        <v>1842</v>
      </c>
      <c r="T449" s="460" t="s">
        <v>1827</v>
      </c>
      <c r="U449" s="461" t="s">
        <v>1976</v>
      </c>
      <c r="V449" s="460" t="s">
        <v>1851</v>
      </c>
      <c r="W449" s="560"/>
      <c r="X449" s="461" t="s">
        <v>1824</v>
      </c>
      <c r="Y449" s="461" t="s">
        <v>2683</v>
      </c>
      <c r="Z449" s="461" t="s">
        <v>170</v>
      </c>
      <c r="AA449" s="460" t="s">
        <v>1218</v>
      </c>
      <c r="AB449" s="561">
        <f>ROUND(30.41,2)</f>
        <v>30.41</v>
      </c>
      <c r="AC449" s="460" t="s">
        <v>308</v>
      </c>
      <c r="AD449" s="460"/>
      <c r="AE449" s="561">
        <f>ROUND(70.29,2)</f>
        <v>70.290000000000006</v>
      </c>
      <c r="AF449" s="460" t="s">
        <v>308</v>
      </c>
      <c r="AG449" s="561">
        <f t="shared" si="6"/>
        <v>0</v>
      </c>
      <c r="AH449" s="460" t="s">
        <v>2671</v>
      </c>
      <c r="AI449" s="460" t="s">
        <v>1214</v>
      </c>
      <c r="AJ449" s="460" t="s">
        <v>2548</v>
      </c>
      <c r="AK449" s="460" t="s">
        <v>2672</v>
      </c>
      <c r="AL449" s="560" t="s">
        <v>2673</v>
      </c>
      <c r="AM449" s="460" t="s">
        <v>2674</v>
      </c>
    </row>
    <row r="450" spans="1:39" ht="22.8">
      <c r="A450" s="460" t="s">
        <v>1810</v>
      </c>
      <c r="B450" s="460"/>
      <c r="C450" s="460" t="s">
        <v>1617</v>
      </c>
      <c r="D450" s="460" t="s">
        <v>2183</v>
      </c>
      <c r="E450" s="460" t="s">
        <v>1834</v>
      </c>
      <c r="F450" s="460" t="s">
        <v>1812</v>
      </c>
      <c r="G450" s="461" t="s">
        <v>1218</v>
      </c>
      <c r="H450" s="461" t="s">
        <v>271</v>
      </c>
      <c r="I450" s="460" t="s">
        <v>2155</v>
      </c>
      <c r="J450" s="460" t="s">
        <v>1990</v>
      </c>
      <c r="K450" s="460" t="s">
        <v>2669</v>
      </c>
      <c r="L450" s="460" t="s">
        <v>2749</v>
      </c>
      <c r="M450" s="460" t="s">
        <v>2002</v>
      </c>
      <c r="N450" s="460" t="s">
        <v>1981</v>
      </c>
      <c r="O450" s="460" t="s">
        <v>2001</v>
      </c>
      <c r="P450" s="460" t="s">
        <v>2675</v>
      </c>
      <c r="Q450" s="460" t="s">
        <v>2676</v>
      </c>
      <c r="R450" s="460" t="s">
        <v>2677</v>
      </c>
      <c r="S450" s="460" t="s">
        <v>2676</v>
      </c>
      <c r="T450" s="460" t="s">
        <v>1827</v>
      </c>
      <c r="U450" s="461" t="s">
        <v>1824</v>
      </c>
      <c r="V450" s="460" t="s">
        <v>1843</v>
      </c>
      <c r="W450" s="560"/>
      <c r="X450" s="461" t="s">
        <v>1824</v>
      </c>
      <c r="Y450" s="461" t="s">
        <v>2978</v>
      </c>
      <c r="Z450" s="461" t="s">
        <v>170</v>
      </c>
      <c r="AA450" s="460" t="s">
        <v>1218</v>
      </c>
      <c r="AB450" s="561">
        <f>ROUND(200,2)</f>
        <v>200</v>
      </c>
      <c r="AC450" s="460" t="s">
        <v>2678</v>
      </c>
      <c r="AD450" s="460"/>
      <c r="AE450" s="561">
        <f>ROUND(1000,2)</f>
        <v>1000</v>
      </c>
      <c r="AF450" s="460" t="s">
        <v>2679</v>
      </c>
      <c r="AG450" s="561">
        <f t="shared" si="6"/>
        <v>0</v>
      </c>
      <c r="AH450" s="460" t="s">
        <v>2671</v>
      </c>
      <c r="AI450" s="460" t="s">
        <v>1214</v>
      </c>
      <c r="AJ450" s="460" t="s">
        <v>2550</v>
      </c>
      <c r="AK450" s="460" t="s">
        <v>2672</v>
      </c>
      <c r="AL450" s="560" t="s">
        <v>2762</v>
      </c>
      <c r="AM450" s="460" t="s">
        <v>2674</v>
      </c>
    </row>
    <row r="451" spans="1:39" ht="22.8">
      <c r="A451" s="460" t="s">
        <v>1810</v>
      </c>
      <c r="B451" s="460"/>
      <c r="C451" s="460" t="s">
        <v>1617</v>
      </c>
      <c r="D451" s="460" t="s">
        <v>2183</v>
      </c>
      <c r="E451" s="460" t="s">
        <v>1834</v>
      </c>
      <c r="F451" s="460" t="s">
        <v>1812</v>
      </c>
      <c r="G451" s="461" t="s">
        <v>1218</v>
      </c>
      <c r="H451" s="461" t="s">
        <v>271</v>
      </c>
      <c r="I451" s="460" t="s">
        <v>2155</v>
      </c>
      <c r="J451" s="460" t="s">
        <v>1990</v>
      </c>
      <c r="K451" s="460" t="s">
        <v>2669</v>
      </c>
      <c r="L451" s="460" t="s">
        <v>2749</v>
      </c>
      <c r="M451" s="460" t="s">
        <v>2002</v>
      </c>
      <c r="N451" s="460" t="s">
        <v>1981</v>
      </c>
      <c r="O451" s="460" t="s">
        <v>2001</v>
      </c>
      <c r="P451" s="460" t="s">
        <v>1979</v>
      </c>
      <c r="Q451" s="460" t="s">
        <v>1978</v>
      </c>
      <c r="R451" s="460" t="s">
        <v>1977</v>
      </c>
      <c r="S451" s="460" t="s">
        <v>1826</v>
      </c>
      <c r="T451" s="460" t="s">
        <v>1827</v>
      </c>
      <c r="U451" s="461" t="s">
        <v>1976</v>
      </c>
      <c r="V451" s="460" t="s">
        <v>1851</v>
      </c>
      <c r="W451" s="560"/>
      <c r="X451" s="461" t="s">
        <v>1824</v>
      </c>
      <c r="Y451" s="461" t="s">
        <v>1824</v>
      </c>
      <c r="Z451" s="461" t="s">
        <v>170</v>
      </c>
      <c r="AA451" s="460" t="s">
        <v>1218</v>
      </c>
      <c r="AB451" s="561">
        <f>ROUND(226.88,2)</f>
        <v>226.88</v>
      </c>
      <c r="AC451" s="460" t="s">
        <v>308</v>
      </c>
      <c r="AD451" s="460"/>
      <c r="AE451" s="561">
        <f>ROUND(1393.71,2)</f>
        <v>1393.71</v>
      </c>
      <c r="AF451" s="460" t="s">
        <v>308</v>
      </c>
      <c r="AG451" s="561">
        <f t="shared" si="6"/>
        <v>0</v>
      </c>
      <c r="AH451" s="460" t="s">
        <v>2671</v>
      </c>
      <c r="AI451" s="460" t="s">
        <v>1214</v>
      </c>
      <c r="AJ451" s="460" t="s">
        <v>2549</v>
      </c>
      <c r="AK451" s="460" t="s">
        <v>2672</v>
      </c>
      <c r="AL451" s="560" t="s">
        <v>2681</v>
      </c>
      <c r="AM451" s="460" t="s">
        <v>2674</v>
      </c>
    </row>
    <row r="452" spans="1:39" ht="34.200000000000003">
      <c r="A452" s="460" t="s">
        <v>1810</v>
      </c>
      <c r="B452" s="460"/>
      <c r="C452" s="460" t="s">
        <v>1409</v>
      </c>
      <c r="D452" s="460" t="s">
        <v>2182</v>
      </c>
      <c r="E452" s="460" t="s">
        <v>1819</v>
      </c>
      <c r="F452" s="460" t="s">
        <v>1812</v>
      </c>
      <c r="G452" s="461" t="s">
        <v>1218</v>
      </c>
      <c r="H452" s="461" t="s">
        <v>300</v>
      </c>
      <c r="I452" s="460" t="s">
        <v>2181</v>
      </c>
      <c r="J452" s="460" t="s">
        <v>1983</v>
      </c>
      <c r="K452" s="460" t="s">
        <v>2669</v>
      </c>
      <c r="L452" s="460" t="s">
        <v>2728</v>
      </c>
      <c r="M452" s="460" t="s">
        <v>1987</v>
      </c>
      <c r="N452" s="460" t="s">
        <v>1981</v>
      </c>
      <c r="O452" s="460" t="s">
        <v>1980</v>
      </c>
      <c r="P452" s="460" t="s">
        <v>1979</v>
      </c>
      <c r="Q452" s="460" t="s">
        <v>95</v>
      </c>
      <c r="R452" s="460" t="s">
        <v>1977</v>
      </c>
      <c r="S452" s="460" t="s">
        <v>1842</v>
      </c>
      <c r="T452" s="460" t="s">
        <v>1827</v>
      </c>
      <c r="U452" s="461" t="s">
        <v>1976</v>
      </c>
      <c r="V452" s="460" t="s">
        <v>1119</v>
      </c>
      <c r="W452" s="560"/>
      <c r="X452" s="461" t="s">
        <v>1824</v>
      </c>
      <c r="Y452" s="461" t="s">
        <v>1824</v>
      </c>
      <c r="Z452" s="461" t="s">
        <v>170</v>
      </c>
      <c r="AA452" s="460" t="s">
        <v>1218</v>
      </c>
      <c r="AB452" s="561">
        <f>ROUND(0,2)</f>
        <v>0</v>
      </c>
      <c r="AC452" s="460" t="s">
        <v>308</v>
      </c>
      <c r="AD452" s="460"/>
      <c r="AE452" s="561">
        <f>ROUND(36.23,2)</f>
        <v>36.229999999999997</v>
      </c>
      <c r="AF452" s="460" t="s">
        <v>308</v>
      </c>
      <c r="AG452" s="561">
        <f t="shared" si="6"/>
        <v>0</v>
      </c>
      <c r="AH452" s="460" t="s">
        <v>2671</v>
      </c>
      <c r="AI452" s="460" t="s">
        <v>1214</v>
      </c>
      <c r="AJ452" s="460"/>
      <c r="AK452" s="460"/>
      <c r="AL452" s="560"/>
      <c r="AM452" s="460"/>
    </row>
    <row r="453" spans="1:39" ht="34.200000000000003">
      <c r="A453" s="460" t="s">
        <v>1810</v>
      </c>
      <c r="B453" s="460"/>
      <c r="C453" s="460" t="s">
        <v>1409</v>
      </c>
      <c r="D453" s="460" t="s">
        <v>2182</v>
      </c>
      <c r="E453" s="460" t="s">
        <v>1819</v>
      </c>
      <c r="F453" s="460" t="s">
        <v>1812</v>
      </c>
      <c r="G453" s="461" t="s">
        <v>1218</v>
      </c>
      <c r="H453" s="461" t="s">
        <v>300</v>
      </c>
      <c r="I453" s="460" t="s">
        <v>2181</v>
      </c>
      <c r="J453" s="460" t="s">
        <v>1983</v>
      </c>
      <c r="K453" s="460" t="s">
        <v>2669</v>
      </c>
      <c r="L453" s="460" t="s">
        <v>2728</v>
      </c>
      <c r="M453" s="460" t="s">
        <v>1987</v>
      </c>
      <c r="N453" s="460" t="s">
        <v>1981</v>
      </c>
      <c r="O453" s="460" t="s">
        <v>1980</v>
      </c>
      <c r="P453" s="460" t="s">
        <v>2675</v>
      </c>
      <c r="Q453" s="460" t="s">
        <v>2676</v>
      </c>
      <c r="R453" s="460" t="s">
        <v>2677</v>
      </c>
      <c r="S453" s="460" t="s">
        <v>2676</v>
      </c>
      <c r="T453" s="460" t="s">
        <v>1827</v>
      </c>
      <c r="U453" s="461" t="s">
        <v>1824</v>
      </c>
      <c r="V453" s="460" t="s">
        <v>1119</v>
      </c>
      <c r="W453" s="560"/>
      <c r="X453" s="461" t="s">
        <v>1824</v>
      </c>
      <c r="Y453" s="461" t="s">
        <v>1824</v>
      </c>
      <c r="Z453" s="461" t="s">
        <v>170</v>
      </c>
      <c r="AA453" s="460" t="s">
        <v>1218</v>
      </c>
      <c r="AB453" s="561">
        <f>ROUND(50,2)</f>
        <v>50</v>
      </c>
      <c r="AC453" s="460" t="s">
        <v>2678</v>
      </c>
      <c r="AD453" s="460"/>
      <c r="AE453" s="561">
        <f>ROUND(500.05,2)</f>
        <v>500.05</v>
      </c>
      <c r="AF453" s="460" t="s">
        <v>2679</v>
      </c>
      <c r="AG453" s="561">
        <f t="shared" si="6"/>
        <v>0</v>
      </c>
      <c r="AH453" s="460" t="s">
        <v>2671</v>
      </c>
      <c r="AI453" s="460" t="s">
        <v>1214</v>
      </c>
      <c r="AJ453" s="460" t="s">
        <v>2550</v>
      </c>
      <c r="AK453" s="460" t="s">
        <v>2672</v>
      </c>
      <c r="AL453" s="560" t="s">
        <v>2690</v>
      </c>
      <c r="AM453" s="460" t="s">
        <v>2674</v>
      </c>
    </row>
    <row r="454" spans="1:39" ht="34.200000000000003">
      <c r="A454" s="460" t="s">
        <v>1810</v>
      </c>
      <c r="B454" s="460"/>
      <c r="C454" s="460" t="s">
        <v>1409</v>
      </c>
      <c r="D454" s="460" t="s">
        <v>2182</v>
      </c>
      <c r="E454" s="460" t="s">
        <v>1819</v>
      </c>
      <c r="F454" s="460" t="s">
        <v>1812</v>
      </c>
      <c r="G454" s="461" t="s">
        <v>1218</v>
      </c>
      <c r="H454" s="461" t="s">
        <v>300</v>
      </c>
      <c r="I454" s="460" t="s">
        <v>2181</v>
      </c>
      <c r="J454" s="460" t="s">
        <v>1983</v>
      </c>
      <c r="K454" s="460" t="s">
        <v>2669</v>
      </c>
      <c r="L454" s="460" t="s">
        <v>2728</v>
      </c>
      <c r="M454" s="460" t="s">
        <v>1987</v>
      </c>
      <c r="N454" s="460" t="s">
        <v>1981</v>
      </c>
      <c r="O454" s="460" t="s">
        <v>1980</v>
      </c>
      <c r="P454" s="460" t="s">
        <v>1979</v>
      </c>
      <c r="Q454" s="460" t="s">
        <v>1978</v>
      </c>
      <c r="R454" s="460" t="s">
        <v>1977</v>
      </c>
      <c r="S454" s="460" t="s">
        <v>1826</v>
      </c>
      <c r="T454" s="460" t="s">
        <v>1827</v>
      </c>
      <c r="U454" s="461" t="s">
        <v>1976</v>
      </c>
      <c r="V454" s="460" t="s">
        <v>1119</v>
      </c>
      <c r="W454" s="560"/>
      <c r="X454" s="461" t="s">
        <v>1824</v>
      </c>
      <c r="Y454" s="461" t="s">
        <v>1824</v>
      </c>
      <c r="Z454" s="461" t="s">
        <v>170</v>
      </c>
      <c r="AA454" s="460" t="s">
        <v>1218</v>
      </c>
      <c r="AB454" s="561">
        <f>ROUND(25.63,2)</f>
        <v>25.63</v>
      </c>
      <c r="AC454" s="460" t="s">
        <v>308</v>
      </c>
      <c r="AD454" s="460"/>
      <c r="AE454" s="561">
        <f>ROUND(828.65,2)</f>
        <v>828.65</v>
      </c>
      <c r="AF454" s="460" t="s">
        <v>308</v>
      </c>
      <c r="AG454" s="561">
        <f t="shared" si="6"/>
        <v>0</v>
      </c>
      <c r="AH454" s="460" t="s">
        <v>2671</v>
      </c>
      <c r="AI454" s="460" t="s">
        <v>1214</v>
      </c>
      <c r="AJ454" s="460" t="s">
        <v>2549</v>
      </c>
      <c r="AK454" s="460" t="s">
        <v>2672</v>
      </c>
      <c r="AL454" s="560" t="s">
        <v>2685</v>
      </c>
      <c r="AM454" s="460" t="s">
        <v>2674</v>
      </c>
    </row>
    <row r="455" spans="1:39" ht="22.8">
      <c r="A455" s="460" t="s">
        <v>1810</v>
      </c>
      <c r="B455" s="460"/>
      <c r="C455" s="460" t="s">
        <v>1639</v>
      </c>
      <c r="D455" s="460" t="s">
        <v>2180</v>
      </c>
      <c r="E455" s="460" t="s">
        <v>1813</v>
      </c>
      <c r="F455" s="460" t="s">
        <v>1812</v>
      </c>
      <c r="G455" s="461" t="s">
        <v>1218</v>
      </c>
      <c r="H455" s="461" t="s">
        <v>1040</v>
      </c>
      <c r="I455" s="460" t="s">
        <v>2153</v>
      </c>
      <c r="J455" s="460" t="s">
        <v>1990</v>
      </c>
      <c r="K455" s="460" t="s">
        <v>2669</v>
      </c>
      <c r="L455" s="460" t="s">
        <v>2682</v>
      </c>
      <c r="M455" s="460" t="s">
        <v>2028</v>
      </c>
      <c r="N455" s="460" t="s">
        <v>1981</v>
      </c>
      <c r="O455" s="460" t="s">
        <v>1980</v>
      </c>
      <c r="P455" s="460" t="s">
        <v>1979</v>
      </c>
      <c r="Q455" s="460" t="s">
        <v>95</v>
      </c>
      <c r="R455" s="460" t="s">
        <v>1977</v>
      </c>
      <c r="S455" s="460" t="s">
        <v>1842</v>
      </c>
      <c r="T455" s="460" t="s">
        <v>1827</v>
      </c>
      <c r="U455" s="461" t="s">
        <v>1976</v>
      </c>
      <c r="V455" s="460" t="s">
        <v>1119</v>
      </c>
      <c r="W455" s="560"/>
      <c r="X455" s="461" t="s">
        <v>2054</v>
      </c>
      <c r="Y455" s="461" t="s">
        <v>2054</v>
      </c>
      <c r="Z455" s="461" t="s">
        <v>170</v>
      </c>
      <c r="AA455" s="460" t="s">
        <v>1218</v>
      </c>
      <c r="AB455" s="561">
        <f>ROUND(0,2)</f>
        <v>0</v>
      </c>
      <c r="AC455" s="460" t="s">
        <v>308</v>
      </c>
      <c r="AD455" s="460"/>
      <c r="AE455" s="561">
        <f>ROUND(36.23,2)</f>
        <v>36.229999999999997</v>
      </c>
      <c r="AF455" s="460" t="s">
        <v>308</v>
      </c>
      <c r="AG455" s="561">
        <f t="shared" si="6"/>
        <v>0</v>
      </c>
      <c r="AH455" s="460" t="s">
        <v>2671</v>
      </c>
      <c r="AI455" s="460" t="s">
        <v>1214</v>
      </c>
      <c r="AJ455" s="460"/>
      <c r="AK455" s="460"/>
      <c r="AL455" s="560"/>
      <c r="AM455" s="460"/>
    </row>
    <row r="456" spans="1:39" ht="22.8">
      <c r="A456" s="460" t="s">
        <v>1810</v>
      </c>
      <c r="B456" s="460"/>
      <c r="C456" s="460" t="s">
        <v>1639</v>
      </c>
      <c r="D456" s="460" t="s">
        <v>2180</v>
      </c>
      <c r="E456" s="460" t="s">
        <v>1813</v>
      </c>
      <c r="F456" s="460" t="s">
        <v>1812</v>
      </c>
      <c r="G456" s="461" t="s">
        <v>1218</v>
      </c>
      <c r="H456" s="461" t="s">
        <v>1040</v>
      </c>
      <c r="I456" s="460" t="s">
        <v>2153</v>
      </c>
      <c r="J456" s="460" t="s">
        <v>1990</v>
      </c>
      <c r="K456" s="460" t="s">
        <v>2669</v>
      </c>
      <c r="L456" s="460" t="s">
        <v>2682</v>
      </c>
      <c r="M456" s="460" t="s">
        <v>2028</v>
      </c>
      <c r="N456" s="460" t="s">
        <v>1981</v>
      </c>
      <c r="O456" s="460" t="s">
        <v>1980</v>
      </c>
      <c r="P456" s="460" t="s">
        <v>2675</v>
      </c>
      <c r="Q456" s="460" t="s">
        <v>2676</v>
      </c>
      <c r="R456" s="460" t="s">
        <v>2677</v>
      </c>
      <c r="S456" s="460" t="s">
        <v>2676</v>
      </c>
      <c r="T456" s="460" t="s">
        <v>1827</v>
      </c>
      <c r="U456" s="461" t="s">
        <v>1824</v>
      </c>
      <c r="V456" s="460" t="s">
        <v>1119</v>
      </c>
      <c r="W456" s="560"/>
      <c r="X456" s="461" t="s">
        <v>2054</v>
      </c>
      <c r="Y456" s="461" t="s">
        <v>2054</v>
      </c>
      <c r="Z456" s="461" t="s">
        <v>170</v>
      </c>
      <c r="AA456" s="460" t="s">
        <v>1218</v>
      </c>
      <c r="AB456" s="560"/>
      <c r="AC456" s="460"/>
      <c r="AD456" s="460"/>
      <c r="AE456" s="561">
        <f>ROUND(500.05,2)</f>
        <v>500.05</v>
      </c>
      <c r="AF456" s="460" t="s">
        <v>2679</v>
      </c>
      <c r="AG456" s="561">
        <f t="shared" si="6"/>
        <v>0</v>
      </c>
      <c r="AH456" s="460" t="s">
        <v>2671</v>
      </c>
      <c r="AI456" s="460" t="s">
        <v>1214</v>
      </c>
      <c r="AJ456" s="460"/>
      <c r="AK456" s="460"/>
      <c r="AL456" s="560"/>
      <c r="AM456" s="460"/>
    </row>
    <row r="457" spans="1:39" ht="22.8">
      <c r="A457" s="460" t="s">
        <v>1810</v>
      </c>
      <c r="B457" s="460"/>
      <c r="C457" s="460" t="s">
        <v>1639</v>
      </c>
      <c r="D457" s="460" t="s">
        <v>2180</v>
      </c>
      <c r="E457" s="460" t="s">
        <v>1813</v>
      </c>
      <c r="F457" s="460" t="s">
        <v>1812</v>
      </c>
      <c r="G457" s="461" t="s">
        <v>1218</v>
      </c>
      <c r="H457" s="461" t="s">
        <v>1040</v>
      </c>
      <c r="I457" s="460" t="s">
        <v>2153</v>
      </c>
      <c r="J457" s="460" t="s">
        <v>1990</v>
      </c>
      <c r="K457" s="460" t="s">
        <v>2669</v>
      </c>
      <c r="L457" s="460" t="s">
        <v>2682</v>
      </c>
      <c r="M457" s="460" t="s">
        <v>2028</v>
      </c>
      <c r="N457" s="460" t="s">
        <v>1981</v>
      </c>
      <c r="O457" s="460" t="s">
        <v>1980</v>
      </c>
      <c r="P457" s="460" t="s">
        <v>1979</v>
      </c>
      <c r="Q457" s="460" t="s">
        <v>1978</v>
      </c>
      <c r="R457" s="460" t="s">
        <v>1977</v>
      </c>
      <c r="S457" s="460" t="s">
        <v>1826</v>
      </c>
      <c r="T457" s="460" t="s">
        <v>1827</v>
      </c>
      <c r="U457" s="461" t="s">
        <v>1976</v>
      </c>
      <c r="V457" s="460" t="s">
        <v>1119</v>
      </c>
      <c r="W457" s="560"/>
      <c r="X457" s="461" t="s">
        <v>2054</v>
      </c>
      <c r="Y457" s="461" t="s">
        <v>2054</v>
      </c>
      <c r="Z457" s="461" t="s">
        <v>170</v>
      </c>
      <c r="AA457" s="460" t="s">
        <v>1218</v>
      </c>
      <c r="AB457" s="561">
        <f>ROUND(25.63,2)</f>
        <v>25.63</v>
      </c>
      <c r="AC457" s="460" t="s">
        <v>308</v>
      </c>
      <c r="AD457" s="460"/>
      <c r="AE457" s="561">
        <f>ROUND(828.65,2)</f>
        <v>828.65</v>
      </c>
      <c r="AF457" s="460" t="s">
        <v>308</v>
      </c>
      <c r="AG457" s="561">
        <f t="shared" si="6"/>
        <v>0</v>
      </c>
      <c r="AH457" s="460" t="s">
        <v>2671</v>
      </c>
      <c r="AI457" s="460" t="s">
        <v>1214</v>
      </c>
      <c r="AJ457" s="460" t="s">
        <v>2549</v>
      </c>
      <c r="AK457" s="460" t="s">
        <v>2672</v>
      </c>
      <c r="AL457" s="560" t="s">
        <v>2685</v>
      </c>
      <c r="AM457" s="460" t="s">
        <v>2674</v>
      </c>
    </row>
    <row r="458" spans="1:39" ht="22.8">
      <c r="A458" s="460" t="s">
        <v>1810</v>
      </c>
      <c r="B458" s="460"/>
      <c r="C458" s="460" t="s">
        <v>1652</v>
      </c>
      <c r="D458" s="460" t="s">
        <v>2386</v>
      </c>
      <c r="E458" s="460" t="s">
        <v>1814</v>
      </c>
      <c r="F458" s="460" t="s">
        <v>1812</v>
      </c>
      <c r="G458" s="461" t="s">
        <v>1218</v>
      </c>
      <c r="H458" s="461" t="s">
        <v>216</v>
      </c>
      <c r="I458" s="460" t="s">
        <v>2385</v>
      </c>
      <c r="J458" s="460" t="s">
        <v>1990</v>
      </c>
      <c r="K458" s="460" t="s">
        <v>2669</v>
      </c>
      <c r="L458" s="460" t="s">
        <v>2715</v>
      </c>
      <c r="M458" s="460" t="s">
        <v>1982</v>
      </c>
      <c r="N458" s="460" t="s">
        <v>1981</v>
      </c>
      <c r="O458" s="460" t="s">
        <v>1980</v>
      </c>
      <c r="P458" s="460" t="s">
        <v>1979</v>
      </c>
      <c r="Q458" s="460" t="s">
        <v>95</v>
      </c>
      <c r="R458" s="460" t="s">
        <v>1977</v>
      </c>
      <c r="S458" s="460" t="s">
        <v>1842</v>
      </c>
      <c r="T458" s="460" t="s">
        <v>1827</v>
      </c>
      <c r="U458" s="461" t="s">
        <v>1976</v>
      </c>
      <c r="V458" s="460" t="s">
        <v>1843</v>
      </c>
      <c r="W458" s="560"/>
      <c r="X458" s="461" t="s">
        <v>1824</v>
      </c>
      <c r="Y458" s="461" t="s">
        <v>1824</v>
      </c>
      <c r="Z458" s="461" t="s">
        <v>170</v>
      </c>
      <c r="AA458" s="460" t="s">
        <v>1218</v>
      </c>
      <c r="AB458" s="561">
        <f>ROUND(30.41,2)</f>
        <v>30.41</v>
      </c>
      <c r="AC458" s="460" t="s">
        <v>308</v>
      </c>
      <c r="AD458" s="460"/>
      <c r="AE458" s="561">
        <f>ROUND(70.29,2)</f>
        <v>70.290000000000006</v>
      </c>
      <c r="AF458" s="460" t="s">
        <v>308</v>
      </c>
      <c r="AG458" s="561">
        <f t="shared" si="6"/>
        <v>0</v>
      </c>
      <c r="AH458" s="460" t="s">
        <v>2671</v>
      </c>
      <c r="AI458" s="460" t="s">
        <v>1214</v>
      </c>
      <c r="AJ458" s="460" t="s">
        <v>2548</v>
      </c>
      <c r="AK458" s="460" t="s">
        <v>2672</v>
      </c>
      <c r="AL458" s="560" t="s">
        <v>2673</v>
      </c>
      <c r="AM458" s="460" t="s">
        <v>2674</v>
      </c>
    </row>
    <row r="459" spans="1:39" ht="34.200000000000003">
      <c r="A459" s="460" t="s">
        <v>1810</v>
      </c>
      <c r="B459" s="460"/>
      <c r="C459" s="460" t="s">
        <v>1665</v>
      </c>
      <c r="D459" s="460" t="s">
        <v>2179</v>
      </c>
      <c r="E459" s="460" t="s">
        <v>1840</v>
      </c>
      <c r="F459" s="460" t="s">
        <v>1812</v>
      </c>
      <c r="G459" s="461" t="s">
        <v>1218</v>
      </c>
      <c r="H459" s="461" t="s">
        <v>1025</v>
      </c>
      <c r="I459" s="460" t="s">
        <v>2178</v>
      </c>
      <c r="J459" s="460" t="s">
        <v>1983</v>
      </c>
      <c r="K459" s="460" t="s">
        <v>2669</v>
      </c>
      <c r="L459" s="460" t="s">
        <v>2746</v>
      </c>
      <c r="M459" s="460" t="s">
        <v>1987</v>
      </c>
      <c r="N459" s="460" t="s">
        <v>1986</v>
      </c>
      <c r="O459" s="460" t="s">
        <v>1980</v>
      </c>
      <c r="P459" s="460" t="s">
        <v>1979</v>
      </c>
      <c r="Q459" s="460" t="s">
        <v>95</v>
      </c>
      <c r="R459" s="460" t="s">
        <v>1977</v>
      </c>
      <c r="S459" s="460" t="s">
        <v>1842</v>
      </c>
      <c r="T459" s="460" t="s">
        <v>1827</v>
      </c>
      <c r="U459" s="461" t="s">
        <v>1976</v>
      </c>
      <c r="V459" s="460" t="s">
        <v>1119</v>
      </c>
      <c r="W459" s="560"/>
      <c r="X459" s="461" t="s">
        <v>1824</v>
      </c>
      <c r="Y459" s="461" t="s">
        <v>1824</v>
      </c>
      <c r="Z459" s="461" t="s">
        <v>170</v>
      </c>
      <c r="AA459" s="460" t="s">
        <v>1218</v>
      </c>
      <c r="AB459" s="561">
        <f>ROUND(0,2)</f>
        <v>0</v>
      </c>
      <c r="AC459" s="460" t="s">
        <v>308</v>
      </c>
      <c r="AD459" s="460"/>
      <c r="AE459" s="561">
        <f>ROUND(36.23,2)</f>
        <v>36.229999999999997</v>
      </c>
      <c r="AF459" s="460" t="s">
        <v>308</v>
      </c>
      <c r="AG459" s="561">
        <f t="shared" ref="AG459:AG522" si="7">ROUND(0,2)</f>
        <v>0</v>
      </c>
      <c r="AH459" s="460" t="s">
        <v>2671</v>
      </c>
      <c r="AI459" s="460" t="s">
        <v>1214</v>
      </c>
      <c r="AJ459" s="460"/>
      <c r="AK459" s="460"/>
      <c r="AL459" s="560"/>
      <c r="AM459" s="460"/>
    </row>
    <row r="460" spans="1:39" ht="34.200000000000003">
      <c r="A460" s="460" t="s">
        <v>1810</v>
      </c>
      <c r="B460" s="460"/>
      <c r="C460" s="460" t="s">
        <v>1665</v>
      </c>
      <c r="D460" s="460" t="s">
        <v>2179</v>
      </c>
      <c r="E460" s="460" t="s">
        <v>1840</v>
      </c>
      <c r="F460" s="460" t="s">
        <v>1812</v>
      </c>
      <c r="G460" s="461" t="s">
        <v>1218</v>
      </c>
      <c r="H460" s="461" t="s">
        <v>1025</v>
      </c>
      <c r="I460" s="460" t="s">
        <v>2178</v>
      </c>
      <c r="J460" s="460" t="s">
        <v>1983</v>
      </c>
      <c r="K460" s="460" t="s">
        <v>2669</v>
      </c>
      <c r="L460" s="460" t="s">
        <v>2746</v>
      </c>
      <c r="M460" s="460" t="s">
        <v>1987</v>
      </c>
      <c r="N460" s="460" t="s">
        <v>1986</v>
      </c>
      <c r="O460" s="460" t="s">
        <v>1980</v>
      </c>
      <c r="P460" s="460" t="s">
        <v>2675</v>
      </c>
      <c r="Q460" s="460" t="s">
        <v>2676</v>
      </c>
      <c r="R460" s="460" t="s">
        <v>2677</v>
      </c>
      <c r="S460" s="460" t="s">
        <v>2676</v>
      </c>
      <c r="T460" s="460" t="s">
        <v>1827</v>
      </c>
      <c r="U460" s="461" t="s">
        <v>1824</v>
      </c>
      <c r="V460" s="460" t="s">
        <v>1119</v>
      </c>
      <c r="W460" s="560"/>
      <c r="X460" s="461" t="s">
        <v>1824</v>
      </c>
      <c r="Y460" s="461" t="s">
        <v>1824</v>
      </c>
      <c r="Z460" s="461" t="s">
        <v>170</v>
      </c>
      <c r="AA460" s="460" t="s">
        <v>1218</v>
      </c>
      <c r="AB460" s="561">
        <f>ROUND(50,2)</f>
        <v>50</v>
      </c>
      <c r="AC460" s="460" t="s">
        <v>2678</v>
      </c>
      <c r="AD460" s="460"/>
      <c r="AE460" s="561">
        <f>ROUND(500.05,2)</f>
        <v>500.05</v>
      </c>
      <c r="AF460" s="460" t="s">
        <v>2679</v>
      </c>
      <c r="AG460" s="561">
        <f t="shared" si="7"/>
        <v>0</v>
      </c>
      <c r="AH460" s="460" t="s">
        <v>2671</v>
      </c>
      <c r="AI460" s="460" t="s">
        <v>1214</v>
      </c>
      <c r="AJ460" s="460" t="s">
        <v>2550</v>
      </c>
      <c r="AK460" s="460" t="s">
        <v>2672</v>
      </c>
      <c r="AL460" s="560" t="s">
        <v>2690</v>
      </c>
      <c r="AM460" s="460" t="s">
        <v>2674</v>
      </c>
    </row>
    <row r="461" spans="1:39" ht="34.200000000000003">
      <c r="A461" s="460" t="s">
        <v>1810</v>
      </c>
      <c r="B461" s="460"/>
      <c r="C461" s="460" t="s">
        <v>1665</v>
      </c>
      <c r="D461" s="460" t="s">
        <v>2179</v>
      </c>
      <c r="E461" s="460" t="s">
        <v>1840</v>
      </c>
      <c r="F461" s="460" t="s">
        <v>1812</v>
      </c>
      <c r="G461" s="461" t="s">
        <v>1218</v>
      </c>
      <c r="H461" s="461" t="s">
        <v>1025</v>
      </c>
      <c r="I461" s="460" t="s">
        <v>2178</v>
      </c>
      <c r="J461" s="460" t="s">
        <v>1983</v>
      </c>
      <c r="K461" s="460" t="s">
        <v>2669</v>
      </c>
      <c r="L461" s="460" t="s">
        <v>2746</v>
      </c>
      <c r="M461" s="460" t="s">
        <v>1987</v>
      </c>
      <c r="N461" s="460" t="s">
        <v>1986</v>
      </c>
      <c r="O461" s="460" t="s">
        <v>1980</v>
      </c>
      <c r="P461" s="460" t="s">
        <v>1979</v>
      </c>
      <c r="Q461" s="460" t="s">
        <v>1978</v>
      </c>
      <c r="R461" s="460" t="s">
        <v>1977</v>
      </c>
      <c r="S461" s="460" t="s">
        <v>1826</v>
      </c>
      <c r="T461" s="460" t="s">
        <v>1827</v>
      </c>
      <c r="U461" s="461" t="s">
        <v>1976</v>
      </c>
      <c r="V461" s="460" t="s">
        <v>1119</v>
      </c>
      <c r="W461" s="560"/>
      <c r="X461" s="461" t="s">
        <v>1824</v>
      </c>
      <c r="Y461" s="461" t="s">
        <v>1824</v>
      </c>
      <c r="Z461" s="461" t="s">
        <v>170</v>
      </c>
      <c r="AA461" s="460" t="s">
        <v>1218</v>
      </c>
      <c r="AB461" s="561">
        <f>ROUND(25.63,2)</f>
        <v>25.63</v>
      </c>
      <c r="AC461" s="460" t="s">
        <v>308</v>
      </c>
      <c r="AD461" s="460"/>
      <c r="AE461" s="561">
        <f>ROUND(828.65,2)</f>
        <v>828.65</v>
      </c>
      <c r="AF461" s="460" t="s">
        <v>308</v>
      </c>
      <c r="AG461" s="561">
        <f t="shared" si="7"/>
        <v>0</v>
      </c>
      <c r="AH461" s="460" t="s">
        <v>2671</v>
      </c>
      <c r="AI461" s="460" t="s">
        <v>1214</v>
      </c>
      <c r="AJ461" s="460" t="s">
        <v>2549</v>
      </c>
      <c r="AK461" s="460" t="s">
        <v>2672</v>
      </c>
      <c r="AL461" s="560" t="s">
        <v>2685</v>
      </c>
      <c r="AM461" s="460" t="s">
        <v>2674</v>
      </c>
    </row>
    <row r="462" spans="1:39" ht="22.8">
      <c r="A462" s="460" t="s">
        <v>1810</v>
      </c>
      <c r="B462" s="460"/>
      <c r="C462" s="460" t="s">
        <v>1339</v>
      </c>
      <c r="D462" s="460" t="s">
        <v>2176</v>
      </c>
      <c r="E462" s="460" t="s">
        <v>1834</v>
      </c>
      <c r="F462" s="460" t="s">
        <v>2015</v>
      </c>
      <c r="G462" s="461" t="s">
        <v>1218</v>
      </c>
      <c r="H462" s="461" t="s">
        <v>178</v>
      </c>
      <c r="I462" s="460" t="s">
        <v>2175</v>
      </c>
      <c r="J462" s="460" t="s">
        <v>1990</v>
      </c>
      <c r="K462" s="460" t="s">
        <v>2669</v>
      </c>
      <c r="L462" s="460" t="s">
        <v>2749</v>
      </c>
      <c r="M462" s="460" t="s">
        <v>2002</v>
      </c>
      <c r="N462" s="460" t="s">
        <v>1981</v>
      </c>
      <c r="O462" s="460" t="s">
        <v>2001</v>
      </c>
      <c r="P462" s="460" t="s">
        <v>1979</v>
      </c>
      <c r="Q462" s="460" t="s">
        <v>95</v>
      </c>
      <c r="R462" s="460" t="s">
        <v>1977</v>
      </c>
      <c r="S462" s="460" t="s">
        <v>1842</v>
      </c>
      <c r="T462" s="460" t="s">
        <v>1827</v>
      </c>
      <c r="U462" s="461" t="s">
        <v>1976</v>
      </c>
      <c r="V462" s="460" t="s">
        <v>1119</v>
      </c>
      <c r="W462" s="560"/>
      <c r="X462" s="461" t="s">
        <v>1824</v>
      </c>
      <c r="Y462" s="461" t="s">
        <v>1824</v>
      </c>
      <c r="Z462" s="461" t="s">
        <v>170</v>
      </c>
      <c r="AA462" s="460" t="s">
        <v>1218</v>
      </c>
      <c r="AB462" s="561">
        <f>ROUND(0,2)</f>
        <v>0</v>
      </c>
      <c r="AC462" s="460" t="s">
        <v>308</v>
      </c>
      <c r="AD462" s="460"/>
      <c r="AE462" s="561">
        <f>ROUND(36.23,2)</f>
        <v>36.229999999999997</v>
      </c>
      <c r="AF462" s="460" t="s">
        <v>308</v>
      </c>
      <c r="AG462" s="561">
        <f t="shared" si="7"/>
        <v>0</v>
      </c>
      <c r="AH462" s="460" t="s">
        <v>2671</v>
      </c>
      <c r="AI462" s="460" t="s">
        <v>1214</v>
      </c>
      <c r="AJ462" s="460"/>
      <c r="AK462" s="460"/>
      <c r="AL462" s="560"/>
      <c r="AM462" s="460"/>
    </row>
    <row r="463" spans="1:39" ht="22.8">
      <c r="A463" s="460" t="s">
        <v>1810</v>
      </c>
      <c r="B463" s="460"/>
      <c r="C463" s="460" t="s">
        <v>1339</v>
      </c>
      <c r="D463" s="460" t="s">
        <v>2176</v>
      </c>
      <c r="E463" s="460" t="s">
        <v>1834</v>
      </c>
      <c r="F463" s="460" t="s">
        <v>2015</v>
      </c>
      <c r="G463" s="461" t="s">
        <v>1218</v>
      </c>
      <c r="H463" s="461" t="s">
        <v>178</v>
      </c>
      <c r="I463" s="460" t="s">
        <v>2175</v>
      </c>
      <c r="J463" s="460" t="s">
        <v>1990</v>
      </c>
      <c r="K463" s="460" t="s">
        <v>2669</v>
      </c>
      <c r="L463" s="460" t="s">
        <v>2749</v>
      </c>
      <c r="M463" s="460" t="s">
        <v>2002</v>
      </c>
      <c r="N463" s="460" t="s">
        <v>1981</v>
      </c>
      <c r="O463" s="460" t="s">
        <v>2001</v>
      </c>
      <c r="P463" s="460" t="s">
        <v>2675</v>
      </c>
      <c r="Q463" s="460" t="s">
        <v>2676</v>
      </c>
      <c r="R463" s="460" t="s">
        <v>2677</v>
      </c>
      <c r="S463" s="460" t="s">
        <v>2676</v>
      </c>
      <c r="T463" s="460" t="s">
        <v>1827</v>
      </c>
      <c r="U463" s="461" t="s">
        <v>1824</v>
      </c>
      <c r="V463" s="460" t="s">
        <v>1119</v>
      </c>
      <c r="W463" s="560"/>
      <c r="X463" s="461" t="s">
        <v>1824</v>
      </c>
      <c r="Y463" s="461" t="s">
        <v>2683</v>
      </c>
      <c r="Z463" s="461" t="s">
        <v>170</v>
      </c>
      <c r="AA463" s="460" t="s">
        <v>1218</v>
      </c>
      <c r="AB463" s="561">
        <f>ROUND(150,2)</f>
        <v>150</v>
      </c>
      <c r="AC463" s="460" t="s">
        <v>2678</v>
      </c>
      <c r="AD463" s="460"/>
      <c r="AE463" s="561">
        <f>ROUND(500.05,2)</f>
        <v>500.05</v>
      </c>
      <c r="AF463" s="460" t="s">
        <v>2679</v>
      </c>
      <c r="AG463" s="561">
        <f t="shared" si="7"/>
        <v>0</v>
      </c>
      <c r="AH463" s="460" t="s">
        <v>2671</v>
      </c>
      <c r="AI463" s="460" t="s">
        <v>1214</v>
      </c>
      <c r="AJ463" s="460" t="s">
        <v>2550</v>
      </c>
      <c r="AK463" s="460" t="s">
        <v>2672</v>
      </c>
      <c r="AL463" s="560" t="s">
        <v>2741</v>
      </c>
      <c r="AM463" s="460" t="s">
        <v>2674</v>
      </c>
    </row>
    <row r="464" spans="1:39" ht="22.8">
      <c r="A464" s="460" t="s">
        <v>1810</v>
      </c>
      <c r="B464" s="460"/>
      <c r="C464" s="460" t="s">
        <v>1339</v>
      </c>
      <c r="D464" s="460" t="s">
        <v>2176</v>
      </c>
      <c r="E464" s="460" t="s">
        <v>1834</v>
      </c>
      <c r="F464" s="460" t="s">
        <v>2015</v>
      </c>
      <c r="G464" s="461" t="s">
        <v>1218</v>
      </c>
      <c r="H464" s="461" t="s">
        <v>178</v>
      </c>
      <c r="I464" s="460" t="s">
        <v>2175</v>
      </c>
      <c r="J464" s="460" t="s">
        <v>1990</v>
      </c>
      <c r="K464" s="460" t="s">
        <v>2669</v>
      </c>
      <c r="L464" s="460" t="s">
        <v>2749</v>
      </c>
      <c r="M464" s="460" t="s">
        <v>2002</v>
      </c>
      <c r="N464" s="460" t="s">
        <v>1981</v>
      </c>
      <c r="O464" s="460" t="s">
        <v>2001</v>
      </c>
      <c r="P464" s="460" t="s">
        <v>1979</v>
      </c>
      <c r="Q464" s="460" t="s">
        <v>1978</v>
      </c>
      <c r="R464" s="460" t="s">
        <v>1977</v>
      </c>
      <c r="S464" s="460" t="s">
        <v>1826</v>
      </c>
      <c r="T464" s="460" t="s">
        <v>1827</v>
      </c>
      <c r="U464" s="461" t="s">
        <v>1976</v>
      </c>
      <c r="V464" s="460" t="s">
        <v>1119</v>
      </c>
      <c r="W464" s="560"/>
      <c r="X464" s="461" t="s">
        <v>1824</v>
      </c>
      <c r="Y464" s="461" t="s">
        <v>1824</v>
      </c>
      <c r="Z464" s="461" t="s">
        <v>170</v>
      </c>
      <c r="AA464" s="460" t="s">
        <v>1218</v>
      </c>
      <c r="AB464" s="561">
        <f>ROUND(45.28,2)</f>
        <v>45.28</v>
      </c>
      <c r="AC464" s="460" t="s">
        <v>308</v>
      </c>
      <c r="AD464" s="460"/>
      <c r="AE464" s="561">
        <f>ROUND(809,2)</f>
        <v>809</v>
      </c>
      <c r="AF464" s="460" t="s">
        <v>308</v>
      </c>
      <c r="AG464" s="561">
        <f t="shared" si="7"/>
        <v>0</v>
      </c>
      <c r="AH464" s="460" t="s">
        <v>2671</v>
      </c>
      <c r="AI464" s="460" t="s">
        <v>1214</v>
      </c>
      <c r="AJ464" s="460" t="s">
        <v>2549</v>
      </c>
      <c r="AK464" s="460" t="s">
        <v>2672</v>
      </c>
      <c r="AL464" s="560" t="s">
        <v>2752</v>
      </c>
      <c r="AM464" s="460" t="s">
        <v>2674</v>
      </c>
    </row>
    <row r="465" spans="1:39" ht="34.200000000000003">
      <c r="A465" s="460" t="s">
        <v>1810</v>
      </c>
      <c r="B465" s="460"/>
      <c r="C465" s="460" t="s">
        <v>1407</v>
      </c>
      <c r="D465" s="460" t="s">
        <v>2174</v>
      </c>
      <c r="E465" s="460" t="s">
        <v>1844</v>
      </c>
      <c r="F465" s="460" t="s">
        <v>1812</v>
      </c>
      <c r="G465" s="461" t="s">
        <v>1218</v>
      </c>
      <c r="H465" s="461" t="s">
        <v>301</v>
      </c>
      <c r="I465" s="460" t="s">
        <v>2039</v>
      </c>
      <c r="J465" s="460" t="s">
        <v>1983</v>
      </c>
      <c r="K465" s="460" t="s">
        <v>2669</v>
      </c>
      <c r="L465" s="460" t="s">
        <v>2767</v>
      </c>
      <c r="M465" s="460" t="s">
        <v>1987</v>
      </c>
      <c r="N465" s="460" t="s">
        <v>2025</v>
      </c>
      <c r="O465" s="460" t="s">
        <v>1980</v>
      </c>
      <c r="P465" s="460" t="s">
        <v>1979</v>
      </c>
      <c r="Q465" s="460" t="s">
        <v>95</v>
      </c>
      <c r="R465" s="460" t="s">
        <v>1977</v>
      </c>
      <c r="S465" s="460" t="s">
        <v>1842</v>
      </c>
      <c r="T465" s="460" t="s">
        <v>1827</v>
      </c>
      <c r="U465" s="461" t="s">
        <v>1976</v>
      </c>
      <c r="V465" s="460" t="s">
        <v>1119</v>
      </c>
      <c r="W465" s="560"/>
      <c r="X465" s="461" t="s">
        <v>1824</v>
      </c>
      <c r="Y465" s="461" t="s">
        <v>1824</v>
      </c>
      <c r="Z465" s="461" t="s">
        <v>170</v>
      </c>
      <c r="AA465" s="460" t="s">
        <v>1218</v>
      </c>
      <c r="AB465" s="561">
        <f>ROUND(0,2)</f>
        <v>0</v>
      </c>
      <c r="AC465" s="460" t="s">
        <v>308</v>
      </c>
      <c r="AD465" s="460"/>
      <c r="AE465" s="561">
        <f>ROUND(36.23,2)</f>
        <v>36.229999999999997</v>
      </c>
      <c r="AF465" s="460" t="s">
        <v>308</v>
      </c>
      <c r="AG465" s="561">
        <f t="shared" si="7"/>
        <v>0</v>
      </c>
      <c r="AH465" s="460" t="s">
        <v>2671</v>
      </c>
      <c r="AI465" s="460" t="s">
        <v>1214</v>
      </c>
      <c r="AJ465" s="460"/>
      <c r="AK465" s="460"/>
      <c r="AL465" s="560"/>
      <c r="AM465" s="460"/>
    </row>
    <row r="466" spans="1:39" ht="34.200000000000003">
      <c r="A466" s="460" t="s">
        <v>1810</v>
      </c>
      <c r="B466" s="460"/>
      <c r="C466" s="460" t="s">
        <v>1407</v>
      </c>
      <c r="D466" s="460" t="s">
        <v>2174</v>
      </c>
      <c r="E466" s="460" t="s">
        <v>1844</v>
      </c>
      <c r="F466" s="460" t="s">
        <v>1812</v>
      </c>
      <c r="G466" s="461" t="s">
        <v>1218</v>
      </c>
      <c r="H466" s="461" t="s">
        <v>301</v>
      </c>
      <c r="I466" s="460" t="s">
        <v>2039</v>
      </c>
      <c r="J466" s="460" t="s">
        <v>1983</v>
      </c>
      <c r="K466" s="460" t="s">
        <v>2669</v>
      </c>
      <c r="L466" s="460" t="s">
        <v>2767</v>
      </c>
      <c r="M466" s="460" t="s">
        <v>1987</v>
      </c>
      <c r="N466" s="460" t="s">
        <v>2025</v>
      </c>
      <c r="O466" s="460" t="s">
        <v>1980</v>
      </c>
      <c r="P466" s="460" t="s">
        <v>2675</v>
      </c>
      <c r="Q466" s="460" t="s">
        <v>2676</v>
      </c>
      <c r="R466" s="460" t="s">
        <v>2677</v>
      </c>
      <c r="S466" s="460" t="s">
        <v>2676</v>
      </c>
      <c r="T466" s="460" t="s">
        <v>1827</v>
      </c>
      <c r="U466" s="461" t="s">
        <v>1824</v>
      </c>
      <c r="V466" s="460" t="s">
        <v>1119</v>
      </c>
      <c r="W466" s="560"/>
      <c r="X466" s="461" t="s">
        <v>1824</v>
      </c>
      <c r="Y466" s="461" t="s">
        <v>1824</v>
      </c>
      <c r="Z466" s="461" t="s">
        <v>170</v>
      </c>
      <c r="AA466" s="460" t="s">
        <v>1218</v>
      </c>
      <c r="AB466" s="561">
        <f>ROUND(185.25,2)</f>
        <v>185.25</v>
      </c>
      <c r="AC466" s="460" t="s">
        <v>2678</v>
      </c>
      <c r="AD466" s="460"/>
      <c r="AE466" s="561">
        <f>ROUND(500.05,2)</f>
        <v>500.05</v>
      </c>
      <c r="AF466" s="460" t="s">
        <v>2679</v>
      </c>
      <c r="AG466" s="561">
        <f t="shared" si="7"/>
        <v>0</v>
      </c>
      <c r="AH466" s="460" t="s">
        <v>2671</v>
      </c>
      <c r="AI466" s="460" t="s">
        <v>1214</v>
      </c>
      <c r="AJ466" s="460" t="s">
        <v>2550</v>
      </c>
      <c r="AK466" s="460" t="s">
        <v>2672</v>
      </c>
      <c r="AL466" s="560" t="s">
        <v>2830</v>
      </c>
      <c r="AM466" s="460" t="s">
        <v>2674</v>
      </c>
    </row>
    <row r="467" spans="1:39" ht="34.200000000000003">
      <c r="A467" s="460" t="s">
        <v>1810</v>
      </c>
      <c r="B467" s="460"/>
      <c r="C467" s="460" t="s">
        <v>1407</v>
      </c>
      <c r="D467" s="460" t="s">
        <v>2174</v>
      </c>
      <c r="E467" s="460" t="s">
        <v>1844</v>
      </c>
      <c r="F467" s="460" t="s">
        <v>1812</v>
      </c>
      <c r="G467" s="461" t="s">
        <v>1218</v>
      </c>
      <c r="H467" s="461" t="s">
        <v>301</v>
      </c>
      <c r="I467" s="460" t="s">
        <v>2039</v>
      </c>
      <c r="J467" s="460" t="s">
        <v>1983</v>
      </c>
      <c r="K467" s="460" t="s">
        <v>2669</v>
      </c>
      <c r="L467" s="460" t="s">
        <v>2767</v>
      </c>
      <c r="M467" s="460" t="s">
        <v>1987</v>
      </c>
      <c r="N467" s="460" t="s">
        <v>2025</v>
      </c>
      <c r="O467" s="460" t="s">
        <v>1980</v>
      </c>
      <c r="P467" s="460" t="s">
        <v>1979</v>
      </c>
      <c r="Q467" s="460" t="s">
        <v>1978</v>
      </c>
      <c r="R467" s="460" t="s">
        <v>1977</v>
      </c>
      <c r="S467" s="460" t="s">
        <v>1826</v>
      </c>
      <c r="T467" s="460" t="s">
        <v>1827</v>
      </c>
      <c r="U467" s="461" t="s">
        <v>1976</v>
      </c>
      <c r="V467" s="460" t="s">
        <v>1119</v>
      </c>
      <c r="W467" s="560"/>
      <c r="X467" s="461" t="s">
        <v>1824</v>
      </c>
      <c r="Y467" s="461" t="s">
        <v>1824</v>
      </c>
      <c r="Z467" s="461" t="s">
        <v>170</v>
      </c>
      <c r="AA467" s="460" t="s">
        <v>1218</v>
      </c>
      <c r="AB467" s="561">
        <f>ROUND(29.05,2)</f>
        <v>29.05</v>
      </c>
      <c r="AC467" s="460" t="s">
        <v>308</v>
      </c>
      <c r="AD467" s="460"/>
      <c r="AE467" s="561">
        <f>ROUND(825.23,2)</f>
        <v>825.23</v>
      </c>
      <c r="AF467" s="460" t="s">
        <v>308</v>
      </c>
      <c r="AG467" s="561">
        <f t="shared" si="7"/>
        <v>0</v>
      </c>
      <c r="AH467" s="460" t="s">
        <v>2671</v>
      </c>
      <c r="AI467" s="460" t="s">
        <v>1214</v>
      </c>
      <c r="AJ467" s="460" t="s">
        <v>2549</v>
      </c>
      <c r="AK467" s="460" t="s">
        <v>2672</v>
      </c>
      <c r="AL467" s="560" t="s">
        <v>2692</v>
      </c>
      <c r="AM467" s="460" t="s">
        <v>2674</v>
      </c>
    </row>
    <row r="468" spans="1:39" ht="22.8">
      <c r="A468" s="460" t="s">
        <v>1810</v>
      </c>
      <c r="B468" s="460"/>
      <c r="C468" s="460" t="s">
        <v>1399</v>
      </c>
      <c r="D468" s="460" t="s">
        <v>2171</v>
      </c>
      <c r="E468" s="460" t="s">
        <v>1811</v>
      </c>
      <c r="F468" s="460" t="s">
        <v>2015</v>
      </c>
      <c r="G468" s="461" t="s">
        <v>1218</v>
      </c>
      <c r="H468" s="461" t="s">
        <v>273</v>
      </c>
      <c r="I468" s="460" t="s">
        <v>2170</v>
      </c>
      <c r="J468" s="460" t="s">
        <v>1990</v>
      </c>
      <c r="K468" s="460" t="s">
        <v>2669</v>
      </c>
      <c r="L468" s="460" t="s">
        <v>2670</v>
      </c>
      <c r="M468" s="460" t="s">
        <v>2169</v>
      </c>
      <c r="N468" s="460" t="s">
        <v>1981</v>
      </c>
      <c r="O468" s="460" t="s">
        <v>2001</v>
      </c>
      <c r="P468" s="460" t="s">
        <v>1979</v>
      </c>
      <c r="Q468" s="460" t="s">
        <v>95</v>
      </c>
      <c r="R468" s="460" t="s">
        <v>1977</v>
      </c>
      <c r="S468" s="460" t="s">
        <v>1842</v>
      </c>
      <c r="T468" s="460" t="s">
        <v>1827</v>
      </c>
      <c r="U468" s="461" t="s">
        <v>1976</v>
      </c>
      <c r="V468" s="460" t="s">
        <v>1119</v>
      </c>
      <c r="W468" s="560"/>
      <c r="X468" s="461" t="s">
        <v>1824</v>
      </c>
      <c r="Y468" s="461" t="s">
        <v>1824</v>
      </c>
      <c r="Z468" s="461" t="s">
        <v>170</v>
      </c>
      <c r="AA468" s="460" t="s">
        <v>1218</v>
      </c>
      <c r="AB468" s="561">
        <f>ROUND(0,2)</f>
        <v>0</v>
      </c>
      <c r="AC468" s="460" t="s">
        <v>308</v>
      </c>
      <c r="AD468" s="460"/>
      <c r="AE468" s="561">
        <f>ROUND(36.23,2)</f>
        <v>36.229999999999997</v>
      </c>
      <c r="AF468" s="460" t="s">
        <v>308</v>
      </c>
      <c r="AG468" s="561">
        <f t="shared" si="7"/>
        <v>0</v>
      </c>
      <c r="AH468" s="460" t="s">
        <v>2671</v>
      </c>
      <c r="AI468" s="460" t="s">
        <v>1214</v>
      </c>
      <c r="AJ468" s="460"/>
      <c r="AK468" s="460"/>
      <c r="AL468" s="560"/>
      <c r="AM468" s="460"/>
    </row>
    <row r="469" spans="1:39" ht="22.8">
      <c r="A469" s="460" t="s">
        <v>1810</v>
      </c>
      <c r="B469" s="460"/>
      <c r="C469" s="460" t="s">
        <v>1399</v>
      </c>
      <c r="D469" s="460" t="s">
        <v>2171</v>
      </c>
      <c r="E469" s="460" t="s">
        <v>1811</v>
      </c>
      <c r="F469" s="460" t="s">
        <v>2015</v>
      </c>
      <c r="G469" s="461" t="s">
        <v>1218</v>
      </c>
      <c r="H469" s="461" t="s">
        <v>273</v>
      </c>
      <c r="I469" s="460" t="s">
        <v>2170</v>
      </c>
      <c r="J469" s="460" t="s">
        <v>1990</v>
      </c>
      <c r="K469" s="460" t="s">
        <v>2669</v>
      </c>
      <c r="L469" s="460" t="s">
        <v>2670</v>
      </c>
      <c r="M469" s="460" t="s">
        <v>2169</v>
      </c>
      <c r="N469" s="460" t="s">
        <v>1981</v>
      </c>
      <c r="O469" s="460" t="s">
        <v>2001</v>
      </c>
      <c r="P469" s="460" t="s">
        <v>2675</v>
      </c>
      <c r="Q469" s="460" t="s">
        <v>2676</v>
      </c>
      <c r="R469" s="460" t="s">
        <v>2677</v>
      </c>
      <c r="S469" s="460" t="s">
        <v>2676</v>
      </c>
      <c r="T469" s="460" t="s">
        <v>1827</v>
      </c>
      <c r="U469" s="461" t="s">
        <v>1824</v>
      </c>
      <c r="V469" s="460" t="s">
        <v>1843</v>
      </c>
      <c r="W469" s="560"/>
      <c r="X469" s="461" t="s">
        <v>1824</v>
      </c>
      <c r="Y469" s="461" t="s">
        <v>2683</v>
      </c>
      <c r="Z469" s="461" t="s">
        <v>170</v>
      </c>
      <c r="AA469" s="460" t="s">
        <v>1218</v>
      </c>
      <c r="AB469" s="561">
        <f>ROUND(100,2)</f>
        <v>100</v>
      </c>
      <c r="AC469" s="460" t="s">
        <v>2678</v>
      </c>
      <c r="AD469" s="460"/>
      <c r="AE469" s="561">
        <f>ROUND(1000,2)</f>
        <v>1000</v>
      </c>
      <c r="AF469" s="460" t="s">
        <v>2679</v>
      </c>
      <c r="AG469" s="561">
        <f t="shared" si="7"/>
        <v>0</v>
      </c>
      <c r="AH469" s="460" t="s">
        <v>2671</v>
      </c>
      <c r="AI469" s="460" t="s">
        <v>1214</v>
      </c>
      <c r="AJ469" s="460" t="s">
        <v>2550</v>
      </c>
      <c r="AK469" s="460" t="s">
        <v>2672</v>
      </c>
      <c r="AL469" s="560" t="s">
        <v>2691</v>
      </c>
      <c r="AM469" s="460" t="s">
        <v>2674</v>
      </c>
    </row>
    <row r="470" spans="1:39" ht="22.8">
      <c r="A470" s="460" t="s">
        <v>1810</v>
      </c>
      <c r="B470" s="460"/>
      <c r="C470" s="460" t="s">
        <v>1399</v>
      </c>
      <c r="D470" s="460" t="s">
        <v>2171</v>
      </c>
      <c r="E470" s="460" t="s">
        <v>1811</v>
      </c>
      <c r="F470" s="460" t="s">
        <v>2015</v>
      </c>
      <c r="G470" s="461" t="s">
        <v>1218</v>
      </c>
      <c r="H470" s="461" t="s">
        <v>273</v>
      </c>
      <c r="I470" s="460" t="s">
        <v>2170</v>
      </c>
      <c r="J470" s="460" t="s">
        <v>1990</v>
      </c>
      <c r="K470" s="460" t="s">
        <v>2669</v>
      </c>
      <c r="L470" s="460" t="s">
        <v>2670</v>
      </c>
      <c r="M470" s="460" t="s">
        <v>2169</v>
      </c>
      <c r="N470" s="460" t="s">
        <v>1981</v>
      </c>
      <c r="O470" s="460" t="s">
        <v>2001</v>
      </c>
      <c r="P470" s="460" t="s">
        <v>1979</v>
      </c>
      <c r="Q470" s="460" t="s">
        <v>1978</v>
      </c>
      <c r="R470" s="460" t="s">
        <v>1977</v>
      </c>
      <c r="S470" s="460" t="s">
        <v>1826</v>
      </c>
      <c r="T470" s="460" t="s">
        <v>1827</v>
      </c>
      <c r="U470" s="461" t="s">
        <v>1976</v>
      </c>
      <c r="V470" s="460" t="s">
        <v>1851</v>
      </c>
      <c r="W470" s="560"/>
      <c r="X470" s="461" t="s">
        <v>1824</v>
      </c>
      <c r="Y470" s="461" t="s">
        <v>2683</v>
      </c>
      <c r="Z470" s="461" t="s">
        <v>170</v>
      </c>
      <c r="AA470" s="460" t="s">
        <v>1218</v>
      </c>
      <c r="AB470" s="561">
        <f>ROUND(226.88,2)</f>
        <v>226.88</v>
      </c>
      <c r="AC470" s="460" t="s">
        <v>308</v>
      </c>
      <c r="AD470" s="460"/>
      <c r="AE470" s="561">
        <f>ROUND(1393.71,2)</f>
        <v>1393.71</v>
      </c>
      <c r="AF470" s="460" t="s">
        <v>308</v>
      </c>
      <c r="AG470" s="561">
        <f t="shared" si="7"/>
        <v>0</v>
      </c>
      <c r="AH470" s="460" t="s">
        <v>2671</v>
      </c>
      <c r="AI470" s="460" t="s">
        <v>1214</v>
      </c>
      <c r="AJ470" s="460" t="s">
        <v>2549</v>
      </c>
      <c r="AK470" s="460" t="s">
        <v>2672</v>
      </c>
      <c r="AL470" s="560" t="s">
        <v>2681</v>
      </c>
      <c r="AM470" s="460" t="s">
        <v>2674</v>
      </c>
    </row>
    <row r="471" spans="1:39" ht="22.8">
      <c r="A471" s="460" t="s">
        <v>1810</v>
      </c>
      <c r="B471" s="460"/>
      <c r="C471" s="460" t="s">
        <v>1419</v>
      </c>
      <c r="D471" s="460" t="s">
        <v>2168</v>
      </c>
      <c r="E471" s="460" t="s">
        <v>1821</v>
      </c>
      <c r="F471" s="460" t="s">
        <v>1812</v>
      </c>
      <c r="G471" s="461" t="s">
        <v>1218</v>
      </c>
      <c r="H471" s="461" t="s">
        <v>242</v>
      </c>
      <c r="I471" s="460" t="s">
        <v>2167</v>
      </c>
      <c r="J471" s="460" t="s">
        <v>1983</v>
      </c>
      <c r="K471" s="460" t="s">
        <v>2669</v>
      </c>
      <c r="L471" s="460" t="s">
        <v>2714</v>
      </c>
      <c r="M471" s="460" t="s">
        <v>1994</v>
      </c>
      <c r="N471" s="460" t="s">
        <v>1981</v>
      </c>
      <c r="O471" s="460" t="s">
        <v>1980</v>
      </c>
      <c r="P471" s="460" t="s">
        <v>1979</v>
      </c>
      <c r="Q471" s="460" t="s">
        <v>95</v>
      </c>
      <c r="R471" s="460" t="s">
        <v>1977</v>
      </c>
      <c r="S471" s="460" t="s">
        <v>1842</v>
      </c>
      <c r="T471" s="460" t="s">
        <v>1827</v>
      </c>
      <c r="U471" s="461" t="s">
        <v>1976</v>
      </c>
      <c r="V471" s="460" t="s">
        <v>1843</v>
      </c>
      <c r="W471" s="560"/>
      <c r="X471" s="461" t="s">
        <v>2054</v>
      </c>
      <c r="Y471" s="461" t="s">
        <v>2054</v>
      </c>
      <c r="Z471" s="461" t="s">
        <v>170</v>
      </c>
      <c r="AA471" s="460" t="s">
        <v>1218</v>
      </c>
      <c r="AB471" s="561">
        <f>ROUND(30.41,2)</f>
        <v>30.41</v>
      </c>
      <c r="AC471" s="460" t="s">
        <v>308</v>
      </c>
      <c r="AD471" s="460"/>
      <c r="AE471" s="561">
        <f>ROUND(70.29,2)</f>
        <v>70.290000000000006</v>
      </c>
      <c r="AF471" s="460" t="s">
        <v>308</v>
      </c>
      <c r="AG471" s="561">
        <f t="shared" si="7"/>
        <v>0</v>
      </c>
      <c r="AH471" s="460" t="s">
        <v>2671</v>
      </c>
      <c r="AI471" s="460" t="s">
        <v>1214</v>
      </c>
      <c r="AJ471" s="460" t="s">
        <v>2548</v>
      </c>
      <c r="AK471" s="460" t="s">
        <v>2672</v>
      </c>
      <c r="AL471" s="560" t="s">
        <v>2673</v>
      </c>
      <c r="AM471" s="460" t="s">
        <v>2674</v>
      </c>
    </row>
    <row r="472" spans="1:39" ht="22.8">
      <c r="A472" s="460" t="s">
        <v>1810</v>
      </c>
      <c r="B472" s="460"/>
      <c r="C472" s="460" t="s">
        <v>1419</v>
      </c>
      <c r="D472" s="460" t="s">
        <v>2168</v>
      </c>
      <c r="E472" s="460" t="s">
        <v>1821</v>
      </c>
      <c r="F472" s="460" t="s">
        <v>1812</v>
      </c>
      <c r="G472" s="461" t="s">
        <v>1218</v>
      </c>
      <c r="H472" s="461" t="s">
        <v>242</v>
      </c>
      <c r="I472" s="460" t="s">
        <v>2167</v>
      </c>
      <c r="J472" s="460" t="s">
        <v>1983</v>
      </c>
      <c r="K472" s="460" t="s">
        <v>2669</v>
      </c>
      <c r="L472" s="460" t="s">
        <v>2714</v>
      </c>
      <c r="M472" s="460" t="s">
        <v>1994</v>
      </c>
      <c r="N472" s="460" t="s">
        <v>1981</v>
      </c>
      <c r="O472" s="460" t="s">
        <v>1980</v>
      </c>
      <c r="P472" s="460" t="s">
        <v>2675</v>
      </c>
      <c r="Q472" s="460" t="s">
        <v>2676</v>
      </c>
      <c r="R472" s="460" t="s">
        <v>2677</v>
      </c>
      <c r="S472" s="460" t="s">
        <v>2676</v>
      </c>
      <c r="T472" s="460" t="s">
        <v>1827</v>
      </c>
      <c r="U472" s="461" t="s">
        <v>1824</v>
      </c>
      <c r="V472" s="460" t="s">
        <v>1843</v>
      </c>
      <c r="W472" s="560"/>
      <c r="X472" s="461" t="s">
        <v>2054</v>
      </c>
      <c r="Y472" s="461" t="s">
        <v>2054</v>
      </c>
      <c r="Z472" s="461" t="s">
        <v>170</v>
      </c>
      <c r="AA472" s="460" t="s">
        <v>1218</v>
      </c>
      <c r="AB472" s="561">
        <f>ROUND(150,2)</f>
        <v>150</v>
      </c>
      <c r="AC472" s="460" t="s">
        <v>2678</v>
      </c>
      <c r="AD472" s="460"/>
      <c r="AE472" s="561">
        <f>ROUND(1000,2)</f>
        <v>1000</v>
      </c>
      <c r="AF472" s="460" t="s">
        <v>2679</v>
      </c>
      <c r="AG472" s="561">
        <f t="shared" si="7"/>
        <v>0</v>
      </c>
      <c r="AH472" s="460" t="s">
        <v>2671</v>
      </c>
      <c r="AI472" s="460" t="s">
        <v>1214</v>
      </c>
      <c r="AJ472" s="460" t="s">
        <v>2550</v>
      </c>
      <c r="AK472" s="460" t="s">
        <v>2672</v>
      </c>
      <c r="AL472" s="560" t="s">
        <v>2741</v>
      </c>
      <c r="AM472" s="460" t="s">
        <v>2674</v>
      </c>
    </row>
    <row r="473" spans="1:39" ht="22.8">
      <c r="A473" s="460" t="s">
        <v>1810</v>
      </c>
      <c r="B473" s="460"/>
      <c r="C473" s="460" t="s">
        <v>1419</v>
      </c>
      <c r="D473" s="460" t="s">
        <v>2168</v>
      </c>
      <c r="E473" s="460" t="s">
        <v>1821</v>
      </c>
      <c r="F473" s="460" t="s">
        <v>1812</v>
      </c>
      <c r="G473" s="461" t="s">
        <v>1218</v>
      </c>
      <c r="H473" s="461" t="s">
        <v>242</v>
      </c>
      <c r="I473" s="460" t="s">
        <v>2167</v>
      </c>
      <c r="J473" s="460" t="s">
        <v>1983</v>
      </c>
      <c r="K473" s="460" t="s">
        <v>2669</v>
      </c>
      <c r="L473" s="460" t="s">
        <v>2714</v>
      </c>
      <c r="M473" s="460" t="s">
        <v>1994</v>
      </c>
      <c r="N473" s="460" t="s">
        <v>1981</v>
      </c>
      <c r="O473" s="460" t="s">
        <v>1980</v>
      </c>
      <c r="P473" s="460" t="s">
        <v>1979</v>
      </c>
      <c r="Q473" s="460" t="s">
        <v>1978</v>
      </c>
      <c r="R473" s="460" t="s">
        <v>1977</v>
      </c>
      <c r="S473" s="460" t="s">
        <v>1826</v>
      </c>
      <c r="T473" s="460" t="s">
        <v>1827</v>
      </c>
      <c r="U473" s="461" t="s">
        <v>1976</v>
      </c>
      <c r="V473" s="460" t="s">
        <v>1967</v>
      </c>
      <c r="W473" s="560"/>
      <c r="X473" s="461" t="s">
        <v>2054</v>
      </c>
      <c r="Y473" s="461" t="s">
        <v>2054</v>
      </c>
      <c r="Z473" s="461" t="s">
        <v>170</v>
      </c>
      <c r="AA473" s="460" t="s">
        <v>1218</v>
      </c>
      <c r="AB473" s="561">
        <f>ROUND(509.75,2)</f>
        <v>509.75</v>
      </c>
      <c r="AC473" s="460" t="s">
        <v>308</v>
      </c>
      <c r="AD473" s="460"/>
      <c r="AE473" s="561">
        <f>ROUND(1272.61,2)</f>
        <v>1272.6099999999999</v>
      </c>
      <c r="AF473" s="460" t="s">
        <v>308</v>
      </c>
      <c r="AG473" s="561">
        <f t="shared" si="7"/>
        <v>0</v>
      </c>
      <c r="AH473" s="460" t="s">
        <v>2671</v>
      </c>
      <c r="AI473" s="460" t="s">
        <v>1214</v>
      </c>
      <c r="AJ473" s="460" t="s">
        <v>2549</v>
      </c>
      <c r="AK473" s="460" t="s">
        <v>2672</v>
      </c>
      <c r="AL473" s="560" t="s">
        <v>2818</v>
      </c>
      <c r="AM473" s="460" t="s">
        <v>2674</v>
      </c>
    </row>
    <row r="474" spans="1:39" ht="22.8">
      <c r="A474" s="460" t="s">
        <v>1810</v>
      </c>
      <c r="B474" s="460"/>
      <c r="C474" s="460" t="s">
        <v>1742</v>
      </c>
      <c r="D474" s="460" t="s">
        <v>2166</v>
      </c>
      <c r="E474" s="460" t="s">
        <v>1814</v>
      </c>
      <c r="F474" s="460" t="s">
        <v>1812</v>
      </c>
      <c r="G474" s="461" t="s">
        <v>1218</v>
      </c>
      <c r="H474" s="461" t="s">
        <v>1847</v>
      </c>
      <c r="I474" s="460" t="s">
        <v>2165</v>
      </c>
      <c r="J474" s="460" t="s">
        <v>1983</v>
      </c>
      <c r="K474" s="460" t="s">
        <v>2669</v>
      </c>
      <c r="L474" s="460" t="s">
        <v>2707</v>
      </c>
      <c r="M474" s="460" t="s">
        <v>1982</v>
      </c>
      <c r="N474" s="460" t="s">
        <v>1981</v>
      </c>
      <c r="O474" s="460" t="s">
        <v>1980</v>
      </c>
      <c r="P474" s="460" t="s">
        <v>1979</v>
      </c>
      <c r="Q474" s="460" t="s">
        <v>95</v>
      </c>
      <c r="R474" s="460" t="s">
        <v>1977</v>
      </c>
      <c r="S474" s="460" t="s">
        <v>1842</v>
      </c>
      <c r="T474" s="460" t="s">
        <v>1827</v>
      </c>
      <c r="U474" s="461" t="s">
        <v>1976</v>
      </c>
      <c r="V474" s="460" t="s">
        <v>1119</v>
      </c>
      <c r="W474" s="560"/>
      <c r="X474" s="461" t="s">
        <v>2083</v>
      </c>
      <c r="Y474" s="461" t="s">
        <v>2083</v>
      </c>
      <c r="Z474" s="461" t="s">
        <v>170</v>
      </c>
      <c r="AA474" s="460" t="s">
        <v>1218</v>
      </c>
      <c r="AB474" s="561">
        <f>ROUND(0,2)</f>
        <v>0</v>
      </c>
      <c r="AC474" s="460" t="s">
        <v>308</v>
      </c>
      <c r="AD474" s="460"/>
      <c r="AE474" s="561">
        <f>ROUND(36.23,2)</f>
        <v>36.229999999999997</v>
      </c>
      <c r="AF474" s="460" t="s">
        <v>308</v>
      </c>
      <c r="AG474" s="561">
        <f t="shared" si="7"/>
        <v>0</v>
      </c>
      <c r="AH474" s="460" t="s">
        <v>2671</v>
      </c>
      <c r="AI474" s="460" t="s">
        <v>1214</v>
      </c>
      <c r="AJ474" s="460"/>
      <c r="AK474" s="460"/>
      <c r="AL474" s="560"/>
      <c r="AM474" s="460"/>
    </row>
    <row r="475" spans="1:39" ht="22.8">
      <c r="A475" s="460" t="s">
        <v>1810</v>
      </c>
      <c r="B475" s="460"/>
      <c r="C475" s="460" t="s">
        <v>1742</v>
      </c>
      <c r="D475" s="460" t="s">
        <v>2166</v>
      </c>
      <c r="E475" s="460" t="s">
        <v>1814</v>
      </c>
      <c r="F475" s="460" t="s">
        <v>1812</v>
      </c>
      <c r="G475" s="461" t="s">
        <v>1218</v>
      </c>
      <c r="H475" s="461" t="s">
        <v>1847</v>
      </c>
      <c r="I475" s="460" t="s">
        <v>2165</v>
      </c>
      <c r="J475" s="460" t="s">
        <v>1983</v>
      </c>
      <c r="K475" s="460" t="s">
        <v>2669</v>
      </c>
      <c r="L475" s="460" t="s">
        <v>2707</v>
      </c>
      <c r="M475" s="460" t="s">
        <v>1982</v>
      </c>
      <c r="N475" s="460" t="s">
        <v>1981</v>
      </c>
      <c r="O475" s="460" t="s">
        <v>1980</v>
      </c>
      <c r="P475" s="460" t="s">
        <v>2675</v>
      </c>
      <c r="Q475" s="460" t="s">
        <v>2676</v>
      </c>
      <c r="R475" s="460" t="s">
        <v>2677</v>
      </c>
      <c r="S475" s="460" t="s">
        <v>2676</v>
      </c>
      <c r="T475" s="460" t="s">
        <v>1827</v>
      </c>
      <c r="U475" s="461" t="s">
        <v>1824</v>
      </c>
      <c r="V475" s="460" t="s">
        <v>1119</v>
      </c>
      <c r="W475" s="560"/>
      <c r="X475" s="461" t="s">
        <v>2083</v>
      </c>
      <c r="Y475" s="461" t="s">
        <v>2083</v>
      </c>
      <c r="Z475" s="461" t="s">
        <v>170</v>
      </c>
      <c r="AA475" s="460" t="s">
        <v>1218</v>
      </c>
      <c r="AB475" s="561">
        <f>ROUND(15,2)</f>
        <v>15</v>
      </c>
      <c r="AC475" s="460" t="s">
        <v>2678</v>
      </c>
      <c r="AD475" s="460"/>
      <c r="AE475" s="561">
        <f>ROUND(500.05,2)</f>
        <v>500.05</v>
      </c>
      <c r="AF475" s="460" t="s">
        <v>2679</v>
      </c>
      <c r="AG475" s="561">
        <f t="shared" si="7"/>
        <v>0</v>
      </c>
      <c r="AH475" s="460" t="s">
        <v>2671</v>
      </c>
      <c r="AI475" s="460" t="s">
        <v>1214</v>
      </c>
      <c r="AJ475" s="460" t="s">
        <v>2550</v>
      </c>
      <c r="AK475" s="460" t="s">
        <v>2672</v>
      </c>
      <c r="AL475" s="560" t="s">
        <v>2693</v>
      </c>
      <c r="AM475" s="460" t="s">
        <v>2674</v>
      </c>
    </row>
    <row r="476" spans="1:39" ht="22.8">
      <c r="A476" s="460" t="s">
        <v>1810</v>
      </c>
      <c r="B476" s="460"/>
      <c r="C476" s="460" t="s">
        <v>1742</v>
      </c>
      <c r="D476" s="460" t="s">
        <v>2166</v>
      </c>
      <c r="E476" s="460" t="s">
        <v>1814</v>
      </c>
      <c r="F476" s="460" t="s">
        <v>1812</v>
      </c>
      <c r="G476" s="461" t="s">
        <v>1218</v>
      </c>
      <c r="H476" s="461" t="s">
        <v>1847</v>
      </c>
      <c r="I476" s="460" t="s">
        <v>2165</v>
      </c>
      <c r="J476" s="460" t="s">
        <v>1983</v>
      </c>
      <c r="K476" s="460" t="s">
        <v>2669</v>
      </c>
      <c r="L476" s="460" t="s">
        <v>2707</v>
      </c>
      <c r="M476" s="460" t="s">
        <v>1982</v>
      </c>
      <c r="N476" s="460" t="s">
        <v>1981</v>
      </c>
      <c r="O476" s="460" t="s">
        <v>1980</v>
      </c>
      <c r="P476" s="460" t="s">
        <v>1979</v>
      </c>
      <c r="Q476" s="460" t="s">
        <v>1978</v>
      </c>
      <c r="R476" s="460" t="s">
        <v>1977</v>
      </c>
      <c r="S476" s="460" t="s">
        <v>1826</v>
      </c>
      <c r="T476" s="460" t="s">
        <v>1827</v>
      </c>
      <c r="U476" s="461" t="s">
        <v>1976</v>
      </c>
      <c r="V476" s="460" t="s">
        <v>1119</v>
      </c>
      <c r="W476" s="560"/>
      <c r="X476" s="461" t="s">
        <v>2083</v>
      </c>
      <c r="Y476" s="461" t="s">
        <v>2083</v>
      </c>
      <c r="Z476" s="461" t="s">
        <v>170</v>
      </c>
      <c r="AA476" s="460" t="s">
        <v>1218</v>
      </c>
      <c r="AB476" s="561">
        <f>ROUND(25.63,2)</f>
        <v>25.63</v>
      </c>
      <c r="AC476" s="460" t="s">
        <v>308</v>
      </c>
      <c r="AD476" s="460"/>
      <c r="AE476" s="561">
        <f>ROUND(828.65,2)</f>
        <v>828.65</v>
      </c>
      <c r="AF476" s="460" t="s">
        <v>308</v>
      </c>
      <c r="AG476" s="561">
        <f t="shared" si="7"/>
        <v>0</v>
      </c>
      <c r="AH476" s="460" t="s">
        <v>2671</v>
      </c>
      <c r="AI476" s="460" t="s">
        <v>1214</v>
      </c>
      <c r="AJ476" s="460" t="s">
        <v>2549</v>
      </c>
      <c r="AK476" s="460" t="s">
        <v>2672</v>
      </c>
      <c r="AL476" s="560" t="s">
        <v>2685</v>
      </c>
      <c r="AM476" s="460" t="s">
        <v>2674</v>
      </c>
    </row>
    <row r="477" spans="1:39" ht="34.200000000000003">
      <c r="A477" s="460" t="s">
        <v>1810</v>
      </c>
      <c r="B477" s="460"/>
      <c r="C477" s="460" t="s">
        <v>1756</v>
      </c>
      <c r="D477" s="460" t="s">
        <v>2164</v>
      </c>
      <c r="E477" s="460" t="s">
        <v>1819</v>
      </c>
      <c r="F477" s="460" t="s">
        <v>1812</v>
      </c>
      <c r="G477" s="461" t="s">
        <v>1218</v>
      </c>
      <c r="H477" s="461" t="s">
        <v>1839</v>
      </c>
      <c r="I477" s="460" t="s">
        <v>2163</v>
      </c>
      <c r="J477" s="460" t="s">
        <v>1983</v>
      </c>
      <c r="K477" s="460" t="s">
        <v>2669</v>
      </c>
      <c r="L477" s="460" t="s">
        <v>2728</v>
      </c>
      <c r="M477" s="460" t="s">
        <v>1987</v>
      </c>
      <c r="N477" s="460" t="s">
        <v>1981</v>
      </c>
      <c r="O477" s="460" t="s">
        <v>1980</v>
      </c>
      <c r="P477" s="460" t="s">
        <v>1979</v>
      </c>
      <c r="Q477" s="460" t="s">
        <v>95</v>
      </c>
      <c r="R477" s="460" t="s">
        <v>1977</v>
      </c>
      <c r="S477" s="460" t="s">
        <v>1842</v>
      </c>
      <c r="T477" s="460" t="s">
        <v>1827</v>
      </c>
      <c r="U477" s="461" t="s">
        <v>1976</v>
      </c>
      <c r="V477" s="460" t="s">
        <v>1843</v>
      </c>
      <c r="W477" s="560"/>
      <c r="X477" s="461" t="s">
        <v>2049</v>
      </c>
      <c r="Y477" s="461" t="s">
        <v>2049</v>
      </c>
      <c r="Z477" s="461" t="s">
        <v>170</v>
      </c>
      <c r="AA477" s="460" t="s">
        <v>1218</v>
      </c>
      <c r="AB477" s="561">
        <f>ROUND(30.41,2)</f>
        <v>30.41</v>
      </c>
      <c r="AC477" s="460" t="s">
        <v>308</v>
      </c>
      <c r="AD477" s="460"/>
      <c r="AE477" s="561">
        <f>ROUND(70.29,2)</f>
        <v>70.290000000000006</v>
      </c>
      <c r="AF477" s="460" t="s">
        <v>308</v>
      </c>
      <c r="AG477" s="561">
        <f t="shared" si="7"/>
        <v>0</v>
      </c>
      <c r="AH477" s="460" t="s">
        <v>2671</v>
      </c>
      <c r="AI477" s="460" t="s">
        <v>1214</v>
      </c>
      <c r="AJ477" s="460" t="s">
        <v>2548</v>
      </c>
      <c r="AK477" s="460" t="s">
        <v>2672</v>
      </c>
      <c r="AL477" s="560" t="s">
        <v>2673</v>
      </c>
      <c r="AM477" s="460" t="s">
        <v>2674</v>
      </c>
    </row>
    <row r="478" spans="1:39" ht="34.200000000000003">
      <c r="A478" s="460" t="s">
        <v>1810</v>
      </c>
      <c r="B478" s="460"/>
      <c r="C478" s="460" t="s">
        <v>1756</v>
      </c>
      <c r="D478" s="460" t="s">
        <v>2164</v>
      </c>
      <c r="E478" s="460" t="s">
        <v>1819</v>
      </c>
      <c r="F478" s="460" t="s">
        <v>1812</v>
      </c>
      <c r="G478" s="461" t="s">
        <v>1218</v>
      </c>
      <c r="H478" s="461" t="s">
        <v>1839</v>
      </c>
      <c r="I478" s="460" t="s">
        <v>2163</v>
      </c>
      <c r="J478" s="460" t="s">
        <v>1983</v>
      </c>
      <c r="K478" s="460" t="s">
        <v>2669</v>
      </c>
      <c r="L478" s="460" t="s">
        <v>2728</v>
      </c>
      <c r="M478" s="460" t="s">
        <v>1987</v>
      </c>
      <c r="N478" s="460" t="s">
        <v>1981</v>
      </c>
      <c r="O478" s="460" t="s">
        <v>1980</v>
      </c>
      <c r="P478" s="460" t="s">
        <v>2675</v>
      </c>
      <c r="Q478" s="460" t="s">
        <v>2676</v>
      </c>
      <c r="R478" s="460" t="s">
        <v>2677</v>
      </c>
      <c r="S478" s="460" t="s">
        <v>2676</v>
      </c>
      <c r="T478" s="460" t="s">
        <v>1827</v>
      </c>
      <c r="U478" s="461" t="s">
        <v>1824</v>
      </c>
      <c r="V478" s="460" t="s">
        <v>1843</v>
      </c>
      <c r="W478" s="560"/>
      <c r="X478" s="461" t="s">
        <v>2049</v>
      </c>
      <c r="Y478" s="461" t="s">
        <v>2049</v>
      </c>
      <c r="Z478" s="461" t="s">
        <v>170</v>
      </c>
      <c r="AA478" s="460" t="s">
        <v>1218</v>
      </c>
      <c r="AB478" s="561">
        <f>ROUND(100,2)</f>
        <v>100</v>
      </c>
      <c r="AC478" s="460" t="s">
        <v>2678</v>
      </c>
      <c r="AD478" s="460"/>
      <c r="AE478" s="561">
        <f>ROUND(1000,2)</f>
        <v>1000</v>
      </c>
      <c r="AF478" s="460" t="s">
        <v>2679</v>
      </c>
      <c r="AG478" s="561">
        <f t="shared" si="7"/>
        <v>0</v>
      </c>
      <c r="AH478" s="460" t="s">
        <v>2671</v>
      </c>
      <c r="AI478" s="460" t="s">
        <v>1214</v>
      </c>
      <c r="AJ478" s="460" t="s">
        <v>2550</v>
      </c>
      <c r="AK478" s="460" t="s">
        <v>2672</v>
      </c>
      <c r="AL478" s="560" t="s">
        <v>2691</v>
      </c>
      <c r="AM478" s="460" t="s">
        <v>2674</v>
      </c>
    </row>
    <row r="479" spans="1:39" ht="34.200000000000003">
      <c r="A479" s="460" t="s">
        <v>1810</v>
      </c>
      <c r="B479" s="460"/>
      <c r="C479" s="460" t="s">
        <v>1756</v>
      </c>
      <c r="D479" s="460" t="s">
        <v>2164</v>
      </c>
      <c r="E479" s="460" t="s">
        <v>1819</v>
      </c>
      <c r="F479" s="460" t="s">
        <v>1812</v>
      </c>
      <c r="G479" s="461" t="s">
        <v>1218</v>
      </c>
      <c r="H479" s="461" t="s">
        <v>1839</v>
      </c>
      <c r="I479" s="460" t="s">
        <v>2163</v>
      </c>
      <c r="J479" s="460" t="s">
        <v>1983</v>
      </c>
      <c r="K479" s="460" t="s">
        <v>2669</v>
      </c>
      <c r="L479" s="460" t="s">
        <v>2728</v>
      </c>
      <c r="M479" s="460" t="s">
        <v>1987</v>
      </c>
      <c r="N479" s="460" t="s">
        <v>1981</v>
      </c>
      <c r="O479" s="460" t="s">
        <v>1980</v>
      </c>
      <c r="P479" s="460" t="s">
        <v>1979</v>
      </c>
      <c r="Q479" s="460" t="s">
        <v>1978</v>
      </c>
      <c r="R479" s="460" t="s">
        <v>1977</v>
      </c>
      <c r="S479" s="460" t="s">
        <v>1826</v>
      </c>
      <c r="T479" s="460" t="s">
        <v>1827</v>
      </c>
      <c r="U479" s="461" t="s">
        <v>1976</v>
      </c>
      <c r="V479" s="460" t="s">
        <v>1967</v>
      </c>
      <c r="W479" s="560"/>
      <c r="X479" s="461" t="s">
        <v>2049</v>
      </c>
      <c r="Y479" s="461" t="s">
        <v>2049</v>
      </c>
      <c r="Z479" s="461" t="s">
        <v>170</v>
      </c>
      <c r="AA479" s="460" t="s">
        <v>1218</v>
      </c>
      <c r="AB479" s="561">
        <f>ROUND(258.44,2)</f>
        <v>258.44</v>
      </c>
      <c r="AC479" s="460" t="s">
        <v>308</v>
      </c>
      <c r="AD479" s="460"/>
      <c r="AE479" s="561">
        <f>ROUND(1523.92,2)</f>
        <v>1523.92</v>
      </c>
      <c r="AF479" s="460" t="s">
        <v>308</v>
      </c>
      <c r="AG479" s="561">
        <f t="shared" si="7"/>
        <v>0</v>
      </c>
      <c r="AH479" s="460" t="s">
        <v>2671</v>
      </c>
      <c r="AI479" s="460" t="s">
        <v>1214</v>
      </c>
      <c r="AJ479" s="460" t="s">
        <v>2549</v>
      </c>
      <c r="AK479" s="460" t="s">
        <v>2672</v>
      </c>
      <c r="AL479" s="560" t="s">
        <v>2748</v>
      </c>
      <c r="AM479" s="460" t="s">
        <v>2674</v>
      </c>
    </row>
    <row r="480" spans="1:39" ht="22.8">
      <c r="A480" s="460" t="s">
        <v>1810</v>
      </c>
      <c r="B480" s="460"/>
      <c r="C480" s="460" t="s">
        <v>1549</v>
      </c>
      <c r="D480" s="460" t="s">
        <v>2203</v>
      </c>
      <c r="E480" s="460" t="s">
        <v>1814</v>
      </c>
      <c r="F480" s="460" t="s">
        <v>1812</v>
      </c>
      <c r="G480" s="461" t="s">
        <v>1218</v>
      </c>
      <c r="H480" s="461" t="s">
        <v>363</v>
      </c>
      <c r="I480" s="460" t="s">
        <v>2202</v>
      </c>
      <c r="J480" s="460" t="s">
        <v>1990</v>
      </c>
      <c r="K480" s="460" t="s">
        <v>2669</v>
      </c>
      <c r="L480" s="460" t="s">
        <v>2703</v>
      </c>
      <c r="M480" s="460" t="s">
        <v>1982</v>
      </c>
      <c r="N480" s="460" t="s">
        <v>1981</v>
      </c>
      <c r="O480" s="460" t="s">
        <v>1980</v>
      </c>
      <c r="P480" s="460" t="s">
        <v>1979</v>
      </c>
      <c r="Q480" s="460" t="s">
        <v>95</v>
      </c>
      <c r="R480" s="460" t="s">
        <v>1977</v>
      </c>
      <c r="S480" s="460" t="s">
        <v>1842</v>
      </c>
      <c r="T480" s="460" t="s">
        <v>1827</v>
      </c>
      <c r="U480" s="461" t="s">
        <v>1976</v>
      </c>
      <c r="V480" s="460" t="s">
        <v>1843</v>
      </c>
      <c r="W480" s="560"/>
      <c r="X480" s="461" t="s">
        <v>1824</v>
      </c>
      <c r="Y480" s="461" t="s">
        <v>2831</v>
      </c>
      <c r="Z480" s="461" t="s">
        <v>170</v>
      </c>
      <c r="AA480" s="460" t="s">
        <v>1218</v>
      </c>
      <c r="AB480" s="561">
        <f>ROUND(30.41,2)</f>
        <v>30.41</v>
      </c>
      <c r="AC480" s="460" t="s">
        <v>308</v>
      </c>
      <c r="AD480" s="460"/>
      <c r="AE480" s="561">
        <f>ROUND(70.29,2)</f>
        <v>70.290000000000006</v>
      </c>
      <c r="AF480" s="460" t="s">
        <v>308</v>
      </c>
      <c r="AG480" s="561">
        <f t="shared" si="7"/>
        <v>0</v>
      </c>
      <c r="AH480" s="460" t="s">
        <v>2671</v>
      </c>
      <c r="AI480" s="460" t="s">
        <v>1214</v>
      </c>
      <c r="AJ480" s="460" t="s">
        <v>2548</v>
      </c>
      <c r="AK480" s="460" t="s">
        <v>2672</v>
      </c>
      <c r="AL480" s="560" t="s">
        <v>2673</v>
      </c>
      <c r="AM480" s="460" t="s">
        <v>2674</v>
      </c>
    </row>
    <row r="481" spans="1:39" ht="22.8">
      <c r="A481" s="460" t="s">
        <v>1810</v>
      </c>
      <c r="B481" s="460"/>
      <c r="C481" s="460" t="s">
        <v>1549</v>
      </c>
      <c r="D481" s="460" t="s">
        <v>2203</v>
      </c>
      <c r="E481" s="460" t="s">
        <v>1814</v>
      </c>
      <c r="F481" s="460" t="s">
        <v>1812</v>
      </c>
      <c r="G481" s="461" t="s">
        <v>1218</v>
      </c>
      <c r="H481" s="461" t="s">
        <v>363</v>
      </c>
      <c r="I481" s="460" t="s">
        <v>2202</v>
      </c>
      <c r="J481" s="460" t="s">
        <v>1990</v>
      </c>
      <c r="K481" s="460" t="s">
        <v>2669</v>
      </c>
      <c r="L481" s="460" t="s">
        <v>2703</v>
      </c>
      <c r="M481" s="460" t="s">
        <v>1982</v>
      </c>
      <c r="N481" s="460" t="s">
        <v>1981</v>
      </c>
      <c r="O481" s="460" t="s">
        <v>1980</v>
      </c>
      <c r="P481" s="460" t="s">
        <v>2675</v>
      </c>
      <c r="Q481" s="460" t="s">
        <v>2676</v>
      </c>
      <c r="R481" s="460" t="s">
        <v>2677</v>
      </c>
      <c r="S481" s="460" t="s">
        <v>2676</v>
      </c>
      <c r="T481" s="460" t="s">
        <v>1827</v>
      </c>
      <c r="U481" s="461" t="s">
        <v>1824</v>
      </c>
      <c r="V481" s="460" t="s">
        <v>1119</v>
      </c>
      <c r="W481" s="560"/>
      <c r="X481" s="461" t="s">
        <v>1824</v>
      </c>
      <c r="Y481" s="461" t="s">
        <v>1824</v>
      </c>
      <c r="Z481" s="461" t="s">
        <v>170</v>
      </c>
      <c r="AA481" s="460" t="s">
        <v>1218</v>
      </c>
      <c r="AB481" s="561">
        <f>ROUND(40,2)</f>
        <v>40</v>
      </c>
      <c r="AC481" s="460" t="s">
        <v>2678</v>
      </c>
      <c r="AD481" s="460"/>
      <c r="AE481" s="561">
        <f>ROUND(500.05,2)</f>
        <v>500.05</v>
      </c>
      <c r="AF481" s="460" t="s">
        <v>2679</v>
      </c>
      <c r="AG481" s="561">
        <f t="shared" si="7"/>
        <v>0</v>
      </c>
      <c r="AH481" s="460" t="s">
        <v>2671</v>
      </c>
      <c r="AI481" s="460" t="s">
        <v>1214</v>
      </c>
      <c r="AJ481" s="460" t="s">
        <v>2550</v>
      </c>
      <c r="AK481" s="460" t="s">
        <v>2672</v>
      </c>
      <c r="AL481" s="560" t="s">
        <v>2704</v>
      </c>
      <c r="AM481" s="460" t="s">
        <v>2674</v>
      </c>
    </row>
    <row r="482" spans="1:39" ht="22.8">
      <c r="A482" s="460" t="s">
        <v>1810</v>
      </c>
      <c r="B482" s="460"/>
      <c r="C482" s="460" t="s">
        <v>1549</v>
      </c>
      <c r="D482" s="460" t="s">
        <v>2203</v>
      </c>
      <c r="E482" s="460" t="s">
        <v>1814</v>
      </c>
      <c r="F482" s="460" t="s">
        <v>1812</v>
      </c>
      <c r="G482" s="461" t="s">
        <v>1218</v>
      </c>
      <c r="H482" s="461" t="s">
        <v>363</v>
      </c>
      <c r="I482" s="460" t="s">
        <v>2202</v>
      </c>
      <c r="J482" s="460" t="s">
        <v>1990</v>
      </c>
      <c r="K482" s="460" t="s">
        <v>2669</v>
      </c>
      <c r="L482" s="460" t="s">
        <v>2703</v>
      </c>
      <c r="M482" s="460" t="s">
        <v>1982</v>
      </c>
      <c r="N482" s="460" t="s">
        <v>1981</v>
      </c>
      <c r="O482" s="460" t="s">
        <v>1980</v>
      </c>
      <c r="P482" s="460" t="s">
        <v>1979</v>
      </c>
      <c r="Q482" s="460" t="s">
        <v>1978</v>
      </c>
      <c r="R482" s="460" t="s">
        <v>1977</v>
      </c>
      <c r="S482" s="460" t="s">
        <v>1826</v>
      </c>
      <c r="T482" s="460" t="s">
        <v>1827</v>
      </c>
      <c r="U482" s="461" t="s">
        <v>1976</v>
      </c>
      <c r="V482" s="460" t="s">
        <v>1119</v>
      </c>
      <c r="W482" s="560"/>
      <c r="X482" s="461" t="s">
        <v>1824</v>
      </c>
      <c r="Y482" s="461" t="s">
        <v>1824</v>
      </c>
      <c r="Z482" s="461" t="s">
        <v>170</v>
      </c>
      <c r="AA482" s="460" t="s">
        <v>1218</v>
      </c>
      <c r="AB482" s="561">
        <f>ROUND(35.03,2)</f>
        <v>35.03</v>
      </c>
      <c r="AC482" s="460" t="s">
        <v>308</v>
      </c>
      <c r="AD482" s="460"/>
      <c r="AE482" s="561">
        <f>ROUND(819.25,2)</f>
        <v>819.25</v>
      </c>
      <c r="AF482" s="460" t="s">
        <v>308</v>
      </c>
      <c r="AG482" s="561">
        <f t="shared" si="7"/>
        <v>0</v>
      </c>
      <c r="AH482" s="460" t="s">
        <v>2671</v>
      </c>
      <c r="AI482" s="460" t="s">
        <v>1214</v>
      </c>
      <c r="AJ482" s="460" t="s">
        <v>2549</v>
      </c>
      <c r="AK482" s="460" t="s">
        <v>2672</v>
      </c>
      <c r="AL482" s="560" t="s">
        <v>2694</v>
      </c>
      <c r="AM482" s="460" t="s">
        <v>2674</v>
      </c>
    </row>
    <row r="483" spans="1:39" ht="22.8">
      <c r="A483" s="460" t="s">
        <v>1810</v>
      </c>
      <c r="B483" s="460"/>
      <c r="C483" s="460" t="s">
        <v>1420</v>
      </c>
      <c r="D483" s="460" t="s">
        <v>2832</v>
      </c>
      <c r="E483" s="460" t="s">
        <v>1814</v>
      </c>
      <c r="F483" s="460" t="s">
        <v>1812</v>
      </c>
      <c r="G483" s="461" t="s">
        <v>1218</v>
      </c>
      <c r="H483" s="461" t="s">
        <v>190</v>
      </c>
      <c r="I483" s="460" t="s">
        <v>2833</v>
      </c>
      <c r="J483" s="460" t="s">
        <v>1983</v>
      </c>
      <c r="K483" s="460" t="s">
        <v>2669</v>
      </c>
      <c r="L483" s="460" t="s">
        <v>2703</v>
      </c>
      <c r="M483" s="460" t="s">
        <v>1982</v>
      </c>
      <c r="N483" s="460" t="s">
        <v>1981</v>
      </c>
      <c r="O483" s="460" t="s">
        <v>1980</v>
      </c>
      <c r="P483" s="460" t="s">
        <v>1979</v>
      </c>
      <c r="Q483" s="460" t="s">
        <v>95</v>
      </c>
      <c r="R483" s="460" t="s">
        <v>1977</v>
      </c>
      <c r="S483" s="460" t="s">
        <v>1842</v>
      </c>
      <c r="T483" s="460" t="s">
        <v>1827</v>
      </c>
      <c r="U483" s="461" t="s">
        <v>1976</v>
      </c>
      <c r="V483" s="460" t="s">
        <v>1119</v>
      </c>
      <c r="W483" s="560"/>
      <c r="X483" s="461" t="s">
        <v>2724</v>
      </c>
      <c r="Y483" s="461" t="s">
        <v>2724</v>
      </c>
      <c r="Z483" s="461" t="s">
        <v>170</v>
      </c>
      <c r="AA483" s="460" t="s">
        <v>1218</v>
      </c>
      <c r="AB483" s="561">
        <f>ROUND(0,2)</f>
        <v>0</v>
      </c>
      <c r="AC483" s="460" t="s">
        <v>308</v>
      </c>
      <c r="AD483" s="460"/>
      <c r="AE483" s="561">
        <f>ROUND(36.23,2)</f>
        <v>36.229999999999997</v>
      </c>
      <c r="AF483" s="460" t="s">
        <v>308</v>
      </c>
      <c r="AG483" s="561">
        <f t="shared" si="7"/>
        <v>0</v>
      </c>
      <c r="AH483" s="460" t="s">
        <v>2671</v>
      </c>
      <c r="AI483" s="460" t="s">
        <v>1214</v>
      </c>
      <c r="AJ483" s="460"/>
      <c r="AK483" s="460"/>
      <c r="AL483" s="560"/>
      <c r="AM483" s="460"/>
    </row>
    <row r="484" spans="1:39" ht="22.8">
      <c r="A484" s="460" t="s">
        <v>1810</v>
      </c>
      <c r="B484" s="460"/>
      <c r="C484" s="460" t="s">
        <v>1420</v>
      </c>
      <c r="D484" s="460" t="s">
        <v>2832</v>
      </c>
      <c r="E484" s="460" t="s">
        <v>1814</v>
      </c>
      <c r="F484" s="460" t="s">
        <v>1812</v>
      </c>
      <c r="G484" s="461" t="s">
        <v>1218</v>
      </c>
      <c r="H484" s="461" t="s">
        <v>190</v>
      </c>
      <c r="I484" s="460" t="s">
        <v>2833</v>
      </c>
      <c r="J484" s="460" t="s">
        <v>1983</v>
      </c>
      <c r="K484" s="460" t="s">
        <v>2669</v>
      </c>
      <c r="L484" s="460" t="s">
        <v>2703</v>
      </c>
      <c r="M484" s="460" t="s">
        <v>1982</v>
      </c>
      <c r="N484" s="460" t="s">
        <v>1981</v>
      </c>
      <c r="O484" s="460" t="s">
        <v>1980</v>
      </c>
      <c r="P484" s="460" t="s">
        <v>2675</v>
      </c>
      <c r="Q484" s="460" t="s">
        <v>2676</v>
      </c>
      <c r="R484" s="460" t="s">
        <v>2677</v>
      </c>
      <c r="S484" s="460" t="s">
        <v>2676</v>
      </c>
      <c r="T484" s="460" t="s">
        <v>1827</v>
      </c>
      <c r="U484" s="461" t="s">
        <v>1824</v>
      </c>
      <c r="V484" s="460" t="s">
        <v>1119</v>
      </c>
      <c r="W484" s="560"/>
      <c r="X484" s="461" t="s">
        <v>2724</v>
      </c>
      <c r="Y484" s="461" t="s">
        <v>2724</v>
      </c>
      <c r="Z484" s="461" t="s">
        <v>170</v>
      </c>
      <c r="AA484" s="460" t="s">
        <v>1218</v>
      </c>
      <c r="AB484" s="561">
        <f>ROUND(139.5,2)</f>
        <v>139.5</v>
      </c>
      <c r="AC484" s="460" t="s">
        <v>2678</v>
      </c>
      <c r="AD484" s="460"/>
      <c r="AE484" s="561">
        <f>ROUND(500.05,2)</f>
        <v>500.05</v>
      </c>
      <c r="AF484" s="460" t="s">
        <v>2679</v>
      </c>
      <c r="AG484" s="561">
        <f t="shared" si="7"/>
        <v>0</v>
      </c>
      <c r="AH484" s="460" t="s">
        <v>2671</v>
      </c>
      <c r="AI484" s="460" t="s">
        <v>1214</v>
      </c>
      <c r="AJ484" s="460" t="s">
        <v>2550</v>
      </c>
      <c r="AK484" s="460" t="s">
        <v>2672</v>
      </c>
      <c r="AL484" s="560" t="s">
        <v>2827</v>
      </c>
      <c r="AM484" s="460" t="s">
        <v>2674</v>
      </c>
    </row>
    <row r="485" spans="1:39" ht="22.8">
      <c r="A485" s="460" t="s">
        <v>1810</v>
      </c>
      <c r="B485" s="460"/>
      <c r="C485" s="460" t="s">
        <v>1420</v>
      </c>
      <c r="D485" s="460" t="s">
        <v>2832</v>
      </c>
      <c r="E485" s="460" t="s">
        <v>1814</v>
      </c>
      <c r="F485" s="460" t="s">
        <v>1812</v>
      </c>
      <c r="G485" s="461" t="s">
        <v>1218</v>
      </c>
      <c r="H485" s="461" t="s">
        <v>190</v>
      </c>
      <c r="I485" s="460" t="s">
        <v>2833</v>
      </c>
      <c r="J485" s="460" t="s">
        <v>1983</v>
      </c>
      <c r="K485" s="460" t="s">
        <v>2669</v>
      </c>
      <c r="L485" s="460" t="s">
        <v>2703</v>
      </c>
      <c r="M485" s="460" t="s">
        <v>1982</v>
      </c>
      <c r="N485" s="460" t="s">
        <v>1981</v>
      </c>
      <c r="O485" s="460" t="s">
        <v>1980</v>
      </c>
      <c r="P485" s="460" t="s">
        <v>1979</v>
      </c>
      <c r="Q485" s="460" t="s">
        <v>1978</v>
      </c>
      <c r="R485" s="460" t="s">
        <v>1977</v>
      </c>
      <c r="S485" s="460" t="s">
        <v>1826</v>
      </c>
      <c r="T485" s="460" t="s">
        <v>1827</v>
      </c>
      <c r="U485" s="461" t="s">
        <v>1976</v>
      </c>
      <c r="V485" s="460" t="s">
        <v>1119</v>
      </c>
      <c r="W485" s="560"/>
      <c r="X485" s="461" t="s">
        <v>2724</v>
      </c>
      <c r="Y485" s="461" t="s">
        <v>2724</v>
      </c>
      <c r="Z485" s="461" t="s">
        <v>170</v>
      </c>
      <c r="AA485" s="460" t="s">
        <v>1218</v>
      </c>
      <c r="AB485" s="561">
        <f>ROUND(35.03,2)</f>
        <v>35.03</v>
      </c>
      <c r="AC485" s="460" t="s">
        <v>308</v>
      </c>
      <c r="AD485" s="460"/>
      <c r="AE485" s="561">
        <f>ROUND(819.25,2)</f>
        <v>819.25</v>
      </c>
      <c r="AF485" s="460" t="s">
        <v>308</v>
      </c>
      <c r="AG485" s="561">
        <f t="shared" si="7"/>
        <v>0</v>
      </c>
      <c r="AH485" s="460" t="s">
        <v>2671</v>
      </c>
      <c r="AI485" s="460" t="s">
        <v>1214</v>
      </c>
      <c r="AJ485" s="460" t="s">
        <v>2549</v>
      </c>
      <c r="AK485" s="460" t="s">
        <v>2672</v>
      </c>
      <c r="AL485" s="560" t="s">
        <v>2694</v>
      </c>
      <c r="AM485" s="460" t="s">
        <v>2674</v>
      </c>
    </row>
    <row r="486" spans="1:39" ht="34.200000000000003">
      <c r="A486" s="460" t="s">
        <v>1810</v>
      </c>
      <c r="B486" s="460"/>
      <c r="C486" s="460" t="s">
        <v>1768</v>
      </c>
      <c r="D486" s="460" t="s">
        <v>2162</v>
      </c>
      <c r="E486" s="460" t="s">
        <v>1823</v>
      </c>
      <c r="F486" s="460" t="s">
        <v>1812</v>
      </c>
      <c r="G486" s="461" t="s">
        <v>1218</v>
      </c>
      <c r="H486" s="461" t="s">
        <v>1848</v>
      </c>
      <c r="I486" s="460" t="s">
        <v>2161</v>
      </c>
      <c r="J486" s="460" t="s">
        <v>1983</v>
      </c>
      <c r="K486" s="460" t="s">
        <v>2669</v>
      </c>
      <c r="L486" s="460" t="s">
        <v>2720</v>
      </c>
      <c r="M486" s="460" t="s">
        <v>2002</v>
      </c>
      <c r="N486" s="460" t="s">
        <v>1981</v>
      </c>
      <c r="O486" s="460" t="s">
        <v>1980</v>
      </c>
      <c r="P486" s="460" t="s">
        <v>1979</v>
      </c>
      <c r="Q486" s="460" t="s">
        <v>95</v>
      </c>
      <c r="R486" s="460" t="s">
        <v>1977</v>
      </c>
      <c r="S486" s="460" t="s">
        <v>1842</v>
      </c>
      <c r="T486" s="460" t="s">
        <v>1827</v>
      </c>
      <c r="U486" s="461" t="s">
        <v>1976</v>
      </c>
      <c r="V486" s="460" t="s">
        <v>1119</v>
      </c>
      <c r="W486" s="560"/>
      <c r="X486" s="461" t="s">
        <v>1963</v>
      </c>
      <c r="Y486" s="461" t="s">
        <v>1963</v>
      </c>
      <c r="Z486" s="461" t="s">
        <v>170</v>
      </c>
      <c r="AA486" s="460" t="s">
        <v>1218</v>
      </c>
      <c r="AB486" s="561">
        <f>ROUND(0,2)</f>
        <v>0</v>
      </c>
      <c r="AC486" s="460" t="s">
        <v>308</v>
      </c>
      <c r="AD486" s="460"/>
      <c r="AE486" s="561">
        <f>ROUND(36.23,2)</f>
        <v>36.229999999999997</v>
      </c>
      <c r="AF486" s="460" t="s">
        <v>308</v>
      </c>
      <c r="AG486" s="561">
        <f t="shared" si="7"/>
        <v>0</v>
      </c>
      <c r="AH486" s="460" t="s">
        <v>2671</v>
      </c>
      <c r="AI486" s="460" t="s">
        <v>1214</v>
      </c>
      <c r="AJ486" s="460"/>
      <c r="AK486" s="460"/>
      <c r="AL486" s="560"/>
      <c r="AM486" s="460"/>
    </row>
    <row r="487" spans="1:39" ht="34.200000000000003">
      <c r="A487" s="460" t="s">
        <v>1810</v>
      </c>
      <c r="B487" s="460"/>
      <c r="C487" s="460" t="s">
        <v>1768</v>
      </c>
      <c r="D487" s="460" t="s">
        <v>2162</v>
      </c>
      <c r="E487" s="460" t="s">
        <v>1823</v>
      </c>
      <c r="F487" s="460" t="s">
        <v>1812</v>
      </c>
      <c r="G487" s="461" t="s">
        <v>1218</v>
      </c>
      <c r="H487" s="461" t="s">
        <v>1848</v>
      </c>
      <c r="I487" s="460" t="s">
        <v>2161</v>
      </c>
      <c r="J487" s="460" t="s">
        <v>1983</v>
      </c>
      <c r="K487" s="460" t="s">
        <v>2669</v>
      </c>
      <c r="L487" s="460" t="s">
        <v>2720</v>
      </c>
      <c r="M487" s="460" t="s">
        <v>2002</v>
      </c>
      <c r="N487" s="460" t="s">
        <v>1981</v>
      </c>
      <c r="O487" s="460" t="s">
        <v>1980</v>
      </c>
      <c r="P487" s="460" t="s">
        <v>2675</v>
      </c>
      <c r="Q487" s="460" t="s">
        <v>2676</v>
      </c>
      <c r="R487" s="460" t="s">
        <v>2677</v>
      </c>
      <c r="S487" s="460" t="s">
        <v>2676</v>
      </c>
      <c r="T487" s="460" t="s">
        <v>1827</v>
      </c>
      <c r="U487" s="461" t="s">
        <v>1824</v>
      </c>
      <c r="V487" s="460" t="s">
        <v>1119</v>
      </c>
      <c r="W487" s="560"/>
      <c r="X487" s="461" t="s">
        <v>1963</v>
      </c>
      <c r="Y487" s="461" t="s">
        <v>2834</v>
      </c>
      <c r="Z487" s="461" t="s">
        <v>170</v>
      </c>
      <c r="AA487" s="460" t="s">
        <v>1218</v>
      </c>
      <c r="AB487" s="561">
        <f>ROUND(15,2)</f>
        <v>15</v>
      </c>
      <c r="AC487" s="460" t="s">
        <v>2678</v>
      </c>
      <c r="AD487" s="460"/>
      <c r="AE487" s="561">
        <f>ROUND(500.05,2)</f>
        <v>500.05</v>
      </c>
      <c r="AF487" s="460" t="s">
        <v>2679</v>
      </c>
      <c r="AG487" s="561">
        <f t="shared" si="7"/>
        <v>0</v>
      </c>
      <c r="AH487" s="460" t="s">
        <v>2671</v>
      </c>
      <c r="AI487" s="460" t="s">
        <v>1214</v>
      </c>
      <c r="AJ487" s="460" t="s">
        <v>2550</v>
      </c>
      <c r="AK487" s="460" t="s">
        <v>2672</v>
      </c>
      <c r="AL487" s="560" t="s">
        <v>2693</v>
      </c>
      <c r="AM487" s="460" t="s">
        <v>2674</v>
      </c>
    </row>
    <row r="488" spans="1:39" ht="34.200000000000003">
      <c r="A488" s="460" t="s">
        <v>1810</v>
      </c>
      <c r="B488" s="460"/>
      <c r="C488" s="460" t="s">
        <v>1768</v>
      </c>
      <c r="D488" s="460" t="s">
        <v>2162</v>
      </c>
      <c r="E488" s="460" t="s">
        <v>1823</v>
      </c>
      <c r="F488" s="460" t="s">
        <v>1812</v>
      </c>
      <c r="G488" s="461" t="s">
        <v>1218</v>
      </c>
      <c r="H488" s="461" t="s">
        <v>1848</v>
      </c>
      <c r="I488" s="460" t="s">
        <v>2161</v>
      </c>
      <c r="J488" s="460" t="s">
        <v>1983</v>
      </c>
      <c r="K488" s="460" t="s">
        <v>2669</v>
      </c>
      <c r="L488" s="460" t="s">
        <v>2720</v>
      </c>
      <c r="M488" s="460" t="s">
        <v>2002</v>
      </c>
      <c r="N488" s="460" t="s">
        <v>1981</v>
      </c>
      <c r="O488" s="460" t="s">
        <v>1980</v>
      </c>
      <c r="P488" s="460" t="s">
        <v>1979</v>
      </c>
      <c r="Q488" s="460" t="s">
        <v>1978</v>
      </c>
      <c r="R488" s="460" t="s">
        <v>1977</v>
      </c>
      <c r="S488" s="460" t="s">
        <v>1826</v>
      </c>
      <c r="T488" s="460" t="s">
        <v>1827</v>
      </c>
      <c r="U488" s="461" t="s">
        <v>1976</v>
      </c>
      <c r="V488" s="460" t="s">
        <v>1119</v>
      </c>
      <c r="W488" s="560"/>
      <c r="X488" s="461" t="s">
        <v>1963</v>
      </c>
      <c r="Y488" s="461" t="s">
        <v>1963</v>
      </c>
      <c r="Z488" s="461" t="s">
        <v>170</v>
      </c>
      <c r="AA488" s="460" t="s">
        <v>1218</v>
      </c>
      <c r="AB488" s="561">
        <f>ROUND(25.63,2)</f>
        <v>25.63</v>
      </c>
      <c r="AC488" s="460" t="s">
        <v>308</v>
      </c>
      <c r="AD488" s="460"/>
      <c r="AE488" s="561">
        <f>ROUND(828.65,2)</f>
        <v>828.65</v>
      </c>
      <c r="AF488" s="460" t="s">
        <v>308</v>
      </c>
      <c r="AG488" s="561">
        <f t="shared" si="7"/>
        <v>0</v>
      </c>
      <c r="AH488" s="460" t="s">
        <v>2671</v>
      </c>
      <c r="AI488" s="460" t="s">
        <v>1214</v>
      </c>
      <c r="AJ488" s="460" t="s">
        <v>2549</v>
      </c>
      <c r="AK488" s="460" t="s">
        <v>2672</v>
      </c>
      <c r="AL488" s="560" t="s">
        <v>2685</v>
      </c>
      <c r="AM488" s="460" t="s">
        <v>2674</v>
      </c>
    </row>
    <row r="489" spans="1:39" ht="22.8">
      <c r="A489" s="460" t="s">
        <v>1810</v>
      </c>
      <c r="B489" s="460"/>
      <c r="C489" s="460" t="s">
        <v>2501</v>
      </c>
      <c r="D489" s="460" t="s">
        <v>2835</v>
      </c>
      <c r="E489" s="460" t="s">
        <v>1814</v>
      </c>
      <c r="F489" s="460" t="s">
        <v>1812</v>
      </c>
      <c r="G489" s="461" t="s">
        <v>1218</v>
      </c>
      <c r="H489" s="461" t="s">
        <v>2836</v>
      </c>
      <c r="I489" s="460" t="s">
        <v>2007</v>
      </c>
      <c r="J489" s="460" t="s">
        <v>1983</v>
      </c>
      <c r="K489" s="460" t="s">
        <v>2669</v>
      </c>
      <c r="L489" s="460" t="s">
        <v>2816</v>
      </c>
      <c r="M489" s="460" t="s">
        <v>1982</v>
      </c>
      <c r="N489" s="460" t="s">
        <v>1981</v>
      </c>
      <c r="O489" s="460" t="s">
        <v>1980</v>
      </c>
      <c r="P489" s="460" t="s">
        <v>1979</v>
      </c>
      <c r="Q489" s="460" t="s">
        <v>95</v>
      </c>
      <c r="R489" s="460" t="s">
        <v>1977</v>
      </c>
      <c r="S489" s="460" t="s">
        <v>1842</v>
      </c>
      <c r="T489" s="460" t="s">
        <v>1827</v>
      </c>
      <c r="U489" s="461" t="s">
        <v>1976</v>
      </c>
      <c r="V489" s="460" t="s">
        <v>1119</v>
      </c>
      <c r="W489" s="560"/>
      <c r="X489" s="461" t="s">
        <v>2773</v>
      </c>
      <c r="Y489" s="461" t="s">
        <v>2773</v>
      </c>
      <c r="Z489" s="461" t="s">
        <v>170</v>
      </c>
      <c r="AA489" s="460" t="s">
        <v>1218</v>
      </c>
      <c r="AB489" s="561">
        <f>ROUND(0,2)</f>
        <v>0</v>
      </c>
      <c r="AC489" s="460" t="s">
        <v>308</v>
      </c>
      <c r="AD489" s="460"/>
      <c r="AE489" s="561">
        <f>ROUND(36.23,2)</f>
        <v>36.229999999999997</v>
      </c>
      <c r="AF489" s="460" t="s">
        <v>308</v>
      </c>
      <c r="AG489" s="561">
        <f t="shared" si="7"/>
        <v>0</v>
      </c>
      <c r="AH489" s="460" t="s">
        <v>2671</v>
      </c>
      <c r="AI489" s="460" t="s">
        <v>1214</v>
      </c>
      <c r="AJ489" s="460"/>
      <c r="AK489" s="460"/>
      <c r="AL489" s="560"/>
      <c r="AM489" s="460"/>
    </row>
    <row r="490" spans="1:39" ht="22.8">
      <c r="A490" s="460" t="s">
        <v>1810</v>
      </c>
      <c r="B490" s="460"/>
      <c r="C490" s="460" t="s">
        <v>2501</v>
      </c>
      <c r="D490" s="460" t="s">
        <v>2835</v>
      </c>
      <c r="E490" s="460" t="s">
        <v>1814</v>
      </c>
      <c r="F490" s="460" t="s">
        <v>1812</v>
      </c>
      <c r="G490" s="461" t="s">
        <v>1218</v>
      </c>
      <c r="H490" s="461" t="s">
        <v>2836</v>
      </c>
      <c r="I490" s="460" t="s">
        <v>2007</v>
      </c>
      <c r="J490" s="460" t="s">
        <v>1983</v>
      </c>
      <c r="K490" s="460" t="s">
        <v>2669</v>
      </c>
      <c r="L490" s="460" t="s">
        <v>2816</v>
      </c>
      <c r="M490" s="460" t="s">
        <v>1982</v>
      </c>
      <c r="N490" s="460" t="s">
        <v>1981</v>
      </c>
      <c r="O490" s="460" t="s">
        <v>1980</v>
      </c>
      <c r="P490" s="460" t="s">
        <v>2675</v>
      </c>
      <c r="Q490" s="460" t="s">
        <v>2676</v>
      </c>
      <c r="R490" s="460" t="s">
        <v>2677</v>
      </c>
      <c r="S490" s="460" t="s">
        <v>2676</v>
      </c>
      <c r="T490" s="460" t="s">
        <v>1827</v>
      </c>
      <c r="U490" s="461" t="s">
        <v>1824</v>
      </c>
      <c r="V490" s="460" t="s">
        <v>1119</v>
      </c>
      <c r="W490" s="560"/>
      <c r="X490" s="461" t="s">
        <v>2773</v>
      </c>
      <c r="Y490" s="461" t="s">
        <v>2773</v>
      </c>
      <c r="Z490" s="461" t="s">
        <v>170</v>
      </c>
      <c r="AA490" s="460" t="s">
        <v>1218</v>
      </c>
      <c r="AB490" s="561">
        <f>ROUND(0,2)</f>
        <v>0</v>
      </c>
      <c r="AC490" s="460" t="s">
        <v>2678</v>
      </c>
      <c r="AD490" s="460"/>
      <c r="AE490" s="561">
        <f>ROUND(500.05,2)</f>
        <v>500.05</v>
      </c>
      <c r="AF490" s="460" t="s">
        <v>2679</v>
      </c>
      <c r="AG490" s="561">
        <f t="shared" si="7"/>
        <v>0</v>
      </c>
      <c r="AH490" s="460" t="s">
        <v>2671</v>
      </c>
      <c r="AI490" s="460" t="s">
        <v>1214</v>
      </c>
      <c r="AJ490" s="460"/>
      <c r="AK490" s="460"/>
      <c r="AL490" s="560"/>
      <c r="AM490" s="460"/>
    </row>
    <row r="491" spans="1:39" ht="22.8">
      <c r="A491" s="460" t="s">
        <v>1810</v>
      </c>
      <c r="B491" s="460"/>
      <c r="C491" s="460" t="s">
        <v>2501</v>
      </c>
      <c r="D491" s="460" t="s">
        <v>2835</v>
      </c>
      <c r="E491" s="460" t="s">
        <v>1814</v>
      </c>
      <c r="F491" s="460" t="s">
        <v>1812</v>
      </c>
      <c r="G491" s="461" t="s">
        <v>1218</v>
      </c>
      <c r="H491" s="461" t="s">
        <v>2836</v>
      </c>
      <c r="I491" s="460" t="s">
        <v>2007</v>
      </c>
      <c r="J491" s="460" t="s">
        <v>1983</v>
      </c>
      <c r="K491" s="460" t="s">
        <v>2669</v>
      </c>
      <c r="L491" s="460" t="s">
        <v>2816</v>
      </c>
      <c r="M491" s="460" t="s">
        <v>1982</v>
      </c>
      <c r="N491" s="460" t="s">
        <v>1981</v>
      </c>
      <c r="O491" s="460" t="s">
        <v>1980</v>
      </c>
      <c r="P491" s="460" t="s">
        <v>1979</v>
      </c>
      <c r="Q491" s="460" t="s">
        <v>1978</v>
      </c>
      <c r="R491" s="460" t="s">
        <v>1977</v>
      </c>
      <c r="S491" s="460" t="s">
        <v>1826</v>
      </c>
      <c r="T491" s="460" t="s">
        <v>1827</v>
      </c>
      <c r="U491" s="461" t="s">
        <v>1976</v>
      </c>
      <c r="V491" s="460" t="s">
        <v>1119</v>
      </c>
      <c r="W491" s="560"/>
      <c r="X491" s="461" t="s">
        <v>2773</v>
      </c>
      <c r="Y491" s="461" t="s">
        <v>2773</v>
      </c>
      <c r="Z491" s="461" t="s">
        <v>170</v>
      </c>
      <c r="AA491" s="460" t="s">
        <v>1218</v>
      </c>
      <c r="AB491" s="561">
        <f>ROUND(25.63,2)</f>
        <v>25.63</v>
      </c>
      <c r="AC491" s="460" t="s">
        <v>308</v>
      </c>
      <c r="AD491" s="460"/>
      <c r="AE491" s="561">
        <f>ROUND(828.65,2)</f>
        <v>828.65</v>
      </c>
      <c r="AF491" s="460" t="s">
        <v>308</v>
      </c>
      <c r="AG491" s="561">
        <f t="shared" si="7"/>
        <v>0</v>
      </c>
      <c r="AH491" s="460" t="s">
        <v>2671</v>
      </c>
      <c r="AI491" s="460" t="s">
        <v>1214</v>
      </c>
      <c r="AJ491" s="460" t="s">
        <v>2549</v>
      </c>
      <c r="AK491" s="460" t="s">
        <v>2672</v>
      </c>
      <c r="AL491" s="560" t="s">
        <v>2685</v>
      </c>
      <c r="AM491" s="460" t="s">
        <v>2674</v>
      </c>
    </row>
    <row r="492" spans="1:39" ht="22.8">
      <c r="A492" s="460" t="s">
        <v>1810</v>
      </c>
      <c r="B492" s="460"/>
      <c r="C492" s="460" t="s">
        <v>1423</v>
      </c>
      <c r="D492" s="460" t="s">
        <v>2159</v>
      </c>
      <c r="E492" s="460" t="s">
        <v>1817</v>
      </c>
      <c r="F492" s="460" t="s">
        <v>1812</v>
      </c>
      <c r="G492" s="461" t="s">
        <v>1218</v>
      </c>
      <c r="H492" s="461" t="s">
        <v>276</v>
      </c>
      <c r="I492" s="460" t="s">
        <v>2080</v>
      </c>
      <c r="J492" s="460" t="s">
        <v>1983</v>
      </c>
      <c r="K492" s="460" t="s">
        <v>2669</v>
      </c>
      <c r="L492" s="460" t="s">
        <v>2796</v>
      </c>
      <c r="M492" s="460" t="s">
        <v>1987</v>
      </c>
      <c r="N492" s="460" t="s">
        <v>1986</v>
      </c>
      <c r="O492" s="460" t="s">
        <v>1980</v>
      </c>
      <c r="P492" s="460" t="s">
        <v>1979</v>
      </c>
      <c r="Q492" s="460" t="s">
        <v>95</v>
      </c>
      <c r="R492" s="460" t="s">
        <v>1977</v>
      </c>
      <c r="S492" s="460" t="s">
        <v>1842</v>
      </c>
      <c r="T492" s="460" t="s">
        <v>1827</v>
      </c>
      <c r="U492" s="461" t="s">
        <v>1976</v>
      </c>
      <c r="V492" s="460" t="s">
        <v>1843</v>
      </c>
      <c r="W492" s="560"/>
      <c r="X492" s="461" t="s">
        <v>1824</v>
      </c>
      <c r="Y492" s="461" t="s">
        <v>1824</v>
      </c>
      <c r="Z492" s="461" t="s">
        <v>170</v>
      </c>
      <c r="AA492" s="460" t="s">
        <v>1218</v>
      </c>
      <c r="AB492" s="561">
        <f>ROUND(30.41,2)</f>
        <v>30.41</v>
      </c>
      <c r="AC492" s="460" t="s">
        <v>308</v>
      </c>
      <c r="AD492" s="460"/>
      <c r="AE492" s="561">
        <f>ROUND(70.29,2)</f>
        <v>70.290000000000006</v>
      </c>
      <c r="AF492" s="460" t="s">
        <v>308</v>
      </c>
      <c r="AG492" s="561">
        <f t="shared" si="7"/>
        <v>0</v>
      </c>
      <c r="AH492" s="460" t="s">
        <v>2671</v>
      </c>
      <c r="AI492" s="460" t="s">
        <v>1214</v>
      </c>
      <c r="AJ492" s="460" t="s">
        <v>2548</v>
      </c>
      <c r="AK492" s="460" t="s">
        <v>2672</v>
      </c>
      <c r="AL492" s="560" t="s">
        <v>2673</v>
      </c>
      <c r="AM492" s="460" t="s">
        <v>2674</v>
      </c>
    </row>
    <row r="493" spans="1:39" ht="22.8">
      <c r="A493" s="460" t="s">
        <v>1810</v>
      </c>
      <c r="B493" s="460"/>
      <c r="C493" s="460" t="s">
        <v>1423</v>
      </c>
      <c r="D493" s="460" t="s">
        <v>2159</v>
      </c>
      <c r="E493" s="460" t="s">
        <v>1817</v>
      </c>
      <c r="F493" s="460" t="s">
        <v>1812</v>
      </c>
      <c r="G493" s="461" t="s">
        <v>1218</v>
      </c>
      <c r="H493" s="461" t="s">
        <v>276</v>
      </c>
      <c r="I493" s="460" t="s">
        <v>2080</v>
      </c>
      <c r="J493" s="460" t="s">
        <v>1983</v>
      </c>
      <c r="K493" s="460" t="s">
        <v>2669</v>
      </c>
      <c r="L493" s="460" t="s">
        <v>2796</v>
      </c>
      <c r="M493" s="460" t="s">
        <v>1987</v>
      </c>
      <c r="N493" s="460" t="s">
        <v>1986</v>
      </c>
      <c r="O493" s="460" t="s">
        <v>1980</v>
      </c>
      <c r="P493" s="460" t="s">
        <v>2675</v>
      </c>
      <c r="Q493" s="460" t="s">
        <v>2676</v>
      </c>
      <c r="R493" s="460" t="s">
        <v>2677</v>
      </c>
      <c r="S493" s="460" t="s">
        <v>2676</v>
      </c>
      <c r="T493" s="460" t="s">
        <v>1827</v>
      </c>
      <c r="U493" s="461" t="s">
        <v>1824</v>
      </c>
      <c r="V493" s="460" t="s">
        <v>1843</v>
      </c>
      <c r="W493" s="560"/>
      <c r="X493" s="461" t="s">
        <v>1824</v>
      </c>
      <c r="Y493" s="461" t="s">
        <v>1824</v>
      </c>
      <c r="Z493" s="461" t="s">
        <v>170</v>
      </c>
      <c r="AA493" s="460" t="s">
        <v>1218</v>
      </c>
      <c r="AB493" s="561">
        <f>ROUND(0,2)</f>
        <v>0</v>
      </c>
      <c r="AC493" s="460" t="s">
        <v>2678</v>
      </c>
      <c r="AD493" s="460"/>
      <c r="AE493" s="561">
        <f>ROUND(1000,2)</f>
        <v>1000</v>
      </c>
      <c r="AF493" s="460" t="s">
        <v>2679</v>
      </c>
      <c r="AG493" s="561">
        <f t="shared" si="7"/>
        <v>0</v>
      </c>
      <c r="AH493" s="460" t="s">
        <v>2671</v>
      </c>
      <c r="AI493" s="460" t="s">
        <v>1214</v>
      </c>
      <c r="AJ493" s="460"/>
      <c r="AK493" s="460"/>
      <c r="AL493" s="560"/>
      <c r="AM493" s="460"/>
    </row>
    <row r="494" spans="1:39" ht="22.8">
      <c r="A494" s="460" t="s">
        <v>1810</v>
      </c>
      <c r="B494" s="460"/>
      <c r="C494" s="460" t="s">
        <v>1423</v>
      </c>
      <c r="D494" s="460" t="s">
        <v>2159</v>
      </c>
      <c r="E494" s="460" t="s">
        <v>1817</v>
      </c>
      <c r="F494" s="460" t="s">
        <v>1812</v>
      </c>
      <c r="G494" s="461" t="s">
        <v>1218</v>
      </c>
      <c r="H494" s="461" t="s">
        <v>276</v>
      </c>
      <c r="I494" s="460" t="s">
        <v>2080</v>
      </c>
      <c r="J494" s="460" t="s">
        <v>1983</v>
      </c>
      <c r="K494" s="460" t="s">
        <v>2669</v>
      </c>
      <c r="L494" s="460" t="s">
        <v>2796</v>
      </c>
      <c r="M494" s="460" t="s">
        <v>1987</v>
      </c>
      <c r="N494" s="460" t="s">
        <v>1986</v>
      </c>
      <c r="O494" s="460" t="s">
        <v>1980</v>
      </c>
      <c r="P494" s="460" t="s">
        <v>1979</v>
      </c>
      <c r="Q494" s="460" t="s">
        <v>1978</v>
      </c>
      <c r="R494" s="460" t="s">
        <v>1977</v>
      </c>
      <c r="S494" s="460" t="s">
        <v>1826</v>
      </c>
      <c r="T494" s="460" t="s">
        <v>1827</v>
      </c>
      <c r="U494" s="461" t="s">
        <v>1976</v>
      </c>
      <c r="V494" s="460" t="s">
        <v>1843</v>
      </c>
      <c r="W494" s="560"/>
      <c r="X494" s="461" t="s">
        <v>1824</v>
      </c>
      <c r="Y494" s="461" t="s">
        <v>1824</v>
      </c>
      <c r="Z494" s="461" t="s">
        <v>170</v>
      </c>
      <c r="AA494" s="460" t="s">
        <v>1218</v>
      </c>
      <c r="AB494" s="561">
        <f>ROUND(383.66,2)</f>
        <v>383.66</v>
      </c>
      <c r="AC494" s="460" t="s">
        <v>308</v>
      </c>
      <c r="AD494" s="460"/>
      <c r="AE494" s="561">
        <f>ROUND(1747.8,2)</f>
        <v>1747.8</v>
      </c>
      <c r="AF494" s="460" t="s">
        <v>308</v>
      </c>
      <c r="AG494" s="561">
        <f t="shared" si="7"/>
        <v>0</v>
      </c>
      <c r="AH494" s="460" t="s">
        <v>2671</v>
      </c>
      <c r="AI494" s="460" t="s">
        <v>1214</v>
      </c>
      <c r="AJ494" s="460" t="s">
        <v>2549</v>
      </c>
      <c r="AK494" s="460" t="s">
        <v>2672</v>
      </c>
      <c r="AL494" s="560" t="s">
        <v>2696</v>
      </c>
      <c r="AM494" s="460" t="s">
        <v>2674</v>
      </c>
    </row>
    <row r="495" spans="1:39" ht="22.8">
      <c r="A495" s="460" t="s">
        <v>1810</v>
      </c>
      <c r="B495" s="460"/>
      <c r="C495" s="460" t="s">
        <v>1425</v>
      </c>
      <c r="D495" s="460" t="s">
        <v>2157</v>
      </c>
      <c r="E495" s="460" t="s">
        <v>1814</v>
      </c>
      <c r="F495" s="460" t="s">
        <v>1812</v>
      </c>
      <c r="G495" s="461" t="s">
        <v>1218</v>
      </c>
      <c r="H495" s="461" t="s">
        <v>217</v>
      </c>
      <c r="I495" s="460" t="s">
        <v>2147</v>
      </c>
      <c r="J495" s="460" t="s">
        <v>1990</v>
      </c>
      <c r="K495" s="460" t="s">
        <v>2669</v>
      </c>
      <c r="L495" s="460" t="s">
        <v>2715</v>
      </c>
      <c r="M495" s="460" t="s">
        <v>1982</v>
      </c>
      <c r="N495" s="460" t="s">
        <v>1981</v>
      </c>
      <c r="O495" s="460" t="s">
        <v>1980</v>
      </c>
      <c r="P495" s="460" t="s">
        <v>1979</v>
      </c>
      <c r="Q495" s="460" t="s">
        <v>95</v>
      </c>
      <c r="R495" s="460" t="s">
        <v>1977</v>
      </c>
      <c r="S495" s="460" t="s">
        <v>1842</v>
      </c>
      <c r="T495" s="460" t="s">
        <v>1827</v>
      </c>
      <c r="U495" s="461" t="s">
        <v>1976</v>
      </c>
      <c r="V495" s="460" t="s">
        <v>1843</v>
      </c>
      <c r="W495" s="560"/>
      <c r="X495" s="461" t="s">
        <v>1824</v>
      </c>
      <c r="Y495" s="461" t="s">
        <v>1824</v>
      </c>
      <c r="Z495" s="461" t="s">
        <v>170</v>
      </c>
      <c r="AA495" s="460" t="s">
        <v>1218</v>
      </c>
      <c r="AB495" s="561">
        <f>ROUND(30.41,2)</f>
        <v>30.41</v>
      </c>
      <c r="AC495" s="460" t="s">
        <v>308</v>
      </c>
      <c r="AD495" s="460"/>
      <c r="AE495" s="561">
        <f>ROUND(70.29,2)</f>
        <v>70.290000000000006</v>
      </c>
      <c r="AF495" s="460" t="s">
        <v>308</v>
      </c>
      <c r="AG495" s="561">
        <f t="shared" si="7"/>
        <v>0</v>
      </c>
      <c r="AH495" s="460" t="s">
        <v>2671</v>
      </c>
      <c r="AI495" s="460" t="s">
        <v>1214</v>
      </c>
      <c r="AJ495" s="460" t="s">
        <v>2548</v>
      </c>
      <c r="AK495" s="460" t="s">
        <v>2672</v>
      </c>
      <c r="AL495" s="560" t="s">
        <v>2673</v>
      </c>
      <c r="AM495" s="460" t="s">
        <v>2674</v>
      </c>
    </row>
    <row r="496" spans="1:39" ht="22.8">
      <c r="A496" s="460" t="s">
        <v>1810</v>
      </c>
      <c r="B496" s="460"/>
      <c r="C496" s="460" t="s">
        <v>1425</v>
      </c>
      <c r="D496" s="460" t="s">
        <v>2157</v>
      </c>
      <c r="E496" s="460" t="s">
        <v>1814</v>
      </c>
      <c r="F496" s="460" t="s">
        <v>1812</v>
      </c>
      <c r="G496" s="461" t="s">
        <v>1218</v>
      </c>
      <c r="H496" s="461" t="s">
        <v>217</v>
      </c>
      <c r="I496" s="460" t="s">
        <v>2147</v>
      </c>
      <c r="J496" s="460" t="s">
        <v>1990</v>
      </c>
      <c r="K496" s="460" t="s">
        <v>2669</v>
      </c>
      <c r="L496" s="460" t="s">
        <v>2715</v>
      </c>
      <c r="M496" s="460" t="s">
        <v>1982</v>
      </c>
      <c r="N496" s="460" t="s">
        <v>1981</v>
      </c>
      <c r="O496" s="460" t="s">
        <v>1980</v>
      </c>
      <c r="P496" s="460" t="s">
        <v>2675</v>
      </c>
      <c r="Q496" s="460" t="s">
        <v>2676</v>
      </c>
      <c r="R496" s="460" t="s">
        <v>2677</v>
      </c>
      <c r="S496" s="460" t="s">
        <v>2676</v>
      </c>
      <c r="T496" s="460" t="s">
        <v>1827</v>
      </c>
      <c r="U496" s="461" t="s">
        <v>1824</v>
      </c>
      <c r="V496" s="460" t="s">
        <v>1119</v>
      </c>
      <c r="W496" s="560"/>
      <c r="X496" s="461" t="s">
        <v>1824</v>
      </c>
      <c r="Y496" s="461" t="s">
        <v>1824</v>
      </c>
      <c r="Z496" s="461" t="s">
        <v>170</v>
      </c>
      <c r="AA496" s="460" t="s">
        <v>1218</v>
      </c>
      <c r="AB496" s="561">
        <f>ROUND(100,2)</f>
        <v>100</v>
      </c>
      <c r="AC496" s="460" t="s">
        <v>2678</v>
      </c>
      <c r="AD496" s="460"/>
      <c r="AE496" s="561">
        <f>ROUND(500.05,2)</f>
        <v>500.05</v>
      </c>
      <c r="AF496" s="460" t="s">
        <v>2679</v>
      </c>
      <c r="AG496" s="561">
        <f t="shared" si="7"/>
        <v>0</v>
      </c>
      <c r="AH496" s="460" t="s">
        <v>2671</v>
      </c>
      <c r="AI496" s="460" t="s">
        <v>1214</v>
      </c>
      <c r="AJ496" s="460" t="s">
        <v>2550</v>
      </c>
      <c r="AK496" s="460" t="s">
        <v>2672</v>
      </c>
      <c r="AL496" s="560" t="s">
        <v>2691</v>
      </c>
      <c r="AM496" s="460" t="s">
        <v>2674</v>
      </c>
    </row>
    <row r="497" spans="1:39" ht="22.8">
      <c r="A497" s="460" t="s">
        <v>1810</v>
      </c>
      <c r="B497" s="460"/>
      <c r="C497" s="460" t="s">
        <v>1425</v>
      </c>
      <c r="D497" s="460" t="s">
        <v>2157</v>
      </c>
      <c r="E497" s="460" t="s">
        <v>1814</v>
      </c>
      <c r="F497" s="460" t="s">
        <v>1812</v>
      </c>
      <c r="G497" s="461" t="s">
        <v>1218</v>
      </c>
      <c r="H497" s="461" t="s">
        <v>217</v>
      </c>
      <c r="I497" s="460" t="s">
        <v>2147</v>
      </c>
      <c r="J497" s="460" t="s">
        <v>1990</v>
      </c>
      <c r="K497" s="460" t="s">
        <v>2669</v>
      </c>
      <c r="L497" s="460" t="s">
        <v>2715</v>
      </c>
      <c r="M497" s="460" t="s">
        <v>1982</v>
      </c>
      <c r="N497" s="460" t="s">
        <v>1981</v>
      </c>
      <c r="O497" s="460" t="s">
        <v>1980</v>
      </c>
      <c r="P497" s="460" t="s">
        <v>1979</v>
      </c>
      <c r="Q497" s="460" t="s">
        <v>1978</v>
      </c>
      <c r="R497" s="460" t="s">
        <v>1977</v>
      </c>
      <c r="S497" s="460" t="s">
        <v>1826</v>
      </c>
      <c r="T497" s="460" t="s">
        <v>1827</v>
      </c>
      <c r="U497" s="461" t="s">
        <v>1976</v>
      </c>
      <c r="V497" s="460" t="s">
        <v>1119</v>
      </c>
      <c r="W497" s="560"/>
      <c r="X497" s="461" t="s">
        <v>1824</v>
      </c>
      <c r="Y497" s="461" t="s">
        <v>1824</v>
      </c>
      <c r="Z497" s="461" t="s">
        <v>170</v>
      </c>
      <c r="AA497" s="460" t="s">
        <v>1218</v>
      </c>
      <c r="AB497" s="561">
        <f>ROUND(29.05,2)</f>
        <v>29.05</v>
      </c>
      <c r="AC497" s="460" t="s">
        <v>308</v>
      </c>
      <c r="AD497" s="460"/>
      <c r="AE497" s="561">
        <f>ROUND(825.23,2)</f>
        <v>825.23</v>
      </c>
      <c r="AF497" s="460" t="s">
        <v>308</v>
      </c>
      <c r="AG497" s="561">
        <f t="shared" si="7"/>
        <v>0</v>
      </c>
      <c r="AH497" s="460" t="s">
        <v>2671</v>
      </c>
      <c r="AI497" s="460" t="s">
        <v>1214</v>
      </c>
      <c r="AJ497" s="460" t="s">
        <v>2549</v>
      </c>
      <c r="AK497" s="460" t="s">
        <v>2672</v>
      </c>
      <c r="AL497" s="560" t="s">
        <v>2692</v>
      </c>
      <c r="AM497" s="460" t="s">
        <v>2674</v>
      </c>
    </row>
    <row r="498" spans="1:39" ht="22.8">
      <c r="A498" s="460" t="s">
        <v>1810</v>
      </c>
      <c r="B498" s="460"/>
      <c r="C498" s="460" t="s">
        <v>1570</v>
      </c>
      <c r="D498" s="460" t="s">
        <v>2156</v>
      </c>
      <c r="E498" s="460" t="s">
        <v>1814</v>
      </c>
      <c r="F498" s="460" t="s">
        <v>1812</v>
      </c>
      <c r="G498" s="461" t="s">
        <v>1218</v>
      </c>
      <c r="H498" s="461" t="s">
        <v>225</v>
      </c>
      <c r="I498" s="460" t="s">
        <v>2155</v>
      </c>
      <c r="J498" s="460" t="s">
        <v>1990</v>
      </c>
      <c r="K498" s="460" t="s">
        <v>2669</v>
      </c>
      <c r="L498" s="460" t="s">
        <v>2707</v>
      </c>
      <c r="M498" s="460" t="s">
        <v>1982</v>
      </c>
      <c r="N498" s="460" t="s">
        <v>1981</v>
      </c>
      <c r="O498" s="460" t="s">
        <v>1980</v>
      </c>
      <c r="P498" s="460" t="s">
        <v>1979</v>
      </c>
      <c r="Q498" s="460" t="s">
        <v>95</v>
      </c>
      <c r="R498" s="460" t="s">
        <v>1977</v>
      </c>
      <c r="S498" s="460" t="s">
        <v>1842</v>
      </c>
      <c r="T498" s="460" t="s">
        <v>1827</v>
      </c>
      <c r="U498" s="461" t="s">
        <v>1976</v>
      </c>
      <c r="V498" s="460" t="s">
        <v>1119</v>
      </c>
      <c r="W498" s="560"/>
      <c r="X498" s="461" t="s">
        <v>1824</v>
      </c>
      <c r="Y498" s="461" t="s">
        <v>1824</v>
      </c>
      <c r="Z498" s="461" t="s">
        <v>170</v>
      </c>
      <c r="AA498" s="460" t="s">
        <v>1218</v>
      </c>
      <c r="AB498" s="561">
        <f>ROUND(0,2)</f>
        <v>0</v>
      </c>
      <c r="AC498" s="460" t="s">
        <v>308</v>
      </c>
      <c r="AD498" s="460"/>
      <c r="AE498" s="561">
        <f>ROUND(36.23,2)</f>
        <v>36.229999999999997</v>
      </c>
      <c r="AF498" s="460" t="s">
        <v>308</v>
      </c>
      <c r="AG498" s="561">
        <f t="shared" si="7"/>
        <v>0</v>
      </c>
      <c r="AH498" s="460" t="s">
        <v>2671</v>
      </c>
      <c r="AI498" s="460" t="s">
        <v>1214</v>
      </c>
      <c r="AJ498" s="460"/>
      <c r="AK498" s="460"/>
      <c r="AL498" s="560"/>
      <c r="AM498" s="460"/>
    </row>
    <row r="499" spans="1:39" ht="22.8">
      <c r="A499" s="460" t="s">
        <v>1810</v>
      </c>
      <c r="B499" s="460"/>
      <c r="C499" s="460" t="s">
        <v>1570</v>
      </c>
      <c r="D499" s="460" t="s">
        <v>2156</v>
      </c>
      <c r="E499" s="460" t="s">
        <v>1814</v>
      </c>
      <c r="F499" s="460" t="s">
        <v>1812</v>
      </c>
      <c r="G499" s="461" t="s">
        <v>1218</v>
      </c>
      <c r="H499" s="461" t="s">
        <v>225</v>
      </c>
      <c r="I499" s="460" t="s">
        <v>2155</v>
      </c>
      <c r="J499" s="460" t="s">
        <v>1990</v>
      </c>
      <c r="K499" s="460" t="s">
        <v>2669</v>
      </c>
      <c r="L499" s="460" t="s">
        <v>2707</v>
      </c>
      <c r="M499" s="460" t="s">
        <v>1982</v>
      </c>
      <c r="N499" s="460" t="s">
        <v>1981</v>
      </c>
      <c r="O499" s="460" t="s">
        <v>1980</v>
      </c>
      <c r="P499" s="460" t="s">
        <v>2675</v>
      </c>
      <c r="Q499" s="460" t="s">
        <v>2676</v>
      </c>
      <c r="R499" s="460" t="s">
        <v>2677</v>
      </c>
      <c r="S499" s="460" t="s">
        <v>2676</v>
      </c>
      <c r="T499" s="460" t="s">
        <v>1827</v>
      </c>
      <c r="U499" s="461" t="s">
        <v>1824</v>
      </c>
      <c r="V499" s="460" t="s">
        <v>1119</v>
      </c>
      <c r="W499" s="560"/>
      <c r="X499" s="461" t="s">
        <v>1824</v>
      </c>
      <c r="Y499" s="461" t="s">
        <v>1824</v>
      </c>
      <c r="Z499" s="461" t="s">
        <v>170</v>
      </c>
      <c r="AA499" s="460" t="s">
        <v>1218</v>
      </c>
      <c r="AB499" s="561">
        <f>ROUND(125,2)</f>
        <v>125</v>
      </c>
      <c r="AC499" s="460" t="s">
        <v>2678</v>
      </c>
      <c r="AD499" s="460"/>
      <c r="AE499" s="561">
        <f>ROUND(500.05,2)</f>
        <v>500.05</v>
      </c>
      <c r="AF499" s="460" t="s">
        <v>2679</v>
      </c>
      <c r="AG499" s="561">
        <f t="shared" si="7"/>
        <v>0</v>
      </c>
      <c r="AH499" s="460" t="s">
        <v>2671</v>
      </c>
      <c r="AI499" s="460" t="s">
        <v>1214</v>
      </c>
      <c r="AJ499" s="460" t="s">
        <v>2550</v>
      </c>
      <c r="AK499" s="460" t="s">
        <v>2672</v>
      </c>
      <c r="AL499" s="560" t="s">
        <v>2701</v>
      </c>
      <c r="AM499" s="460" t="s">
        <v>2674</v>
      </c>
    </row>
    <row r="500" spans="1:39" ht="22.8">
      <c r="A500" s="460" t="s">
        <v>1810</v>
      </c>
      <c r="B500" s="460"/>
      <c r="C500" s="460" t="s">
        <v>1570</v>
      </c>
      <c r="D500" s="460" t="s">
        <v>2156</v>
      </c>
      <c r="E500" s="460" t="s">
        <v>1814</v>
      </c>
      <c r="F500" s="460" t="s">
        <v>1812</v>
      </c>
      <c r="G500" s="461" t="s">
        <v>1218</v>
      </c>
      <c r="H500" s="461" t="s">
        <v>225</v>
      </c>
      <c r="I500" s="460" t="s">
        <v>2155</v>
      </c>
      <c r="J500" s="460" t="s">
        <v>1990</v>
      </c>
      <c r="K500" s="460" t="s">
        <v>2669</v>
      </c>
      <c r="L500" s="460" t="s">
        <v>2707</v>
      </c>
      <c r="M500" s="460" t="s">
        <v>1982</v>
      </c>
      <c r="N500" s="460" t="s">
        <v>1981</v>
      </c>
      <c r="O500" s="460" t="s">
        <v>1980</v>
      </c>
      <c r="P500" s="460" t="s">
        <v>1979</v>
      </c>
      <c r="Q500" s="460" t="s">
        <v>1978</v>
      </c>
      <c r="R500" s="460" t="s">
        <v>1977</v>
      </c>
      <c r="S500" s="460" t="s">
        <v>1826</v>
      </c>
      <c r="T500" s="460" t="s">
        <v>1827</v>
      </c>
      <c r="U500" s="461" t="s">
        <v>1976</v>
      </c>
      <c r="V500" s="460" t="s">
        <v>1119</v>
      </c>
      <c r="W500" s="560"/>
      <c r="X500" s="461" t="s">
        <v>1824</v>
      </c>
      <c r="Y500" s="461" t="s">
        <v>1824</v>
      </c>
      <c r="Z500" s="461" t="s">
        <v>170</v>
      </c>
      <c r="AA500" s="460" t="s">
        <v>1218</v>
      </c>
      <c r="AB500" s="561">
        <f>ROUND(29.05,2)</f>
        <v>29.05</v>
      </c>
      <c r="AC500" s="460" t="s">
        <v>308</v>
      </c>
      <c r="AD500" s="460"/>
      <c r="AE500" s="561">
        <f>ROUND(825.23,2)</f>
        <v>825.23</v>
      </c>
      <c r="AF500" s="460" t="s">
        <v>308</v>
      </c>
      <c r="AG500" s="561">
        <f t="shared" si="7"/>
        <v>0</v>
      </c>
      <c r="AH500" s="460" t="s">
        <v>2671</v>
      </c>
      <c r="AI500" s="460" t="s">
        <v>1214</v>
      </c>
      <c r="AJ500" s="460" t="s">
        <v>2549</v>
      </c>
      <c r="AK500" s="460" t="s">
        <v>2672</v>
      </c>
      <c r="AL500" s="560" t="s">
        <v>2692</v>
      </c>
      <c r="AM500" s="460" t="s">
        <v>2674</v>
      </c>
    </row>
    <row r="501" spans="1:39" ht="22.8">
      <c r="A501" s="460" t="s">
        <v>1810</v>
      </c>
      <c r="B501" s="460"/>
      <c r="C501" s="460" t="s">
        <v>1427</v>
      </c>
      <c r="D501" s="460" t="s">
        <v>2154</v>
      </c>
      <c r="E501" s="460" t="s">
        <v>1821</v>
      </c>
      <c r="F501" s="460" t="s">
        <v>1812</v>
      </c>
      <c r="G501" s="461" t="s">
        <v>1218</v>
      </c>
      <c r="H501" s="461" t="s">
        <v>234</v>
      </c>
      <c r="I501" s="460" t="s">
        <v>2153</v>
      </c>
      <c r="J501" s="460" t="s">
        <v>1983</v>
      </c>
      <c r="K501" s="460" t="s">
        <v>2669</v>
      </c>
      <c r="L501" s="460" t="s">
        <v>2714</v>
      </c>
      <c r="M501" s="460" t="s">
        <v>1994</v>
      </c>
      <c r="N501" s="460" t="s">
        <v>1981</v>
      </c>
      <c r="O501" s="460" t="s">
        <v>1980</v>
      </c>
      <c r="P501" s="460" t="s">
        <v>1979</v>
      </c>
      <c r="Q501" s="460" t="s">
        <v>95</v>
      </c>
      <c r="R501" s="460" t="s">
        <v>1977</v>
      </c>
      <c r="S501" s="460" t="s">
        <v>1842</v>
      </c>
      <c r="T501" s="460" t="s">
        <v>1827</v>
      </c>
      <c r="U501" s="461" t="s">
        <v>1976</v>
      </c>
      <c r="V501" s="460" t="s">
        <v>1843</v>
      </c>
      <c r="W501" s="560"/>
      <c r="X501" s="461" t="s">
        <v>1824</v>
      </c>
      <c r="Y501" s="461" t="s">
        <v>1824</v>
      </c>
      <c r="Z501" s="461" t="s">
        <v>170</v>
      </c>
      <c r="AA501" s="460" t="s">
        <v>1218</v>
      </c>
      <c r="AB501" s="561">
        <f>ROUND(30.41,2)</f>
        <v>30.41</v>
      </c>
      <c r="AC501" s="460" t="s">
        <v>308</v>
      </c>
      <c r="AD501" s="460"/>
      <c r="AE501" s="561">
        <f>ROUND(70.29,2)</f>
        <v>70.290000000000006</v>
      </c>
      <c r="AF501" s="460" t="s">
        <v>308</v>
      </c>
      <c r="AG501" s="561">
        <f t="shared" si="7"/>
        <v>0</v>
      </c>
      <c r="AH501" s="460" t="s">
        <v>2671</v>
      </c>
      <c r="AI501" s="460" t="s">
        <v>1214</v>
      </c>
      <c r="AJ501" s="460" t="s">
        <v>2548</v>
      </c>
      <c r="AK501" s="460" t="s">
        <v>2672</v>
      </c>
      <c r="AL501" s="560" t="s">
        <v>2673</v>
      </c>
      <c r="AM501" s="460" t="s">
        <v>2674</v>
      </c>
    </row>
    <row r="502" spans="1:39" ht="22.8">
      <c r="A502" s="460" t="s">
        <v>1810</v>
      </c>
      <c r="B502" s="460"/>
      <c r="C502" s="460" t="s">
        <v>1427</v>
      </c>
      <c r="D502" s="460" t="s">
        <v>2154</v>
      </c>
      <c r="E502" s="460" t="s">
        <v>1821</v>
      </c>
      <c r="F502" s="460" t="s">
        <v>1812</v>
      </c>
      <c r="G502" s="461" t="s">
        <v>1218</v>
      </c>
      <c r="H502" s="461" t="s">
        <v>234</v>
      </c>
      <c r="I502" s="460" t="s">
        <v>2153</v>
      </c>
      <c r="J502" s="460" t="s">
        <v>1983</v>
      </c>
      <c r="K502" s="460" t="s">
        <v>2669</v>
      </c>
      <c r="L502" s="460" t="s">
        <v>2714</v>
      </c>
      <c r="M502" s="460" t="s">
        <v>1994</v>
      </c>
      <c r="N502" s="460" t="s">
        <v>1981</v>
      </c>
      <c r="O502" s="460" t="s">
        <v>1980</v>
      </c>
      <c r="P502" s="460" t="s">
        <v>2675</v>
      </c>
      <c r="Q502" s="460" t="s">
        <v>2676</v>
      </c>
      <c r="R502" s="460" t="s">
        <v>2677</v>
      </c>
      <c r="S502" s="460" t="s">
        <v>2676</v>
      </c>
      <c r="T502" s="460" t="s">
        <v>1827</v>
      </c>
      <c r="U502" s="461" t="s">
        <v>1824</v>
      </c>
      <c r="V502" s="460" t="s">
        <v>1843</v>
      </c>
      <c r="W502" s="560"/>
      <c r="X502" s="461" t="s">
        <v>2683</v>
      </c>
      <c r="Y502" s="461" t="s">
        <v>2683</v>
      </c>
      <c r="Z502" s="461" t="s">
        <v>170</v>
      </c>
      <c r="AA502" s="460" t="s">
        <v>1218</v>
      </c>
      <c r="AB502" s="561">
        <f>ROUND(25,2)</f>
        <v>25</v>
      </c>
      <c r="AC502" s="460" t="s">
        <v>2678</v>
      </c>
      <c r="AD502" s="460"/>
      <c r="AE502" s="561">
        <f>ROUND(1000,2)</f>
        <v>1000</v>
      </c>
      <c r="AF502" s="460" t="s">
        <v>2679</v>
      </c>
      <c r="AG502" s="561">
        <f t="shared" si="7"/>
        <v>0</v>
      </c>
      <c r="AH502" s="460" t="s">
        <v>2671</v>
      </c>
      <c r="AI502" s="460" t="s">
        <v>1214</v>
      </c>
      <c r="AJ502" s="460" t="s">
        <v>2550</v>
      </c>
      <c r="AK502" s="460" t="s">
        <v>2672</v>
      </c>
      <c r="AL502" s="560" t="s">
        <v>2680</v>
      </c>
      <c r="AM502" s="460" t="s">
        <v>2674</v>
      </c>
    </row>
    <row r="503" spans="1:39" ht="22.8">
      <c r="A503" s="460" t="s">
        <v>1810</v>
      </c>
      <c r="B503" s="460"/>
      <c r="C503" s="460" t="s">
        <v>1427</v>
      </c>
      <c r="D503" s="460" t="s">
        <v>2154</v>
      </c>
      <c r="E503" s="460" t="s">
        <v>1821</v>
      </c>
      <c r="F503" s="460" t="s">
        <v>1812</v>
      </c>
      <c r="G503" s="461" t="s">
        <v>1218</v>
      </c>
      <c r="H503" s="461" t="s">
        <v>234</v>
      </c>
      <c r="I503" s="460" t="s">
        <v>2153</v>
      </c>
      <c r="J503" s="460" t="s">
        <v>1983</v>
      </c>
      <c r="K503" s="460" t="s">
        <v>2669</v>
      </c>
      <c r="L503" s="460" t="s">
        <v>2714</v>
      </c>
      <c r="M503" s="460" t="s">
        <v>1994</v>
      </c>
      <c r="N503" s="460" t="s">
        <v>1981</v>
      </c>
      <c r="O503" s="460" t="s">
        <v>1980</v>
      </c>
      <c r="P503" s="460" t="s">
        <v>1979</v>
      </c>
      <c r="Q503" s="460" t="s">
        <v>1978</v>
      </c>
      <c r="R503" s="460" t="s">
        <v>1977</v>
      </c>
      <c r="S503" s="460" t="s">
        <v>1826</v>
      </c>
      <c r="T503" s="460" t="s">
        <v>1827</v>
      </c>
      <c r="U503" s="461" t="s">
        <v>1976</v>
      </c>
      <c r="V503" s="460" t="s">
        <v>1843</v>
      </c>
      <c r="W503" s="560"/>
      <c r="X503" s="461" t="s">
        <v>1824</v>
      </c>
      <c r="Y503" s="461" t="s">
        <v>2683</v>
      </c>
      <c r="Z503" s="461" t="s">
        <v>170</v>
      </c>
      <c r="AA503" s="460" t="s">
        <v>1218</v>
      </c>
      <c r="AB503" s="561">
        <f>ROUND(475.32,2)</f>
        <v>475.32</v>
      </c>
      <c r="AC503" s="460" t="s">
        <v>308</v>
      </c>
      <c r="AD503" s="460"/>
      <c r="AE503" s="561">
        <f>ROUND(1656.14,2)</f>
        <v>1656.14</v>
      </c>
      <c r="AF503" s="460" t="s">
        <v>308</v>
      </c>
      <c r="AG503" s="561">
        <f t="shared" si="7"/>
        <v>0</v>
      </c>
      <c r="AH503" s="460" t="s">
        <v>2671</v>
      </c>
      <c r="AI503" s="460" t="s">
        <v>1214</v>
      </c>
      <c r="AJ503" s="460" t="s">
        <v>2549</v>
      </c>
      <c r="AK503" s="460" t="s">
        <v>2672</v>
      </c>
      <c r="AL503" s="560" t="s">
        <v>2718</v>
      </c>
      <c r="AM503" s="460" t="s">
        <v>2674</v>
      </c>
    </row>
    <row r="504" spans="1:39" ht="34.200000000000003">
      <c r="A504" s="460" t="s">
        <v>1810</v>
      </c>
      <c r="B504" s="460"/>
      <c r="C504" s="460" t="s">
        <v>1426</v>
      </c>
      <c r="D504" s="460" t="s">
        <v>2152</v>
      </c>
      <c r="E504" s="460" t="s">
        <v>1835</v>
      </c>
      <c r="F504" s="460" t="s">
        <v>1812</v>
      </c>
      <c r="G504" s="461" t="s">
        <v>1218</v>
      </c>
      <c r="H504" s="461" t="s">
        <v>289</v>
      </c>
      <c r="I504" s="460" t="s">
        <v>2126</v>
      </c>
      <c r="J504" s="460" t="s">
        <v>1983</v>
      </c>
      <c r="K504" s="460" t="s">
        <v>2669</v>
      </c>
      <c r="L504" s="460" t="s">
        <v>2733</v>
      </c>
      <c r="M504" s="460" t="s">
        <v>2002</v>
      </c>
      <c r="N504" s="460" t="s">
        <v>1986</v>
      </c>
      <c r="O504" s="460" t="s">
        <v>1980</v>
      </c>
      <c r="P504" s="460" t="s">
        <v>1979</v>
      </c>
      <c r="Q504" s="460" t="s">
        <v>95</v>
      </c>
      <c r="R504" s="460" t="s">
        <v>1977</v>
      </c>
      <c r="S504" s="460" t="s">
        <v>1842</v>
      </c>
      <c r="T504" s="460" t="s">
        <v>1827</v>
      </c>
      <c r="U504" s="461" t="s">
        <v>1976</v>
      </c>
      <c r="V504" s="460" t="s">
        <v>1967</v>
      </c>
      <c r="W504" s="560"/>
      <c r="X504" s="461" t="s">
        <v>1824</v>
      </c>
      <c r="Y504" s="461" t="s">
        <v>2683</v>
      </c>
      <c r="Z504" s="461" t="s">
        <v>170</v>
      </c>
      <c r="AA504" s="460" t="s">
        <v>1218</v>
      </c>
      <c r="AB504" s="561">
        <f>ROUND(30.41,2)</f>
        <v>30.41</v>
      </c>
      <c r="AC504" s="460" t="s">
        <v>308</v>
      </c>
      <c r="AD504" s="460"/>
      <c r="AE504" s="561">
        <f>ROUND(70.29,2)</f>
        <v>70.290000000000006</v>
      </c>
      <c r="AF504" s="460" t="s">
        <v>308</v>
      </c>
      <c r="AG504" s="561">
        <f t="shared" si="7"/>
        <v>0</v>
      </c>
      <c r="AH504" s="460" t="s">
        <v>2671</v>
      </c>
      <c r="AI504" s="460" t="s">
        <v>1214</v>
      </c>
      <c r="AJ504" s="460" t="s">
        <v>2548</v>
      </c>
      <c r="AK504" s="460" t="s">
        <v>2672</v>
      </c>
      <c r="AL504" s="560" t="s">
        <v>2673</v>
      </c>
      <c r="AM504" s="460" t="s">
        <v>2674</v>
      </c>
    </row>
    <row r="505" spans="1:39" ht="34.200000000000003">
      <c r="A505" s="460" t="s">
        <v>1810</v>
      </c>
      <c r="B505" s="460"/>
      <c r="C505" s="460" t="s">
        <v>1426</v>
      </c>
      <c r="D505" s="460" t="s">
        <v>2152</v>
      </c>
      <c r="E505" s="460" t="s">
        <v>1835</v>
      </c>
      <c r="F505" s="460" t="s">
        <v>1812</v>
      </c>
      <c r="G505" s="461" t="s">
        <v>1218</v>
      </c>
      <c r="H505" s="461" t="s">
        <v>289</v>
      </c>
      <c r="I505" s="460" t="s">
        <v>2126</v>
      </c>
      <c r="J505" s="460" t="s">
        <v>1983</v>
      </c>
      <c r="K505" s="460" t="s">
        <v>2669</v>
      </c>
      <c r="L505" s="460" t="s">
        <v>2733</v>
      </c>
      <c r="M505" s="460" t="s">
        <v>2002</v>
      </c>
      <c r="N505" s="460" t="s">
        <v>1986</v>
      </c>
      <c r="O505" s="460" t="s">
        <v>1980</v>
      </c>
      <c r="P505" s="460" t="s">
        <v>2675</v>
      </c>
      <c r="Q505" s="460" t="s">
        <v>2676</v>
      </c>
      <c r="R505" s="460" t="s">
        <v>2677</v>
      </c>
      <c r="S505" s="460" t="s">
        <v>2676</v>
      </c>
      <c r="T505" s="460" t="s">
        <v>1827</v>
      </c>
      <c r="U505" s="461" t="s">
        <v>1824</v>
      </c>
      <c r="V505" s="460" t="s">
        <v>1843</v>
      </c>
      <c r="W505" s="560"/>
      <c r="X505" s="461" t="s">
        <v>2683</v>
      </c>
      <c r="Y505" s="461" t="s">
        <v>2683</v>
      </c>
      <c r="Z505" s="461" t="s">
        <v>170</v>
      </c>
      <c r="AA505" s="460" t="s">
        <v>1218</v>
      </c>
      <c r="AB505" s="561">
        <f>ROUND(225,2)</f>
        <v>225</v>
      </c>
      <c r="AC505" s="460" t="s">
        <v>2678</v>
      </c>
      <c r="AD505" s="460"/>
      <c r="AE505" s="561">
        <f>ROUND(1000,2)</f>
        <v>1000</v>
      </c>
      <c r="AF505" s="460" t="s">
        <v>2679</v>
      </c>
      <c r="AG505" s="561">
        <f t="shared" si="7"/>
        <v>0</v>
      </c>
      <c r="AH505" s="460" t="s">
        <v>2671</v>
      </c>
      <c r="AI505" s="460" t="s">
        <v>1214</v>
      </c>
      <c r="AJ505" s="460" t="s">
        <v>2550</v>
      </c>
      <c r="AK505" s="460" t="s">
        <v>2672</v>
      </c>
      <c r="AL505" s="560" t="s">
        <v>2838</v>
      </c>
      <c r="AM505" s="460" t="s">
        <v>2674</v>
      </c>
    </row>
    <row r="506" spans="1:39" ht="34.200000000000003">
      <c r="A506" s="460" t="s">
        <v>1810</v>
      </c>
      <c r="B506" s="460"/>
      <c r="C506" s="460" t="s">
        <v>1426</v>
      </c>
      <c r="D506" s="460" t="s">
        <v>2152</v>
      </c>
      <c r="E506" s="460" t="s">
        <v>1835</v>
      </c>
      <c r="F506" s="460" t="s">
        <v>1812</v>
      </c>
      <c r="G506" s="461" t="s">
        <v>1218</v>
      </c>
      <c r="H506" s="461" t="s">
        <v>289</v>
      </c>
      <c r="I506" s="460" t="s">
        <v>2126</v>
      </c>
      <c r="J506" s="460" t="s">
        <v>1983</v>
      </c>
      <c r="K506" s="460" t="s">
        <v>2669</v>
      </c>
      <c r="L506" s="460" t="s">
        <v>2733</v>
      </c>
      <c r="M506" s="460" t="s">
        <v>2002</v>
      </c>
      <c r="N506" s="460" t="s">
        <v>1986</v>
      </c>
      <c r="O506" s="460" t="s">
        <v>1980</v>
      </c>
      <c r="P506" s="460" t="s">
        <v>1979</v>
      </c>
      <c r="Q506" s="460" t="s">
        <v>1978</v>
      </c>
      <c r="R506" s="460" t="s">
        <v>1977</v>
      </c>
      <c r="S506" s="460" t="s">
        <v>1826</v>
      </c>
      <c r="T506" s="460" t="s">
        <v>1827</v>
      </c>
      <c r="U506" s="461" t="s">
        <v>1976</v>
      </c>
      <c r="V506" s="460" t="s">
        <v>1967</v>
      </c>
      <c r="W506" s="560"/>
      <c r="X506" s="461" t="s">
        <v>1824</v>
      </c>
      <c r="Y506" s="461" t="s">
        <v>2683</v>
      </c>
      <c r="Z506" s="461" t="s">
        <v>170</v>
      </c>
      <c r="AA506" s="460" t="s">
        <v>1218</v>
      </c>
      <c r="AB506" s="561">
        <f>ROUND(315.48,2)</f>
        <v>315.48</v>
      </c>
      <c r="AC506" s="460" t="s">
        <v>308</v>
      </c>
      <c r="AD506" s="460"/>
      <c r="AE506" s="561">
        <f>ROUND(1466.88,2)</f>
        <v>1466.88</v>
      </c>
      <c r="AF506" s="460" t="s">
        <v>308</v>
      </c>
      <c r="AG506" s="561">
        <f t="shared" si="7"/>
        <v>0</v>
      </c>
      <c r="AH506" s="460" t="s">
        <v>2671</v>
      </c>
      <c r="AI506" s="460" t="s">
        <v>1214</v>
      </c>
      <c r="AJ506" s="460" t="s">
        <v>2549</v>
      </c>
      <c r="AK506" s="460" t="s">
        <v>2672</v>
      </c>
      <c r="AL506" s="560" t="s">
        <v>2761</v>
      </c>
      <c r="AM506" s="460" t="s">
        <v>2674</v>
      </c>
    </row>
    <row r="507" spans="1:39" ht="22.8">
      <c r="A507" s="460" t="s">
        <v>1810</v>
      </c>
      <c r="B507" s="460"/>
      <c r="C507" s="460" t="s">
        <v>1536</v>
      </c>
      <c r="D507" s="460" t="s">
        <v>2151</v>
      </c>
      <c r="E507" s="460" t="s">
        <v>1818</v>
      </c>
      <c r="F507" s="460" t="s">
        <v>2015</v>
      </c>
      <c r="G507" s="461" t="s">
        <v>1218</v>
      </c>
      <c r="H507" s="461" t="s">
        <v>2839</v>
      </c>
      <c r="I507" s="460" t="s">
        <v>1988</v>
      </c>
      <c r="J507" s="460" t="s">
        <v>1990</v>
      </c>
      <c r="K507" s="460" t="s">
        <v>2669</v>
      </c>
      <c r="L507" s="460" t="s">
        <v>2804</v>
      </c>
      <c r="M507" s="460" t="s">
        <v>2002</v>
      </c>
      <c r="N507" s="460" t="s">
        <v>1981</v>
      </c>
      <c r="O507" s="460" t="s">
        <v>2001</v>
      </c>
      <c r="P507" s="460" t="s">
        <v>1979</v>
      </c>
      <c r="Q507" s="460" t="s">
        <v>95</v>
      </c>
      <c r="R507" s="460" t="s">
        <v>1977</v>
      </c>
      <c r="S507" s="460" t="s">
        <v>1842</v>
      </c>
      <c r="T507" s="460" t="s">
        <v>1827</v>
      </c>
      <c r="U507" s="461" t="s">
        <v>1976</v>
      </c>
      <c r="V507" s="460" t="s">
        <v>1119</v>
      </c>
      <c r="W507" s="560"/>
      <c r="X507" s="461" t="s">
        <v>1824</v>
      </c>
      <c r="Y507" s="461" t="s">
        <v>1824</v>
      </c>
      <c r="Z507" s="461" t="s">
        <v>170</v>
      </c>
      <c r="AA507" s="460" t="s">
        <v>1218</v>
      </c>
      <c r="AB507" s="561">
        <f>ROUND(0,2)</f>
        <v>0</v>
      </c>
      <c r="AC507" s="460" t="s">
        <v>308</v>
      </c>
      <c r="AD507" s="460"/>
      <c r="AE507" s="561">
        <f>ROUND(36.23,2)</f>
        <v>36.229999999999997</v>
      </c>
      <c r="AF507" s="460" t="s">
        <v>308</v>
      </c>
      <c r="AG507" s="561">
        <f t="shared" si="7"/>
        <v>0</v>
      </c>
      <c r="AH507" s="460" t="s">
        <v>2671</v>
      </c>
      <c r="AI507" s="460" t="s">
        <v>1214</v>
      </c>
      <c r="AJ507" s="460"/>
      <c r="AK507" s="460"/>
      <c r="AL507" s="560"/>
      <c r="AM507" s="460"/>
    </row>
    <row r="508" spans="1:39" ht="22.8">
      <c r="A508" s="460" t="s">
        <v>1810</v>
      </c>
      <c r="B508" s="460"/>
      <c r="C508" s="460" t="s">
        <v>1536</v>
      </c>
      <c r="D508" s="460" t="s">
        <v>2151</v>
      </c>
      <c r="E508" s="460" t="s">
        <v>1818</v>
      </c>
      <c r="F508" s="460" t="s">
        <v>2015</v>
      </c>
      <c r="G508" s="461" t="s">
        <v>1218</v>
      </c>
      <c r="H508" s="461" t="s">
        <v>2839</v>
      </c>
      <c r="I508" s="460" t="s">
        <v>1988</v>
      </c>
      <c r="J508" s="460" t="s">
        <v>1990</v>
      </c>
      <c r="K508" s="460" t="s">
        <v>2669</v>
      </c>
      <c r="L508" s="460" t="s">
        <v>2804</v>
      </c>
      <c r="M508" s="460" t="s">
        <v>2002</v>
      </c>
      <c r="N508" s="460" t="s">
        <v>1981</v>
      </c>
      <c r="O508" s="460" t="s">
        <v>2001</v>
      </c>
      <c r="P508" s="460" t="s">
        <v>2675</v>
      </c>
      <c r="Q508" s="460" t="s">
        <v>2676</v>
      </c>
      <c r="R508" s="460" t="s">
        <v>2677</v>
      </c>
      <c r="S508" s="460" t="s">
        <v>2676</v>
      </c>
      <c r="T508" s="460" t="s">
        <v>1827</v>
      </c>
      <c r="U508" s="461" t="s">
        <v>1824</v>
      </c>
      <c r="V508" s="460" t="s">
        <v>1119</v>
      </c>
      <c r="W508" s="560"/>
      <c r="X508" s="461" t="s">
        <v>1824</v>
      </c>
      <c r="Y508" s="461" t="s">
        <v>2840</v>
      </c>
      <c r="Z508" s="461" t="s">
        <v>170</v>
      </c>
      <c r="AA508" s="460" t="s">
        <v>1218</v>
      </c>
      <c r="AB508" s="561">
        <f>ROUND(75,2)</f>
        <v>75</v>
      </c>
      <c r="AC508" s="460" t="s">
        <v>2678</v>
      </c>
      <c r="AD508" s="460"/>
      <c r="AE508" s="561">
        <f>ROUND(500.05,2)</f>
        <v>500.05</v>
      </c>
      <c r="AF508" s="460" t="s">
        <v>2679</v>
      </c>
      <c r="AG508" s="561">
        <f t="shared" si="7"/>
        <v>0</v>
      </c>
      <c r="AH508" s="460" t="s">
        <v>2671</v>
      </c>
      <c r="AI508" s="460" t="s">
        <v>1214</v>
      </c>
      <c r="AJ508" s="460" t="s">
        <v>2550</v>
      </c>
      <c r="AK508" s="460" t="s">
        <v>2672</v>
      </c>
      <c r="AL508" s="560" t="s">
        <v>2797</v>
      </c>
      <c r="AM508" s="460" t="s">
        <v>2674</v>
      </c>
    </row>
    <row r="509" spans="1:39" ht="22.8">
      <c r="A509" s="460" t="s">
        <v>1810</v>
      </c>
      <c r="B509" s="460"/>
      <c r="C509" s="460" t="s">
        <v>1536</v>
      </c>
      <c r="D509" s="460" t="s">
        <v>2151</v>
      </c>
      <c r="E509" s="460" t="s">
        <v>1818</v>
      </c>
      <c r="F509" s="460" t="s">
        <v>2015</v>
      </c>
      <c r="G509" s="461" t="s">
        <v>1218</v>
      </c>
      <c r="H509" s="461" t="s">
        <v>2839</v>
      </c>
      <c r="I509" s="460" t="s">
        <v>1988</v>
      </c>
      <c r="J509" s="460" t="s">
        <v>1990</v>
      </c>
      <c r="K509" s="460" t="s">
        <v>2669</v>
      </c>
      <c r="L509" s="460" t="s">
        <v>2804</v>
      </c>
      <c r="M509" s="460" t="s">
        <v>2002</v>
      </c>
      <c r="N509" s="460" t="s">
        <v>1981</v>
      </c>
      <c r="O509" s="460" t="s">
        <v>2001</v>
      </c>
      <c r="P509" s="460" t="s">
        <v>1979</v>
      </c>
      <c r="Q509" s="460" t="s">
        <v>1978</v>
      </c>
      <c r="R509" s="460" t="s">
        <v>1977</v>
      </c>
      <c r="S509" s="460" t="s">
        <v>1826</v>
      </c>
      <c r="T509" s="460" t="s">
        <v>1827</v>
      </c>
      <c r="U509" s="461" t="s">
        <v>1976</v>
      </c>
      <c r="V509" s="460" t="s">
        <v>1119</v>
      </c>
      <c r="W509" s="560"/>
      <c r="X509" s="461" t="s">
        <v>1824</v>
      </c>
      <c r="Y509" s="461" t="s">
        <v>1824</v>
      </c>
      <c r="Z509" s="461" t="s">
        <v>170</v>
      </c>
      <c r="AA509" s="460" t="s">
        <v>1218</v>
      </c>
      <c r="AB509" s="561">
        <f>ROUND(35.03,2)</f>
        <v>35.03</v>
      </c>
      <c r="AC509" s="460" t="s">
        <v>308</v>
      </c>
      <c r="AD509" s="460"/>
      <c r="AE509" s="561">
        <f>ROUND(819.25,2)</f>
        <v>819.25</v>
      </c>
      <c r="AF509" s="460" t="s">
        <v>308</v>
      </c>
      <c r="AG509" s="561">
        <f t="shared" si="7"/>
        <v>0</v>
      </c>
      <c r="AH509" s="460" t="s">
        <v>2671</v>
      </c>
      <c r="AI509" s="460" t="s">
        <v>1214</v>
      </c>
      <c r="AJ509" s="460" t="s">
        <v>2549</v>
      </c>
      <c r="AK509" s="460" t="s">
        <v>2672</v>
      </c>
      <c r="AL509" s="560" t="s">
        <v>2694</v>
      </c>
      <c r="AM509" s="460" t="s">
        <v>2674</v>
      </c>
    </row>
    <row r="510" spans="1:39" ht="22.8">
      <c r="A510" s="460" t="s">
        <v>1810</v>
      </c>
      <c r="B510" s="460"/>
      <c r="C510" s="460" t="s">
        <v>1616</v>
      </c>
      <c r="D510" s="460" t="s">
        <v>2150</v>
      </c>
      <c r="E510" s="460" t="s">
        <v>1813</v>
      </c>
      <c r="F510" s="460" t="s">
        <v>1812</v>
      </c>
      <c r="G510" s="461" t="s">
        <v>1218</v>
      </c>
      <c r="H510" s="461" t="s">
        <v>1033</v>
      </c>
      <c r="I510" s="460" t="s">
        <v>2149</v>
      </c>
      <c r="J510" s="460" t="s">
        <v>1990</v>
      </c>
      <c r="K510" s="460" t="s">
        <v>2669</v>
      </c>
      <c r="L510" s="460" t="s">
        <v>2682</v>
      </c>
      <c r="M510" s="460" t="s">
        <v>2028</v>
      </c>
      <c r="N510" s="460" t="s">
        <v>1981</v>
      </c>
      <c r="O510" s="460" t="s">
        <v>1980</v>
      </c>
      <c r="P510" s="460" t="s">
        <v>1979</v>
      </c>
      <c r="Q510" s="460" t="s">
        <v>95</v>
      </c>
      <c r="R510" s="460" t="s">
        <v>1977</v>
      </c>
      <c r="S510" s="460" t="s">
        <v>1842</v>
      </c>
      <c r="T510" s="460" t="s">
        <v>1827</v>
      </c>
      <c r="U510" s="461" t="s">
        <v>1976</v>
      </c>
      <c r="V510" s="460" t="s">
        <v>1119</v>
      </c>
      <c r="W510" s="560"/>
      <c r="X510" s="461" t="s">
        <v>1824</v>
      </c>
      <c r="Y510" s="461" t="s">
        <v>1824</v>
      </c>
      <c r="Z510" s="461" t="s">
        <v>170</v>
      </c>
      <c r="AA510" s="460" t="s">
        <v>1218</v>
      </c>
      <c r="AB510" s="561">
        <f>ROUND(0,2)</f>
        <v>0</v>
      </c>
      <c r="AC510" s="460" t="s">
        <v>308</v>
      </c>
      <c r="AD510" s="460"/>
      <c r="AE510" s="561">
        <f>ROUND(36.23,2)</f>
        <v>36.229999999999997</v>
      </c>
      <c r="AF510" s="460" t="s">
        <v>308</v>
      </c>
      <c r="AG510" s="561">
        <f t="shared" si="7"/>
        <v>0</v>
      </c>
      <c r="AH510" s="460" t="s">
        <v>2671</v>
      </c>
      <c r="AI510" s="460" t="s">
        <v>1214</v>
      </c>
      <c r="AJ510" s="460"/>
      <c r="AK510" s="460"/>
      <c r="AL510" s="560"/>
      <c r="AM510" s="460"/>
    </row>
    <row r="511" spans="1:39" ht="22.8">
      <c r="A511" s="460" t="s">
        <v>1810</v>
      </c>
      <c r="B511" s="460"/>
      <c r="C511" s="460" t="s">
        <v>1616</v>
      </c>
      <c r="D511" s="460" t="s">
        <v>2150</v>
      </c>
      <c r="E511" s="460" t="s">
        <v>1813</v>
      </c>
      <c r="F511" s="460" t="s">
        <v>1812</v>
      </c>
      <c r="G511" s="461" t="s">
        <v>1218</v>
      </c>
      <c r="H511" s="461" t="s">
        <v>1033</v>
      </c>
      <c r="I511" s="460" t="s">
        <v>2149</v>
      </c>
      <c r="J511" s="460" t="s">
        <v>1990</v>
      </c>
      <c r="K511" s="460" t="s">
        <v>2669</v>
      </c>
      <c r="L511" s="460" t="s">
        <v>2682</v>
      </c>
      <c r="M511" s="460" t="s">
        <v>2028</v>
      </c>
      <c r="N511" s="460" t="s">
        <v>1981</v>
      </c>
      <c r="O511" s="460" t="s">
        <v>1980</v>
      </c>
      <c r="P511" s="460" t="s">
        <v>2675</v>
      </c>
      <c r="Q511" s="460" t="s">
        <v>2676</v>
      </c>
      <c r="R511" s="460" t="s">
        <v>2677</v>
      </c>
      <c r="S511" s="460" t="s">
        <v>2676</v>
      </c>
      <c r="T511" s="460" t="s">
        <v>1827</v>
      </c>
      <c r="U511" s="461" t="s">
        <v>1824</v>
      </c>
      <c r="V511" s="460" t="s">
        <v>1119</v>
      </c>
      <c r="W511" s="560"/>
      <c r="X511" s="461" t="s">
        <v>1824</v>
      </c>
      <c r="Y511" s="461" t="s">
        <v>1824</v>
      </c>
      <c r="Z511" s="461" t="s">
        <v>170</v>
      </c>
      <c r="AA511" s="460" t="s">
        <v>1218</v>
      </c>
      <c r="AB511" s="561">
        <f>ROUND(0,2)</f>
        <v>0</v>
      </c>
      <c r="AC511" s="460" t="s">
        <v>2678</v>
      </c>
      <c r="AD511" s="460"/>
      <c r="AE511" s="561">
        <f>ROUND(500.05,2)</f>
        <v>500.05</v>
      </c>
      <c r="AF511" s="460" t="s">
        <v>2679</v>
      </c>
      <c r="AG511" s="561">
        <f t="shared" si="7"/>
        <v>0</v>
      </c>
      <c r="AH511" s="460" t="s">
        <v>2671</v>
      </c>
      <c r="AI511" s="460" t="s">
        <v>1214</v>
      </c>
      <c r="AJ511" s="460"/>
      <c r="AK511" s="460"/>
      <c r="AL511" s="560"/>
      <c r="AM511" s="460"/>
    </row>
    <row r="512" spans="1:39" ht="22.8">
      <c r="A512" s="460" t="s">
        <v>1810</v>
      </c>
      <c r="B512" s="460"/>
      <c r="C512" s="460" t="s">
        <v>1616</v>
      </c>
      <c r="D512" s="460" t="s">
        <v>2150</v>
      </c>
      <c r="E512" s="460" t="s">
        <v>1813</v>
      </c>
      <c r="F512" s="460" t="s">
        <v>1812</v>
      </c>
      <c r="G512" s="461" t="s">
        <v>1218</v>
      </c>
      <c r="H512" s="461" t="s">
        <v>1033</v>
      </c>
      <c r="I512" s="460" t="s">
        <v>2149</v>
      </c>
      <c r="J512" s="460" t="s">
        <v>1990</v>
      </c>
      <c r="K512" s="460" t="s">
        <v>2669</v>
      </c>
      <c r="L512" s="460" t="s">
        <v>2682</v>
      </c>
      <c r="M512" s="460" t="s">
        <v>2028</v>
      </c>
      <c r="N512" s="460" t="s">
        <v>1981</v>
      </c>
      <c r="O512" s="460" t="s">
        <v>1980</v>
      </c>
      <c r="P512" s="460" t="s">
        <v>1979</v>
      </c>
      <c r="Q512" s="460" t="s">
        <v>1978</v>
      </c>
      <c r="R512" s="460" t="s">
        <v>1977</v>
      </c>
      <c r="S512" s="460" t="s">
        <v>1826</v>
      </c>
      <c r="T512" s="460" t="s">
        <v>1827</v>
      </c>
      <c r="U512" s="461" t="s">
        <v>1976</v>
      </c>
      <c r="V512" s="460" t="s">
        <v>1119</v>
      </c>
      <c r="W512" s="560"/>
      <c r="X512" s="461" t="s">
        <v>1824</v>
      </c>
      <c r="Y512" s="461" t="s">
        <v>1824</v>
      </c>
      <c r="Z512" s="461" t="s">
        <v>170</v>
      </c>
      <c r="AA512" s="460" t="s">
        <v>1218</v>
      </c>
      <c r="AB512" s="561">
        <f>ROUND(25.63,2)</f>
        <v>25.63</v>
      </c>
      <c r="AC512" s="460" t="s">
        <v>308</v>
      </c>
      <c r="AD512" s="460"/>
      <c r="AE512" s="561">
        <f>ROUND(828.65,2)</f>
        <v>828.65</v>
      </c>
      <c r="AF512" s="460" t="s">
        <v>308</v>
      </c>
      <c r="AG512" s="561">
        <f t="shared" si="7"/>
        <v>0</v>
      </c>
      <c r="AH512" s="460" t="s">
        <v>2671</v>
      </c>
      <c r="AI512" s="460" t="s">
        <v>1214</v>
      </c>
      <c r="AJ512" s="460" t="s">
        <v>2549</v>
      </c>
      <c r="AK512" s="460" t="s">
        <v>2672</v>
      </c>
      <c r="AL512" s="560" t="s">
        <v>2685</v>
      </c>
      <c r="AM512" s="460" t="s">
        <v>2674</v>
      </c>
    </row>
    <row r="513" spans="1:39" ht="22.8">
      <c r="A513" s="460" t="s">
        <v>1810</v>
      </c>
      <c r="B513" s="460"/>
      <c r="C513" s="460" t="s">
        <v>1428</v>
      </c>
      <c r="D513" s="460" t="s">
        <v>2148</v>
      </c>
      <c r="E513" s="460" t="s">
        <v>1834</v>
      </c>
      <c r="F513" s="460" t="s">
        <v>1812</v>
      </c>
      <c r="G513" s="461" t="s">
        <v>1218</v>
      </c>
      <c r="H513" s="461" t="s">
        <v>179</v>
      </c>
      <c r="I513" s="460" t="s">
        <v>2147</v>
      </c>
      <c r="J513" s="460" t="s">
        <v>1990</v>
      </c>
      <c r="K513" s="460" t="s">
        <v>2669</v>
      </c>
      <c r="L513" s="460" t="s">
        <v>2749</v>
      </c>
      <c r="M513" s="460" t="s">
        <v>2002</v>
      </c>
      <c r="N513" s="460" t="s">
        <v>1981</v>
      </c>
      <c r="O513" s="460" t="s">
        <v>2001</v>
      </c>
      <c r="P513" s="460" t="s">
        <v>1979</v>
      </c>
      <c r="Q513" s="460" t="s">
        <v>95</v>
      </c>
      <c r="R513" s="460" t="s">
        <v>1977</v>
      </c>
      <c r="S513" s="460" t="s">
        <v>1842</v>
      </c>
      <c r="T513" s="460" t="s">
        <v>1827</v>
      </c>
      <c r="U513" s="461" t="s">
        <v>1976</v>
      </c>
      <c r="V513" s="460" t="s">
        <v>1843</v>
      </c>
      <c r="W513" s="560"/>
      <c r="X513" s="461" t="s">
        <v>1824</v>
      </c>
      <c r="Y513" s="461" t="s">
        <v>1824</v>
      </c>
      <c r="Z513" s="461" t="s">
        <v>170</v>
      </c>
      <c r="AA513" s="460" t="s">
        <v>1218</v>
      </c>
      <c r="AB513" s="561">
        <f>ROUND(30.41,2)</f>
        <v>30.41</v>
      </c>
      <c r="AC513" s="460" t="s">
        <v>308</v>
      </c>
      <c r="AD513" s="460"/>
      <c r="AE513" s="561">
        <f>ROUND(70.29,2)</f>
        <v>70.290000000000006</v>
      </c>
      <c r="AF513" s="460" t="s">
        <v>308</v>
      </c>
      <c r="AG513" s="561">
        <f t="shared" si="7"/>
        <v>0</v>
      </c>
      <c r="AH513" s="460" t="s">
        <v>2671</v>
      </c>
      <c r="AI513" s="460" t="s">
        <v>1214</v>
      </c>
      <c r="AJ513" s="460" t="s">
        <v>2548</v>
      </c>
      <c r="AK513" s="460" t="s">
        <v>2672</v>
      </c>
      <c r="AL513" s="560" t="s">
        <v>2673</v>
      </c>
      <c r="AM513" s="460" t="s">
        <v>2674</v>
      </c>
    </row>
    <row r="514" spans="1:39" ht="22.8">
      <c r="A514" s="460" t="s">
        <v>1810</v>
      </c>
      <c r="B514" s="460"/>
      <c r="C514" s="460" t="s">
        <v>1428</v>
      </c>
      <c r="D514" s="460" t="s">
        <v>2148</v>
      </c>
      <c r="E514" s="460" t="s">
        <v>1834</v>
      </c>
      <c r="F514" s="460" t="s">
        <v>1812</v>
      </c>
      <c r="G514" s="461" t="s">
        <v>1218</v>
      </c>
      <c r="H514" s="461" t="s">
        <v>179</v>
      </c>
      <c r="I514" s="460" t="s">
        <v>2147</v>
      </c>
      <c r="J514" s="460" t="s">
        <v>1990</v>
      </c>
      <c r="K514" s="460" t="s">
        <v>2669</v>
      </c>
      <c r="L514" s="460" t="s">
        <v>2749</v>
      </c>
      <c r="M514" s="460" t="s">
        <v>2002</v>
      </c>
      <c r="N514" s="460" t="s">
        <v>1981</v>
      </c>
      <c r="O514" s="460" t="s">
        <v>2001</v>
      </c>
      <c r="P514" s="460" t="s">
        <v>2675</v>
      </c>
      <c r="Q514" s="460" t="s">
        <v>2676</v>
      </c>
      <c r="R514" s="460" t="s">
        <v>2677</v>
      </c>
      <c r="S514" s="460" t="s">
        <v>2676</v>
      </c>
      <c r="T514" s="460" t="s">
        <v>1827</v>
      </c>
      <c r="U514" s="461" t="s">
        <v>1824</v>
      </c>
      <c r="V514" s="460" t="s">
        <v>1843</v>
      </c>
      <c r="W514" s="560"/>
      <c r="X514" s="461" t="s">
        <v>1824</v>
      </c>
      <c r="Y514" s="461" t="s">
        <v>1824</v>
      </c>
      <c r="Z514" s="461" t="s">
        <v>170</v>
      </c>
      <c r="AA514" s="460" t="s">
        <v>1218</v>
      </c>
      <c r="AB514" s="561">
        <f>ROUND(75,2)</f>
        <v>75</v>
      </c>
      <c r="AC514" s="460" t="s">
        <v>2678</v>
      </c>
      <c r="AD514" s="460"/>
      <c r="AE514" s="561">
        <f>ROUND(1000,2)</f>
        <v>1000</v>
      </c>
      <c r="AF514" s="460" t="s">
        <v>2679</v>
      </c>
      <c r="AG514" s="561">
        <f t="shared" si="7"/>
        <v>0</v>
      </c>
      <c r="AH514" s="460" t="s">
        <v>2671</v>
      </c>
      <c r="AI514" s="460" t="s">
        <v>1214</v>
      </c>
      <c r="AJ514" s="460" t="s">
        <v>2550</v>
      </c>
      <c r="AK514" s="460" t="s">
        <v>2672</v>
      </c>
      <c r="AL514" s="560" t="s">
        <v>2797</v>
      </c>
      <c r="AM514" s="460" t="s">
        <v>2674</v>
      </c>
    </row>
    <row r="515" spans="1:39" ht="22.8">
      <c r="A515" s="460" t="s">
        <v>1810</v>
      </c>
      <c r="B515" s="460"/>
      <c r="C515" s="460" t="s">
        <v>1428</v>
      </c>
      <c r="D515" s="460" t="s">
        <v>2148</v>
      </c>
      <c r="E515" s="460" t="s">
        <v>1834</v>
      </c>
      <c r="F515" s="460" t="s">
        <v>1812</v>
      </c>
      <c r="G515" s="461" t="s">
        <v>1218</v>
      </c>
      <c r="H515" s="461" t="s">
        <v>179</v>
      </c>
      <c r="I515" s="460" t="s">
        <v>2147</v>
      </c>
      <c r="J515" s="460" t="s">
        <v>1990</v>
      </c>
      <c r="K515" s="460" t="s">
        <v>2669</v>
      </c>
      <c r="L515" s="460" t="s">
        <v>2749</v>
      </c>
      <c r="M515" s="460" t="s">
        <v>2002</v>
      </c>
      <c r="N515" s="460" t="s">
        <v>1981</v>
      </c>
      <c r="O515" s="460" t="s">
        <v>2001</v>
      </c>
      <c r="P515" s="460" t="s">
        <v>1979</v>
      </c>
      <c r="Q515" s="460" t="s">
        <v>1978</v>
      </c>
      <c r="R515" s="460" t="s">
        <v>1977</v>
      </c>
      <c r="S515" s="460" t="s">
        <v>1826</v>
      </c>
      <c r="T515" s="460" t="s">
        <v>1827</v>
      </c>
      <c r="U515" s="461" t="s">
        <v>1976</v>
      </c>
      <c r="V515" s="460" t="s">
        <v>1851</v>
      </c>
      <c r="W515" s="560"/>
      <c r="X515" s="461" t="s">
        <v>1824</v>
      </c>
      <c r="Y515" s="461" t="s">
        <v>1824</v>
      </c>
      <c r="Z515" s="461" t="s">
        <v>170</v>
      </c>
      <c r="AA515" s="460" t="s">
        <v>1218</v>
      </c>
      <c r="AB515" s="561">
        <f>ROUND(226.88,2)</f>
        <v>226.88</v>
      </c>
      <c r="AC515" s="460" t="s">
        <v>308</v>
      </c>
      <c r="AD515" s="460"/>
      <c r="AE515" s="561">
        <f>ROUND(1393.71,2)</f>
        <v>1393.71</v>
      </c>
      <c r="AF515" s="460" t="s">
        <v>308</v>
      </c>
      <c r="AG515" s="561">
        <f t="shared" si="7"/>
        <v>0</v>
      </c>
      <c r="AH515" s="460" t="s">
        <v>2671</v>
      </c>
      <c r="AI515" s="460" t="s">
        <v>1214</v>
      </c>
      <c r="AJ515" s="460" t="s">
        <v>2549</v>
      </c>
      <c r="AK515" s="460" t="s">
        <v>2672</v>
      </c>
      <c r="AL515" s="560" t="s">
        <v>2681</v>
      </c>
      <c r="AM515" s="460" t="s">
        <v>2674</v>
      </c>
    </row>
    <row r="516" spans="1:39" ht="34.200000000000003">
      <c r="A516" s="460" t="s">
        <v>1810</v>
      </c>
      <c r="B516" s="460"/>
      <c r="C516" s="460" t="s">
        <v>1577</v>
      </c>
      <c r="D516" s="460" t="s">
        <v>2146</v>
      </c>
      <c r="E516" s="460" t="s">
        <v>1840</v>
      </c>
      <c r="F516" s="460" t="s">
        <v>1812</v>
      </c>
      <c r="G516" s="461" t="s">
        <v>1218</v>
      </c>
      <c r="H516" s="461" t="s">
        <v>652</v>
      </c>
      <c r="I516" s="460" t="s">
        <v>2094</v>
      </c>
      <c r="J516" s="460" t="s">
        <v>1983</v>
      </c>
      <c r="K516" s="460" t="s">
        <v>2669</v>
      </c>
      <c r="L516" s="460" t="s">
        <v>2746</v>
      </c>
      <c r="M516" s="460" t="s">
        <v>1987</v>
      </c>
      <c r="N516" s="460" t="s">
        <v>1986</v>
      </c>
      <c r="O516" s="460" t="s">
        <v>1980</v>
      </c>
      <c r="P516" s="460" t="s">
        <v>1979</v>
      </c>
      <c r="Q516" s="460" t="s">
        <v>95</v>
      </c>
      <c r="R516" s="460" t="s">
        <v>1977</v>
      </c>
      <c r="S516" s="460" t="s">
        <v>1842</v>
      </c>
      <c r="T516" s="460" t="s">
        <v>1827</v>
      </c>
      <c r="U516" s="461" t="s">
        <v>1976</v>
      </c>
      <c r="V516" s="460" t="s">
        <v>1119</v>
      </c>
      <c r="W516" s="560"/>
      <c r="X516" s="461" t="s">
        <v>1824</v>
      </c>
      <c r="Y516" s="461" t="s">
        <v>1824</v>
      </c>
      <c r="Z516" s="461" t="s">
        <v>170</v>
      </c>
      <c r="AA516" s="460" t="s">
        <v>1218</v>
      </c>
      <c r="AB516" s="561">
        <f>ROUND(0,2)</f>
        <v>0</v>
      </c>
      <c r="AC516" s="460" t="s">
        <v>308</v>
      </c>
      <c r="AD516" s="460"/>
      <c r="AE516" s="561">
        <f>ROUND(36.23,2)</f>
        <v>36.229999999999997</v>
      </c>
      <c r="AF516" s="460" t="s">
        <v>308</v>
      </c>
      <c r="AG516" s="561">
        <f t="shared" si="7"/>
        <v>0</v>
      </c>
      <c r="AH516" s="460" t="s">
        <v>2671</v>
      </c>
      <c r="AI516" s="460" t="s">
        <v>1214</v>
      </c>
      <c r="AJ516" s="460"/>
      <c r="AK516" s="460"/>
      <c r="AL516" s="560"/>
      <c r="AM516" s="460"/>
    </row>
    <row r="517" spans="1:39" ht="34.200000000000003">
      <c r="A517" s="460" t="s">
        <v>1810</v>
      </c>
      <c r="B517" s="460"/>
      <c r="C517" s="460" t="s">
        <v>1577</v>
      </c>
      <c r="D517" s="460" t="s">
        <v>2146</v>
      </c>
      <c r="E517" s="460" t="s">
        <v>1840</v>
      </c>
      <c r="F517" s="460" t="s">
        <v>1812</v>
      </c>
      <c r="G517" s="461" t="s">
        <v>1218</v>
      </c>
      <c r="H517" s="461" t="s">
        <v>652</v>
      </c>
      <c r="I517" s="460" t="s">
        <v>2094</v>
      </c>
      <c r="J517" s="460" t="s">
        <v>1983</v>
      </c>
      <c r="K517" s="460" t="s">
        <v>2669</v>
      </c>
      <c r="L517" s="460" t="s">
        <v>2746</v>
      </c>
      <c r="M517" s="460" t="s">
        <v>1987</v>
      </c>
      <c r="N517" s="460" t="s">
        <v>1986</v>
      </c>
      <c r="O517" s="460" t="s">
        <v>1980</v>
      </c>
      <c r="P517" s="460" t="s">
        <v>2675</v>
      </c>
      <c r="Q517" s="460" t="s">
        <v>2676</v>
      </c>
      <c r="R517" s="460" t="s">
        <v>2677</v>
      </c>
      <c r="S517" s="460" t="s">
        <v>2676</v>
      </c>
      <c r="T517" s="460" t="s">
        <v>1827</v>
      </c>
      <c r="U517" s="461" t="s">
        <v>1824</v>
      </c>
      <c r="V517" s="460" t="s">
        <v>1843</v>
      </c>
      <c r="W517" s="560"/>
      <c r="X517" s="461" t="s">
        <v>1824</v>
      </c>
      <c r="Y517" s="461" t="s">
        <v>1824</v>
      </c>
      <c r="Z517" s="461" t="s">
        <v>170</v>
      </c>
      <c r="AA517" s="460" t="s">
        <v>1218</v>
      </c>
      <c r="AB517" s="561">
        <f>ROUND(0,2)</f>
        <v>0</v>
      </c>
      <c r="AC517" s="460" t="s">
        <v>2678</v>
      </c>
      <c r="AD517" s="460"/>
      <c r="AE517" s="561">
        <f>ROUND(1000,2)</f>
        <v>1000</v>
      </c>
      <c r="AF517" s="460" t="s">
        <v>2679</v>
      </c>
      <c r="AG517" s="561">
        <f t="shared" si="7"/>
        <v>0</v>
      </c>
      <c r="AH517" s="460" t="s">
        <v>2671</v>
      </c>
      <c r="AI517" s="460" t="s">
        <v>1214</v>
      </c>
      <c r="AJ517" s="460"/>
      <c r="AK517" s="460"/>
      <c r="AL517" s="560"/>
      <c r="AM517" s="460"/>
    </row>
    <row r="518" spans="1:39" ht="34.200000000000003">
      <c r="A518" s="460" t="s">
        <v>1810</v>
      </c>
      <c r="B518" s="460"/>
      <c r="C518" s="460" t="s">
        <v>1577</v>
      </c>
      <c r="D518" s="460" t="s">
        <v>2146</v>
      </c>
      <c r="E518" s="460" t="s">
        <v>1840</v>
      </c>
      <c r="F518" s="460" t="s">
        <v>1812</v>
      </c>
      <c r="G518" s="461" t="s">
        <v>1218</v>
      </c>
      <c r="H518" s="461" t="s">
        <v>652</v>
      </c>
      <c r="I518" s="460" t="s">
        <v>2094</v>
      </c>
      <c r="J518" s="460" t="s">
        <v>1983</v>
      </c>
      <c r="K518" s="460" t="s">
        <v>2669</v>
      </c>
      <c r="L518" s="460" t="s">
        <v>2746</v>
      </c>
      <c r="M518" s="460" t="s">
        <v>1987</v>
      </c>
      <c r="N518" s="460" t="s">
        <v>1986</v>
      </c>
      <c r="O518" s="460" t="s">
        <v>1980</v>
      </c>
      <c r="P518" s="460" t="s">
        <v>1979</v>
      </c>
      <c r="Q518" s="460" t="s">
        <v>1978</v>
      </c>
      <c r="R518" s="460" t="s">
        <v>1977</v>
      </c>
      <c r="S518" s="460" t="s">
        <v>1826</v>
      </c>
      <c r="T518" s="460" t="s">
        <v>1827</v>
      </c>
      <c r="U518" s="461" t="s">
        <v>1976</v>
      </c>
      <c r="V518" s="460" t="s">
        <v>1967</v>
      </c>
      <c r="W518" s="560"/>
      <c r="X518" s="461" t="s">
        <v>1824</v>
      </c>
      <c r="Y518" s="461" t="s">
        <v>1824</v>
      </c>
      <c r="Z518" s="461" t="s">
        <v>170</v>
      </c>
      <c r="AA518" s="460" t="s">
        <v>1218</v>
      </c>
      <c r="AB518" s="561">
        <f>ROUND(258.44,2)</f>
        <v>258.44</v>
      </c>
      <c r="AC518" s="460" t="s">
        <v>308</v>
      </c>
      <c r="AD518" s="460"/>
      <c r="AE518" s="561">
        <f>ROUND(1523.92,2)</f>
        <v>1523.92</v>
      </c>
      <c r="AF518" s="460" t="s">
        <v>308</v>
      </c>
      <c r="AG518" s="561">
        <f t="shared" si="7"/>
        <v>0</v>
      </c>
      <c r="AH518" s="460" t="s">
        <v>2671</v>
      </c>
      <c r="AI518" s="460" t="s">
        <v>1214</v>
      </c>
      <c r="AJ518" s="460" t="s">
        <v>2549</v>
      </c>
      <c r="AK518" s="460" t="s">
        <v>2672</v>
      </c>
      <c r="AL518" s="560" t="s">
        <v>2748</v>
      </c>
      <c r="AM518" s="460" t="s">
        <v>2674</v>
      </c>
    </row>
    <row r="519" spans="1:39" ht="22.8">
      <c r="A519" s="460" t="s">
        <v>1810</v>
      </c>
      <c r="B519" s="460"/>
      <c r="C519" s="460" t="s">
        <v>1599</v>
      </c>
      <c r="D519" s="460" t="s">
        <v>2145</v>
      </c>
      <c r="E519" s="460" t="s">
        <v>1814</v>
      </c>
      <c r="F519" s="460" t="s">
        <v>1812</v>
      </c>
      <c r="G519" s="461" t="s">
        <v>1218</v>
      </c>
      <c r="H519" s="461" t="s">
        <v>1030</v>
      </c>
      <c r="I519" s="460" t="s">
        <v>2144</v>
      </c>
      <c r="J519" s="460" t="s">
        <v>1983</v>
      </c>
      <c r="K519" s="460" t="s">
        <v>2669</v>
      </c>
      <c r="L519" s="460" t="s">
        <v>2703</v>
      </c>
      <c r="M519" s="460" t="s">
        <v>1982</v>
      </c>
      <c r="N519" s="460" t="s">
        <v>1981</v>
      </c>
      <c r="O519" s="460" t="s">
        <v>1980</v>
      </c>
      <c r="P519" s="460" t="s">
        <v>1979</v>
      </c>
      <c r="Q519" s="460" t="s">
        <v>95</v>
      </c>
      <c r="R519" s="460" t="s">
        <v>1977</v>
      </c>
      <c r="S519" s="460" t="s">
        <v>1842</v>
      </c>
      <c r="T519" s="460" t="s">
        <v>1827</v>
      </c>
      <c r="U519" s="461" t="s">
        <v>1976</v>
      </c>
      <c r="V519" s="460" t="s">
        <v>1843</v>
      </c>
      <c r="W519" s="560"/>
      <c r="X519" s="461" t="s">
        <v>1824</v>
      </c>
      <c r="Y519" s="461" t="s">
        <v>1824</v>
      </c>
      <c r="Z519" s="461" t="s">
        <v>170</v>
      </c>
      <c r="AA519" s="460" t="s">
        <v>1218</v>
      </c>
      <c r="AB519" s="561">
        <f>ROUND(30.41,2)</f>
        <v>30.41</v>
      </c>
      <c r="AC519" s="460" t="s">
        <v>308</v>
      </c>
      <c r="AD519" s="460"/>
      <c r="AE519" s="561">
        <f>ROUND(70.29,2)</f>
        <v>70.290000000000006</v>
      </c>
      <c r="AF519" s="460" t="s">
        <v>308</v>
      </c>
      <c r="AG519" s="561">
        <f t="shared" si="7"/>
        <v>0</v>
      </c>
      <c r="AH519" s="460" t="s">
        <v>2671</v>
      </c>
      <c r="AI519" s="460" t="s">
        <v>1214</v>
      </c>
      <c r="AJ519" s="460" t="s">
        <v>2548</v>
      </c>
      <c r="AK519" s="460" t="s">
        <v>2672</v>
      </c>
      <c r="AL519" s="560" t="s">
        <v>2673</v>
      </c>
      <c r="AM519" s="460" t="s">
        <v>2674</v>
      </c>
    </row>
    <row r="520" spans="1:39" ht="22.8">
      <c r="A520" s="460" t="s">
        <v>1810</v>
      </c>
      <c r="B520" s="460"/>
      <c r="C520" s="460" t="s">
        <v>1599</v>
      </c>
      <c r="D520" s="460" t="s">
        <v>2145</v>
      </c>
      <c r="E520" s="460" t="s">
        <v>1814</v>
      </c>
      <c r="F520" s="460" t="s">
        <v>1812</v>
      </c>
      <c r="G520" s="461" t="s">
        <v>1218</v>
      </c>
      <c r="H520" s="461" t="s">
        <v>1030</v>
      </c>
      <c r="I520" s="460" t="s">
        <v>2144</v>
      </c>
      <c r="J520" s="460" t="s">
        <v>1983</v>
      </c>
      <c r="K520" s="460" t="s">
        <v>2669</v>
      </c>
      <c r="L520" s="460" t="s">
        <v>2703</v>
      </c>
      <c r="M520" s="460" t="s">
        <v>1982</v>
      </c>
      <c r="N520" s="460" t="s">
        <v>1981</v>
      </c>
      <c r="O520" s="460" t="s">
        <v>1980</v>
      </c>
      <c r="P520" s="460" t="s">
        <v>2675</v>
      </c>
      <c r="Q520" s="460" t="s">
        <v>2676</v>
      </c>
      <c r="R520" s="460" t="s">
        <v>2677</v>
      </c>
      <c r="S520" s="460" t="s">
        <v>2676</v>
      </c>
      <c r="T520" s="460" t="s">
        <v>1827</v>
      </c>
      <c r="U520" s="461" t="s">
        <v>1824</v>
      </c>
      <c r="V520" s="460" t="s">
        <v>1843</v>
      </c>
      <c r="W520" s="560"/>
      <c r="X520" s="461" t="s">
        <v>1824</v>
      </c>
      <c r="Y520" s="461" t="s">
        <v>2683</v>
      </c>
      <c r="Z520" s="461" t="s">
        <v>170</v>
      </c>
      <c r="AA520" s="460" t="s">
        <v>1218</v>
      </c>
      <c r="AB520" s="561">
        <f>ROUND(50,2)</f>
        <v>50</v>
      </c>
      <c r="AC520" s="460" t="s">
        <v>2678</v>
      </c>
      <c r="AD520" s="460"/>
      <c r="AE520" s="561">
        <f>ROUND(1000,2)</f>
        <v>1000</v>
      </c>
      <c r="AF520" s="460" t="s">
        <v>2679</v>
      </c>
      <c r="AG520" s="561">
        <f t="shared" si="7"/>
        <v>0</v>
      </c>
      <c r="AH520" s="460" t="s">
        <v>2671</v>
      </c>
      <c r="AI520" s="460" t="s">
        <v>1214</v>
      </c>
      <c r="AJ520" s="460" t="s">
        <v>2550</v>
      </c>
      <c r="AK520" s="460" t="s">
        <v>2672</v>
      </c>
      <c r="AL520" s="560" t="s">
        <v>2690</v>
      </c>
      <c r="AM520" s="460" t="s">
        <v>2674</v>
      </c>
    </row>
    <row r="521" spans="1:39" ht="22.8">
      <c r="A521" s="460" t="s">
        <v>1810</v>
      </c>
      <c r="B521" s="460"/>
      <c r="C521" s="460" t="s">
        <v>1599</v>
      </c>
      <c r="D521" s="460" t="s">
        <v>2145</v>
      </c>
      <c r="E521" s="460" t="s">
        <v>1814</v>
      </c>
      <c r="F521" s="460" t="s">
        <v>1812</v>
      </c>
      <c r="G521" s="461" t="s">
        <v>1218</v>
      </c>
      <c r="H521" s="461" t="s">
        <v>1030</v>
      </c>
      <c r="I521" s="460" t="s">
        <v>2144</v>
      </c>
      <c r="J521" s="460" t="s">
        <v>1983</v>
      </c>
      <c r="K521" s="460" t="s">
        <v>2669</v>
      </c>
      <c r="L521" s="460" t="s">
        <v>2703</v>
      </c>
      <c r="M521" s="460" t="s">
        <v>1982</v>
      </c>
      <c r="N521" s="460" t="s">
        <v>1981</v>
      </c>
      <c r="O521" s="460" t="s">
        <v>1980</v>
      </c>
      <c r="P521" s="460" t="s">
        <v>1979</v>
      </c>
      <c r="Q521" s="460" t="s">
        <v>1978</v>
      </c>
      <c r="R521" s="460" t="s">
        <v>1977</v>
      </c>
      <c r="S521" s="460" t="s">
        <v>1826</v>
      </c>
      <c r="T521" s="460" t="s">
        <v>1827</v>
      </c>
      <c r="U521" s="461" t="s">
        <v>1976</v>
      </c>
      <c r="V521" s="460" t="s">
        <v>1967</v>
      </c>
      <c r="W521" s="560"/>
      <c r="X521" s="461" t="s">
        <v>1824</v>
      </c>
      <c r="Y521" s="461" t="s">
        <v>1824</v>
      </c>
      <c r="Z521" s="461" t="s">
        <v>170</v>
      </c>
      <c r="AA521" s="460" t="s">
        <v>1218</v>
      </c>
      <c r="AB521" s="561">
        <f>ROUND(399.25,2)</f>
        <v>399.25</v>
      </c>
      <c r="AC521" s="460" t="s">
        <v>308</v>
      </c>
      <c r="AD521" s="460"/>
      <c r="AE521" s="561">
        <f>ROUND(1383.11,2)</f>
        <v>1383.11</v>
      </c>
      <c r="AF521" s="460" t="s">
        <v>308</v>
      </c>
      <c r="AG521" s="561">
        <f t="shared" si="7"/>
        <v>0</v>
      </c>
      <c r="AH521" s="460" t="s">
        <v>2671</v>
      </c>
      <c r="AI521" s="460" t="s">
        <v>1214</v>
      </c>
      <c r="AJ521" s="460" t="s">
        <v>2549</v>
      </c>
      <c r="AK521" s="460" t="s">
        <v>2672</v>
      </c>
      <c r="AL521" s="560" t="s">
        <v>2841</v>
      </c>
      <c r="AM521" s="460" t="s">
        <v>2674</v>
      </c>
    </row>
    <row r="522" spans="1:39" ht="22.8">
      <c r="A522" s="460" t="s">
        <v>1810</v>
      </c>
      <c r="B522" s="460"/>
      <c r="C522" s="460" t="s">
        <v>1591</v>
      </c>
      <c r="D522" s="460" t="s">
        <v>2143</v>
      </c>
      <c r="E522" s="460" t="s">
        <v>1814</v>
      </c>
      <c r="F522" s="460" t="s">
        <v>1812</v>
      </c>
      <c r="G522" s="461" t="s">
        <v>1218</v>
      </c>
      <c r="H522" s="461" t="s">
        <v>649</v>
      </c>
      <c r="I522" s="460" t="s">
        <v>2142</v>
      </c>
      <c r="J522" s="460" t="s">
        <v>1990</v>
      </c>
      <c r="K522" s="460" t="s">
        <v>2669</v>
      </c>
      <c r="L522" s="460" t="s">
        <v>2715</v>
      </c>
      <c r="M522" s="460" t="s">
        <v>1982</v>
      </c>
      <c r="N522" s="460" t="s">
        <v>1981</v>
      </c>
      <c r="O522" s="460" t="s">
        <v>1980</v>
      </c>
      <c r="P522" s="460" t="s">
        <v>1979</v>
      </c>
      <c r="Q522" s="460" t="s">
        <v>95</v>
      </c>
      <c r="R522" s="460" t="s">
        <v>1977</v>
      </c>
      <c r="S522" s="460" t="s">
        <v>1842</v>
      </c>
      <c r="T522" s="460" t="s">
        <v>1827</v>
      </c>
      <c r="U522" s="461" t="s">
        <v>1976</v>
      </c>
      <c r="V522" s="460" t="s">
        <v>1119</v>
      </c>
      <c r="W522" s="560"/>
      <c r="X522" s="461" t="s">
        <v>1824</v>
      </c>
      <c r="Y522" s="461" t="s">
        <v>1824</v>
      </c>
      <c r="Z522" s="461" t="s">
        <v>170</v>
      </c>
      <c r="AA522" s="460" t="s">
        <v>1218</v>
      </c>
      <c r="AB522" s="561">
        <f>ROUND(0,2)</f>
        <v>0</v>
      </c>
      <c r="AC522" s="460" t="s">
        <v>308</v>
      </c>
      <c r="AD522" s="460"/>
      <c r="AE522" s="561">
        <f>ROUND(36.23,2)</f>
        <v>36.229999999999997</v>
      </c>
      <c r="AF522" s="460" t="s">
        <v>308</v>
      </c>
      <c r="AG522" s="561">
        <f t="shared" si="7"/>
        <v>0</v>
      </c>
      <c r="AH522" s="460" t="s">
        <v>2671</v>
      </c>
      <c r="AI522" s="460" t="s">
        <v>1214</v>
      </c>
      <c r="AJ522" s="460"/>
      <c r="AK522" s="460"/>
      <c r="AL522" s="560"/>
      <c r="AM522" s="460"/>
    </row>
    <row r="523" spans="1:39" ht="22.8">
      <c r="A523" s="460" t="s">
        <v>1810</v>
      </c>
      <c r="B523" s="460"/>
      <c r="C523" s="460" t="s">
        <v>1591</v>
      </c>
      <c r="D523" s="460" t="s">
        <v>2143</v>
      </c>
      <c r="E523" s="460" t="s">
        <v>1814</v>
      </c>
      <c r="F523" s="460" t="s">
        <v>1812</v>
      </c>
      <c r="G523" s="461" t="s">
        <v>1218</v>
      </c>
      <c r="H523" s="461" t="s">
        <v>649</v>
      </c>
      <c r="I523" s="460" t="s">
        <v>2142</v>
      </c>
      <c r="J523" s="460" t="s">
        <v>1990</v>
      </c>
      <c r="K523" s="460" t="s">
        <v>2669</v>
      </c>
      <c r="L523" s="460" t="s">
        <v>2715</v>
      </c>
      <c r="M523" s="460" t="s">
        <v>1982</v>
      </c>
      <c r="N523" s="460" t="s">
        <v>1981</v>
      </c>
      <c r="O523" s="460" t="s">
        <v>1980</v>
      </c>
      <c r="P523" s="460" t="s">
        <v>2675</v>
      </c>
      <c r="Q523" s="460" t="s">
        <v>2676</v>
      </c>
      <c r="R523" s="460" t="s">
        <v>2677</v>
      </c>
      <c r="S523" s="460" t="s">
        <v>2676</v>
      </c>
      <c r="T523" s="460" t="s">
        <v>1827</v>
      </c>
      <c r="U523" s="461" t="s">
        <v>1824</v>
      </c>
      <c r="V523" s="460" t="s">
        <v>1119</v>
      </c>
      <c r="W523" s="560"/>
      <c r="X523" s="461" t="s">
        <v>1824</v>
      </c>
      <c r="Y523" s="461" t="s">
        <v>1824</v>
      </c>
      <c r="Z523" s="461" t="s">
        <v>170</v>
      </c>
      <c r="AA523" s="460" t="s">
        <v>1218</v>
      </c>
      <c r="AB523" s="561">
        <f>ROUND(20,2)</f>
        <v>20</v>
      </c>
      <c r="AC523" s="460" t="s">
        <v>2678</v>
      </c>
      <c r="AD523" s="460"/>
      <c r="AE523" s="561">
        <f>ROUND(500.05,2)</f>
        <v>500.05</v>
      </c>
      <c r="AF523" s="460" t="s">
        <v>2679</v>
      </c>
      <c r="AG523" s="561">
        <f t="shared" ref="AG523:AG586" si="8">ROUND(0,2)</f>
        <v>0</v>
      </c>
      <c r="AH523" s="460" t="s">
        <v>2671</v>
      </c>
      <c r="AI523" s="460" t="s">
        <v>1214</v>
      </c>
      <c r="AJ523" s="460" t="s">
        <v>2550</v>
      </c>
      <c r="AK523" s="460" t="s">
        <v>2672</v>
      </c>
      <c r="AL523" s="560" t="s">
        <v>2711</v>
      </c>
      <c r="AM523" s="460" t="s">
        <v>2674</v>
      </c>
    </row>
    <row r="524" spans="1:39" ht="22.8">
      <c r="A524" s="460" t="s">
        <v>1810</v>
      </c>
      <c r="B524" s="460"/>
      <c r="C524" s="460" t="s">
        <v>1591</v>
      </c>
      <c r="D524" s="460" t="s">
        <v>2143</v>
      </c>
      <c r="E524" s="460" t="s">
        <v>1814</v>
      </c>
      <c r="F524" s="460" t="s">
        <v>1812</v>
      </c>
      <c r="G524" s="461" t="s">
        <v>1218</v>
      </c>
      <c r="H524" s="461" t="s">
        <v>649</v>
      </c>
      <c r="I524" s="460" t="s">
        <v>2142</v>
      </c>
      <c r="J524" s="460" t="s">
        <v>1990</v>
      </c>
      <c r="K524" s="460" t="s">
        <v>2669</v>
      </c>
      <c r="L524" s="460" t="s">
        <v>2715</v>
      </c>
      <c r="M524" s="460" t="s">
        <v>1982</v>
      </c>
      <c r="N524" s="460" t="s">
        <v>1981</v>
      </c>
      <c r="O524" s="460" t="s">
        <v>1980</v>
      </c>
      <c r="P524" s="460" t="s">
        <v>1979</v>
      </c>
      <c r="Q524" s="460" t="s">
        <v>1978</v>
      </c>
      <c r="R524" s="460" t="s">
        <v>1977</v>
      </c>
      <c r="S524" s="460" t="s">
        <v>1826</v>
      </c>
      <c r="T524" s="460" t="s">
        <v>1827</v>
      </c>
      <c r="U524" s="461" t="s">
        <v>1976</v>
      </c>
      <c r="V524" s="460" t="s">
        <v>1119</v>
      </c>
      <c r="W524" s="560"/>
      <c r="X524" s="461" t="s">
        <v>1824</v>
      </c>
      <c r="Y524" s="461" t="s">
        <v>1824</v>
      </c>
      <c r="Z524" s="461" t="s">
        <v>170</v>
      </c>
      <c r="AA524" s="460" t="s">
        <v>1218</v>
      </c>
      <c r="AB524" s="561">
        <f>ROUND(29.05,2)</f>
        <v>29.05</v>
      </c>
      <c r="AC524" s="460" t="s">
        <v>308</v>
      </c>
      <c r="AD524" s="460"/>
      <c r="AE524" s="561">
        <f>ROUND(825.23,2)</f>
        <v>825.23</v>
      </c>
      <c r="AF524" s="460" t="s">
        <v>308</v>
      </c>
      <c r="AG524" s="561">
        <f t="shared" si="8"/>
        <v>0</v>
      </c>
      <c r="AH524" s="460" t="s">
        <v>2671</v>
      </c>
      <c r="AI524" s="460" t="s">
        <v>1214</v>
      </c>
      <c r="AJ524" s="460" t="s">
        <v>2549</v>
      </c>
      <c r="AK524" s="460" t="s">
        <v>2672</v>
      </c>
      <c r="AL524" s="560" t="s">
        <v>2692</v>
      </c>
      <c r="AM524" s="460" t="s">
        <v>2674</v>
      </c>
    </row>
    <row r="525" spans="1:39" ht="34.200000000000003">
      <c r="A525" s="460" t="s">
        <v>1810</v>
      </c>
      <c r="B525" s="460"/>
      <c r="C525" s="460" t="s">
        <v>2577</v>
      </c>
      <c r="D525" s="460" t="s">
        <v>2979</v>
      </c>
      <c r="E525" s="460" t="s">
        <v>1819</v>
      </c>
      <c r="F525" s="460" t="s">
        <v>1812</v>
      </c>
      <c r="G525" s="461" t="s">
        <v>1218</v>
      </c>
      <c r="H525" s="461" t="s">
        <v>2800</v>
      </c>
      <c r="I525" s="460" t="s">
        <v>2980</v>
      </c>
      <c r="J525" s="460" t="s">
        <v>1990</v>
      </c>
      <c r="K525" s="460" t="s">
        <v>2669</v>
      </c>
      <c r="L525" s="460" t="s">
        <v>2728</v>
      </c>
      <c r="M525" s="460" t="s">
        <v>1987</v>
      </c>
      <c r="N525" s="460" t="s">
        <v>1981</v>
      </c>
      <c r="O525" s="460" t="s">
        <v>1980</v>
      </c>
      <c r="P525" s="460" t="s">
        <v>1979</v>
      </c>
      <c r="Q525" s="460" t="s">
        <v>95</v>
      </c>
      <c r="R525" s="460" t="s">
        <v>1977</v>
      </c>
      <c r="S525" s="460" t="s">
        <v>1842</v>
      </c>
      <c r="T525" s="460" t="s">
        <v>1827</v>
      </c>
      <c r="U525" s="461" t="s">
        <v>1976</v>
      </c>
      <c r="V525" s="460" t="s">
        <v>1119</v>
      </c>
      <c r="W525" s="560"/>
      <c r="X525" s="461" t="s">
        <v>2981</v>
      </c>
      <c r="Y525" s="461" t="s">
        <v>2981</v>
      </c>
      <c r="Z525" s="461" t="s">
        <v>170</v>
      </c>
      <c r="AA525" s="460" t="s">
        <v>1218</v>
      </c>
      <c r="AB525" s="561">
        <f>ROUND(0,2)</f>
        <v>0</v>
      </c>
      <c r="AC525" s="460" t="s">
        <v>308</v>
      </c>
      <c r="AD525" s="460"/>
      <c r="AE525" s="561">
        <f>ROUND(36.23,2)</f>
        <v>36.229999999999997</v>
      </c>
      <c r="AF525" s="460" t="s">
        <v>308</v>
      </c>
      <c r="AG525" s="561">
        <f t="shared" si="8"/>
        <v>0</v>
      </c>
      <c r="AH525" s="460" t="s">
        <v>2671</v>
      </c>
      <c r="AI525" s="460" t="s">
        <v>1214</v>
      </c>
      <c r="AJ525" s="460"/>
      <c r="AK525" s="460"/>
      <c r="AL525" s="560"/>
      <c r="AM525" s="460"/>
    </row>
    <row r="526" spans="1:39" ht="34.200000000000003">
      <c r="A526" s="460" t="s">
        <v>1810</v>
      </c>
      <c r="B526" s="460"/>
      <c r="C526" s="460" t="s">
        <v>2577</v>
      </c>
      <c r="D526" s="460" t="s">
        <v>2979</v>
      </c>
      <c r="E526" s="460" t="s">
        <v>1819</v>
      </c>
      <c r="F526" s="460" t="s">
        <v>1812</v>
      </c>
      <c r="G526" s="461" t="s">
        <v>1218</v>
      </c>
      <c r="H526" s="461" t="s">
        <v>2800</v>
      </c>
      <c r="I526" s="460" t="s">
        <v>2980</v>
      </c>
      <c r="J526" s="460" t="s">
        <v>1990</v>
      </c>
      <c r="K526" s="460" t="s">
        <v>2669</v>
      </c>
      <c r="L526" s="460" t="s">
        <v>2728</v>
      </c>
      <c r="M526" s="460" t="s">
        <v>1987</v>
      </c>
      <c r="N526" s="460" t="s">
        <v>1981</v>
      </c>
      <c r="O526" s="460" t="s">
        <v>1980</v>
      </c>
      <c r="P526" s="460" t="s">
        <v>2675</v>
      </c>
      <c r="Q526" s="460" t="s">
        <v>2676</v>
      </c>
      <c r="R526" s="460" t="s">
        <v>2677</v>
      </c>
      <c r="S526" s="460" t="s">
        <v>2676</v>
      </c>
      <c r="T526" s="460" t="s">
        <v>1827</v>
      </c>
      <c r="U526" s="461" t="s">
        <v>1824</v>
      </c>
      <c r="V526" s="460" t="s">
        <v>1119</v>
      </c>
      <c r="W526" s="560"/>
      <c r="X526" s="461" t="s">
        <v>2981</v>
      </c>
      <c r="Y526" s="461" t="s">
        <v>2981</v>
      </c>
      <c r="Z526" s="461" t="s">
        <v>170</v>
      </c>
      <c r="AA526" s="460" t="s">
        <v>1218</v>
      </c>
      <c r="AB526" s="561">
        <f>ROUND(40,2)</f>
        <v>40</v>
      </c>
      <c r="AC526" s="460" t="s">
        <v>2678</v>
      </c>
      <c r="AD526" s="460"/>
      <c r="AE526" s="561">
        <f>ROUND(500.05,2)</f>
        <v>500.05</v>
      </c>
      <c r="AF526" s="460" t="s">
        <v>2679</v>
      </c>
      <c r="AG526" s="561">
        <f t="shared" si="8"/>
        <v>0</v>
      </c>
      <c r="AH526" s="460" t="s">
        <v>2671</v>
      </c>
      <c r="AI526" s="460" t="s">
        <v>1214</v>
      </c>
      <c r="AJ526" s="460" t="s">
        <v>2550</v>
      </c>
      <c r="AK526" s="460" t="s">
        <v>2672</v>
      </c>
      <c r="AL526" s="560" t="s">
        <v>2704</v>
      </c>
      <c r="AM526" s="460" t="s">
        <v>2674</v>
      </c>
    </row>
    <row r="527" spans="1:39" ht="34.200000000000003">
      <c r="A527" s="460" t="s">
        <v>1810</v>
      </c>
      <c r="B527" s="460"/>
      <c r="C527" s="460" t="s">
        <v>2577</v>
      </c>
      <c r="D527" s="460" t="s">
        <v>2979</v>
      </c>
      <c r="E527" s="460" t="s">
        <v>1819</v>
      </c>
      <c r="F527" s="460" t="s">
        <v>1812</v>
      </c>
      <c r="G527" s="461" t="s">
        <v>1218</v>
      </c>
      <c r="H527" s="461" t="s">
        <v>2800</v>
      </c>
      <c r="I527" s="460" t="s">
        <v>2980</v>
      </c>
      <c r="J527" s="460" t="s">
        <v>1990</v>
      </c>
      <c r="K527" s="460" t="s">
        <v>2669</v>
      </c>
      <c r="L527" s="460" t="s">
        <v>2728</v>
      </c>
      <c r="M527" s="460" t="s">
        <v>1987</v>
      </c>
      <c r="N527" s="460" t="s">
        <v>1981</v>
      </c>
      <c r="O527" s="460" t="s">
        <v>1980</v>
      </c>
      <c r="P527" s="460" t="s">
        <v>1979</v>
      </c>
      <c r="Q527" s="460" t="s">
        <v>1978</v>
      </c>
      <c r="R527" s="460" t="s">
        <v>1977</v>
      </c>
      <c r="S527" s="460" t="s">
        <v>1826</v>
      </c>
      <c r="T527" s="460" t="s">
        <v>1827</v>
      </c>
      <c r="U527" s="461" t="s">
        <v>1976</v>
      </c>
      <c r="V527" s="460" t="s">
        <v>1119</v>
      </c>
      <c r="W527" s="560"/>
      <c r="X527" s="461" t="s">
        <v>2981</v>
      </c>
      <c r="Y527" s="461" t="s">
        <v>2981</v>
      </c>
      <c r="Z527" s="461" t="s">
        <v>170</v>
      </c>
      <c r="AA527" s="460" t="s">
        <v>1218</v>
      </c>
      <c r="AB527" s="561">
        <f>ROUND(25.63,2)</f>
        <v>25.63</v>
      </c>
      <c r="AC527" s="460" t="s">
        <v>308</v>
      </c>
      <c r="AD527" s="460"/>
      <c r="AE527" s="561">
        <f>ROUND(828.65,2)</f>
        <v>828.65</v>
      </c>
      <c r="AF527" s="460" t="s">
        <v>308</v>
      </c>
      <c r="AG527" s="561">
        <f t="shared" si="8"/>
        <v>0</v>
      </c>
      <c r="AH527" s="460" t="s">
        <v>2671</v>
      </c>
      <c r="AI527" s="460" t="s">
        <v>1214</v>
      </c>
      <c r="AJ527" s="460" t="s">
        <v>2549</v>
      </c>
      <c r="AK527" s="460" t="s">
        <v>2672</v>
      </c>
      <c r="AL527" s="560" t="s">
        <v>2685</v>
      </c>
      <c r="AM527" s="460" t="s">
        <v>2674</v>
      </c>
    </row>
    <row r="528" spans="1:39" ht="22.8">
      <c r="A528" s="460" t="s">
        <v>1810</v>
      </c>
      <c r="B528" s="460"/>
      <c r="C528" s="460" t="s">
        <v>1430</v>
      </c>
      <c r="D528" s="460" t="s">
        <v>2141</v>
      </c>
      <c r="E528" s="460" t="s">
        <v>1821</v>
      </c>
      <c r="F528" s="460" t="s">
        <v>1812</v>
      </c>
      <c r="G528" s="461" t="s">
        <v>1218</v>
      </c>
      <c r="H528" s="461" t="s">
        <v>243</v>
      </c>
      <c r="I528" s="460" t="s">
        <v>2140</v>
      </c>
      <c r="J528" s="460" t="s">
        <v>1983</v>
      </c>
      <c r="K528" s="460" t="s">
        <v>2669</v>
      </c>
      <c r="L528" s="460" t="s">
        <v>2714</v>
      </c>
      <c r="M528" s="460" t="s">
        <v>1994</v>
      </c>
      <c r="N528" s="460" t="s">
        <v>1981</v>
      </c>
      <c r="O528" s="460" t="s">
        <v>1980</v>
      </c>
      <c r="P528" s="460" t="s">
        <v>1979</v>
      </c>
      <c r="Q528" s="460" t="s">
        <v>95</v>
      </c>
      <c r="R528" s="460" t="s">
        <v>1977</v>
      </c>
      <c r="S528" s="460" t="s">
        <v>1842</v>
      </c>
      <c r="T528" s="460" t="s">
        <v>1827</v>
      </c>
      <c r="U528" s="461" t="s">
        <v>1976</v>
      </c>
      <c r="V528" s="460" t="s">
        <v>1843</v>
      </c>
      <c r="W528" s="560"/>
      <c r="X528" s="461" t="s">
        <v>1824</v>
      </c>
      <c r="Y528" s="461" t="s">
        <v>1824</v>
      </c>
      <c r="Z528" s="461" t="s">
        <v>170</v>
      </c>
      <c r="AA528" s="460" t="s">
        <v>1218</v>
      </c>
      <c r="AB528" s="561">
        <f>ROUND(30.41,2)</f>
        <v>30.41</v>
      </c>
      <c r="AC528" s="460" t="s">
        <v>308</v>
      </c>
      <c r="AD528" s="460"/>
      <c r="AE528" s="561">
        <f>ROUND(70.29,2)</f>
        <v>70.290000000000006</v>
      </c>
      <c r="AF528" s="460" t="s">
        <v>308</v>
      </c>
      <c r="AG528" s="561">
        <f t="shared" si="8"/>
        <v>0</v>
      </c>
      <c r="AH528" s="460" t="s">
        <v>2671</v>
      </c>
      <c r="AI528" s="460" t="s">
        <v>1214</v>
      </c>
      <c r="AJ528" s="460" t="s">
        <v>2548</v>
      </c>
      <c r="AK528" s="460" t="s">
        <v>2672</v>
      </c>
      <c r="AL528" s="560" t="s">
        <v>2673</v>
      </c>
      <c r="AM528" s="460" t="s">
        <v>2674</v>
      </c>
    </row>
    <row r="529" spans="1:39" ht="22.8">
      <c r="A529" s="460" t="s">
        <v>1810</v>
      </c>
      <c r="B529" s="460"/>
      <c r="C529" s="460" t="s">
        <v>1430</v>
      </c>
      <c r="D529" s="460" t="s">
        <v>2141</v>
      </c>
      <c r="E529" s="460" t="s">
        <v>1821</v>
      </c>
      <c r="F529" s="460" t="s">
        <v>1812</v>
      </c>
      <c r="G529" s="461" t="s">
        <v>1218</v>
      </c>
      <c r="H529" s="461" t="s">
        <v>243</v>
      </c>
      <c r="I529" s="460" t="s">
        <v>2140</v>
      </c>
      <c r="J529" s="460" t="s">
        <v>1983</v>
      </c>
      <c r="K529" s="460" t="s">
        <v>2669</v>
      </c>
      <c r="L529" s="460" t="s">
        <v>2714</v>
      </c>
      <c r="M529" s="460" t="s">
        <v>1994</v>
      </c>
      <c r="N529" s="460" t="s">
        <v>1981</v>
      </c>
      <c r="O529" s="460" t="s">
        <v>1980</v>
      </c>
      <c r="P529" s="460" t="s">
        <v>2675</v>
      </c>
      <c r="Q529" s="460" t="s">
        <v>2676</v>
      </c>
      <c r="R529" s="460" t="s">
        <v>2677</v>
      </c>
      <c r="S529" s="460" t="s">
        <v>2676</v>
      </c>
      <c r="T529" s="460" t="s">
        <v>1827</v>
      </c>
      <c r="U529" s="461" t="s">
        <v>1824</v>
      </c>
      <c r="V529" s="460" t="s">
        <v>1843</v>
      </c>
      <c r="W529" s="560"/>
      <c r="X529" s="461" t="s">
        <v>1824</v>
      </c>
      <c r="Y529" s="461" t="s">
        <v>1824</v>
      </c>
      <c r="Z529" s="461" t="s">
        <v>170</v>
      </c>
      <c r="AA529" s="460" t="s">
        <v>1218</v>
      </c>
      <c r="AB529" s="561">
        <f>ROUND(249.99,2)</f>
        <v>249.99</v>
      </c>
      <c r="AC529" s="460" t="s">
        <v>2678</v>
      </c>
      <c r="AD529" s="460"/>
      <c r="AE529" s="561">
        <f>ROUND(1000,2)</f>
        <v>1000</v>
      </c>
      <c r="AF529" s="460" t="s">
        <v>2679</v>
      </c>
      <c r="AG529" s="561">
        <f t="shared" si="8"/>
        <v>0</v>
      </c>
      <c r="AH529" s="460" t="s">
        <v>2671</v>
      </c>
      <c r="AI529" s="460" t="s">
        <v>1214</v>
      </c>
      <c r="AJ529" s="460" t="s">
        <v>2550</v>
      </c>
      <c r="AK529" s="460" t="s">
        <v>2672</v>
      </c>
      <c r="AL529" s="560" t="s">
        <v>2842</v>
      </c>
      <c r="AM529" s="460" t="s">
        <v>2674</v>
      </c>
    </row>
    <row r="530" spans="1:39" ht="22.8">
      <c r="A530" s="460" t="s">
        <v>1810</v>
      </c>
      <c r="B530" s="460"/>
      <c r="C530" s="460" t="s">
        <v>1430</v>
      </c>
      <c r="D530" s="460" t="s">
        <v>2141</v>
      </c>
      <c r="E530" s="460" t="s">
        <v>1821</v>
      </c>
      <c r="F530" s="460" t="s">
        <v>1812</v>
      </c>
      <c r="G530" s="461" t="s">
        <v>1218</v>
      </c>
      <c r="H530" s="461" t="s">
        <v>243</v>
      </c>
      <c r="I530" s="460" t="s">
        <v>2140</v>
      </c>
      <c r="J530" s="460" t="s">
        <v>1983</v>
      </c>
      <c r="K530" s="460" t="s">
        <v>2669</v>
      </c>
      <c r="L530" s="460" t="s">
        <v>2714</v>
      </c>
      <c r="M530" s="460" t="s">
        <v>1994</v>
      </c>
      <c r="N530" s="460" t="s">
        <v>1981</v>
      </c>
      <c r="O530" s="460" t="s">
        <v>1980</v>
      </c>
      <c r="P530" s="460" t="s">
        <v>1979</v>
      </c>
      <c r="Q530" s="460" t="s">
        <v>1978</v>
      </c>
      <c r="R530" s="460" t="s">
        <v>1977</v>
      </c>
      <c r="S530" s="460" t="s">
        <v>1826</v>
      </c>
      <c r="T530" s="460" t="s">
        <v>1827</v>
      </c>
      <c r="U530" s="461" t="s">
        <v>1976</v>
      </c>
      <c r="V530" s="460" t="s">
        <v>1843</v>
      </c>
      <c r="W530" s="560"/>
      <c r="X530" s="461" t="s">
        <v>1824</v>
      </c>
      <c r="Y530" s="461" t="s">
        <v>1824</v>
      </c>
      <c r="Z530" s="461" t="s">
        <v>170</v>
      </c>
      <c r="AA530" s="460" t="s">
        <v>1218</v>
      </c>
      <c r="AB530" s="561">
        <f>ROUND(603.2,2)</f>
        <v>603.20000000000005</v>
      </c>
      <c r="AC530" s="460" t="s">
        <v>308</v>
      </c>
      <c r="AD530" s="460"/>
      <c r="AE530" s="561">
        <f>ROUND(1528.26,2)</f>
        <v>1528.26</v>
      </c>
      <c r="AF530" s="460" t="s">
        <v>308</v>
      </c>
      <c r="AG530" s="561">
        <f t="shared" si="8"/>
        <v>0</v>
      </c>
      <c r="AH530" s="460" t="s">
        <v>2671</v>
      </c>
      <c r="AI530" s="460" t="s">
        <v>1214</v>
      </c>
      <c r="AJ530" s="460" t="s">
        <v>2549</v>
      </c>
      <c r="AK530" s="460" t="s">
        <v>2672</v>
      </c>
      <c r="AL530" s="560" t="s">
        <v>2702</v>
      </c>
      <c r="AM530" s="460" t="s">
        <v>2674</v>
      </c>
    </row>
    <row r="531" spans="1:39" ht="22.8">
      <c r="A531" s="460" t="s">
        <v>1810</v>
      </c>
      <c r="B531" s="460"/>
      <c r="C531" s="460" t="s">
        <v>1431</v>
      </c>
      <c r="D531" s="460" t="s">
        <v>2139</v>
      </c>
      <c r="E531" s="460" t="s">
        <v>1821</v>
      </c>
      <c r="F531" s="460" t="s">
        <v>1812</v>
      </c>
      <c r="G531" s="461" t="s">
        <v>1218</v>
      </c>
      <c r="H531" s="461" t="s">
        <v>244</v>
      </c>
      <c r="I531" s="460" t="s">
        <v>2138</v>
      </c>
      <c r="J531" s="460" t="s">
        <v>1983</v>
      </c>
      <c r="K531" s="460" t="s">
        <v>2669</v>
      </c>
      <c r="L531" s="460" t="s">
        <v>2714</v>
      </c>
      <c r="M531" s="460" t="s">
        <v>1994</v>
      </c>
      <c r="N531" s="460" t="s">
        <v>1981</v>
      </c>
      <c r="O531" s="460" t="s">
        <v>1980</v>
      </c>
      <c r="P531" s="460" t="s">
        <v>1979</v>
      </c>
      <c r="Q531" s="460" t="s">
        <v>95</v>
      </c>
      <c r="R531" s="460" t="s">
        <v>1977</v>
      </c>
      <c r="S531" s="460" t="s">
        <v>1842</v>
      </c>
      <c r="T531" s="460" t="s">
        <v>1827</v>
      </c>
      <c r="U531" s="461" t="s">
        <v>1976</v>
      </c>
      <c r="V531" s="460" t="s">
        <v>1843</v>
      </c>
      <c r="W531" s="560"/>
      <c r="X531" s="461" t="s">
        <v>1824</v>
      </c>
      <c r="Y531" s="461" t="s">
        <v>1824</v>
      </c>
      <c r="Z531" s="461" t="s">
        <v>170</v>
      </c>
      <c r="AA531" s="460" t="s">
        <v>1218</v>
      </c>
      <c r="AB531" s="561">
        <f>ROUND(30.41,2)</f>
        <v>30.41</v>
      </c>
      <c r="AC531" s="460" t="s">
        <v>308</v>
      </c>
      <c r="AD531" s="460"/>
      <c r="AE531" s="561">
        <f>ROUND(70.29,2)</f>
        <v>70.290000000000006</v>
      </c>
      <c r="AF531" s="460" t="s">
        <v>308</v>
      </c>
      <c r="AG531" s="561">
        <f t="shared" si="8"/>
        <v>0</v>
      </c>
      <c r="AH531" s="460" t="s">
        <v>2671</v>
      </c>
      <c r="AI531" s="460" t="s">
        <v>1214</v>
      </c>
      <c r="AJ531" s="460" t="s">
        <v>2548</v>
      </c>
      <c r="AK531" s="460" t="s">
        <v>2672</v>
      </c>
      <c r="AL531" s="560" t="s">
        <v>2673</v>
      </c>
      <c r="AM531" s="460" t="s">
        <v>2674</v>
      </c>
    </row>
    <row r="532" spans="1:39" ht="22.8">
      <c r="A532" s="460" t="s">
        <v>1810</v>
      </c>
      <c r="B532" s="460"/>
      <c r="C532" s="460" t="s">
        <v>1431</v>
      </c>
      <c r="D532" s="460" t="s">
        <v>2139</v>
      </c>
      <c r="E532" s="460" t="s">
        <v>1821</v>
      </c>
      <c r="F532" s="460" t="s">
        <v>1812</v>
      </c>
      <c r="G532" s="461" t="s">
        <v>1218</v>
      </c>
      <c r="H532" s="461" t="s">
        <v>244</v>
      </c>
      <c r="I532" s="460" t="s">
        <v>2138</v>
      </c>
      <c r="J532" s="460" t="s">
        <v>1983</v>
      </c>
      <c r="K532" s="460" t="s">
        <v>2669</v>
      </c>
      <c r="L532" s="460" t="s">
        <v>2714</v>
      </c>
      <c r="M532" s="460" t="s">
        <v>1994</v>
      </c>
      <c r="N532" s="460" t="s">
        <v>1981</v>
      </c>
      <c r="O532" s="460" t="s">
        <v>1980</v>
      </c>
      <c r="P532" s="460" t="s">
        <v>2675</v>
      </c>
      <c r="Q532" s="460" t="s">
        <v>2676</v>
      </c>
      <c r="R532" s="460" t="s">
        <v>2677</v>
      </c>
      <c r="S532" s="460" t="s">
        <v>2676</v>
      </c>
      <c r="T532" s="460" t="s">
        <v>1827</v>
      </c>
      <c r="U532" s="461" t="s">
        <v>1824</v>
      </c>
      <c r="V532" s="460" t="s">
        <v>1843</v>
      </c>
      <c r="W532" s="560"/>
      <c r="X532" s="461" t="s">
        <v>1824</v>
      </c>
      <c r="Y532" s="461" t="s">
        <v>1824</v>
      </c>
      <c r="Z532" s="461" t="s">
        <v>170</v>
      </c>
      <c r="AA532" s="460" t="s">
        <v>1218</v>
      </c>
      <c r="AB532" s="561">
        <f>ROUND(150,2)</f>
        <v>150</v>
      </c>
      <c r="AC532" s="460" t="s">
        <v>2678</v>
      </c>
      <c r="AD532" s="460"/>
      <c r="AE532" s="561">
        <f>ROUND(1000,2)</f>
        <v>1000</v>
      </c>
      <c r="AF532" s="460" t="s">
        <v>2679</v>
      </c>
      <c r="AG532" s="561">
        <f t="shared" si="8"/>
        <v>0</v>
      </c>
      <c r="AH532" s="460" t="s">
        <v>2671</v>
      </c>
      <c r="AI532" s="460" t="s">
        <v>1214</v>
      </c>
      <c r="AJ532" s="460" t="s">
        <v>2550</v>
      </c>
      <c r="AK532" s="460" t="s">
        <v>2672</v>
      </c>
      <c r="AL532" s="560" t="s">
        <v>2741</v>
      </c>
      <c r="AM532" s="460" t="s">
        <v>2674</v>
      </c>
    </row>
    <row r="533" spans="1:39" ht="22.8">
      <c r="A533" s="460" t="s">
        <v>1810</v>
      </c>
      <c r="B533" s="460"/>
      <c r="C533" s="460" t="s">
        <v>1431</v>
      </c>
      <c r="D533" s="460" t="s">
        <v>2139</v>
      </c>
      <c r="E533" s="460" t="s">
        <v>1821</v>
      </c>
      <c r="F533" s="460" t="s">
        <v>1812</v>
      </c>
      <c r="G533" s="461" t="s">
        <v>1218</v>
      </c>
      <c r="H533" s="461" t="s">
        <v>244</v>
      </c>
      <c r="I533" s="460" t="s">
        <v>2138</v>
      </c>
      <c r="J533" s="460" t="s">
        <v>1983</v>
      </c>
      <c r="K533" s="460" t="s">
        <v>2669</v>
      </c>
      <c r="L533" s="460" t="s">
        <v>2714</v>
      </c>
      <c r="M533" s="460" t="s">
        <v>1994</v>
      </c>
      <c r="N533" s="460" t="s">
        <v>1981</v>
      </c>
      <c r="O533" s="460" t="s">
        <v>1980</v>
      </c>
      <c r="P533" s="460" t="s">
        <v>1979</v>
      </c>
      <c r="Q533" s="460" t="s">
        <v>1978</v>
      </c>
      <c r="R533" s="460" t="s">
        <v>1977</v>
      </c>
      <c r="S533" s="460" t="s">
        <v>1826</v>
      </c>
      <c r="T533" s="460" t="s">
        <v>1827</v>
      </c>
      <c r="U533" s="461" t="s">
        <v>1976</v>
      </c>
      <c r="V533" s="460" t="s">
        <v>1843</v>
      </c>
      <c r="W533" s="560"/>
      <c r="X533" s="461" t="s">
        <v>1824</v>
      </c>
      <c r="Y533" s="461" t="s">
        <v>1824</v>
      </c>
      <c r="Z533" s="461" t="s">
        <v>170</v>
      </c>
      <c r="AA533" s="460" t="s">
        <v>1218</v>
      </c>
      <c r="AB533" s="561">
        <f>ROUND(475.32,2)</f>
        <v>475.32</v>
      </c>
      <c r="AC533" s="460" t="s">
        <v>308</v>
      </c>
      <c r="AD533" s="460"/>
      <c r="AE533" s="561">
        <f>ROUND(1656.14,2)</f>
        <v>1656.14</v>
      </c>
      <c r="AF533" s="460" t="s">
        <v>308</v>
      </c>
      <c r="AG533" s="561">
        <f t="shared" si="8"/>
        <v>0</v>
      </c>
      <c r="AH533" s="460" t="s">
        <v>2671</v>
      </c>
      <c r="AI533" s="460" t="s">
        <v>1214</v>
      </c>
      <c r="AJ533" s="460" t="s">
        <v>2549</v>
      </c>
      <c r="AK533" s="460" t="s">
        <v>2672</v>
      </c>
      <c r="AL533" s="560" t="s">
        <v>2718</v>
      </c>
      <c r="AM533" s="460" t="s">
        <v>2674</v>
      </c>
    </row>
    <row r="534" spans="1:39" ht="22.8">
      <c r="A534" s="460" t="s">
        <v>1810</v>
      </c>
      <c r="B534" s="460"/>
      <c r="C534" s="460" t="s">
        <v>2484</v>
      </c>
      <c r="D534" s="460" t="s">
        <v>2843</v>
      </c>
      <c r="E534" s="460" t="s">
        <v>1814</v>
      </c>
      <c r="F534" s="460" t="s">
        <v>1812</v>
      </c>
      <c r="G534" s="461" t="s">
        <v>1218</v>
      </c>
      <c r="H534" s="461" t="s">
        <v>2844</v>
      </c>
      <c r="I534" s="460" t="s">
        <v>2845</v>
      </c>
      <c r="J534" s="460" t="s">
        <v>1983</v>
      </c>
      <c r="K534" s="460" t="s">
        <v>2669</v>
      </c>
      <c r="L534" s="460" t="s">
        <v>2816</v>
      </c>
      <c r="M534" s="460" t="s">
        <v>1982</v>
      </c>
      <c r="N534" s="460" t="s">
        <v>1981</v>
      </c>
      <c r="O534" s="460" t="s">
        <v>1980</v>
      </c>
      <c r="P534" s="460" t="s">
        <v>1979</v>
      </c>
      <c r="Q534" s="460" t="s">
        <v>95</v>
      </c>
      <c r="R534" s="460" t="s">
        <v>1977</v>
      </c>
      <c r="S534" s="460" t="s">
        <v>1842</v>
      </c>
      <c r="T534" s="460" t="s">
        <v>1827</v>
      </c>
      <c r="U534" s="461" t="s">
        <v>1976</v>
      </c>
      <c r="V534" s="460" t="s">
        <v>1119</v>
      </c>
      <c r="W534" s="560"/>
      <c r="X534" s="461" t="s">
        <v>2789</v>
      </c>
      <c r="Y534" s="461" t="s">
        <v>2789</v>
      </c>
      <c r="Z534" s="461" t="s">
        <v>170</v>
      </c>
      <c r="AA534" s="460" t="s">
        <v>1218</v>
      </c>
      <c r="AB534" s="561">
        <f>ROUND(0,2)</f>
        <v>0</v>
      </c>
      <c r="AC534" s="460" t="s">
        <v>308</v>
      </c>
      <c r="AD534" s="460"/>
      <c r="AE534" s="561">
        <f>ROUND(36.23,2)</f>
        <v>36.229999999999997</v>
      </c>
      <c r="AF534" s="460" t="s">
        <v>308</v>
      </c>
      <c r="AG534" s="561">
        <f t="shared" si="8"/>
        <v>0</v>
      </c>
      <c r="AH534" s="460" t="s">
        <v>2671</v>
      </c>
      <c r="AI534" s="460" t="s">
        <v>1214</v>
      </c>
      <c r="AJ534" s="460"/>
      <c r="AK534" s="460"/>
      <c r="AL534" s="560"/>
      <c r="AM534" s="460"/>
    </row>
    <row r="535" spans="1:39" ht="22.8">
      <c r="A535" s="460" t="s">
        <v>1810</v>
      </c>
      <c r="B535" s="460"/>
      <c r="C535" s="460" t="s">
        <v>2484</v>
      </c>
      <c r="D535" s="460" t="s">
        <v>2843</v>
      </c>
      <c r="E535" s="460" t="s">
        <v>1814</v>
      </c>
      <c r="F535" s="460" t="s">
        <v>1812</v>
      </c>
      <c r="G535" s="461" t="s">
        <v>1218</v>
      </c>
      <c r="H535" s="461" t="s">
        <v>2844</v>
      </c>
      <c r="I535" s="460" t="s">
        <v>2845</v>
      </c>
      <c r="J535" s="460" t="s">
        <v>1983</v>
      </c>
      <c r="K535" s="460" t="s">
        <v>2669</v>
      </c>
      <c r="L535" s="460" t="s">
        <v>2816</v>
      </c>
      <c r="M535" s="460" t="s">
        <v>1982</v>
      </c>
      <c r="N535" s="460" t="s">
        <v>1981</v>
      </c>
      <c r="O535" s="460" t="s">
        <v>1980</v>
      </c>
      <c r="P535" s="460" t="s">
        <v>2675</v>
      </c>
      <c r="Q535" s="460" t="s">
        <v>2676</v>
      </c>
      <c r="R535" s="460" t="s">
        <v>2677</v>
      </c>
      <c r="S535" s="460" t="s">
        <v>2676</v>
      </c>
      <c r="T535" s="460" t="s">
        <v>1827</v>
      </c>
      <c r="U535" s="461" t="s">
        <v>1824</v>
      </c>
      <c r="V535" s="460" t="s">
        <v>1119</v>
      </c>
      <c r="W535" s="560"/>
      <c r="X535" s="461" t="s">
        <v>2789</v>
      </c>
      <c r="Y535" s="461" t="s">
        <v>2789</v>
      </c>
      <c r="Z535" s="461" t="s">
        <v>170</v>
      </c>
      <c r="AA535" s="460" t="s">
        <v>1218</v>
      </c>
      <c r="AB535" s="561">
        <f>ROUND(50,2)</f>
        <v>50</v>
      </c>
      <c r="AC535" s="460" t="s">
        <v>2678</v>
      </c>
      <c r="AD535" s="460"/>
      <c r="AE535" s="561">
        <f>ROUND(500.05,2)</f>
        <v>500.05</v>
      </c>
      <c r="AF535" s="460" t="s">
        <v>2679</v>
      </c>
      <c r="AG535" s="561">
        <f t="shared" si="8"/>
        <v>0</v>
      </c>
      <c r="AH535" s="460" t="s">
        <v>2671</v>
      </c>
      <c r="AI535" s="460" t="s">
        <v>1214</v>
      </c>
      <c r="AJ535" s="460" t="s">
        <v>2550</v>
      </c>
      <c r="AK535" s="460" t="s">
        <v>2672</v>
      </c>
      <c r="AL535" s="560" t="s">
        <v>2690</v>
      </c>
      <c r="AM535" s="460" t="s">
        <v>2674</v>
      </c>
    </row>
    <row r="536" spans="1:39" ht="22.8">
      <c r="A536" s="460" t="s">
        <v>1810</v>
      </c>
      <c r="B536" s="460"/>
      <c r="C536" s="460" t="s">
        <v>2484</v>
      </c>
      <c r="D536" s="460" t="s">
        <v>2843</v>
      </c>
      <c r="E536" s="460" t="s">
        <v>1814</v>
      </c>
      <c r="F536" s="460" t="s">
        <v>1812</v>
      </c>
      <c r="G536" s="461" t="s">
        <v>1218</v>
      </c>
      <c r="H536" s="461" t="s">
        <v>2844</v>
      </c>
      <c r="I536" s="460" t="s">
        <v>2845</v>
      </c>
      <c r="J536" s="460" t="s">
        <v>1983</v>
      </c>
      <c r="K536" s="460" t="s">
        <v>2669</v>
      </c>
      <c r="L536" s="460" t="s">
        <v>2816</v>
      </c>
      <c r="M536" s="460" t="s">
        <v>1982</v>
      </c>
      <c r="N536" s="460" t="s">
        <v>1981</v>
      </c>
      <c r="O536" s="460" t="s">
        <v>1980</v>
      </c>
      <c r="P536" s="460" t="s">
        <v>1979</v>
      </c>
      <c r="Q536" s="460" t="s">
        <v>1978</v>
      </c>
      <c r="R536" s="460" t="s">
        <v>1977</v>
      </c>
      <c r="S536" s="460" t="s">
        <v>1826</v>
      </c>
      <c r="T536" s="460" t="s">
        <v>1827</v>
      </c>
      <c r="U536" s="461" t="s">
        <v>1976</v>
      </c>
      <c r="V536" s="460" t="s">
        <v>1119</v>
      </c>
      <c r="W536" s="560"/>
      <c r="X536" s="461" t="s">
        <v>2789</v>
      </c>
      <c r="Y536" s="461" t="s">
        <v>2789</v>
      </c>
      <c r="Z536" s="461" t="s">
        <v>170</v>
      </c>
      <c r="AA536" s="460" t="s">
        <v>1218</v>
      </c>
      <c r="AB536" s="561">
        <f>ROUND(25.63,2)</f>
        <v>25.63</v>
      </c>
      <c r="AC536" s="460" t="s">
        <v>308</v>
      </c>
      <c r="AD536" s="460"/>
      <c r="AE536" s="561">
        <f>ROUND(828.65,2)</f>
        <v>828.65</v>
      </c>
      <c r="AF536" s="460" t="s">
        <v>308</v>
      </c>
      <c r="AG536" s="561">
        <f t="shared" si="8"/>
        <v>0</v>
      </c>
      <c r="AH536" s="460" t="s">
        <v>2671</v>
      </c>
      <c r="AI536" s="460" t="s">
        <v>1214</v>
      </c>
      <c r="AJ536" s="460" t="s">
        <v>2549</v>
      </c>
      <c r="AK536" s="460" t="s">
        <v>2672</v>
      </c>
      <c r="AL536" s="560" t="s">
        <v>2685</v>
      </c>
      <c r="AM536" s="460" t="s">
        <v>2674</v>
      </c>
    </row>
    <row r="537" spans="1:39" ht="22.8">
      <c r="A537" s="460" t="s">
        <v>1810</v>
      </c>
      <c r="B537" s="460"/>
      <c r="C537" s="460" t="s">
        <v>1434</v>
      </c>
      <c r="D537" s="460" t="s">
        <v>2136</v>
      </c>
      <c r="E537" s="460" t="s">
        <v>1821</v>
      </c>
      <c r="F537" s="460" t="s">
        <v>1812</v>
      </c>
      <c r="G537" s="461" t="s">
        <v>1218</v>
      </c>
      <c r="H537" s="461" t="s">
        <v>245</v>
      </c>
      <c r="I537" s="460" t="s">
        <v>2135</v>
      </c>
      <c r="J537" s="460" t="s">
        <v>1983</v>
      </c>
      <c r="K537" s="460" t="s">
        <v>2669</v>
      </c>
      <c r="L537" s="460" t="s">
        <v>2714</v>
      </c>
      <c r="M537" s="460" t="s">
        <v>1994</v>
      </c>
      <c r="N537" s="460" t="s">
        <v>1981</v>
      </c>
      <c r="O537" s="460" t="s">
        <v>1980</v>
      </c>
      <c r="P537" s="460" t="s">
        <v>1979</v>
      </c>
      <c r="Q537" s="460" t="s">
        <v>95</v>
      </c>
      <c r="R537" s="460" t="s">
        <v>1977</v>
      </c>
      <c r="S537" s="460" t="s">
        <v>1842</v>
      </c>
      <c r="T537" s="460" t="s">
        <v>1827</v>
      </c>
      <c r="U537" s="461" t="s">
        <v>1976</v>
      </c>
      <c r="V537" s="460" t="s">
        <v>1843</v>
      </c>
      <c r="W537" s="560"/>
      <c r="X537" s="461" t="s">
        <v>1824</v>
      </c>
      <c r="Y537" s="461" t="s">
        <v>1824</v>
      </c>
      <c r="Z537" s="461" t="s">
        <v>170</v>
      </c>
      <c r="AA537" s="460" t="s">
        <v>1218</v>
      </c>
      <c r="AB537" s="561">
        <f>ROUND(30.41,2)</f>
        <v>30.41</v>
      </c>
      <c r="AC537" s="460" t="s">
        <v>308</v>
      </c>
      <c r="AD537" s="460"/>
      <c r="AE537" s="561">
        <f>ROUND(70.29,2)</f>
        <v>70.290000000000006</v>
      </c>
      <c r="AF537" s="460" t="s">
        <v>308</v>
      </c>
      <c r="AG537" s="561">
        <f t="shared" si="8"/>
        <v>0</v>
      </c>
      <c r="AH537" s="460" t="s">
        <v>2671</v>
      </c>
      <c r="AI537" s="460" t="s">
        <v>1214</v>
      </c>
      <c r="AJ537" s="460" t="s">
        <v>2548</v>
      </c>
      <c r="AK537" s="460" t="s">
        <v>2672</v>
      </c>
      <c r="AL537" s="560" t="s">
        <v>2673</v>
      </c>
      <c r="AM537" s="460" t="s">
        <v>2674</v>
      </c>
    </row>
    <row r="538" spans="1:39" ht="22.8">
      <c r="A538" s="460" t="s">
        <v>1810</v>
      </c>
      <c r="B538" s="460"/>
      <c r="C538" s="460" t="s">
        <v>1434</v>
      </c>
      <c r="D538" s="460" t="s">
        <v>2136</v>
      </c>
      <c r="E538" s="460" t="s">
        <v>1821</v>
      </c>
      <c r="F538" s="460" t="s">
        <v>1812</v>
      </c>
      <c r="G538" s="461" t="s">
        <v>1218</v>
      </c>
      <c r="H538" s="461" t="s">
        <v>245</v>
      </c>
      <c r="I538" s="460" t="s">
        <v>2135</v>
      </c>
      <c r="J538" s="460" t="s">
        <v>1983</v>
      </c>
      <c r="K538" s="460" t="s">
        <v>2669</v>
      </c>
      <c r="L538" s="460" t="s">
        <v>2714</v>
      </c>
      <c r="M538" s="460" t="s">
        <v>1994</v>
      </c>
      <c r="N538" s="460" t="s">
        <v>1981</v>
      </c>
      <c r="O538" s="460" t="s">
        <v>1980</v>
      </c>
      <c r="P538" s="460" t="s">
        <v>2675</v>
      </c>
      <c r="Q538" s="460" t="s">
        <v>2676</v>
      </c>
      <c r="R538" s="460" t="s">
        <v>2677</v>
      </c>
      <c r="S538" s="460" t="s">
        <v>2676</v>
      </c>
      <c r="T538" s="460" t="s">
        <v>1827</v>
      </c>
      <c r="U538" s="461" t="s">
        <v>1824</v>
      </c>
      <c r="V538" s="460" t="s">
        <v>1843</v>
      </c>
      <c r="W538" s="560"/>
      <c r="X538" s="461" t="s">
        <v>1824</v>
      </c>
      <c r="Y538" s="461" t="s">
        <v>1824</v>
      </c>
      <c r="Z538" s="461" t="s">
        <v>170</v>
      </c>
      <c r="AA538" s="460" t="s">
        <v>1218</v>
      </c>
      <c r="AB538" s="561">
        <f>ROUND(275,2)</f>
        <v>275</v>
      </c>
      <c r="AC538" s="460" t="s">
        <v>2678</v>
      </c>
      <c r="AD538" s="460"/>
      <c r="AE538" s="561">
        <f>ROUND(1000,2)</f>
        <v>1000</v>
      </c>
      <c r="AF538" s="460" t="s">
        <v>2679</v>
      </c>
      <c r="AG538" s="561">
        <f t="shared" si="8"/>
        <v>0</v>
      </c>
      <c r="AH538" s="460" t="s">
        <v>2671</v>
      </c>
      <c r="AI538" s="460" t="s">
        <v>1214</v>
      </c>
      <c r="AJ538" s="460" t="s">
        <v>2550</v>
      </c>
      <c r="AK538" s="460" t="s">
        <v>2672</v>
      </c>
      <c r="AL538" s="560" t="s">
        <v>2846</v>
      </c>
      <c r="AM538" s="460" t="s">
        <v>2674</v>
      </c>
    </row>
    <row r="539" spans="1:39" ht="22.8">
      <c r="A539" s="460" t="s">
        <v>1810</v>
      </c>
      <c r="B539" s="460"/>
      <c r="C539" s="460" t="s">
        <v>1434</v>
      </c>
      <c r="D539" s="460" t="s">
        <v>2136</v>
      </c>
      <c r="E539" s="460" t="s">
        <v>1821</v>
      </c>
      <c r="F539" s="460" t="s">
        <v>1812</v>
      </c>
      <c r="G539" s="461" t="s">
        <v>1218</v>
      </c>
      <c r="H539" s="461" t="s">
        <v>245</v>
      </c>
      <c r="I539" s="460" t="s">
        <v>2135</v>
      </c>
      <c r="J539" s="460" t="s">
        <v>1983</v>
      </c>
      <c r="K539" s="460" t="s">
        <v>2669</v>
      </c>
      <c r="L539" s="460" t="s">
        <v>2714</v>
      </c>
      <c r="M539" s="460" t="s">
        <v>1994</v>
      </c>
      <c r="N539" s="460" t="s">
        <v>1981</v>
      </c>
      <c r="O539" s="460" t="s">
        <v>1980</v>
      </c>
      <c r="P539" s="460" t="s">
        <v>1979</v>
      </c>
      <c r="Q539" s="460" t="s">
        <v>1978</v>
      </c>
      <c r="R539" s="460" t="s">
        <v>1977</v>
      </c>
      <c r="S539" s="460" t="s">
        <v>1826</v>
      </c>
      <c r="T539" s="460" t="s">
        <v>1827</v>
      </c>
      <c r="U539" s="461" t="s">
        <v>1976</v>
      </c>
      <c r="V539" s="460" t="s">
        <v>1843</v>
      </c>
      <c r="W539" s="560"/>
      <c r="X539" s="461" t="s">
        <v>1824</v>
      </c>
      <c r="Y539" s="461" t="s">
        <v>1824</v>
      </c>
      <c r="Z539" s="461" t="s">
        <v>170</v>
      </c>
      <c r="AA539" s="460" t="s">
        <v>1218</v>
      </c>
      <c r="AB539" s="561">
        <f>ROUND(603.2,2)</f>
        <v>603.20000000000005</v>
      </c>
      <c r="AC539" s="460" t="s">
        <v>308</v>
      </c>
      <c r="AD539" s="460"/>
      <c r="AE539" s="561">
        <f>ROUND(1528.26,2)</f>
        <v>1528.26</v>
      </c>
      <c r="AF539" s="460" t="s">
        <v>308</v>
      </c>
      <c r="AG539" s="561">
        <f t="shared" si="8"/>
        <v>0</v>
      </c>
      <c r="AH539" s="460" t="s">
        <v>2671</v>
      </c>
      <c r="AI539" s="460" t="s">
        <v>1214</v>
      </c>
      <c r="AJ539" s="460" t="s">
        <v>2549</v>
      </c>
      <c r="AK539" s="460" t="s">
        <v>2672</v>
      </c>
      <c r="AL539" s="560" t="s">
        <v>2702</v>
      </c>
      <c r="AM539" s="460" t="s">
        <v>2674</v>
      </c>
    </row>
    <row r="540" spans="1:39" ht="22.8">
      <c r="A540" s="460" t="s">
        <v>1810</v>
      </c>
      <c r="B540" s="460"/>
      <c r="C540" s="460" t="s">
        <v>1435</v>
      </c>
      <c r="D540" s="460" t="s">
        <v>2384</v>
      </c>
      <c r="E540" s="460" t="s">
        <v>1813</v>
      </c>
      <c r="F540" s="460" t="s">
        <v>1812</v>
      </c>
      <c r="G540" s="461" t="s">
        <v>1218</v>
      </c>
      <c r="H540" s="461" t="s">
        <v>188</v>
      </c>
      <c r="I540" s="460" t="s">
        <v>2383</v>
      </c>
      <c r="J540" s="460" t="s">
        <v>1990</v>
      </c>
      <c r="K540" s="460" t="s">
        <v>2669</v>
      </c>
      <c r="L540" s="460" t="s">
        <v>2682</v>
      </c>
      <c r="M540" s="460" t="s">
        <v>2028</v>
      </c>
      <c r="N540" s="460" t="s">
        <v>1981</v>
      </c>
      <c r="O540" s="460" t="s">
        <v>1980</v>
      </c>
      <c r="P540" s="460" t="s">
        <v>1979</v>
      </c>
      <c r="Q540" s="460" t="s">
        <v>95</v>
      </c>
      <c r="R540" s="460" t="s">
        <v>1977</v>
      </c>
      <c r="S540" s="460" t="s">
        <v>1842</v>
      </c>
      <c r="T540" s="460" t="s">
        <v>1827</v>
      </c>
      <c r="U540" s="461" t="s">
        <v>1976</v>
      </c>
      <c r="V540" s="460" t="s">
        <v>1843</v>
      </c>
      <c r="W540" s="560"/>
      <c r="X540" s="461" t="s">
        <v>1824</v>
      </c>
      <c r="Y540" s="461" t="s">
        <v>1824</v>
      </c>
      <c r="Z540" s="461" t="s">
        <v>170</v>
      </c>
      <c r="AA540" s="460" t="s">
        <v>1218</v>
      </c>
      <c r="AB540" s="561">
        <f>ROUND(30.41,2)</f>
        <v>30.41</v>
      </c>
      <c r="AC540" s="460" t="s">
        <v>308</v>
      </c>
      <c r="AD540" s="460"/>
      <c r="AE540" s="561">
        <f>ROUND(70.29,2)</f>
        <v>70.290000000000006</v>
      </c>
      <c r="AF540" s="460" t="s">
        <v>308</v>
      </c>
      <c r="AG540" s="561">
        <f t="shared" si="8"/>
        <v>0</v>
      </c>
      <c r="AH540" s="460" t="s">
        <v>2671</v>
      </c>
      <c r="AI540" s="460" t="s">
        <v>1214</v>
      </c>
      <c r="AJ540" s="460" t="s">
        <v>2548</v>
      </c>
      <c r="AK540" s="460" t="s">
        <v>2672</v>
      </c>
      <c r="AL540" s="560" t="s">
        <v>2673</v>
      </c>
      <c r="AM540" s="460" t="s">
        <v>2674</v>
      </c>
    </row>
    <row r="541" spans="1:39" ht="22.8">
      <c r="A541" s="460" t="s">
        <v>1810</v>
      </c>
      <c r="B541" s="460"/>
      <c r="C541" s="460" t="s">
        <v>2422</v>
      </c>
      <c r="D541" s="460" t="s">
        <v>2847</v>
      </c>
      <c r="E541" s="460" t="s">
        <v>1818</v>
      </c>
      <c r="F541" s="460" t="s">
        <v>1812</v>
      </c>
      <c r="G541" s="461" t="s">
        <v>1218</v>
      </c>
      <c r="H541" s="461" t="s">
        <v>2848</v>
      </c>
      <c r="I541" s="460" t="s">
        <v>2849</v>
      </c>
      <c r="J541" s="460" t="s">
        <v>1990</v>
      </c>
      <c r="K541" s="460" t="s">
        <v>2669</v>
      </c>
      <c r="L541" s="460" t="s">
        <v>2700</v>
      </c>
      <c r="M541" s="460" t="s">
        <v>2002</v>
      </c>
      <c r="N541" s="460" t="s">
        <v>1981</v>
      </c>
      <c r="O541" s="460" t="s">
        <v>2001</v>
      </c>
      <c r="P541" s="460" t="s">
        <v>1979</v>
      </c>
      <c r="Q541" s="460" t="s">
        <v>95</v>
      </c>
      <c r="R541" s="460" t="s">
        <v>1977</v>
      </c>
      <c r="S541" s="460" t="s">
        <v>1842</v>
      </c>
      <c r="T541" s="460" t="s">
        <v>1827</v>
      </c>
      <c r="U541" s="461" t="s">
        <v>1976</v>
      </c>
      <c r="V541" s="460" t="s">
        <v>1119</v>
      </c>
      <c r="W541" s="560"/>
      <c r="X541" s="461" t="s">
        <v>2789</v>
      </c>
      <c r="Y541" s="461" t="s">
        <v>2789</v>
      </c>
      <c r="Z541" s="461" t="s">
        <v>170</v>
      </c>
      <c r="AA541" s="460" t="s">
        <v>1218</v>
      </c>
      <c r="AB541" s="561">
        <f>ROUND(0,2)</f>
        <v>0</v>
      </c>
      <c r="AC541" s="460" t="s">
        <v>308</v>
      </c>
      <c r="AD541" s="460"/>
      <c r="AE541" s="561">
        <f>ROUND(36.23,2)</f>
        <v>36.229999999999997</v>
      </c>
      <c r="AF541" s="460" t="s">
        <v>308</v>
      </c>
      <c r="AG541" s="561">
        <f t="shared" si="8"/>
        <v>0</v>
      </c>
      <c r="AH541" s="460" t="s">
        <v>2671</v>
      </c>
      <c r="AI541" s="460" t="s">
        <v>1214</v>
      </c>
      <c r="AJ541" s="460"/>
      <c r="AK541" s="460"/>
      <c r="AL541" s="560"/>
      <c r="AM541" s="460"/>
    </row>
    <row r="542" spans="1:39" ht="22.8">
      <c r="A542" s="460" t="s">
        <v>1810</v>
      </c>
      <c r="B542" s="460"/>
      <c r="C542" s="460" t="s">
        <v>2422</v>
      </c>
      <c r="D542" s="460" t="s">
        <v>2847</v>
      </c>
      <c r="E542" s="460" t="s">
        <v>1818</v>
      </c>
      <c r="F542" s="460" t="s">
        <v>1812</v>
      </c>
      <c r="G542" s="461" t="s">
        <v>1218</v>
      </c>
      <c r="H542" s="461" t="s">
        <v>2848</v>
      </c>
      <c r="I542" s="460" t="s">
        <v>2849</v>
      </c>
      <c r="J542" s="460" t="s">
        <v>1990</v>
      </c>
      <c r="K542" s="460" t="s">
        <v>2669</v>
      </c>
      <c r="L542" s="460" t="s">
        <v>2700</v>
      </c>
      <c r="M542" s="460" t="s">
        <v>2002</v>
      </c>
      <c r="N542" s="460" t="s">
        <v>1981</v>
      </c>
      <c r="O542" s="460" t="s">
        <v>2001</v>
      </c>
      <c r="P542" s="460" t="s">
        <v>2675</v>
      </c>
      <c r="Q542" s="460" t="s">
        <v>2676</v>
      </c>
      <c r="R542" s="460" t="s">
        <v>2677</v>
      </c>
      <c r="S542" s="460" t="s">
        <v>2676</v>
      </c>
      <c r="T542" s="460" t="s">
        <v>1827</v>
      </c>
      <c r="U542" s="461" t="s">
        <v>1824</v>
      </c>
      <c r="V542" s="460" t="s">
        <v>1119</v>
      </c>
      <c r="W542" s="560"/>
      <c r="X542" s="461" t="s">
        <v>2789</v>
      </c>
      <c r="Y542" s="461" t="s">
        <v>2683</v>
      </c>
      <c r="Z542" s="461" t="s">
        <v>170</v>
      </c>
      <c r="AA542" s="460" t="s">
        <v>1218</v>
      </c>
      <c r="AB542" s="561">
        <f>ROUND(60,2)</f>
        <v>60</v>
      </c>
      <c r="AC542" s="460" t="s">
        <v>2678</v>
      </c>
      <c r="AD542" s="460"/>
      <c r="AE542" s="561">
        <f>ROUND(500.05,2)</f>
        <v>500.05</v>
      </c>
      <c r="AF542" s="460" t="s">
        <v>2679</v>
      </c>
      <c r="AG542" s="561">
        <f t="shared" si="8"/>
        <v>0</v>
      </c>
      <c r="AH542" s="460" t="s">
        <v>2671</v>
      </c>
      <c r="AI542" s="460" t="s">
        <v>1214</v>
      </c>
      <c r="AJ542" s="460" t="s">
        <v>2550</v>
      </c>
      <c r="AK542" s="460" t="s">
        <v>2672</v>
      </c>
      <c r="AL542" s="560" t="s">
        <v>2808</v>
      </c>
      <c r="AM542" s="460" t="s">
        <v>2674</v>
      </c>
    </row>
    <row r="543" spans="1:39" ht="22.8">
      <c r="A543" s="460" t="s">
        <v>1810</v>
      </c>
      <c r="B543" s="460"/>
      <c r="C543" s="460" t="s">
        <v>2422</v>
      </c>
      <c r="D543" s="460" t="s">
        <v>2847</v>
      </c>
      <c r="E543" s="460" t="s">
        <v>1818</v>
      </c>
      <c r="F543" s="460" t="s">
        <v>1812</v>
      </c>
      <c r="G543" s="461" t="s">
        <v>1218</v>
      </c>
      <c r="H543" s="461" t="s">
        <v>2848</v>
      </c>
      <c r="I543" s="460" t="s">
        <v>2849</v>
      </c>
      <c r="J543" s="460" t="s">
        <v>1990</v>
      </c>
      <c r="K543" s="460" t="s">
        <v>2669</v>
      </c>
      <c r="L543" s="460" t="s">
        <v>2700</v>
      </c>
      <c r="M543" s="460" t="s">
        <v>2002</v>
      </c>
      <c r="N543" s="460" t="s">
        <v>1981</v>
      </c>
      <c r="O543" s="460" t="s">
        <v>2001</v>
      </c>
      <c r="P543" s="460" t="s">
        <v>1979</v>
      </c>
      <c r="Q543" s="460" t="s">
        <v>1978</v>
      </c>
      <c r="R543" s="460" t="s">
        <v>1977</v>
      </c>
      <c r="S543" s="460" t="s">
        <v>1826</v>
      </c>
      <c r="T543" s="460" t="s">
        <v>1827</v>
      </c>
      <c r="U543" s="461" t="s">
        <v>1976</v>
      </c>
      <c r="V543" s="460" t="s">
        <v>1119</v>
      </c>
      <c r="W543" s="560"/>
      <c r="X543" s="461" t="s">
        <v>2789</v>
      </c>
      <c r="Y543" s="461" t="s">
        <v>2683</v>
      </c>
      <c r="Z543" s="461" t="s">
        <v>170</v>
      </c>
      <c r="AA543" s="460" t="s">
        <v>1218</v>
      </c>
      <c r="AB543" s="561">
        <f>ROUND(29.05,2)</f>
        <v>29.05</v>
      </c>
      <c r="AC543" s="460" t="s">
        <v>308</v>
      </c>
      <c r="AD543" s="460"/>
      <c r="AE543" s="561">
        <f>ROUND(825.23,2)</f>
        <v>825.23</v>
      </c>
      <c r="AF543" s="460" t="s">
        <v>308</v>
      </c>
      <c r="AG543" s="561">
        <f t="shared" si="8"/>
        <v>0</v>
      </c>
      <c r="AH543" s="460" t="s">
        <v>2671</v>
      </c>
      <c r="AI543" s="460" t="s">
        <v>1214</v>
      </c>
      <c r="AJ543" s="460" t="s">
        <v>2549</v>
      </c>
      <c r="AK543" s="460" t="s">
        <v>2672</v>
      </c>
      <c r="AL543" s="560" t="s">
        <v>2692</v>
      </c>
      <c r="AM543" s="460" t="s">
        <v>2674</v>
      </c>
    </row>
    <row r="544" spans="1:39" ht="22.8">
      <c r="A544" s="460" t="s">
        <v>1810</v>
      </c>
      <c r="B544" s="460"/>
      <c r="C544" s="460" t="s">
        <v>1438</v>
      </c>
      <c r="D544" s="460" t="s">
        <v>2134</v>
      </c>
      <c r="E544" s="460" t="s">
        <v>1814</v>
      </c>
      <c r="F544" s="460" t="s">
        <v>1812</v>
      </c>
      <c r="G544" s="461" t="s">
        <v>1218</v>
      </c>
      <c r="H544" s="461" t="s">
        <v>207</v>
      </c>
      <c r="I544" s="460" t="s">
        <v>2045</v>
      </c>
      <c r="J544" s="460" t="s">
        <v>1983</v>
      </c>
      <c r="K544" s="460" t="s">
        <v>2669</v>
      </c>
      <c r="L544" s="460" t="s">
        <v>2703</v>
      </c>
      <c r="M544" s="460" t="s">
        <v>1982</v>
      </c>
      <c r="N544" s="460" t="s">
        <v>1981</v>
      </c>
      <c r="O544" s="460" t="s">
        <v>1980</v>
      </c>
      <c r="P544" s="460" t="s">
        <v>1979</v>
      </c>
      <c r="Q544" s="460" t="s">
        <v>95</v>
      </c>
      <c r="R544" s="460" t="s">
        <v>1977</v>
      </c>
      <c r="S544" s="460" t="s">
        <v>1842</v>
      </c>
      <c r="T544" s="460" t="s">
        <v>1827</v>
      </c>
      <c r="U544" s="461" t="s">
        <v>1976</v>
      </c>
      <c r="V544" s="460" t="s">
        <v>1843</v>
      </c>
      <c r="W544" s="560"/>
      <c r="X544" s="461" t="s">
        <v>1824</v>
      </c>
      <c r="Y544" s="461" t="s">
        <v>1824</v>
      </c>
      <c r="Z544" s="461" t="s">
        <v>170</v>
      </c>
      <c r="AA544" s="460" t="s">
        <v>1218</v>
      </c>
      <c r="AB544" s="561">
        <f>ROUND(30.41,2)</f>
        <v>30.41</v>
      </c>
      <c r="AC544" s="460" t="s">
        <v>308</v>
      </c>
      <c r="AD544" s="460"/>
      <c r="AE544" s="561">
        <f>ROUND(70.29,2)</f>
        <v>70.290000000000006</v>
      </c>
      <c r="AF544" s="460" t="s">
        <v>308</v>
      </c>
      <c r="AG544" s="561">
        <f t="shared" si="8"/>
        <v>0</v>
      </c>
      <c r="AH544" s="460" t="s">
        <v>2671</v>
      </c>
      <c r="AI544" s="460" t="s">
        <v>1214</v>
      </c>
      <c r="AJ544" s="460" t="s">
        <v>2548</v>
      </c>
      <c r="AK544" s="460" t="s">
        <v>2672</v>
      </c>
      <c r="AL544" s="560" t="s">
        <v>2673</v>
      </c>
      <c r="AM544" s="460" t="s">
        <v>2674</v>
      </c>
    </row>
    <row r="545" spans="1:39" ht="22.8">
      <c r="A545" s="460" t="s">
        <v>1810</v>
      </c>
      <c r="B545" s="460"/>
      <c r="C545" s="460" t="s">
        <v>1438</v>
      </c>
      <c r="D545" s="460" t="s">
        <v>2134</v>
      </c>
      <c r="E545" s="460" t="s">
        <v>1814</v>
      </c>
      <c r="F545" s="460" t="s">
        <v>1812</v>
      </c>
      <c r="G545" s="461" t="s">
        <v>1218</v>
      </c>
      <c r="H545" s="461" t="s">
        <v>207</v>
      </c>
      <c r="I545" s="460" t="s">
        <v>2045</v>
      </c>
      <c r="J545" s="460" t="s">
        <v>1983</v>
      </c>
      <c r="K545" s="460" t="s">
        <v>2669</v>
      </c>
      <c r="L545" s="460" t="s">
        <v>2703</v>
      </c>
      <c r="M545" s="460" t="s">
        <v>1982</v>
      </c>
      <c r="N545" s="460" t="s">
        <v>1981</v>
      </c>
      <c r="O545" s="460" t="s">
        <v>1980</v>
      </c>
      <c r="P545" s="460" t="s">
        <v>2675</v>
      </c>
      <c r="Q545" s="460" t="s">
        <v>2676</v>
      </c>
      <c r="R545" s="460" t="s">
        <v>2677</v>
      </c>
      <c r="S545" s="460" t="s">
        <v>2676</v>
      </c>
      <c r="T545" s="460" t="s">
        <v>1827</v>
      </c>
      <c r="U545" s="461" t="s">
        <v>1824</v>
      </c>
      <c r="V545" s="460" t="s">
        <v>1843</v>
      </c>
      <c r="W545" s="560"/>
      <c r="X545" s="461" t="s">
        <v>1824</v>
      </c>
      <c r="Y545" s="461" t="s">
        <v>1824</v>
      </c>
      <c r="Z545" s="461" t="s">
        <v>170</v>
      </c>
      <c r="AA545" s="460" t="s">
        <v>1218</v>
      </c>
      <c r="AB545" s="561">
        <f>ROUND(100,2)</f>
        <v>100</v>
      </c>
      <c r="AC545" s="460" t="s">
        <v>2678</v>
      </c>
      <c r="AD545" s="460"/>
      <c r="AE545" s="561">
        <f>ROUND(1000,2)</f>
        <v>1000</v>
      </c>
      <c r="AF545" s="460" t="s">
        <v>2679</v>
      </c>
      <c r="AG545" s="561">
        <f t="shared" si="8"/>
        <v>0</v>
      </c>
      <c r="AH545" s="460" t="s">
        <v>2671</v>
      </c>
      <c r="AI545" s="460" t="s">
        <v>1214</v>
      </c>
      <c r="AJ545" s="460" t="s">
        <v>2550</v>
      </c>
      <c r="AK545" s="460" t="s">
        <v>2672</v>
      </c>
      <c r="AL545" s="560" t="s">
        <v>2691</v>
      </c>
      <c r="AM545" s="460" t="s">
        <v>2674</v>
      </c>
    </row>
    <row r="546" spans="1:39" ht="22.8">
      <c r="A546" s="460" t="s">
        <v>1810</v>
      </c>
      <c r="B546" s="460"/>
      <c r="C546" s="460" t="s">
        <v>1438</v>
      </c>
      <c r="D546" s="460" t="s">
        <v>2134</v>
      </c>
      <c r="E546" s="460" t="s">
        <v>1814</v>
      </c>
      <c r="F546" s="460" t="s">
        <v>1812</v>
      </c>
      <c r="G546" s="461" t="s">
        <v>1218</v>
      </c>
      <c r="H546" s="461" t="s">
        <v>207</v>
      </c>
      <c r="I546" s="460" t="s">
        <v>2045</v>
      </c>
      <c r="J546" s="460" t="s">
        <v>1983</v>
      </c>
      <c r="K546" s="460" t="s">
        <v>2669</v>
      </c>
      <c r="L546" s="460" t="s">
        <v>2703</v>
      </c>
      <c r="M546" s="460" t="s">
        <v>1982</v>
      </c>
      <c r="N546" s="460" t="s">
        <v>1981</v>
      </c>
      <c r="O546" s="460" t="s">
        <v>1980</v>
      </c>
      <c r="P546" s="460" t="s">
        <v>1979</v>
      </c>
      <c r="Q546" s="460" t="s">
        <v>1978</v>
      </c>
      <c r="R546" s="460" t="s">
        <v>1977</v>
      </c>
      <c r="S546" s="460" t="s">
        <v>1826</v>
      </c>
      <c r="T546" s="460" t="s">
        <v>1827</v>
      </c>
      <c r="U546" s="461" t="s">
        <v>1976</v>
      </c>
      <c r="V546" s="460" t="s">
        <v>1851</v>
      </c>
      <c r="W546" s="560"/>
      <c r="X546" s="461" t="s">
        <v>1824</v>
      </c>
      <c r="Y546" s="461" t="s">
        <v>1824</v>
      </c>
      <c r="Z546" s="461" t="s">
        <v>170</v>
      </c>
      <c r="AA546" s="460" t="s">
        <v>1218</v>
      </c>
      <c r="AB546" s="561">
        <f>ROUND(403.53,2)</f>
        <v>403.53</v>
      </c>
      <c r="AC546" s="460" t="s">
        <v>308</v>
      </c>
      <c r="AD546" s="460"/>
      <c r="AE546" s="561">
        <f>ROUND(1217.06,2)</f>
        <v>1217.06</v>
      </c>
      <c r="AF546" s="460" t="s">
        <v>308</v>
      </c>
      <c r="AG546" s="561">
        <f t="shared" si="8"/>
        <v>0</v>
      </c>
      <c r="AH546" s="460" t="s">
        <v>2671</v>
      </c>
      <c r="AI546" s="460" t="s">
        <v>1214</v>
      </c>
      <c r="AJ546" s="460" t="s">
        <v>2549</v>
      </c>
      <c r="AK546" s="460" t="s">
        <v>2672</v>
      </c>
      <c r="AL546" s="560" t="s">
        <v>2706</v>
      </c>
      <c r="AM546" s="460" t="s">
        <v>2674</v>
      </c>
    </row>
    <row r="547" spans="1:39" ht="22.8">
      <c r="A547" s="460" t="s">
        <v>1810</v>
      </c>
      <c r="B547" s="460"/>
      <c r="C547" s="460" t="s">
        <v>1440</v>
      </c>
      <c r="D547" s="460" t="s">
        <v>2133</v>
      </c>
      <c r="E547" s="460" t="s">
        <v>1821</v>
      </c>
      <c r="F547" s="460" t="s">
        <v>1812</v>
      </c>
      <c r="G547" s="461" t="s">
        <v>1218</v>
      </c>
      <c r="H547" s="461" t="s">
        <v>246</v>
      </c>
      <c r="I547" s="460" t="s">
        <v>2132</v>
      </c>
      <c r="J547" s="460" t="s">
        <v>1983</v>
      </c>
      <c r="K547" s="460" t="s">
        <v>2669</v>
      </c>
      <c r="L547" s="460" t="s">
        <v>2714</v>
      </c>
      <c r="M547" s="460" t="s">
        <v>1994</v>
      </c>
      <c r="N547" s="460" t="s">
        <v>1981</v>
      </c>
      <c r="O547" s="460" t="s">
        <v>1980</v>
      </c>
      <c r="P547" s="460" t="s">
        <v>1979</v>
      </c>
      <c r="Q547" s="460" t="s">
        <v>95</v>
      </c>
      <c r="R547" s="460" t="s">
        <v>1977</v>
      </c>
      <c r="S547" s="460" t="s">
        <v>1842</v>
      </c>
      <c r="T547" s="460" t="s">
        <v>1827</v>
      </c>
      <c r="U547" s="461" t="s">
        <v>1976</v>
      </c>
      <c r="V547" s="460" t="s">
        <v>1119</v>
      </c>
      <c r="W547" s="560"/>
      <c r="X547" s="461" t="s">
        <v>1824</v>
      </c>
      <c r="Y547" s="461" t="s">
        <v>1824</v>
      </c>
      <c r="Z547" s="461" t="s">
        <v>170</v>
      </c>
      <c r="AA547" s="460" t="s">
        <v>1218</v>
      </c>
      <c r="AB547" s="561">
        <f>ROUND(0,2)</f>
        <v>0</v>
      </c>
      <c r="AC547" s="460" t="s">
        <v>308</v>
      </c>
      <c r="AD547" s="460"/>
      <c r="AE547" s="561">
        <f>ROUND(36.23,2)</f>
        <v>36.229999999999997</v>
      </c>
      <c r="AF547" s="460" t="s">
        <v>308</v>
      </c>
      <c r="AG547" s="561">
        <f t="shared" si="8"/>
        <v>0</v>
      </c>
      <c r="AH547" s="460" t="s">
        <v>2671</v>
      </c>
      <c r="AI547" s="460" t="s">
        <v>1214</v>
      </c>
      <c r="AJ547" s="460"/>
      <c r="AK547" s="460"/>
      <c r="AL547" s="560"/>
      <c r="AM547" s="460"/>
    </row>
    <row r="548" spans="1:39" ht="22.8">
      <c r="A548" s="460" t="s">
        <v>1810</v>
      </c>
      <c r="B548" s="460"/>
      <c r="C548" s="460" t="s">
        <v>1440</v>
      </c>
      <c r="D548" s="460" t="s">
        <v>2133</v>
      </c>
      <c r="E548" s="460" t="s">
        <v>1821</v>
      </c>
      <c r="F548" s="460" t="s">
        <v>1812</v>
      </c>
      <c r="G548" s="461" t="s">
        <v>1218</v>
      </c>
      <c r="H548" s="461" t="s">
        <v>246</v>
      </c>
      <c r="I548" s="460" t="s">
        <v>2132</v>
      </c>
      <c r="J548" s="460" t="s">
        <v>1983</v>
      </c>
      <c r="K548" s="460" t="s">
        <v>2669</v>
      </c>
      <c r="L548" s="460" t="s">
        <v>2714</v>
      </c>
      <c r="M548" s="460" t="s">
        <v>1994</v>
      </c>
      <c r="N548" s="460" t="s">
        <v>1981</v>
      </c>
      <c r="O548" s="460" t="s">
        <v>1980</v>
      </c>
      <c r="P548" s="460" t="s">
        <v>2675</v>
      </c>
      <c r="Q548" s="460" t="s">
        <v>2676</v>
      </c>
      <c r="R548" s="460" t="s">
        <v>2677</v>
      </c>
      <c r="S548" s="460" t="s">
        <v>2676</v>
      </c>
      <c r="T548" s="460" t="s">
        <v>1827</v>
      </c>
      <c r="U548" s="461" t="s">
        <v>1824</v>
      </c>
      <c r="V548" s="460" t="s">
        <v>1119</v>
      </c>
      <c r="W548" s="560"/>
      <c r="X548" s="461" t="s">
        <v>1824</v>
      </c>
      <c r="Y548" s="461" t="s">
        <v>1824</v>
      </c>
      <c r="Z548" s="461" t="s">
        <v>170</v>
      </c>
      <c r="AA548" s="460" t="s">
        <v>1218</v>
      </c>
      <c r="AB548" s="561">
        <f>ROUND(120,2)</f>
        <v>120</v>
      </c>
      <c r="AC548" s="460" t="s">
        <v>2678</v>
      </c>
      <c r="AD548" s="460"/>
      <c r="AE548" s="561">
        <f>ROUND(500.05,2)</f>
        <v>500.05</v>
      </c>
      <c r="AF548" s="460" t="s">
        <v>2679</v>
      </c>
      <c r="AG548" s="561">
        <f t="shared" si="8"/>
        <v>0</v>
      </c>
      <c r="AH548" s="460" t="s">
        <v>2671</v>
      </c>
      <c r="AI548" s="460" t="s">
        <v>1214</v>
      </c>
      <c r="AJ548" s="460" t="s">
        <v>2550</v>
      </c>
      <c r="AK548" s="460" t="s">
        <v>2672</v>
      </c>
      <c r="AL548" s="560" t="s">
        <v>2850</v>
      </c>
      <c r="AM548" s="460" t="s">
        <v>2674</v>
      </c>
    </row>
    <row r="549" spans="1:39" ht="22.8">
      <c r="A549" s="460" t="s">
        <v>1810</v>
      </c>
      <c r="B549" s="460"/>
      <c r="C549" s="460" t="s">
        <v>1440</v>
      </c>
      <c r="D549" s="460" t="s">
        <v>2133</v>
      </c>
      <c r="E549" s="460" t="s">
        <v>1821</v>
      </c>
      <c r="F549" s="460" t="s">
        <v>1812</v>
      </c>
      <c r="G549" s="461" t="s">
        <v>1218</v>
      </c>
      <c r="H549" s="461" t="s">
        <v>246</v>
      </c>
      <c r="I549" s="460" t="s">
        <v>2132</v>
      </c>
      <c r="J549" s="460" t="s">
        <v>1983</v>
      </c>
      <c r="K549" s="460" t="s">
        <v>2669</v>
      </c>
      <c r="L549" s="460" t="s">
        <v>2714</v>
      </c>
      <c r="M549" s="460" t="s">
        <v>1994</v>
      </c>
      <c r="N549" s="460" t="s">
        <v>1981</v>
      </c>
      <c r="O549" s="460" t="s">
        <v>1980</v>
      </c>
      <c r="P549" s="460" t="s">
        <v>1979</v>
      </c>
      <c r="Q549" s="460" t="s">
        <v>1978</v>
      </c>
      <c r="R549" s="460" t="s">
        <v>1977</v>
      </c>
      <c r="S549" s="460" t="s">
        <v>1826</v>
      </c>
      <c r="T549" s="460" t="s">
        <v>1827</v>
      </c>
      <c r="U549" s="461" t="s">
        <v>1976</v>
      </c>
      <c r="V549" s="460" t="s">
        <v>1119</v>
      </c>
      <c r="W549" s="560"/>
      <c r="X549" s="461" t="s">
        <v>1824</v>
      </c>
      <c r="Y549" s="461" t="s">
        <v>1824</v>
      </c>
      <c r="Z549" s="461" t="s">
        <v>170</v>
      </c>
      <c r="AA549" s="460" t="s">
        <v>1218</v>
      </c>
      <c r="AB549" s="561">
        <f>ROUND(45.28,2)</f>
        <v>45.28</v>
      </c>
      <c r="AC549" s="460" t="s">
        <v>308</v>
      </c>
      <c r="AD549" s="460"/>
      <c r="AE549" s="561">
        <f>ROUND(809,2)</f>
        <v>809</v>
      </c>
      <c r="AF549" s="460" t="s">
        <v>308</v>
      </c>
      <c r="AG549" s="561">
        <f t="shared" si="8"/>
        <v>0</v>
      </c>
      <c r="AH549" s="460" t="s">
        <v>2671</v>
      </c>
      <c r="AI549" s="460" t="s">
        <v>1214</v>
      </c>
      <c r="AJ549" s="460" t="s">
        <v>2549</v>
      </c>
      <c r="AK549" s="460" t="s">
        <v>2672</v>
      </c>
      <c r="AL549" s="560" t="s">
        <v>2752</v>
      </c>
      <c r="AM549" s="460" t="s">
        <v>2674</v>
      </c>
    </row>
    <row r="550" spans="1:39" ht="22.8">
      <c r="A550" s="460" t="s">
        <v>1810</v>
      </c>
      <c r="B550" s="460"/>
      <c r="C550" s="460" t="s">
        <v>1586</v>
      </c>
      <c r="D550" s="460" t="s">
        <v>2382</v>
      </c>
      <c r="E550" s="460" t="s">
        <v>1816</v>
      </c>
      <c r="F550" s="460" t="s">
        <v>1812</v>
      </c>
      <c r="G550" s="461" t="s">
        <v>1218</v>
      </c>
      <c r="H550" s="461" t="s">
        <v>654</v>
      </c>
      <c r="I550" s="460" t="s">
        <v>2181</v>
      </c>
      <c r="J550" s="460" t="s">
        <v>1983</v>
      </c>
      <c r="K550" s="460" t="s">
        <v>2669</v>
      </c>
      <c r="L550" s="460" t="s">
        <v>2837</v>
      </c>
      <c r="M550" s="460" t="s">
        <v>2022</v>
      </c>
      <c r="N550" s="460" t="s">
        <v>2021</v>
      </c>
      <c r="O550" s="460" t="s">
        <v>2001</v>
      </c>
      <c r="P550" s="460" t="s">
        <v>1979</v>
      </c>
      <c r="Q550" s="460" t="s">
        <v>95</v>
      </c>
      <c r="R550" s="460" t="s">
        <v>1977</v>
      </c>
      <c r="S550" s="460" t="s">
        <v>1842</v>
      </c>
      <c r="T550" s="460" t="s">
        <v>1827</v>
      </c>
      <c r="U550" s="461" t="s">
        <v>1976</v>
      </c>
      <c r="V550" s="460" t="s">
        <v>1119</v>
      </c>
      <c r="W550" s="560"/>
      <c r="X550" s="461" t="s">
        <v>1824</v>
      </c>
      <c r="Y550" s="461" t="s">
        <v>1824</v>
      </c>
      <c r="Z550" s="461" t="s">
        <v>170</v>
      </c>
      <c r="AA550" s="460" t="s">
        <v>1218</v>
      </c>
      <c r="AB550" s="561">
        <f>ROUND(0,2)</f>
        <v>0</v>
      </c>
      <c r="AC550" s="460" t="s">
        <v>308</v>
      </c>
      <c r="AD550" s="460"/>
      <c r="AE550" s="561">
        <f>ROUND(36.23,2)</f>
        <v>36.229999999999997</v>
      </c>
      <c r="AF550" s="460" t="s">
        <v>308</v>
      </c>
      <c r="AG550" s="561">
        <f t="shared" si="8"/>
        <v>0</v>
      </c>
      <c r="AH550" s="460" t="s">
        <v>2671</v>
      </c>
      <c r="AI550" s="460" t="s">
        <v>1214</v>
      </c>
      <c r="AJ550" s="460"/>
      <c r="AK550" s="460"/>
      <c r="AL550" s="560"/>
      <c r="AM550" s="460"/>
    </row>
    <row r="551" spans="1:39" ht="22.8">
      <c r="A551" s="460" t="s">
        <v>1810</v>
      </c>
      <c r="B551" s="460"/>
      <c r="C551" s="460" t="s">
        <v>1447</v>
      </c>
      <c r="D551" s="460" t="s">
        <v>2131</v>
      </c>
      <c r="E551" s="460" t="s">
        <v>1821</v>
      </c>
      <c r="F551" s="460" t="s">
        <v>1812</v>
      </c>
      <c r="G551" s="461" t="s">
        <v>1218</v>
      </c>
      <c r="H551" s="461" t="s">
        <v>247</v>
      </c>
      <c r="I551" s="460" t="s">
        <v>2130</v>
      </c>
      <c r="J551" s="460" t="s">
        <v>1983</v>
      </c>
      <c r="K551" s="460" t="s">
        <v>2669</v>
      </c>
      <c r="L551" s="460" t="s">
        <v>2714</v>
      </c>
      <c r="M551" s="460" t="s">
        <v>1994</v>
      </c>
      <c r="N551" s="460" t="s">
        <v>1981</v>
      </c>
      <c r="O551" s="460" t="s">
        <v>1980</v>
      </c>
      <c r="P551" s="460" t="s">
        <v>1979</v>
      </c>
      <c r="Q551" s="460" t="s">
        <v>95</v>
      </c>
      <c r="R551" s="460" t="s">
        <v>1977</v>
      </c>
      <c r="S551" s="460" t="s">
        <v>1842</v>
      </c>
      <c r="T551" s="460" t="s">
        <v>1827</v>
      </c>
      <c r="U551" s="461" t="s">
        <v>1976</v>
      </c>
      <c r="V551" s="460" t="s">
        <v>1119</v>
      </c>
      <c r="W551" s="560"/>
      <c r="X551" s="461" t="s">
        <v>1824</v>
      </c>
      <c r="Y551" s="461" t="s">
        <v>1824</v>
      </c>
      <c r="Z551" s="461" t="s">
        <v>170</v>
      </c>
      <c r="AA551" s="460" t="s">
        <v>1218</v>
      </c>
      <c r="AB551" s="561">
        <f>ROUND(0,2)</f>
        <v>0</v>
      </c>
      <c r="AC551" s="460" t="s">
        <v>308</v>
      </c>
      <c r="AD551" s="460"/>
      <c r="AE551" s="561">
        <f>ROUND(36.23,2)</f>
        <v>36.229999999999997</v>
      </c>
      <c r="AF551" s="460" t="s">
        <v>308</v>
      </c>
      <c r="AG551" s="561">
        <f t="shared" si="8"/>
        <v>0</v>
      </c>
      <c r="AH551" s="460" t="s">
        <v>2671</v>
      </c>
      <c r="AI551" s="460" t="s">
        <v>1214</v>
      </c>
      <c r="AJ551" s="460"/>
      <c r="AK551" s="460"/>
      <c r="AL551" s="560"/>
      <c r="AM551" s="460"/>
    </row>
    <row r="552" spans="1:39" ht="22.8">
      <c r="A552" s="460" t="s">
        <v>1810</v>
      </c>
      <c r="B552" s="460"/>
      <c r="C552" s="460" t="s">
        <v>1447</v>
      </c>
      <c r="D552" s="460" t="s">
        <v>2131</v>
      </c>
      <c r="E552" s="460" t="s">
        <v>1821</v>
      </c>
      <c r="F552" s="460" t="s">
        <v>1812</v>
      </c>
      <c r="G552" s="461" t="s">
        <v>1218</v>
      </c>
      <c r="H552" s="461" t="s">
        <v>247</v>
      </c>
      <c r="I552" s="460" t="s">
        <v>2130</v>
      </c>
      <c r="J552" s="460" t="s">
        <v>1983</v>
      </c>
      <c r="K552" s="460" t="s">
        <v>2669</v>
      </c>
      <c r="L552" s="460" t="s">
        <v>2714</v>
      </c>
      <c r="M552" s="460" t="s">
        <v>1994</v>
      </c>
      <c r="N552" s="460" t="s">
        <v>1981</v>
      </c>
      <c r="O552" s="460" t="s">
        <v>1980</v>
      </c>
      <c r="P552" s="460" t="s">
        <v>2675</v>
      </c>
      <c r="Q552" s="460" t="s">
        <v>2676</v>
      </c>
      <c r="R552" s="460" t="s">
        <v>2677</v>
      </c>
      <c r="S552" s="460" t="s">
        <v>2676</v>
      </c>
      <c r="T552" s="460" t="s">
        <v>1827</v>
      </c>
      <c r="U552" s="461" t="s">
        <v>1824</v>
      </c>
      <c r="V552" s="460" t="s">
        <v>1119</v>
      </c>
      <c r="W552" s="560"/>
      <c r="X552" s="461" t="s">
        <v>1824</v>
      </c>
      <c r="Y552" s="461" t="s">
        <v>1824</v>
      </c>
      <c r="Z552" s="461" t="s">
        <v>170</v>
      </c>
      <c r="AA552" s="460" t="s">
        <v>1218</v>
      </c>
      <c r="AB552" s="561">
        <f>ROUND(50,2)</f>
        <v>50</v>
      </c>
      <c r="AC552" s="460" t="s">
        <v>2678</v>
      </c>
      <c r="AD552" s="460"/>
      <c r="AE552" s="561">
        <f>ROUND(500.05,2)</f>
        <v>500.05</v>
      </c>
      <c r="AF552" s="460" t="s">
        <v>2679</v>
      </c>
      <c r="AG552" s="561">
        <f t="shared" si="8"/>
        <v>0</v>
      </c>
      <c r="AH552" s="460" t="s">
        <v>2671</v>
      </c>
      <c r="AI552" s="460" t="s">
        <v>1214</v>
      </c>
      <c r="AJ552" s="460" t="s">
        <v>2550</v>
      </c>
      <c r="AK552" s="460" t="s">
        <v>2672</v>
      </c>
      <c r="AL552" s="560" t="s">
        <v>2690</v>
      </c>
      <c r="AM552" s="460" t="s">
        <v>2674</v>
      </c>
    </row>
    <row r="553" spans="1:39" ht="22.8">
      <c r="A553" s="460" t="s">
        <v>1810</v>
      </c>
      <c r="B553" s="460"/>
      <c r="C553" s="460" t="s">
        <v>1447</v>
      </c>
      <c r="D553" s="460" t="s">
        <v>2131</v>
      </c>
      <c r="E553" s="460" t="s">
        <v>1821</v>
      </c>
      <c r="F553" s="460" t="s">
        <v>1812</v>
      </c>
      <c r="G553" s="461" t="s">
        <v>1218</v>
      </c>
      <c r="H553" s="461" t="s">
        <v>247</v>
      </c>
      <c r="I553" s="460" t="s">
        <v>2130</v>
      </c>
      <c r="J553" s="460" t="s">
        <v>1983</v>
      </c>
      <c r="K553" s="460" t="s">
        <v>2669</v>
      </c>
      <c r="L553" s="460" t="s">
        <v>2714</v>
      </c>
      <c r="M553" s="460" t="s">
        <v>1994</v>
      </c>
      <c r="N553" s="460" t="s">
        <v>1981</v>
      </c>
      <c r="O553" s="460" t="s">
        <v>1980</v>
      </c>
      <c r="P553" s="460" t="s">
        <v>1979</v>
      </c>
      <c r="Q553" s="460" t="s">
        <v>1978</v>
      </c>
      <c r="R553" s="460" t="s">
        <v>1977</v>
      </c>
      <c r="S553" s="460" t="s">
        <v>1826</v>
      </c>
      <c r="T553" s="460" t="s">
        <v>1827</v>
      </c>
      <c r="U553" s="461" t="s">
        <v>1976</v>
      </c>
      <c r="V553" s="460" t="s">
        <v>1119</v>
      </c>
      <c r="W553" s="560"/>
      <c r="X553" s="461" t="s">
        <v>1824</v>
      </c>
      <c r="Y553" s="461" t="s">
        <v>1824</v>
      </c>
      <c r="Z553" s="461" t="s">
        <v>170</v>
      </c>
      <c r="AA553" s="460" t="s">
        <v>1218</v>
      </c>
      <c r="AB553" s="561">
        <f>ROUND(35.03,2)</f>
        <v>35.03</v>
      </c>
      <c r="AC553" s="460" t="s">
        <v>308</v>
      </c>
      <c r="AD553" s="460"/>
      <c r="AE553" s="561">
        <f>ROUND(819.25,2)</f>
        <v>819.25</v>
      </c>
      <c r="AF553" s="460" t="s">
        <v>308</v>
      </c>
      <c r="AG553" s="561">
        <f t="shared" si="8"/>
        <v>0</v>
      </c>
      <c r="AH553" s="460" t="s">
        <v>2671</v>
      </c>
      <c r="AI553" s="460" t="s">
        <v>1214</v>
      </c>
      <c r="AJ553" s="460" t="s">
        <v>2549</v>
      </c>
      <c r="AK553" s="460" t="s">
        <v>2672</v>
      </c>
      <c r="AL553" s="560" t="s">
        <v>2694</v>
      </c>
      <c r="AM553" s="460" t="s">
        <v>2674</v>
      </c>
    </row>
    <row r="554" spans="1:39" ht="22.8">
      <c r="A554" s="460" t="s">
        <v>1810</v>
      </c>
      <c r="B554" s="460"/>
      <c r="C554" s="460" t="s">
        <v>1449</v>
      </c>
      <c r="D554" s="460" t="s">
        <v>2129</v>
      </c>
      <c r="E554" s="460" t="s">
        <v>1821</v>
      </c>
      <c r="F554" s="460" t="s">
        <v>1812</v>
      </c>
      <c r="G554" s="461" t="s">
        <v>1218</v>
      </c>
      <c r="H554" s="461" t="s">
        <v>248</v>
      </c>
      <c r="I554" s="460" t="s">
        <v>2128</v>
      </c>
      <c r="J554" s="460" t="s">
        <v>1983</v>
      </c>
      <c r="K554" s="460" t="s">
        <v>2669</v>
      </c>
      <c r="L554" s="460" t="s">
        <v>2714</v>
      </c>
      <c r="M554" s="460" t="s">
        <v>1994</v>
      </c>
      <c r="N554" s="460" t="s">
        <v>1981</v>
      </c>
      <c r="O554" s="460" t="s">
        <v>1980</v>
      </c>
      <c r="P554" s="460" t="s">
        <v>1979</v>
      </c>
      <c r="Q554" s="460" t="s">
        <v>95</v>
      </c>
      <c r="R554" s="460" t="s">
        <v>1977</v>
      </c>
      <c r="S554" s="460" t="s">
        <v>1842</v>
      </c>
      <c r="T554" s="460" t="s">
        <v>1827</v>
      </c>
      <c r="U554" s="461" t="s">
        <v>1976</v>
      </c>
      <c r="V554" s="460" t="s">
        <v>1119</v>
      </c>
      <c r="W554" s="560"/>
      <c r="X554" s="461" t="s">
        <v>1824</v>
      </c>
      <c r="Y554" s="461" t="s">
        <v>1824</v>
      </c>
      <c r="Z554" s="461" t="s">
        <v>170</v>
      </c>
      <c r="AA554" s="460" t="s">
        <v>1218</v>
      </c>
      <c r="AB554" s="561">
        <f>ROUND(0,2)</f>
        <v>0</v>
      </c>
      <c r="AC554" s="460" t="s">
        <v>308</v>
      </c>
      <c r="AD554" s="460"/>
      <c r="AE554" s="561">
        <f>ROUND(36.23,2)</f>
        <v>36.229999999999997</v>
      </c>
      <c r="AF554" s="460" t="s">
        <v>308</v>
      </c>
      <c r="AG554" s="561">
        <f t="shared" si="8"/>
        <v>0</v>
      </c>
      <c r="AH554" s="460" t="s">
        <v>2671</v>
      </c>
      <c r="AI554" s="460" t="s">
        <v>1214</v>
      </c>
      <c r="AJ554" s="460"/>
      <c r="AK554" s="460"/>
      <c r="AL554" s="560"/>
      <c r="AM554" s="460"/>
    </row>
    <row r="555" spans="1:39" ht="22.8">
      <c r="A555" s="460" t="s">
        <v>1810</v>
      </c>
      <c r="B555" s="460"/>
      <c r="C555" s="460" t="s">
        <v>1449</v>
      </c>
      <c r="D555" s="460" t="s">
        <v>2129</v>
      </c>
      <c r="E555" s="460" t="s">
        <v>1821</v>
      </c>
      <c r="F555" s="460" t="s">
        <v>1812</v>
      </c>
      <c r="G555" s="461" t="s">
        <v>1218</v>
      </c>
      <c r="H555" s="461" t="s">
        <v>248</v>
      </c>
      <c r="I555" s="460" t="s">
        <v>2128</v>
      </c>
      <c r="J555" s="460" t="s">
        <v>1983</v>
      </c>
      <c r="K555" s="460" t="s">
        <v>2669</v>
      </c>
      <c r="L555" s="460" t="s">
        <v>2714</v>
      </c>
      <c r="M555" s="460" t="s">
        <v>1994</v>
      </c>
      <c r="N555" s="460" t="s">
        <v>1981</v>
      </c>
      <c r="O555" s="460" t="s">
        <v>1980</v>
      </c>
      <c r="P555" s="460" t="s">
        <v>2675</v>
      </c>
      <c r="Q555" s="460" t="s">
        <v>2676</v>
      </c>
      <c r="R555" s="460" t="s">
        <v>2677</v>
      </c>
      <c r="S555" s="460" t="s">
        <v>2676</v>
      </c>
      <c r="T555" s="460" t="s">
        <v>1827</v>
      </c>
      <c r="U555" s="461" t="s">
        <v>1824</v>
      </c>
      <c r="V555" s="460" t="s">
        <v>1119</v>
      </c>
      <c r="W555" s="560"/>
      <c r="X555" s="461" t="s">
        <v>1824</v>
      </c>
      <c r="Y555" s="461" t="s">
        <v>1824</v>
      </c>
      <c r="Z555" s="461" t="s">
        <v>170</v>
      </c>
      <c r="AA555" s="460" t="s">
        <v>1218</v>
      </c>
      <c r="AB555" s="561">
        <f>ROUND(100,2)</f>
        <v>100</v>
      </c>
      <c r="AC555" s="460" t="s">
        <v>2678</v>
      </c>
      <c r="AD555" s="460"/>
      <c r="AE555" s="561">
        <f>ROUND(500.05,2)</f>
        <v>500.05</v>
      </c>
      <c r="AF555" s="460" t="s">
        <v>2679</v>
      </c>
      <c r="AG555" s="561">
        <f t="shared" si="8"/>
        <v>0</v>
      </c>
      <c r="AH555" s="460" t="s">
        <v>2671</v>
      </c>
      <c r="AI555" s="460" t="s">
        <v>1214</v>
      </c>
      <c r="AJ555" s="460" t="s">
        <v>2550</v>
      </c>
      <c r="AK555" s="460" t="s">
        <v>2672</v>
      </c>
      <c r="AL555" s="560" t="s">
        <v>2691</v>
      </c>
      <c r="AM555" s="460" t="s">
        <v>2674</v>
      </c>
    </row>
    <row r="556" spans="1:39" ht="22.8">
      <c r="A556" s="460" t="s">
        <v>1810</v>
      </c>
      <c r="B556" s="460"/>
      <c r="C556" s="460" t="s">
        <v>1449</v>
      </c>
      <c r="D556" s="460" t="s">
        <v>2129</v>
      </c>
      <c r="E556" s="460" t="s">
        <v>1821</v>
      </c>
      <c r="F556" s="460" t="s">
        <v>1812</v>
      </c>
      <c r="G556" s="461" t="s">
        <v>1218</v>
      </c>
      <c r="H556" s="461" t="s">
        <v>248</v>
      </c>
      <c r="I556" s="460" t="s">
        <v>2128</v>
      </c>
      <c r="J556" s="460" t="s">
        <v>1983</v>
      </c>
      <c r="K556" s="460" t="s">
        <v>2669</v>
      </c>
      <c r="L556" s="460" t="s">
        <v>2714</v>
      </c>
      <c r="M556" s="460" t="s">
        <v>1994</v>
      </c>
      <c r="N556" s="460" t="s">
        <v>1981</v>
      </c>
      <c r="O556" s="460" t="s">
        <v>1980</v>
      </c>
      <c r="P556" s="460" t="s">
        <v>1979</v>
      </c>
      <c r="Q556" s="460" t="s">
        <v>1978</v>
      </c>
      <c r="R556" s="460" t="s">
        <v>1977</v>
      </c>
      <c r="S556" s="460" t="s">
        <v>1826</v>
      </c>
      <c r="T556" s="460" t="s">
        <v>1827</v>
      </c>
      <c r="U556" s="461" t="s">
        <v>1976</v>
      </c>
      <c r="V556" s="460" t="s">
        <v>1119</v>
      </c>
      <c r="W556" s="560"/>
      <c r="X556" s="461" t="s">
        <v>1824</v>
      </c>
      <c r="Y556" s="461" t="s">
        <v>1824</v>
      </c>
      <c r="Z556" s="461" t="s">
        <v>170</v>
      </c>
      <c r="AA556" s="460" t="s">
        <v>1218</v>
      </c>
      <c r="AB556" s="561">
        <f>ROUND(35.03,2)</f>
        <v>35.03</v>
      </c>
      <c r="AC556" s="460" t="s">
        <v>308</v>
      </c>
      <c r="AD556" s="460"/>
      <c r="AE556" s="561">
        <f>ROUND(819.25,2)</f>
        <v>819.25</v>
      </c>
      <c r="AF556" s="460" t="s">
        <v>308</v>
      </c>
      <c r="AG556" s="561">
        <f t="shared" si="8"/>
        <v>0</v>
      </c>
      <c r="AH556" s="460" t="s">
        <v>2671</v>
      </c>
      <c r="AI556" s="460" t="s">
        <v>1214</v>
      </c>
      <c r="AJ556" s="460" t="s">
        <v>2549</v>
      </c>
      <c r="AK556" s="460" t="s">
        <v>2672</v>
      </c>
      <c r="AL556" s="560" t="s">
        <v>2694</v>
      </c>
      <c r="AM556" s="460" t="s">
        <v>2674</v>
      </c>
    </row>
    <row r="557" spans="1:39" ht="22.8">
      <c r="A557" s="460" t="s">
        <v>1810</v>
      </c>
      <c r="B557" s="460"/>
      <c r="C557" s="460" t="s">
        <v>1454</v>
      </c>
      <c r="D557" s="460" t="s">
        <v>2127</v>
      </c>
      <c r="E557" s="460" t="s">
        <v>1834</v>
      </c>
      <c r="F557" s="460" t="s">
        <v>2015</v>
      </c>
      <c r="G557" s="461" t="s">
        <v>1218</v>
      </c>
      <c r="H557" s="461" t="s">
        <v>181</v>
      </c>
      <c r="I557" s="460" t="s">
        <v>2126</v>
      </c>
      <c r="J557" s="460" t="s">
        <v>1983</v>
      </c>
      <c r="K557" s="460" t="s">
        <v>2669</v>
      </c>
      <c r="L557" s="460" t="s">
        <v>2749</v>
      </c>
      <c r="M557" s="460" t="s">
        <v>2002</v>
      </c>
      <c r="N557" s="460" t="s">
        <v>1981</v>
      </c>
      <c r="O557" s="460" t="s">
        <v>2001</v>
      </c>
      <c r="P557" s="460" t="s">
        <v>1979</v>
      </c>
      <c r="Q557" s="460" t="s">
        <v>95</v>
      </c>
      <c r="R557" s="460" t="s">
        <v>1977</v>
      </c>
      <c r="S557" s="460" t="s">
        <v>1842</v>
      </c>
      <c r="T557" s="460" t="s">
        <v>1827</v>
      </c>
      <c r="U557" s="461" t="s">
        <v>1976</v>
      </c>
      <c r="V557" s="460" t="s">
        <v>1843</v>
      </c>
      <c r="W557" s="560"/>
      <c r="X557" s="461" t="s">
        <v>1824</v>
      </c>
      <c r="Y557" s="461" t="s">
        <v>1824</v>
      </c>
      <c r="Z557" s="461" t="s">
        <v>170</v>
      </c>
      <c r="AA557" s="460" t="s">
        <v>1218</v>
      </c>
      <c r="AB557" s="561">
        <f>ROUND(30.41,2)</f>
        <v>30.41</v>
      </c>
      <c r="AC557" s="460" t="s">
        <v>308</v>
      </c>
      <c r="AD557" s="460"/>
      <c r="AE557" s="561">
        <f>ROUND(70.29,2)</f>
        <v>70.290000000000006</v>
      </c>
      <c r="AF557" s="460" t="s">
        <v>308</v>
      </c>
      <c r="AG557" s="561">
        <f t="shared" si="8"/>
        <v>0</v>
      </c>
      <c r="AH557" s="460" t="s">
        <v>2671</v>
      </c>
      <c r="AI557" s="460" t="s">
        <v>1214</v>
      </c>
      <c r="AJ557" s="460" t="s">
        <v>2548</v>
      </c>
      <c r="AK557" s="460" t="s">
        <v>2672</v>
      </c>
      <c r="AL557" s="560" t="s">
        <v>2673</v>
      </c>
      <c r="AM557" s="460" t="s">
        <v>2674</v>
      </c>
    </row>
    <row r="558" spans="1:39" ht="22.8">
      <c r="A558" s="460" t="s">
        <v>1810</v>
      </c>
      <c r="B558" s="460"/>
      <c r="C558" s="460" t="s">
        <v>1454</v>
      </c>
      <c r="D558" s="460" t="s">
        <v>2127</v>
      </c>
      <c r="E558" s="460" t="s">
        <v>1834</v>
      </c>
      <c r="F558" s="460" t="s">
        <v>2015</v>
      </c>
      <c r="G558" s="461" t="s">
        <v>1218</v>
      </c>
      <c r="H558" s="461" t="s">
        <v>181</v>
      </c>
      <c r="I558" s="460" t="s">
        <v>2126</v>
      </c>
      <c r="J558" s="460" t="s">
        <v>1983</v>
      </c>
      <c r="K558" s="460" t="s">
        <v>2669</v>
      </c>
      <c r="L558" s="460" t="s">
        <v>2749</v>
      </c>
      <c r="M558" s="460" t="s">
        <v>2002</v>
      </c>
      <c r="N558" s="460" t="s">
        <v>1981</v>
      </c>
      <c r="O558" s="460" t="s">
        <v>2001</v>
      </c>
      <c r="P558" s="460" t="s">
        <v>2675</v>
      </c>
      <c r="Q558" s="460" t="s">
        <v>2676</v>
      </c>
      <c r="R558" s="460" t="s">
        <v>2677</v>
      </c>
      <c r="S558" s="460" t="s">
        <v>2676</v>
      </c>
      <c r="T558" s="460" t="s">
        <v>1827</v>
      </c>
      <c r="U558" s="461" t="s">
        <v>1824</v>
      </c>
      <c r="V558" s="460" t="s">
        <v>1119</v>
      </c>
      <c r="W558" s="560"/>
      <c r="X558" s="461" t="s">
        <v>1824</v>
      </c>
      <c r="Y558" s="461" t="s">
        <v>2851</v>
      </c>
      <c r="Z558" s="461" t="s">
        <v>170</v>
      </c>
      <c r="AA558" s="460" t="s">
        <v>1218</v>
      </c>
      <c r="AB558" s="561">
        <f>ROUND(125,2)</f>
        <v>125</v>
      </c>
      <c r="AC558" s="460" t="s">
        <v>2678</v>
      </c>
      <c r="AD558" s="460"/>
      <c r="AE558" s="561">
        <f>ROUND(500.05,2)</f>
        <v>500.05</v>
      </c>
      <c r="AF558" s="460" t="s">
        <v>2679</v>
      </c>
      <c r="AG558" s="561">
        <f t="shared" si="8"/>
        <v>0</v>
      </c>
      <c r="AH558" s="460" t="s">
        <v>2671</v>
      </c>
      <c r="AI558" s="460" t="s">
        <v>1214</v>
      </c>
      <c r="AJ558" s="460" t="s">
        <v>2550</v>
      </c>
      <c r="AK558" s="460" t="s">
        <v>2672</v>
      </c>
      <c r="AL558" s="560" t="s">
        <v>2701</v>
      </c>
      <c r="AM558" s="460" t="s">
        <v>2674</v>
      </c>
    </row>
    <row r="559" spans="1:39" ht="22.8">
      <c r="A559" s="460" t="s">
        <v>1810</v>
      </c>
      <c r="B559" s="460"/>
      <c r="C559" s="460" t="s">
        <v>1454</v>
      </c>
      <c r="D559" s="460" t="s">
        <v>2127</v>
      </c>
      <c r="E559" s="460" t="s">
        <v>1834</v>
      </c>
      <c r="F559" s="460" t="s">
        <v>2015</v>
      </c>
      <c r="G559" s="461" t="s">
        <v>1218</v>
      </c>
      <c r="H559" s="461" t="s">
        <v>181</v>
      </c>
      <c r="I559" s="460" t="s">
        <v>2126</v>
      </c>
      <c r="J559" s="460" t="s">
        <v>1983</v>
      </c>
      <c r="K559" s="460" t="s">
        <v>2669</v>
      </c>
      <c r="L559" s="460" t="s">
        <v>2749</v>
      </c>
      <c r="M559" s="460" t="s">
        <v>2002</v>
      </c>
      <c r="N559" s="460" t="s">
        <v>1981</v>
      </c>
      <c r="O559" s="460" t="s">
        <v>2001</v>
      </c>
      <c r="P559" s="460" t="s">
        <v>1979</v>
      </c>
      <c r="Q559" s="460" t="s">
        <v>1978</v>
      </c>
      <c r="R559" s="460" t="s">
        <v>1977</v>
      </c>
      <c r="S559" s="460" t="s">
        <v>1826</v>
      </c>
      <c r="T559" s="460" t="s">
        <v>1827</v>
      </c>
      <c r="U559" s="461" t="s">
        <v>1976</v>
      </c>
      <c r="V559" s="460" t="s">
        <v>1119</v>
      </c>
      <c r="W559" s="560"/>
      <c r="X559" s="461" t="s">
        <v>1824</v>
      </c>
      <c r="Y559" s="461" t="s">
        <v>1824</v>
      </c>
      <c r="Z559" s="461" t="s">
        <v>170</v>
      </c>
      <c r="AA559" s="460" t="s">
        <v>1218</v>
      </c>
      <c r="AB559" s="561">
        <f>ROUND(45.28,2)</f>
        <v>45.28</v>
      </c>
      <c r="AC559" s="460" t="s">
        <v>308</v>
      </c>
      <c r="AD559" s="460"/>
      <c r="AE559" s="561">
        <f>ROUND(809,2)</f>
        <v>809</v>
      </c>
      <c r="AF559" s="460" t="s">
        <v>308</v>
      </c>
      <c r="AG559" s="561">
        <f t="shared" si="8"/>
        <v>0</v>
      </c>
      <c r="AH559" s="460" t="s">
        <v>2671</v>
      </c>
      <c r="AI559" s="460" t="s">
        <v>1214</v>
      </c>
      <c r="AJ559" s="460" t="s">
        <v>2549</v>
      </c>
      <c r="AK559" s="460" t="s">
        <v>2672</v>
      </c>
      <c r="AL559" s="560" t="s">
        <v>2752</v>
      </c>
      <c r="AM559" s="460" t="s">
        <v>2674</v>
      </c>
    </row>
    <row r="560" spans="1:39" ht="22.8">
      <c r="A560" s="460" t="s">
        <v>1810</v>
      </c>
      <c r="B560" s="460"/>
      <c r="C560" s="460" t="s">
        <v>1448</v>
      </c>
      <c r="D560" s="460" t="s">
        <v>2125</v>
      </c>
      <c r="E560" s="460" t="s">
        <v>1821</v>
      </c>
      <c r="F560" s="460" t="s">
        <v>1812</v>
      </c>
      <c r="G560" s="461" t="s">
        <v>1218</v>
      </c>
      <c r="H560" s="461" t="s">
        <v>249</v>
      </c>
      <c r="I560" s="460" t="s">
        <v>2124</v>
      </c>
      <c r="J560" s="460" t="s">
        <v>1983</v>
      </c>
      <c r="K560" s="460" t="s">
        <v>2669</v>
      </c>
      <c r="L560" s="460" t="s">
        <v>2714</v>
      </c>
      <c r="M560" s="460" t="s">
        <v>1994</v>
      </c>
      <c r="N560" s="460" t="s">
        <v>1981</v>
      </c>
      <c r="O560" s="460" t="s">
        <v>1980</v>
      </c>
      <c r="P560" s="460" t="s">
        <v>1979</v>
      </c>
      <c r="Q560" s="460" t="s">
        <v>95</v>
      </c>
      <c r="R560" s="460" t="s">
        <v>1977</v>
      </c>
      <c r="S560" s="460" t="s">
        <v>1842</v>
      </c>
      <c r="T560" s="460" t="s">
        <v>1827</v>
      </c>
      <c r="U560" s="461" t="s">
        <v>1976</v>
      </c>
      <c r="V560" s="460" t="s">
        <v>1843</v>
      </c>
      <c r="W560" s="560"/>
      <c r="X560" s="461" t="s">
        <v>1824</v>
      </c>
      <c r="Y560" s="461" t="s">
        <v>1824</v>
      </c>
      <c r="Z560" s="461" t="s">
        <v>170</v>
      </c>
      <c r="AA560" s="460" t="s">
        <v>1218</v>
      </c>
      <c r="AB560" s="561">
        <f>ROUND(30.41,2)</f>
        <v>30.41</v>
      </c>
      <c r="AC560" s="460" t="s">
        <v>308</v>
      </c>
      <c r="AD560" s="460"/>
      <c r="AE560" s="561">
        <f>ROUND(70.29,2)</f>
        <v>70.290000000000006</v>
      </c>
      <c r="AF560" s="460" t="s">
        <v>308</v>
      </c>
      <c r="AG560" s="561">
        <f t="shared" si="8"/>
        <v>0</v>
      </c>
      <c r="AH560" s="460" t="s">
        <v>2671</v>
      </c>
      <c r="AI560" s="460" t="s">
        <v>1214</v>
      </c>
      <c r="AJ560" s="460" t="s">
        <v>2548</v>
      </c>
      <c r="AK560" s="460" t="s">
        <v>2672</v>
      </c>
      <c r="AL560" s="560" t="s">
        <v>2673</v>
      </c>
      <c r="AM560" s="460" t="s">
        <v>2674</v>
      </c>
    </row>
    <row r="561" spans="1:39" ht="22.8">
      <c r="A561" s="460" t="s">
        <v>1810</v>
      </c>
      <c r="B561" s="460"/>
      <c r="C561" s="460" t="s">
        <v>1448</v>
      </c>
      <c r="D561" s="460" t="s">
        <v>2125</v>
      </c>
      <c r="E561" s="460" t="s">
        <v>1821</v>
      </c>
      <c r="F561" s="460" t="s">
        <v>1812</v>
      </c>
      <c r="G561" s="461" t="s">
        <v>1218</v>
      </c>
      <c r="H561" s="461" t="s">
        <v>249</v>
      </c>
      <c r="I561" s="460" t="s">
        <v>2124</v>
      </c>
      <c r="J561" s="460" t="s">
        <v>1983</v>
      </c>
      <c r="K561" s="460" t="s">
        <v>2669</v>
      </c>
      <c r="L561" s="460" t="s">
        <v>2714</v>
      </c>
      <c r="M561" s="460" t="s">
        <v>1994</v>
      </c>
      <c r="N561" s="460" t="s">
        <v>1981</v>
      </c>
      <c r="O561" s="460" t="s">
        <v>1980</v>
      </c>
      <c r="P561" s="460" t="s">
        <v>2675</v>
      </c>
      <c r="Q561" s="460" t="s">
        <v>2676</v>
      </c>
      <c r="R561" s="460" t="s">
        <v>2677</v>
      </c>
      <c r="S561" s="460" t="s">
        <v>2676</v>
      </c>
      <c r="T561" s="460" t="s">
        <v>1827</v>
      </c>
      <c r="U561" s="461" t="s">
        <v>1824</v>
      </c>
      <c r="V561" s="460" t="s">
        <v>1843</v>
      </c>
      <c r="W561" s="560"/>
      <c r="X561" s="461" t="s">
        <v>1824</v>
      </c>
      <c r="Y561" s="461" t="s">
        <v>1824</v>
      </c>
      <c r="Z561" s="461" t="s">
        <v>170</v>
      </c>
      <c r="AA561" s="460" t="s">
        <v>1218</v>
      </c>
      <c r="AB561" s="561">
        <f>ROUND(175,2)</f>
        <v>175</v>
      </c>
      <c r="AC561" s="460" t="s">
        <v>2678</v>
      </c>
      <c r="AD561" s="460"/>
      <c r="AE561" s="561">
        <f>ROUND(1000,2)</f>
        <v>1000</v>
      </c>
      <c r="AF561" s="460" t="s">
        <v>2679</v>
      </c>
      <c r="AG561" s="561">
        <f t="shared" si="8"/>
        <v>0</v>
      </c>
      <c r="AH561" s="460" t="s">
        <v>2671</v>
      </c>
      <c r="AI561" s="460" t="s">
        <v>1214</v>
      </c>
      <c r="AJ561" s="460" t="s">
        <v>2550</v>
      </c>
      <c r="AK561" s="460" t="s">
        <v>2672</v>
      </c>
      <c r="AL561" s="560" t="s">
        <v>2795</v>
      </c>
      <c r="AM561" s="460" t="s">
        <v>2674</v>
      </c>
    </row>
    <row r="562" spans="1:39" ht="22.8">
      <c r="A562" s="460" t="s">
        <v>1810</v>
      </c>
      <c r="B562" s="460"/>
      <c r="C562" s="460" t="s">
        <v>1448</v>
      </c>
      <c r="D562" s="460" t="s">
        <v>2125</v>
      </c>
      <c r="E562" s="460" t="s">
        <v>1821</v>
      </c>
      <c r="F562" s="460" t="s">
        <v>1812</v>
      </c>
      <c r="G562" s="461" t="s">
        <v>1218</v>
      </c>
      <c r="H562" s="461" t="s">
        <v>249</v>
      </c>
      <c r="I562" s="460" t="s">
        <v>2124</v>
      </c>
      <c r="J562" s="460" t="s">
        <v>1983</v>
      </c>
      <c r="K562" s="460" t="s">
        <v>2669</v>
      </c>
      <c r="L562" s="460" t="s">
        <v>2714</v>
      </c>
      <c r="M562" s="460" t="s">
        <v>1994</v>
      </c>
      <c r="N562" s="460" t="s">
        <v>1981</v>
      </c>
      <c r="O562" s="460" t="s">
        <v>1980</v>
      </c>
      <c r="P562" s="460" t="s">
        <v>1979</v>
      </c>
      <c r="Q562" s="460" t="s">
        <v>1978</v>
      </c>
      <c r="R562" s="460" t="s">
        <v>1977</v>
      </c>
      <c r="S562" s="460" t="s">
        <v>1826</v>
      </c>
      <c r="T562" s="460" t="s">
        <v>1827</v>
      </c>
      <c r="U562" s="461" t="s">
        <v>1976</v>
      </c>
      <c r="V562" s="460" t="s">
        <v>1843</v>
      </c>
      <c r="W562" s="560"/>
      <c r="X562" s="461" t="s">
        <v>1824</v>
      </c>
      <c r="Y562" s="461" t="s">
        <v>1824</v>
      </c>
      <c r="Z562" s="461" t="s">
        <v>170</v>
      </c>
      <c r="AA562" s="460" t="s">
        <v>1218</v>
      </c>
      <c r="AB562" s="561">
        <f>ROUND(475.32,2)</f>
        <v>475.32</v>
      </c>
      <c r="AC562" s="460" t="s">
        <v>308</v>
      </c>
      <c r="AD562" s="460"/>
      <c r="AE562" s="561">
        <f>ROUND(1656.14,2)</f>
        <v>1656.14</v>
      </c>
      <c r="AF562" s="460" t="s">
        <v>308</v>
      </c>
      <c r="AG562" s="561">
        <f t="shared" si="8"/>
        <v>0</v>
      </c>
      <c r="AH562" s="460" t="s">
        <v>2671</v>
      </c>
      <c r="AI562" s="460" t="s">
        <v>1214</v>
      </c>
      <c r="AJ562" s="460" t="s">
        <v>2549</v>
      </c>
      <c r="AK562" s="460" t="s">
        <v>2672</v>
      </c>
      <c r="AL562" s="560" t="s">
        <v>2718</v>
      </c>
      <c r="AM562" s="460" t="s">
        <v>2674</v>
      </c>
    </row>
    <row r="563" spans="1:39" ht="34.200000000000003">
      <c r="A563" s="460" t="s">
        <v>1810</v>
      </c>
      <c r="B563" s="460"/>
      <c r="C563" s="460" t="s">
        <v>1445</v>
      </c>
      <c r="D563" s="460" t="s">
        <v>2123</v>
      </c>
      <c r="E563" s="460" t="s">
        <v>1828</v>
      </c>
      <c r="F563" s="460" t="s">
        <v>1812</v>
      </c>
      <c r="G563" s="461" t="s">
        <v>1218</v>
      </c>
      <c r="H563" s="461" t="s">
        <v>188</v>
      </c>
      <c r="I563" s="460" t="s">
        <v>2122</v>
      </c>
      <c r="J563" s="460" t="s">
        <v>1983</v>
      </c>
      <c r="K563" s="460" t="s">
        <v>2669</v>
      </c>
      <c r="L563" s="460" t="s">
        <v>2742</v>
      </c>
      <c r="M563" s="460" t="s">
        <v>2002</v>
      </c>
      <c r="N563" s="460" t="s">
        <v>1981</v>
      </c>
      <c r="O563" s="460" t="s">
        <v>1980</v>
      </c>
      <c r="P563" s="460" t="s">
        <v>1979</v>
      </c>
      <c r="Q563" s="460" t="s">
        <v>95</v>
      </c>
      <c r="R563" s="460" t="s">
        <v>1977</v>
      </c>
      <c r="S563" s="460" t="s">
        <v>1842</v>
      </c>
      <c r="T563" s="460" t="s">
        <v>1827</v>
      </c>
      <c r="U563" s="461" t="s">
        <v>1976</v>
      </c>
      <c r="V563" s="460" t="s">
        <v>1843</v>
      </c>
      <c r="W563" s="560"/>
      <c r="X563" s="461" t="s">
        <v>1824</v>
      </c>
      <c r="Y563" s="461" t="s">
        <v>1824</v>
      </c>
      <c r="Z563" s="461" t="s">
        <v>170</v>
      </c>
      <c r="AA563" s="460" t="s">
        <v>1218</v>
      </c>
      <c r="AB563" s="561">
        <f>ROUND(30.41,2)</f>
        <v>30.41</v>
      </c>
      <c r="AC563" s="460" t="s">
        <v>308</v>
      </c>
      <c r="AD563" s="460"/>
      <c r="AE563" s="561">
        <f>ROUND(70.29,2)</f>
        <v>70.290000000000006</v>
      </c>
      <c r="AF563" s="460" t="s">
        <v>308</v>
      </c>
      <c r="AG563" s="561">
        <f t="shared" si="8"/>
        <v>0</v>
      </c>
      <c r="AH563" s="460" t="s">
        <v>2671</v>
      </c>
      <c r="AI563" s="460" t="s">
        <v>1214</v>
      </c>
      <c r="AJ563" s="460" t="s">
        <v>2548</v>
      </c>
      <c r="AK563" s="460" t="s">
        <v>2672</v>
      </c>
      <c r="AL563" s="560" t="s">
        <v>2673</v>
      </c>
      <c r="AM563" s="460" t="s">
        <v>2674</v>
      </c>
    </row>
    <row r="564" spans="1:39" ht="34.200000000000003">
      <c r="A564" s="460" t="s">
        <v>1810</v>
      </c>
      <c r="B564" s="460"/>
      <c r="C564" s="460" t="s">
        <v>1445</v>
      </c>
      <c r="D564" s="460" t="s">
        <v>2123</v>
      </c>
      <c r="E564" s="460" t="s">
        <v>1828</v>
      </c>
      <c r="F564" s="460" t="s">
        <v>1812</v>
      </c>
      <c r="G564" s="461" t="s">
        <v>1218</v>
      </c>
      <c r="H564" s="461" t="s">
        <v>188</v>
      </c>
      <c r="I564" s="460" t="s">
        <v>2122</v>
      </c>
      <c r="J564" s="460" t="s">
        <v>1983</v>
      </c>
      <c r="K564" s="460" t="s">
        <v>2669</v>
      </c>
      <c r="L564" s="460" t="s">
        <v>2742</v>
      </c>
      <c r="M564" s="460" t="s">
        <v>2002</v>
      </c>
      <c r="N564" s="460" t="s">
        <v>1981</v>
      </c>
      <c r="O564" s="460" t="s">
        <v>1980</v>
      </c>
      <c r="P564" s="460" t="s">
        <v>2675</v>
      </c>
      <c r="Q564" s="460" t="s">
        <v>2676</v>
      </c>
      <c r="R564" s="460" t="s">
        <v>2677</v>
      </c>
      <c r="S564" s="460" t="s">
        <v>2676</v>
      </c>
      <c r="T564" s="460" t="s">
        <v>1827</v>
      </c>
      <c r="U564" s="461" t="s">
        <v>1824</v>
      </c>
      <c r="V564" s="460" t="s">
        <v>1843</v>
      </c>
      <c r="W564" s="560"/>
      <c r="X564" s="461" t="s">
        <v>1824</v>
      </c>
      <c r="Y564" s="461" t="s">
        <v>2683</v>
      </c>
      <c r="Z564" s="461" t="s">
        <v>170</v>
      </c>
      <c r="AA564" s="460" t="s">
        <v>1218</v>
      </c>
      <c r="AB564" s="561">
        <f>ROUND(275,2)</f>
        <v>275</v>
      </c>
      <c r="AC564" s="460" t="s">
        <v>2678</v>
      </c>
      <c r="AD564" s="460"/>
      <c r="AE564" s="561">
        <f>ROUND(1000,2)</f>
        <v>1000</v>
      </c>
      <c r="AF564" s="460" t="s">
        <v>2679</v>
      </c>
      <c r="AG564" s="561">
        <f t="shared" si="8"/>
        <v>0</v>
      </c>
      <c r="AH564" s="460" t="s">
        <v>2671</v>
      </c>
      <c r="AI564" s="460" t="s">
        <v>1214</v>
      </c>
      <c r="AJ564" s="460" t="s">
        <v>2550</v>
      </c>
      <c r="AK564" s="460" t="s">
        <v>2672</v>
      </c>
      <c r="AL564" s="560" t="s">
        <v>2846</v>
      </c>
      <c r="AM564" s="460" t="s">
        <v>2674</v>
      </c>
    </row>
    <row r="565" spans="1:39" ht="34.200000000000003">
      <c r="A565" s="460" t="s">
        <v>1810</v>
      </c>
      <c r="B565" s="460"/>
      <c r="C565" s="460" t="s">
        <v>1445</v>
      </c>
      <c r="D565" s="460" t="s">
        <v>2123</v>
      </c>
      <c r="E565" s="460" t="s">
        <v>1828</v>
      </c>
      <c r="F565" s="460" t="s">
        <v>1812</v>
      </c>
      <c r="G565" s="461" t="s">
        <v>1218</v>
      </c>
      <c r="H565" s="461" t="s">
        <v>188</v>
      </c>
      <c r="I565" s="460" t="s">
        <v>2122</v>
      </c>
      <c r="J565" s="460" t="s">
        <v>1983</v>
      </c>
      <c r="K565" s="460" t="s">
        <v>2669</v>
      </c>
      <c r="L565" s="460" t="s">
        <v>2742</v>
      </c>
      <c r="M565" s="460" t="s">
        <v>2002</v>
      </c>
      <c r="N565" s="460" t="s">
        <v>1981</v>
      </c>
      <c r="O565" s="460" t="s">
        <v>1980</v>
      </c>
      <c r="P565" s="460" t="s">
        <v>1979</v>
      </c>
      <c r="Q565" s="460" t="s">
        <v>1978</v>
      </c>
      <c r="R565" s="460" t="s">
        <v>1977</v>
      </c>
      <c r="S565" s="460" t="s">
        <v>1826</v>
      </c>
      <c r="T565" s="460" t="s">
        <v>1827</v>
      </c>
      <c r="U565" s="461" t="s">
        <v>1976</v>
      </c>
      <c r="V565" s="460" t="s">
        <v>1843</v>
      </c>
      <c r="W565" s="560"/>
      <c r="X565" s="461" t="s">
        <v>1824</v>
      </c>
      <c r="Y565" s="461" t="s">
        <v>1824</v>
      </c>
      <c r="Z565" s="461" t="s">
        <v>170</v>
      </c>
      <c r="AA565" s="460" t="s">
        <v>1218</v>
      </c>
      <c r="AB565" s="561">
        <f>ROUND(383.66,2)</f>
        <v>383.66</v>
      </c>
      <c r="AC565" s="460" t="s">
        <v>308</v>
      </c>
      <c r="AD565" s="460"/>
      <c r="AE565" s="561">
        <f>ROUND(1747.8,2)</f>
        <v>1747.8</v>
      </c>
      <c r="AF565" s="460" t="s">
        <v>308</v>
      </c>
      <c r="AG565" s="561">
        <f t="shared" si="8"/>
        <v>0</v>
      </c>
      <c r="AH565" s="460" t="s">
        <v>2671</v>
      </c>
      <c r="AI565" s="460" t="s">
        <v>1214</v>
      </c>
      <c r="AJ565" s="460" t="s">
        <v>2549</v>
      </c>
      <c r="AK565" s="460" t="s">
        <v>2672</v>
      </c>
      <c r="AL565" s="560" t="s">
        <v>2696</v>
      </c>
      <c r="AM565" s="460" t="s">
        <v>2674</v>
      </c>
    </row>
    <row r="566" spans="1:39" ht="22.8">
      <c r="A566" s="460" t="s">
        <v>1810</v>
      </c>
      <c r="B566" s="460"/>
      <c r="C566" s="460" t="s">
        <v>1631</v>
      </c>
      <c r="D566" s="460" t="s">
        <v>2121</v>
      </c>
      <c r="E566" s="460" t="s">
        <v>1838</v>
      </c>
      <c r="F566" s="460" t="s">
        <v>2015</v>
      </c>
      <c r="G566" s="461" t="s">
        <v>1218</v>
      </c>
      <c r="H566" s="461" t="s">
        <v>1038</v>
      </c>
      <c r="I566" s="460" t="s">
        <v>2120</v>
      </c>
      <c r="J566" s="460" t="s">
        <v>1990</v>
      </c>
      <c r="K566" s="460" t="s">
        <v>2669</v>
      </c>
      <c r="L566" s="460" t="s">
        <v>2780</v>
      </c>
      <c r="M566" s="460" t="s">
        <v>2002</v>
      </c>
      <c r="N566" s="460" t="s">
        <v>1981</v>
      </c>
      <c r="O566" s="460" t="s">
        <v>2001</v>
      </c>
      <c r="P566" s="460" t="s">
        <v>1979</v>
      </c>
      <c r="Q566" s="460" t="s">
        <v>95</v>
      </c>
      <c r="R566" s="460" t="s">
        <v>1977</v>
      </c>
      <c r="S566" s="460" t="s">
        <v>1842</v>
      </c>
      <c r="T566" s="460" t="s">
        <v>1827</v>
      </c>
      <c r="U566" s="461" t="s">
        <v>1976</v>
      </c>
      <c r="V566" s="460" t="s">
        <v>1843</v>
      </c>
      <c r="W566" s="560"/>
      <c r="X566" s="461" t="s">
        <v>1824</v>
      </c>
      <c r="Y566" s="461" t="s">
        <v>1824</v>
      </c>
      <c r="Z566" s="461" t="s">
        <v>170</v>
      </c>
      <c r="AA566" s="460" t="s">
        <v>1218</v>
      </c>
      <c r="AB566" s="561">
        <f>ROUND(30.41,2)</f>
        <v>30.41</v>
      </c>
      <c r="AC566" s="460" t="s">
        <v>308</v>
      </c>
      <c r="AD566" s="460"/>
      <c r="AE566" s="561">
        <f>ROUND(70.29,2)</f>
        <v>70.290000000000006</v>
      </c>
      <c r="AF566" s="460" t="s">
        <v>308</v>
      </c>
      <c r="AG566" s="561">
        <f t="shared" si="8"/>
        <v>0</v>
      </c>
      <c r="AH566" s="460" t="s">
        <v>2671</v>
      </c>
      <c r="AI566" s="460" t="s">
        <v>1214</v>
      </c>
      <c r="AJ566" s="460" t="s">
        <v>2548</v>
      </c>
      <c r="AK566" s="460" t="s">
        <v>2672</v>
      </c>
      <c r="AL566" s="560" t="s">
        <v>2673</v>
      </c>
      <c r="AM566" s="460" t="s">
        <v>2674</v>
      </c>
    </row>
    <row r="567" spans="1:39" ht="22.8">
      <c r="A567" s="460" t="s">
        <v>1810</v>
      </c>
      <c r="B567" s="460"/>
      <c r="C567" s="460" t="s">
        <v>1631</v>
      </c>
      <c r="D567" s="460" t="s">
        <v>2121</v>
      </c>
      <c r="E567" s="460" t="s">
        <v>1838</v>
      </c>
      <c r="F567" s="460" t="s">
        <v>2015</v>
      </c>
      <c r="G567" s="461" t="s">
        <v>1218</v>
      </c>
      <c r="H567" s="461" t="s">
        <v>1038</v>
      </c>
      <c r="I567" s="460" t="s">
        <v>2120</v>
      </c>
      <c r="J567" s="460" t="s">
        <v>1990</v>
      </c>
      <c r="K567" s="460" t="s">
        <v>2669</v>
      </c>
      <c r="L567" s="460" t="s">
        <v>2780</v>
      </c>
      <c r="M567" s="460" t="s">
        <v>2002</v>
      </c>
      <c r="N567" s="460" t="s">
        <v>1981</v>
      </c>
      <c r="O567" s="460" t="s">
        <v>2001</v>
      </c>
      <c r="P567" s="460" t="s">
        <v>2675</v>
      </c>
      <c r="Q567" s="460" t="s">
        <v>2676</v>
      </c>
      <c r="R567" s="460" t="s">
        <v>2677</v>
      </c>
      <c r="S567" s="460" t="s">
        <v>2676</v>
      </c>
      <c r="T567" s="460" t="s">
        <v>1827</v>
      </c>
      <c r="U567" s="461" t="s">
        <v>1824</v>
      </c>
      <c r="V567" s="460" t="s">
        <v>1119</v>
      </c>
      <c r="W567" s="560"/>
      <c r="X567" s="461" t="s">
        <v>1824</v>
      </c>
      <c r="Y567" s="461" t="s">
        <v>1824</v>
      </c>
      <c r="Z567" s="461" t="s">
        <v>170</v>
      </c>
      <c r="AA567" s="460" t="s">
        <v>1218</v>
      </c>
      <c r="AB567" s="561">
        <f>ROUND(100,2)</f>
        <v>100</v>
      </c>
      <c r="AC567" s="460" t="s">
        <v>2678</v>
      </c>
      <c r="AD567" s="460"/>
      <c r="AE567" s="561">
        <f>ROUND(500.05,2)</f>
        <v>500.05</v>
      </c>
      <c r="AF567" s="460" t="s">
        <v>2679</v>
      </c>
      <c r="AG567" s="561">
        <f t="shared" si="8"/>
        <v>0</v>
      </c>
      <c r="AH567" s="460" t="s">
        <v>2671</v>
      </c>
      <c r="AI567" s="460" t="s">
        <v>1214</v>
      </c>
      <c r="AJ567" s="460" t="s">
        <v>2550</v>
      </c>
      <c r="AK567" s="460" t="s">
        <v>2672</v>
      </c>
      <c r="AL567" s="560" t="s">
        <v>2691</v>
      </c>
      <c r="AM567" s="460" t="s">
        <v>2674</v>
      </c>
    </row>
    <row r="568" spans="1:39" ht="22.8">
      <c r="A568" s="460" t="s">
        <v>1810</v>
      </c>
      <c r="B568" s="460"/>
      <c r="C568" s="460" t="s">
        <v>1631</v>
      </c>
      <c r="D568" s="460" t="s">
        <v>2121</v>
      </c>
      <c r="E568" s="460" t="s">
        <v>1838</v>
      </c>
      <c r="F568" s="460" t="s">
        <v>2015</v>
      </c>
      <c r="G568" s="461" t="s">
        <v>1218</v>
      </c>
      <c r="H568" s="461" t="s">
        <v>1038</v>
      </c>
      <c r="I568" s="460" t="s">
        <v>2120</v>
      </c>
      <c r="J568" s="460" t="s">
        <v>1990</v>
      </c>
      <c r="K568" s="460" t="s">
        <v>2669</v>
      </c>
      <c r="L568" s="460" t="s">
        <v>2780</v>
      </c>
      <c r="M568" s="460" t="s">
        <v>2002</v>
      </c>
      <c r="N568" s="460" t="s">
        <v>1981</v>
      </c>
      <c r="O568" s="460" t="s">
        <v>2001</v>
      </c>
      <c r="P568" s="460" t="s">
        <v>1979</v>
      </c>
      <c r="Q568" s="460" t="s">
        <v>1978</v>
      </c>
      <c r="R568" s="460" t="s">
        <v>1977</v>
      </c>
      <c r="S568" s="460" t="s">
        <v>1826</v>
      </c>
      <c r="T568" s="460" t="s">
        <v>1827</v>
      </c>
      <c r="U568" s="461" t="s">
        <v>1976</v>
      </c>
      <c r="V568" s="460" t="s">
        <v>1119</v>
      </c>
      <c r="W568" s="560"/>
      <c r="X568" s="461" t="s">
        <v>1824</v>
      </c>
      <c r="Y568" s="461" t="s">
        <v>1824</v>
      </c>
      <c r="Z568" s="461" t="s">
        <v>170</v>
      </c>
      <c r="AA568" s="460" t="s">
        <v>1218</v>
      </c>
      <c r="AB568" s="561">
        <f>ROUND(45.28,2)</f>
        <v>45.28</v>
      </c>
      <c r="AC568" s="460" t="s">
        <v>308</v>
      </c>
      <c r="AD568" s="460"/>
      <c r="AE568" s="561">
        <f>ROUND(809,2)</f>
        <v>809</v>
      </c>
      <c r="AF568" s="460" t="s">
        <v>308</v>
      </c>
      <c r="AG568" s="561">
        <f t="shared" si="8"/>
        <v>0</v>
      </c>
      <c r="AH568" s="460" t="s">
        <v>2671</v>
      </c>
      <c r="AI568" s="460" t="s">
        <v>1214</v>
      </c>
      <c r="AJ568" s="460" t="s">
        <v>2549</v>
      </c>
      <c r="AK568" s="460" t="s">
        <v>2672</v>
      </c>
      <c r="AL568" s="560" t="s">
        <v>2752</v>
      </c>
      <c r="AM568" s="460" t="s">
        <v>2674</v>
      </c>
    </row>
    <row r="569" spans="1:39" ht="22.8">
      <c r="A569" s="460" t="s">
        <v>1810</v>
      </c>
      <c r="B569" s="460"/>
      <c r="C569" s="460" t="s">
        <v>1773</v>
      </c>
      <c r="D569" s="460" t="s">
        <v>2119</v>
      </c>
      <c r="E569" s="460" t="s">
        <v>1814</v>
      </c>
      <c r="F569" s="460" t="s">
        <v>1812</v>
      </c>
      <c r="G569" s="461" t="s">
        <v>1218</v>
      </c>
      <c r="H569" s="461" t="s">
        <v>218</v>
      </c>
      <c r="I569" s="460" t="s">
        <v>2118</v>
      </c>
      <c r="J569" s="460" t="s">
        <v>1983</v>
      </c>
      <c r="K569" s="460" t="s">
        <v>2669</v>
      </c>
      <c r="L569" s="460" t="s">
        <v>2715</v>
      </c>
      <c r="M569" s="460" t="s">
        <v>1982</v>
      </c>
      <c r="N569" s="460" t="s">
        <v>1981</v>
      </c>
      <c r="O569" s="460" t="s">
        <v>1980</v>
      </c>
      <c r="P569" s="460" t="s">
        <v>1979</v>
      </c>
      <c r="Q569" s="460" t="s">
        <v>95</v>
      </c>
      <c r="R569" s="460" t="s">
        <v>1977</v>
      </c>
      <c r="S569" s="460" t="s">
        <v>1842</v>
      </c>
      <c r="T569" s="460" t="s">
        <v>1827</v>
      </c>
      <c r="U569" s="461" t="s">
        <v>1976</v>
      </c>
      <c r="V569" s="460" t="s">
        <v>1843</v>
      </c>
      <c r="W569" s="560"/>
      <c r="X569" s="461" t="s">
        <v>1824</v>
      </c>
      <c r="Y569" s="461" t="s">
        <v>1824</v>
      </c>
      <c r="Z569" s="461" t="s">
        <v>170</v>
      </c>
      <c r="AA569" s="460" t="s">
        <v>1218</v>
      </c>
      <c r="AB569" s="561">
        <f>ROUND(30.41,2)</f>
        <v>30.41</v>
      </c>
      <c r="AC569" s="460" t="s">
        <v>308</v>
      </c>
      <c r="AD569" s="460"/>
      <c r="AE569" s="561">
        <f>ROUND(70.29,2)</f>
        <v>70.290000000000006</v>
      </c>
      <c r="AF569" s="460" t="s">
        <v>308</v>
      </c>
      <c r="AG569" s="561">
        <f t="shared" si="8"/>
        <v>0</v>
      </c>
      <c r="AH569" s="460" t="s">
        <v>2671</v>
      </c>
      <c r="AI569" s="460" t="s">
        <v>1214</v>
      </c>
      <c r="AJ569" s="460" t="s">
        <v>2548</v>
      </c>
      <c r="AK569" s="460" t="s">
        <v>2672</v>
      </c>
      <c r="AL569" s="560" t="s">
        <v>2673</v>
      </c>
      <c r="AM569" s="460" t="s">
        <v>2674</v>
      </c>
    </row>
    <row r="570" spans="1:39" ht="22.8">
      <c r="A570" s="460" t="s">
        <v>1810</v>
      </c>
      <c r="B570" s="460"/>
      <c r="C570" s="460" t="s">
        <v>1773</v>
      </c>
      <c r="D570" s="460" t="s">
        <v>2119</v>
      </c>
      <c r="E570" s="460" t="s">
        <v>1814</v>
      </c>
      <c r="F570" s="460" t="s">
        <v>1812</v>
      </c>
      <c r="G570" s="461" t="s">
        <v>1218</v>
      </c>
      <c r="H570" s="461" t="s">
        <v>218</v>
      </c>
      <c r="I570" s="460" t="s">
        <v>2118</v>
      </c>
      <c r="J570" s="460" t="s">
        <v>1983</v>
      </c>
      <c r="K570" s="460" t="s">
        <v>2669</v>
      </c>
      <c r="L570" s="460" t="s">
        <v>2715</v>
      </c>
      <c r="M570" s="460" t="s">
        <v>1982</v>
      </c>
      <c r="N570" s="460" t="s">
        <v>1981</v>
      </c>
      <c r="O570" s="460" t="s">
        <v>1980</v>
      </c>
      <c r="P570" s="460" t="s">
        <v>2675</v>
      </c>
      <c r="Q570" s="460" t="s">
        <v>2676</v>
      </c>
      <c r="R570" s="460" t="s">
        <v>2677</v>
      </c>
      <c r="S570" s="460" t="s">
        <v>2676</v>
      </c>
      <c r="T570" s="460" t="s">
        <v>1827</v>
      </c>
      <c r="U570" s="461" t="s">
        <v>1824</v>
      </c>
      <c r="V570" s="460" t="s">
        <v>1119</v>
      </c>
      <c r="W570" s="560"/>
      <c r="X570" s="461" t="s">
        <v>1824</v>
      </c>
      <c r="Y570" s="461" t="s">
        <v>1824</v>
      </c>
      <c r="Z570" s="461" t="s">
        <v>170</v>
      </c>
      <c r="AA570" s="460" t="s">
        <v>1218</v>
      </c>
      <c r="AB570" s="561">
        <f>ROUND(50,2)</f>
        <v>50</v>
      </c>
      <c r="AC570" s="460" t="s">
        <v>2678</v>
      </c>
      <c r="AD570" s="460"/>
      <c r="AE570" s="561">
        <f>ROUND(500.05,2)</f>
        <v>500.05</v>
      </c>
      <c r="AF570" s="460" t="s">
        <v>2679</v>
      </c>
      <c r="AG570" s="561">
        <f t="shared" si="8"/>
        <v>0</v>
      </c>
      <c r="AH570" s="460" t="s">
        <v>2671</v>
      </c>
      <c r="AI570" s="460" t="s">
        <v>1214</v>
      </c>
      <c r="AJ570" s="460" t="s">
        <v>2550</v>
      </c>
      <c r="AK570" s="460" t="s">
        <v>2672</v>
      </c>
      <c r="AL570" s="560" t="s">
        <v>2690</v>
      </c>
      <c r="AM570" s="460" t="s">
        <v>2674</v>
      </c>
    </row>
    <row r="571" spans="1:39" ht="22.8">
      <c r="A571" s="460" t="s">
        <v>1810</v>
      </c>
      <c r="B571" s="460"/>
      <c r="C571" s="460" t="s">
        <v>1773</v>
      </c>
      <c r="D571" s="460" t="s">
        <v>2119</v>
      </c>
      <c r="E571" s="460" t="s">
        <v>1814</v>
      </c>
      <c r="F571" s="460" t="s">
        <v>1812</v>
      </c>
      <c r="G571" s="461" t="s">
        <v>1218</v>
      </c>
      <c r="H571" s="461" t="s">
        <v>218</v>
      </c>
      <c r="I571" s="460" t="s">
        <v>2118</v>
      </c>
      <c r="J571" s="460" t="s">
        <v>1983</v>
      </c>
      <c r="K571" s="460" t="s">
        <v>2669</v>
      </c>
      <c r="L571" s="460" t="s">
        <v>2715</v>
      </c>
      <c r="M571" s="460" t="s">
        <v>1982</v>
      </c>
      <c r="N571" s="460" t="s">
        <v>1981</v>
      </c>
      <c r="O571" s="460" t="s">
        <v>1980</v>
      </c>
      <c r="P571" s="460" t="s">
        <v>1979</v>
      </c>
      <c r="Q571" s="460" t="s">
        <v>1978</v>
      </c>
      <c r="R571" s="460" t="s">
        <v>1977</v>
      </c>
      <c r="S571" s="460" t="s">
        <v>1826</v>
      </c>
      <c r="T571" s="460" t="s">
        <v>1827</v>
      </c>
      <c r="U571" s="461" t="s">
        <v>1976</v>
      </c>
      <c r="V571" s="460" t="s">
        <v>1119</v>
      </c>
      <c r="W571" s="560"/>
      <c r="X571" s="461" t="s">
        <v>1824</v>
      </c>
      <c r="Y571" s="461" t="s">
        <v>1824</v>
      </c>
      <c r="Z571" s="461" t="s">
        <v>170</v>
      </c>
      <c r="AA571" s="460" t="s">
        <v>1218</v>
      </c>
      <c r="AB571" s="561">
        <f>ROUND(29.05,2)</f>
        <v>29.05</v>
      </c>
      <c r="AC571" s="460" t="s">
        <v>308</v>
      </c>
      <c r="AD571" s="460"/>
      <c r="AE571" s="561">
        <f>ROUND(825.23,2)</f>
        <v>825.23</v>
      </c>
      <c r="AF571" s="460" t="s">
        <v>308</v>
      </c>
      <c r="AG571" s="561">
        <f t="shared" si="8"/>
        <v>0</v>
      </c>
      <c r="AH571" s="460" t="s">
        <v>2671</v>
      </c>
      <c r="AI571" s="460" t="s">
        <v>1214</v>
      </c>
      <c r="AJ571" s="460" t="s">
        <v>2549</v>
      </c>
      <c r="AK571" s="460" t="s">
        <v>2672</v>
      </c>
      <c r="AL571" s="560" t="s">
        <v>2692</v>
      </c>
      <c r="AM571" s="460" t="s">
        <v>2674</v>
      </c>
    </row>
    <row r="572" spans="1:39" ht="34.200000000000003">
      <c r="A572" s="460" t="s">
        <v>1810</v>
      </c>
      <c r="B572" s="460"/>
      <c r="C572" s="460" t="s">
        <v>1441</v>
      </c>
      <c r="D572" s="460" t="s">
        <v>2117</v>
      </c>
      <c r="E572" s="460" t="s">
        <v>1815</v>
      </c>
      <c r="F572" s="460" t="s">
        <v>1812</v>
      </c>
      <c r="G572" s="461" t="s">
        <v>1218</v>
      </c>
      <c r="H572" s="461" t="s">
        <v>298</v>
      </c>
      <c r="I572" s="460" t="s">
        <v>2116</v>
      </c>
      <c r="J572" s="460" t="s">
        <v>1983</v>
      </c>
      <c r="K572" s="460" t="s">
        <v>2669</v>
      </c>
      <c r="L572" s="460" t="s">
        <v>2688</v>
      </c>
      <c r="M572" s="460" t="s">
        <v>1987</v>
      </c>
      <c r="N572" s="460" t="s">
        <v>1986</v>
      </c>
      <c r="O572" s="460" t="s">
        <v>170</v>
      </c>
      <c r="P572" s="460" t="s">
        <v>1979</v>
      </c>
      <c r="Q572" s="460" t="s">
        <v>95</v>
      </c>
      <c r="R572" s="460" t="s">
        <v>1977</v>
      </c>
      <c r="S572" s="460" t="s">
        <v>1842</v>
      </c>
      <c r="T572" s="460" t="s">
        <v>1827</v>
      </c>
      <c r="U572" s="461" t="s">
        <v>1976</v>
      </c>
      <c r="V572" s="460" t="s">
        <v>1843</v>
      </c>
      <c r="W572" s="560"/>
      <c r="X572" s="461" t="s">
        <v>1824</v>
      </c>
      <c r="Y572" s="461" t="s">
        <v>1824</v>
      </c>
      <c r="Z572" s="461" t="s">
        <v>170</v>
      </c>
      <c r="AA572" s="460" t="s">
        <v>1218</v>
      </c>
      <c r="AB572" s="561">
        <f>ROUND(30.41,2)</f>
        <v>30.41</v>
      </c>
      <c r="AC572" s="460" t="s">
        <v>308</v>
      </c>
      <c r="AD572" s="460"/>
      <c r="AE572" s="561">
        <f>ROUND(70.29,2)</f>
        <v>70.290000000000006</v>
      </c>
      <c r="AF572" s="460" t="s">
        <v>308</v>
      </c>
      <c r="AG572" s="561">
        <f t="shared" si="8"/>
        <v>0</v>
      </c>
      <c r="AH572" s="460" t="s">
        <v>2671</v>
      </c>
      <c r="AI572" s="460" t="s">
        <v>1214</v>
      </c>
      <c r="AJ572" s="460" t="s">
        <v>2548</v>
      </c>
      <c r="AK572" s="460" t="s">
        <v>2672</v>
      </c>
      <c r="AL572" s="560" t="s">
        <v>2673</v>
      </c>
      <c r="AM572" s="460" t="s">
        <v>2674</v>
      </c>
    </row>
    <row r="573" spans="1:39" ht="34.200000000000003">
      <c r="A573" s="460" t="s">
        <v>1810</v>
      </c>
      <c r="B573" s="460"/>
      <c r="C573" s="460" t="s">
        <v>1441</v>
      </c>
      <c r="D573" s="460" t="s">
        <v>2117</v>
      </c>
      <c r="E573" s="460" t="s">
        <v>1815</v>
      </c>
      <c r="F573" s="460" t="s">
        <v>1812</v>
      </c>
      <c r="G573" s="461" t="s">
        <v>1218</v>
      </c>
      <c r="H573" s="461" t="s">
        <v>298</v>
      </c>
      <c r="I573" s="460" t="s">
        <v>2116</v>
      </c>
      <c r="J573" s="460" t="s">
        <v>1983</v>
      </c>
      <c r="K573" s="460" t="s">
        <v>2669</v>
      </c>
      <c r="L573" s="460" t="s">
        <v>2688</v>
      </c>
      <c r="M573" s="460" t="s">
        <v>1987</v>
      </c>
      <c r="N573" s="460" t="s">
        <v>1986</v>
      </c>
      <c r="O573" s="460" t="s">
        <v>170</v>
      </c>
      <c r="P573" s="460" t="s">
        <v>2675</v>
      </c>
      <c r="Q573" s="460" t="s">
        <v>2676</v>
      </c>
      <c r="R573" s="460" t="s">
        <v>2677</v>
      </c>
      <c r="S573" s="460" t="s">
        <v>2676</v>
      </c>
      <c r="T573" s="460" t="s">
        <v>1827</v>
      </c>
      <c r="U573" s="461" t="s">
        <v>1824</v>
      </c>
      <c r="V573" s="460" t="s">
        <v>1843</v>
      </c>
      <c r="W573" s="560"/>
      <c r="X573" s="461" t="s">
        <v>1824</v>
      </c>
      <c r="Y573" s="461" t="s">
        <v>1824</v>
      </c>
      <c r="Z573" s="461" t="s">
        <v>170</v>
      </c>
      <c r="AA573" s="460" t="s">
        <v>1218</v>
      </c>
      <c r="AB573" s="561">
        <f>ROUND(100,2)</f>
        <v>100</v>
      </c>
      <c r="AC573" s="460" t="s">
        <v>2678</v>
      </c>
      <c r="AD573" s="460"/>
      <c r="AE573" s="561">
        <f>ROUND(1000,2)</f>
        <v>1000</v>
      </c>
      <c r="AF573" s="460" t="s">
        <v>2679</v>
      </c>
      <c r="AG573" s="561">
        <f t="shared" si="8"/>
        <v>0</v>
      </c>
      <c r="AH573" s="460" t="s">
        <v>2671</v>
      </c>
      <c r="AI573" s="460" t="s">
        <v>1214</v>
      </c>
      <c r="AJ573" s="460" t="s">
        <v>2550</v>
      </c>
      <c r="AK573" s="460" t="s">
        <v>2672</v>
      </c>
      <c r="AL573" s="560" t="s">
        <v>2691</v>
      </c>
      <c r="AM573" s="460" t="s">
        <v>2674</v>
      </c>
    </row>
    <row r="574" spans="1:39" ht="34.200000000000003">
      <c r="A574" s="460" t="s">
        <v>1810</v>
      </c>
      <c r="B574" s="460"/>
      <c r="C574" s="460" t="s">
        <v>1441</v>
      </c>
      <c r="D574" s="460" t="s">
        <v>2117</v>
      </c>
      <c r="E574" s="460" t="s">
        <v>1815</v>
      </c>
      <c r="F574" s="460" t="s">
        <v>1812</v>
      </c>
      <c r="G574" s="461" t="s">
        <v>1218</v>
      </c>
      <c r="H574" s="461" t="s">
        <v>298</v>
      </c>
      <c r="I574" s="460" t="s">
        <v>2116</v>
      </c>
      <c r="J574" s="460" t="s">
        <v>1983</v>
      </c>
      <c r="K574" s="460" t="s">
        <v>2669</v>
      </c>
      <c r="L574" s="460" t="s">
        <v>2688</v>
      </c>
      <c r="M574" s="460" t="s">
        <v>1987</v>
      </c>
      <c r="N574" s="460" t="s">
        <v>1986</v>
      </c>
      <c r="O574" s="460" t="s">
        <v>170</v>
      </c>
      <c r="P574" s="460" t="s">
        <v>1979</v>
      </c>
      <c r="Q574" s="460" t="s">
        <v>1978</v>
      </c>
      <c r="R574" s="460" t="s">
        <v>1977</v>
      </c>
      <c r="S574" s="460" t="s">
        <v>1826</v>
      </c>
      <c r="T574" s="460" t="s">
        <v>1827</v>
      </c>
      <c r="U574" s="461" t="s">
        <v>1976</v>
      </c>
      <c r="V574" s="460" t="s">
        <v>1967</v>
      </c>
      <c r="W574" s="560"/>
      <c r="X574" s="461" t="s">
        <v>1824</v>
      </c>
      <c r="Y574" s="461" t="s">
        <v>1824</v>
      </c>
      <c r="Z574" s="461" t="s">
        <v>170</v>
      </c>
      <c r="AA574" s="460" t="s">
        <v>1218</v>
      </c>
      <c r="AB574" s="561">
        <f>ROUND(315.48,2)</f>
        <v>315.48</v>
      </c>
      <c r="AC574" s="460" t="s">
        <v>308</v>
      </c>
      <c r="AD574" s="460"/>
      <c r="AE574" s="561">
        <f>ROUND(1466.88,2)</f>
        <v>1466.88</v>
      </c>
      <c r="AF574" s="460" t="s">
        <v>308</v>
      </c>
      <c r="AG574" s="561">
        <f t="shared" si="8"/>
        <v>0</v>
      </c>
      <c r="AH574" s="460" t="s">
        <v>2671</v>
      </c>
      <c r="AI574" s="460" t="s">
        <v>1214</v>
      </c>
      <c r="AJ574" s="460" t="s">
        <v>2549</v>
      </c>
      <c r="AK574" s="460" t="s">
        <v>2672</v>
      </c>
      <c r="AL574" s="560" t="s">
        <v>2761</v>
      </c>
      <c r="AM574" s="460" t="s">
        <v>2674</v>
      </c>
    </row>
    <row r="575" spans="1:39" ht="22.8">
      <c r="A575" s="460" t="s">
        <v>1810</v>
      </c>
      <c r="B575" s="460"/>
      <c r="C575" s="460" t="s">
        <v>2480</v>
      </c>
      <c r="D575" s="460" t="s">
        <v>2852</v>
      </c>
      <c r="E575" s="460" t="s">
        <v>1814</v>
      </c>
      <c r="F575" s="460" t="s">
        <v>1812</v>
      </c>
      <c r="G575" s="461" t="s">
        <v>1218</v>
      </c>
      <c r="H575" s="461" t="s">
        <v>2853</v>
      </c>
      <c r="I575" s="460" t="s">
        <v>2372</v>
      </c>
      <c r="J575" s="460" t="s">
        <v>1983</v>
      </c>
      <c r="K575" s="460" t="s">
        <v>2669</v>
      </c>
      <c r="L575" s="460" t="s">
        <v>2703</v>
      </c>
      <c r="M575" s="460" t="s">
        <v>1982</v>
      </c>
      <c r="N575" s="460" t="s">
        <v>1981</v>
      </c>
      <c r="O575" s="460" t="s">
        <v>1980</v>
      </c>
      <c r="P575" s="460" t="s">
        <v>1979</v>
      </c>
      <c r="Q575" s="460" t="s">
        <v>95</v>
      </c>
      <c r="R575" s="460" t="s">
        <v>1977</v>
      </c>
      <c r="S575" s="460" t="s">
        <v>1842</v>
      </c>
      <c r="T575" s="460" t="s">
        <v>1827</v>
      </c>
      <c r="U575" s="461" t="s">
        <v>1976</v>
      </c>
      <c r="V575" s="460" t="s">
        <v>1119</v>
      </c>
      <c r="W575" s="560"/>
      <c r="X575" s="461" t="s">
        <v>2747</v>
      </c>
      <c r="Y575" s="461" t="s">
        <v>2747</v>
      </c>
      <c r="Z575" s="461" t="s">
        <v>170</v>
      </c>
      <c r="AA575" s="460" t="s">
        <v>1218</v>
      </c>
      <c r="AB575" s="561">
        <f>ROUND(0,2)</f>
        <v>0</v>
      </c>
      <c r="AC575" s="460" t="s">
        <v>308</v>
      </c>
      <c r="AD575" s="460"/>
      <c r="AE575" s="561">
        <f>ROUND(36.23,2)</f>
        <v>36.229999999999997</v>
      </c>
      <c r="AF575" s="460" t="s">
        <v>308</v>
      </c>
      <c r="AG575" s="561">
        <f t="shared" si="8"/>
        <v>0</v>
      </c>
      <c r="AH575" s="460" t="s">
        <v>2671</v>
      </c>
      <c r="AI575" s="460" t="s">
        <v>1214</v>
      </c>
      <c r="AJ575" s="460"/>
      <c r="AK575" s="460"/>
      <c r="AL575" s="560"/>
      <c r="AM575" s="460"/>
    </row>
    <row r="576" spans="1:39" ht="22.8">
      <c r="A576" s="460" t="s">
        <v>1810</v>
      </c>
      <c r="B576" s="460"/>
      <c r="C576" s="460" t="s">
        <v>2480</v>
      </c>
      <c r="D576" s="460" t="s">
        <v>2852</v>
      </c>
      <c r="E576" s="460" t="s">
        <v>1814</v>
      </c>
      <c r="F576" s="460" t="s">
        <v>1812</v>
      </c>
      <c r="G576" s="461" t="s">
        <v>1218</v>
      </c>
      <c r="H576" s="461" t="s">
        <v>2853</v>
      </c>
      <c r="I576" s="460" t="s">
        <v>2372</v>
      </c>
      <c r="J576" s="460" t="s">
        <v>1983</v>
      </c>
      <c r="K576" s="460" t="s">
        <v>2669</v>
      </c>
      <c r="L576" s="460" t="s">
        <v>2703</v>
      </c>
      <c r="M576" s="460" t="s">
        <v>1982</v>
      </c>
      <c r="N576" s="460" t="s">
        <v>1981</v>
      </c>
      <c r="O576" s="460" t="s">
        <v>1980</v>
      </c>
      <c r="P576" s="460" t="s">
        <v>2675</v>
      </c>
      <c r="Q576" s="460" t="s">
        <v>2676</v>
      </c>
      <c r="R576" s="460" t="s">
        <v>2677</v>
      </c>
      <c r="S576" s="460" t="s">
        <v>2676</v>
      </c>
      <c r="T576" s="460" t="s">
        <v>1827</v>
      </c>
      <c r="U576" s="461" t="s">
        <v>1824</v>
      </c>
      <c r="V576" s="460" t="s">
        <v>1119</v>
      </c>
      <c r="W576" s="560"/>
      <c r="X576" s="461" t="s">
        <v>2747</v>
      </c>
      <c r="Y576" s="461" t="s">
        <v>2747</v>
      </c>
      <c r="Z576" s="461" t="s">
        <v>170</v>
      </c>
      <c r="AA576" s="460" t="s">
        <v>1218</v>
      </c>
      <c r="AB576" s="561">
        <f>ROUND(20,2)</f>
        <v>20</v>
      </c>
      <c r="AC576" s="460" t="s">
        <v>2678</v>
      </c>
      <c r="AD576" s="460"/>
      <c r="AE576" s="561">
        <f>ROUND(500.05,2)</f>
        <v>500.05</v>
      </c>
      <c r="AF576" s="460" t="s">
        <v>2679</v>
      </c>
      <c r="AG576" s="561">
        <f t="shared" si="8"/>
        <v>0</v>
      </c>
      <c r="AH576" s="460" t="s">
        <v>2671</v>
      </c>
      <c r="AI576" s="460" t="s">
        <v>1214</v>
      </c>
      <c r="AJ576" s="460" t="s">
        <v>2550</v>
      </c>
      <c r="AK576" s="460" t="s">
        <v>2672</v>
      </c>
      <c r="AL576" s="560" t="s">
        <v>2711</v>
      </c>
      <c r="AM576" s="460" t="s">
        <v>2674</v>
      </c>
    </row>
    <row r="577" spans="1:39" ht="22.8">
      <c r="A577" s="460" t="s">
        <v>1810</v>
      </c>
      <c r="B577" s="460"/>
      <c r="C577" s="460" t="s">
        <v>2480</v>
      </c>
      <c r="D577" s="460" t="s">
        <v>2852</v>
      </c>
      <c r="E577" s="460" t="s">
        <v>1814</v>
      </c>
      <c r="F577" s="460" t="s">
        <v>1812</v>
      </c>
      <c r="G577" s="461" t="s">
        <v>1218</v>
      </c>
      <c r="H577" s="461" t="s">
        <v>2853</v>
      </c>
      <c r="I577" s="460" t="s">
        <v>2372</v>
      </c>
      <c r="J577" s="460" t="s">
        <v>1983</v>
      </c>
      <c r="K577" s="460" t="s">
        <v>2669</v>
      </c>
      <c r="L577" s="460" t="s">
        <v>2703</v>
      </c>
      <c r="M577" s="460" t="s">
        <v>1982</v>
      </c>
      <c r="N577" s="460" t="s">
        <v>1981</v>
      </c>
      <c r="O577" s="460" t="s">
        <v>1980</v>
      </c>
      <c r="P577" s="460" t="s">
        <v>1979</v>
      </c>
      <c r="Q577" s="460" t="s">
        <v>1978</v>
      </c>
      <c r="R577" s="460" t="s">
        <v>1977</v>
      </c>
      <c r="S577" s="460" t="s">
        <v>1826</v>
      </c>
      <c r="T577" s="460" t="s">
        <v>1827</v>
      </c>
      <c r="U577" s="461" t="s">
        <v>1976</v>
      </c>
      <c r="V577" s="460" t="s">
        <v>1119</v>
      </c>
      <c r="W577" s="560"/>
      <c r="X577" s="461" t="s">
        <v>2747</v>
      </c>
      <c r="Y577" s="461" t="s">
        <v>2747</v>
      </c>
      <c r="Z577" s="461" t="s">
        <v>170</v>
      </c>
      <c r="AA577" s="460" t="s">
        <v>1218</v>
      </c>
      <c r="AB577" s="561">
        <f>ROUND(35.03,2)</f>
        <v>35.03</v>
      </c>
      <c r="AC577" s="460" t="s">
        <v>308</v>
      </c>
      <c r="AD577" s="460"/>
      <c r="AE577" s="561">
        <f>ROUND(819.25,2)</f>
        <v>819.25</v>
      </c>
      <c r="AF577" s="460" t="s">
        <v>308</v>
      </c>
      <c r="AG577" s="561">
        <f t="shared" si="8"/>
        <v>0</v>
      </c>
      <c r="AH577" s="460" t="s">
        <v>2671</v>
      </c>
      <c r="AI577" s="460" t="s">
        <v>1214</v>
      </c>
      <c r="AJ577" s="460" t="s">
        <v>2549</v>
      </c>
      <c r="AK577" s="460" t="s">
        <v>2672</v>
      </c>
      <c r="AL577" s="560" t="s">
        <v>2694</v>
      </c>
      <c r="AM577" s="460" t="s">
        <v>2674</v>
      </c>
    </row>
    <row r="578" spans="1:39" ht="22.8">
      <c r="A578" s="460" t="s">
        <v>1810</v>
      </c>
      <c r="B578" s="460"/>
      <c r="C578" s="460" t="s">
        <v>1450</v>
      </c>
      <c r="D578" s="460" t="s">
        <v>2115</v>
      </c>
      <c r="E578" s="460" t="s">
        <v>1814</v>
      </c>
      <c r="F578" s="460" t="s">
        <v>1812</v>
      </c>
      <c r="G578" s="461" t="s">
        <v>1218</v>
      </c>
      <c r="H578" s="461" t="s">
        <v>208</v>
      </c>
      <c r="I578" s="460" t="s">
        <v>2114</v>
      </c>
      <c r="J578" s="460" t="s">
        <v>1983</v>
      </c>
      <c r="K578" s="460" t="s">
        <v>2669</v>
      </c>
      <c r="L578" s="460" t="s">
        <v>2703</v>
      </c>
      <c r="M578" s="460" t="s">
        <v>1982</v>
      </c>
      <c r="N578" s="460" t="s">
        <v>1981</v>
      </c>
      <c r="O578" s="460" t="s">
        <v>1980</v>
      </c>
      <c r="P578" s="460" t="s">
        <v>1979</v>
      </c>
      <c r="Q578" s="460" t="s">
        <v>95</v>
      </c>
      <c r="R578" s="460" t="s">
        <v>1977</v>
      </c>
      <c r="S578" s="460" t="s">
        <v>1842</v>
      </c>
      <c r="T578" s="460" t="s">
        <v>1827</v>
      </c>
      <c r="U578" s="461" t="s">
        <v>1976</v>
      </c>
      <c r="V578" s="460" t="s">
        <v>1967</v>
      </c>
      <c r="W578" s="560"/>
      <c r="X578" s="461" t="s">
        <v>1824</v>
      </c>
      <c r="Y578" s="461" t="s">
        <v>2784</v>
      </c>
      <c r="Z578" s="461" t="s">
        <v>170</v>
      </c>
      <c r="AA578" s="460" t="s">
        <v>1218</v>
      </c>
      <c r="AB578" s="561">
        <f>ROUND(30.41,2)</f>
        <v>30.41</v>
      </c>
      <c r="AC578" s="460" t="s">
        <v>308</v>
      </c>
      <c r="AD578" s="460"/>
      <c r="AE578" s="561">
        <f>ROUND(70.29,2)</f>
        <v>70.290000000000006</v>
      </c>
      <c r="AF578" s="460" t="s">
        <v>308</v>
      </c>
      <c r="AG578" s="561">
        <f t="shared" si="8"/>
        <v>0</v>
      </c>
      <c r="AH578" s="460" t="s">
        <v>2671</v>
      </c>
      <c r="AI578" s="460" t="s">
        <v>1214</v>
      </c>
      <c r="AJ578" s="460" t="s">
        <v>2548</v>
      </c>
      <c r="AK578" s="460" t="s">
        <v>2672</v>
      </c>
      <c r="AL578" s="560" t="s">
        <v>2673</v>
      </c>
      <c r="AM578" s="460" t="s">
        <v>2674</v>
      </c>
    </row>
    <row r="579" spans="1:39" ht="22.8">
      <c r="A579" s="460" t="s">
        <v>1810</v>
      </c>
      <c r="B579" s="460"/>
      <c r="C579" s="460" t="s">
        <v>1450</v>
      </c>
      <c r="D579" s="460" t="s">
        <v>2115</v>
      </c>
      <c r="E579" s="460" t="s">
        <v>1814</v>
      </c>
      <c r="F579" s="460" t="s">
        <v>1812</v>
      </c>
      <c r="G579" s="461" t="s">
        <v>1218</v>
      </c>
      <c r="H579" s="461" t="s">
        <v>208</v>
      </c>
      <c r="I579" s="460" t="s">
        <v>2114</v>
      </c>
      <c r="J579" s="460" t="s">
        <v>1983</v>
      </c>
      <c r="K579" s="460" t="s">
        <v>2669</v>
      </c>
      <c r="L579" s="460" t="s">
        <v>2703</v>
      </c>
      <c r="M579" s="460" t="s">
        <v>1982</v>
      </c>
      <c r="N579" s="460" t="s">
        <v>1981</v>
      </c>
      <c r="O579" s="460" t="s">
        <v>1980</v>
      </c>
      <c r="P579" s="460" t="s">
        <v>2675</v>
      </c>
      <c r="Q579" s="460" t="s">
        <v>2676</v>
      </c>
      <c r="R579" s="460" t="s">
        <v>2677</v>
      </c>
      <c r="S579" s="460" t="s">
        <v>2676</v>
      </c>
      <c r="T579" s="460" t="s">
        <v>1827</v>
      </c>
      <c r="U579" s="461" t="s">
        <v>1824</v>
      </c>
      <c r="V579" s="460" t="s">
        <v>1843</v>
      </c>
      <c r="W579" s="560"/>
      <c r="X579" s="461" t="s">
        <v>2784</v>
      </c>
      <c r="Y579" s="461" t="s">
        <v>2784</v>
      </c>
      <c r="Z579" s="461" t="s">
        <v>170</v>
      </c>
      <c r="AA579" s="460" t="s">
        <v>1218</v>
      </c>
      <c r="AB579" s="561">
        <f>ROUND(125,2)</f>
        <v>125</v>
      </c>
      <c r="AC579" s="460" t="s">
        <v>2678</v>
      </c>
      <c r="AD579" s="460"/>
      <c r="AE579" s="561">
        <f>ROUND(1000,2)</f>
        <v>1000</v>
      </c>
      <c r="AF579" s="460" t="s">
        <v>2679</v>
      </c>
      <c r="AG579" s="561">
        <f t="shared" si="8"/>
        <v>0</v>
      </c>
      <c r="AH579" s="460" t="s">
        <v>2671</v>
      </c>
      <c r="AI579" s="460" t="s">
        <v>1214</v>
      </c>
      <c r="AJ579" s="460" t="s">
        <v>2550</v>
      </c>
      <c r="AK579" s="460" t="s">
        <v>2672</v>
      </c>
      <c r="AL579" s="560" t="s">
        <v>2701</v>
      </c>
      <c r="AM579" s="460" t="s">
        <v>2674</v>
      </c>
    </row>
    <row r="580" spans="1:39" ht="22.8">
      <c r="A580" s="460" t="s">
        <v>1810</v>
      </c>
      <c r="B580" s="460"/>
      <c r="C580" s="460" t="s">
        <v>1450</v>
      </c>
      <c r="D580" s="460" t="s">
        <v>2115</v>
      </c>
      <c r="E580" s="460" t="s">
        <v>1814</v>
      </c>
      <c r="F580" s="460" t="s">
        <v>1812</v>
      </c>
      <c r="G580" s="461" t="s">
        <v>1218</v>
      </c>
      <c r="H580" s="461" t="s">
        <v>208</v>
      </c>
      <c r="I580" s="460" t="s">
        <v>2114</v>
      </c>
      <c r="J580" s="460" t="s">
        <v>1983</v>
      </c>
      <c r="K580" s="460" t="s">
        <v>2669</v>
      </c>
      <c r="L580" s="460" t="s">
        <v>2703</v>
      </c>
      <c r="M580" s="460" t="s">
        <v>1982</v>
      </c>
      <c r="N580" s="460" t="s">
        <v>1981</v>
      </c>
      <c r="O580" s="460" t="s">
        <v>1980</v>
      </c>
      <c r="P580" s="460" t="s">
        <v>1979</v>
      </c>
      <c r="Q580" s="460" t="s">
        <v>1978</v>
      </c>
      <c r="R580" s="460" t="s">
        <v>1977</v>
      </c>
      <c r="S580" s="460" t="s">
        <v>1826</v>
      </c>
      <c r="T580" s="460" t="s">
        <v>1827</v>
      </c>
      <c r="U580" s="461" t="s">
        <v>1976</v>
      </c>
      <c r="V580" s="460" t="s">
        <v>1967</v>
      </c>
      <c r="W580" s="560"/>
      <c r="X580" s="461" t="s">
        <v>1824</v>
      </c>
      <c r="Y580" s="461" t="s">
        <v>2784</v>
      </c>
      <c r="Z580" s="461" t="s">
        <v>170</v>
      </c>
      <c r="AA580" s="460" t="s">
        <v>1218</v>
      </c>
      <c r="AB580" s="561">
        <f>ROUND(399.25,2)</f>
        <v>399.25</v>
      </c>
      <c r="AC580" s="460" t="s">
        <v>308</v>
      </c>
      <c r="AD580" s="460"/>
      <c r="AE580" s="561">
        <f>ROUND(1383.11,2)</f>
        <v>1383.11</v>
      </c>
      <c r="AF580" s="460" t="s">
        <v>308</v>
      </c>
      <c r="AG580" s="561">
        <f t="shared" si="8"/>
        <v>0</v>
      </c>
      <c r="AH580" s="460" t="s">
        <v>2671</v>
      </c>
      <c r="AI580" s="460" t="s">
        <v>1214</v>
      </c>
      <c r="AJ580" s="460" t="s">
        <v>2549</v>
      </c>
      <c r="AK580" s="460" t="s">
        <v>2672</v>
      </c>
      <c r="AL580" s="560" t="s">
        <v>2841</v>
      </c>
      <c r="AM580" s="460" t="s">
        <v>2674</v>
      </c>
    </row>
    <row r="581" spans="1:39" ht="22.8">
      <c r="A581" s="460" t="s">
        <v>1810</v>
      </c>
      <c r="B581" s="460"/>
      <c r="C581" s="460" t="s">
        <v>1444</v>
      </c>
      <c r="D581" s="460" t="s">
        <v>2113</v>
      </c>
      <c r="E581" s="460" t="s">
        <v>1821</v>
      </c>
      <c r="F581" s="460" t="s">
        <v>1812</v>
      </c>
      <c r="G581" s="461" t="s">
        <v>1218</v>
      </c>
      <c r="H581" s="461" t="s">
        <v>250</v>
      </c>
      <c r="I581" s="460" t="s">
        <v>2084</v>
      </c>
      <c r="J581" s="460" t="s">
        <v>1983</v>
      </c>
      <c r="K581" s="460" t="s">
        <v>2669</v>
      </c>
      <c r="L581" s="460" t="s">
        <v>2714</v>
      </c>
      <c r="M581" s="460" t="s">
        <v>1994</v>
      </c>
      <c r="N581" s="460" t="s">
        <v>1981</v>
      </c>
      <c r="O581" s="460" t="s">
        <v>1980</v>
      </c>
      <c r="P581" s="460" t="s">
        <v>1979</v>
      </c>
      <c r="Q581" s="460" t="s">
        <v>95</v>
      </c>
      <c r="R581" s="460" t="s">
        <v>1977</v>
      </c>
      <c r="S581" s="460" t="s">
        <v>1842</v>
      </c>
      <c r="T581" s="460" t="s">
        <v>1827</v>
      </c>
      <c r="U581" s="461" t="s">
        <v>1976</v>
      </c>
      <c r="V581" s="460" t="s">
        <v>1843</v>
      </c>
      <c r="W581" s="560"/>
      <c r="X581" s="461" t="s">
        <v>1963</v>
      </c>
      <c r="Y581" s="461" t="s">
        <v>1963</v>
      </c>
      <c r="Z581" s="461" t="s">
        <v>170</v>
      </c>
      <c r="AA581" s="460" t="s">
        <v>1218</v>
      </c>
      <c r="AB581" s="561">
        <f>ROUND(30.41,2)</f>
        <v>30.41</v>
      </c>
      <c r="AC581" s="460" t="s">
        <v>308</v>
      </c>
      <c r="AD581" s="460"/>
      <c r="AE581" s="561">
        <f>ROUND(70.29,2)</f>
        <v>70.290000000000006</v>
      </c>
      <c r="AF581" s="460" t="s">
        <v>308</v>
      </c>
      <c r="AG581" s="561">
        <f t="shared" si="8"/>
        <v>0</v>
      </c>
      <c r="AH581" s="460" t="s">
        <v>2671</v>
      </c>
      <c r="AI581" s="460" t="s">
        <v>1214</v>
      </c>
      <c r="AJ581" s="460" t="s">
        <v>2548</v>
      </c>
      <c r="AK581" s="460" t="s">
        <v>2672</v>
      </c>
      <c r="AL581" s="560" t="s">
        <v>2673</v>
      </c>
      <c r="AM581" s="460" t="s">
        <v>2674</v>
      </c>
    </row>
    <row r="582" spans="1:39" ht="22.8">
      <c r="A582" s="460" t="s">
        <v>1810</v>
      </c>
      <c r="B582" s="460"/>
      <c r="C582" s="460" t="s">
        <v>1444</v>
      </c>
      <c r="D582" s="460" t="s">
        <v>2113</v>
      </c>
      <c r="E582" s="460" t="s">
        <v>1821</v>
      </c>
      <c r="F582" s="460" t="s">
        <v>1812</v>
      </c>
      <c r="G582" s="461" t="s">
        <v>1218</v>
      </c>
      <c r="H582" s="461" t="s">
        <v>250</v>
      </c>
      <c r="I582" s="460" t="s">
        <v>2084</v>
      </c>
      <c r="J582" s="460" t="s">
        <v>1983</v>
      </c>
      <c r="K582" s="460" t="s">
        <v>2669</v>
      </c>
      <c r="L582" s="460" t="s">
        <v>2714</v>
      </c>
      <c r="M582" s="460" t="s">
        <v>1994</v>
      </c>
      <c r="N582" s="460" t="s">
        <v>1981</v>
      </c>
      <c r="O582" s="460" t="s">
        <v>1980</v>
      </c>
      <c r="P582" s="460" t="s">
        <v>2675</v>
      </c>
      <c r="Q582" s="460" t="s">
        <v>2676</v>
      </c>
      <c r="R582" s="460" t="s">
        <v>2677</v>
      </c>
      <c r="S582" s="460" t="s">
        <v>2676</v>
      </c>
      <c r="T582" s="460" t="s">
        <v>1827</v>
      </c>
      <c r="U582" s="461" t="s">
        <v>1824</v>
      </c>
      <c r="V582" s="460" t="s">
        <v>1843</v>
      </c>
      <c r="W582" s="560"/>
      <c r="X582" s="461" t="s">
        <v>1963</v>
      </c>
      <c r="Y582" s="461" t="s">
        <v>1963</v>
      </c>
      <c r="Z582" s="461" t="s">
        <v>170</v>
      </c>
      <c r="AA582" s="460" t="s">
        <v>1218</v>
      </c>
      <c r="AB582" s="561">
        <f>ROUND(150,2)</f>
        <v>150</v>
      </c>
      <c r="AC582" s="460" t="s">
        <v>2678</v>
      </c>
      <c r="AD582" s="460"/>
      <c r="AE582" s="561">
        <f>ROUND(1000,2)</f>
        <v>1000</v>
      </c>
      <c r="AF582" s="460" t="s">
        <v>2679</v>
      </c>
      <c r="AG582" s="561">
        <f t="shared" si="8"/>
        <v>0</v>
      </c>
      <c r="AH582" s="460" t="s">
        <v>2671</v>
      </c>
      <c r="AI582" s="460" t="s">
        <v>1214</v>
      </c>
      <c r="AJ582" s="460" t="s">
        <v>2550</v>
      </c>
      <c r="AK582" s="460" t="s">
        <v>2672</v>
      </c>
      <c r="AL582" s="560" t="s">
        <v>2741</v>
      </c>
      <c r="AM582" s="460" t="s">
        <v>2674</v>
      </c>
    </row>
    <row r="583" spans="1:39" ht="22.8">
      <c r="A583" s="460" t="s">
        <v>1810</v>
      </c>
      <c r="B583" s="460"/>
      <c r="C583" s="460" t="s">
        <v>1444</v>
      </c>
      <c r="D583" s="460" t="s">
        <v>2113</v>
      </c>
      <c r="E583" s="460" t="s">
        <v>1821</v>
      </c>
      <c r="F583" s="460" t="s">
        <v>1812</v>
      </c>
      <c r="G583" s="461" t="s">
        <v>1218</v>
      </c>
      <c r="H583" s="461" t="s">
        <v>250</v>
      </c>
      <c r="I583" s="460" t="s">
        <v>2084</v>
      </c>
      <c r="J583" s="460" t="s">
        <v>1983</v>
      </c>
      <c r="K583" s="460" t="s">
        <v>2669</v>
      </c>
      <c r="L583" s="460" t="s">
        <v>2714</v>
      </c>
      <c r="M583" s="460" t="s">
        <v>1994</v>
      </c>
      <c r="N583" s="460" t="s">
        <v>1981</v>
      </c>
      <c r="O583" s="460" t="s">
        <v>1980</v>
      </c>
      <c r="P583" s="460" t="s">
        <v>1979</v>
      </c>
      <c r="Q583" s="460" t="s">
        <v>1978</v>
      </c>
      <c r="R583" s="460" t="s">
        <v>1977</v>
      </c>
      <c r="S583" s="460" t="s">
        <v>1826</v>
      </c>
      <c r="T583" s="460" t="s">
        <v>1827</v>
      </c>
      <c r="U583" s="461" t="s">
        <v>1976</v>
      </c>
      <c r="V583" s="460" t="s">
        <v>1843</v>
      </c>
      <c r="W583" s="560"/>
      <c r="X583" s="461" t="s">
        <v>1963</v>
      </c>
      <c r="Y583" s="461" t="s">
        <v>1963</v>
      </c>
      <c r="Z583" s="461" t="s">
        <v>170</v>
      </c>
      <c r="AA583" s="460" t="s">
        <v>1218</v>
      </c>
      <c r="AB583" s="561">
        <f>ROUND(475.32,2)</f>
        <v>475.32</v>
      </c>
      <c r="AC583" s="460" t="s">
        <v>308</v>
      </c>
      <c r="AD583" s="460"/>
      <c r="AE583" s="561">
        <f>ROUND(1656.14,2)</f>
        <v>1656.14</v>
      </c>
      <c r="AF583" s="460" t="s">
        <v>308</v>
      </c>
      <c r="AG583" s="561">
        <f t="shared" si="8"/>
        <v>0</v>
      </c>
      <c r="AH583" s="460" t="s">
        <v>2671</v>
      </c>
      <c r="AI583" s="460" t="s">
        <v>1214</v>
      </c>
      <c r="AJ583" s="460" t="s">
        <v>2549</v>
      </c>
      <c r="AK583" s="460" t="s">
        <v>2672</v>
      </c>
      <c r="AL583" s="560" t="s">
        <v>2718</v>
      </c>
      <c r="AM583" s="460" t="s">
        <v>2674</v>
      </c>
    </row>
    <row r="584" spans="1:39" ht="22.8">
      <c r="A584" s="460" t="s">
        <v>1810</v>
      </c>
      <c r="B584" s="460"/>
      <c r="C584" s="460" t="s">
        <v>1501</v>
      </c>
      <c r="D584" s="460" t="s">
        <v>2112</v>
      </c>
      <c r="E584" s="460" t="s">
        <v>1814</v>
      </c>
      <c r="F584" s="460" t="s">
        <v>1812</v>
      </c>
      <c r="G584" s="461" t="s">
        <v>1218</v>
      </c>
      <c r="H584" s="461" t="s">
        <v>203</v>
      </c>
      <c r="I584" s="460" t="s">
        <v>2111</v>
      </c>
      <c r="J584" s="460" t="s">
        <v>1983</v>
      </c>
      <c r="K584" s="460" t="s">
        <v>2669</v>
      </c>
      <c r="L584" s="460" t="s">
        <v>2703</v>
      </c>
      <c r="M584" s="460" t="s">
        <v>1982</v>
      </c>
      <c r="N584" s="460" t="s">
        <v>1981</v>
      </c>
      <c r="O584" s="460" t="s">
        <v>1980</v>
      </c>
      <c r="P584" s="460" t="s">
        <v>1979</v>
      </c>
      <c r="Q584" s="460" t="s">
        <v>95</v>
      </c>
      <c r="R584" s="460" t="s">
        <v>1977</v>
      </c>
      <c r="S584" s="460" t="s">
        <v>1842</v>
      </c>
      <c r="T584" s="460" t="s">
        <v>1827</v>
      </c>
      <c r="U584" s="461" t="s">
        <v>1976</v>
      </c>
      <c r="V584" s="460" t="s">
        <v>1119</v>
      </c>
      <c r="W584" s="560"/>
      <c r="X584" s="461" t="s">
        <v>1824</v>
      </c>
      <c r="Y584" s="461" t="s">
        <v>1824</v>
      </c>
      <c r="Z584" s="461" t="s">
        <v>170</v>
      </c>
      <c r="AA584" s="460" t="s">
        <v>1218</v>
      </c>
      <c r="AB584" s="561">
        <f>ROUND(0,2)</f>
        <v>0</v>
      </c>
      <c r="AC584" s="460" t="s">
        <v>308</v>
      </c>
      <c r="AD584" s="460"/>
      <c r="AE584" s="561">
        <f>ROUND(36.23,2)</f>
        <v>36.229999999999997</v>
      </c>
      <c r="AF584" s="460" t="s">
        <v>308</v>
      </c>
      <c r="AG584" s="561">
        <f t="shared" si="8"/>
        <v>0</v>
      </c>
      <c r="AH584" s="460" t="s">
        <v>2671</v>
      </c>
      <c r="AI584" s="460" t="s">
        <v>1214</v>
      </c>
      <c r="AJ584" s="460"/>
      <c r="AK584" s="460"/>
      <c r="AL584" s="560"/>
      <c r="AM584" s="460"/>
    </row>
    <row r="585" spans="1:39" ht="22.8">
      <c r="A585" s="460" t="s">
        <v>1810</v>
      </c>
      <c r="B585" s="460"/>
      <c r="C585" s="460" t="s">
        <v>1501</v>
      </c>
      <c r="D585" s="460" t="s">
        <v>2112</v>
      </c>
      <c r="E585" s="460" t="s">
        <v>1814</v>
      </c>
      <c r="F585" s="460" t="s">
        <v>1812</v>
      </c>
      <c r="G585" s="461" t="s">
        <v>1218</v>
      </c>
      <c r="H585" s="461" t="s">
        <v>203</v>
      </c>
      <c r="I585" s="460" t="s">
        <v>2111</v>
      </c>
      <c r="J585" s="460" t="s">
        <v>1983</v>
      </c>
      <c r="K585" s="460" t="s">
        <v>2669</v>
      </c>
      <c r="L585" s="460" t="s">
        <v>2703</v>
      </c>
      <c r="M585" s="460" t="s">
        <v>1982</v>
      </c>
      <c r="N585" s="460" t="s">
        <v>1981</v>
      </c>
      <c r="O585" s="460" t="s">
        <v>1980</v>
      </c>
      <c r="P585" s="460" t="s">
        <v>2675</v>
      </c>
      <c r="Q585" s="460" t="s">
        <v>2676</v>
      </c>
      <c r="R585" s="460" t="s">
        <v>2677</v>
      </c>
      <c r="S585" s="460" t="s">
        <v>2676</v>
      </c>
      <c r="T585" s="460" t="s">
        <v>1827</v>
      </c>
      <c r="U585" s="461" t="s">
        <v>1824</v>
      </c>
      <c r="V585" s="460" t="s">
        <v>1119</v>
      </c>
      <c r="W585" s="560"/>
      <c r="X585" s="461" t="s">
        <v>1824</v>
      </c>
      <c r="Y585" s="461" t="s">
        <v>1824</v>
      </c>
      <c r="Z585" s="461" t="s">
        <v>170</v>
      </c>
      <c r="AA585" s="460" t="s">
        <v>1218</v>
      </c>
      <c r="AB585" s="561">
        <f>ROUND(50,2)</f>
        <v>50</v>
      </c>
      <c r="AC585" s="460" t="s">
        <v>2678</v>
      </c>
      <c r="AD585" s="460"/>
      <c r="AE585" s="561">
        <f>ROUND(500.05,2)</f>
        <v>500.05</v>
      </c>
      <c r="AF585" s="460" t="s">
        <v>2679</v>
      </c>
      <c r="AG585" s="561">
        <f t="shared" si="8"/>
        <v>0</v>
      </c>
      <c r="AH585" s="460" t="s">
        <v>2671</v>
      </c>
      <c r="AI585" s="460" t="s">
        <v>1214</v>
      </c>
      <c r="AJ585" s="460" t="s">
        <v>2550</v>
      </c>
      <c r="AK585" s="460" t="s">
        <v>2672</v>
      </c>
      <c r="AL585" s="560" t="s">
        <v>2690</v>
      </c>
      <c r="AM585" s="460" t="s">
        <v>2674</v>
      </c>
    </row>
    <row r="586" spans="1:39" ht="22.8">
      <c r="A586" s="460" t="s">
        <v>1810</v>
      </c>
      <c r="B586" s="460"/>
      <c r="C586" s="460" t="s">
        <v>1501</v>
      </c>
      <c r="D586" s="460" t="s">
        <v>2112</v>
      </c>
      <c r="E586" s="460" t="s">
        <v>1814</v>
      </c>
      <c r="F586" s="460" t="s">
        <v>1812</v>
      </c>
      <c r="G586" s="461" t="s">
        <v>1218</v>
      </c>
      <c r="H586" s="461" t="s">
        <v>203</v>
      </c>
      <c r="I586" s="460" t="s">
        <v>2111</v>
      </c>
      <c r="J586" s="460" t="s">
        <v>1983</v>
      </c>
      <c r="K586" s="460" t="s">
        <v>2669</v>
      </c>
      <c r="L586" s="460" t="s">
        <v>2703</v>
      </c>
      <c r="M586" s="460" t="s">
        <v>1982</v>
      </c>
      <c r="N586" s="460" t="s">
        <v>1981</v>
      </c>
      <c r="O586" s="460" t="s">
        <v>1980</v>
      </c>
      <c r="P586" s="460" t="s">
        <v>1979</v>
      </c>
      <c r="Q586" s="460" t="s">
        <v>1978</v>
      </c>
      <c r="R586" s="460" t="s">
        <v>1977</v>
      </c>
      <c r="S586" s="460" t="s">
        <v>1826</v>
      </c>
      <c r="T586" s="460" t="s">
        <v>1827</v>
      </c>
      <c r="U586" s="461" t="s">
        <v>1976</v>
      </c>
      <c r="V586" s="460" t="s">
        <v>1119</v>
      </c>
      <c r="W586" s="560"/>
      <c r="X586" s="461" t="s">
        <v>1824</v>
      </c>
      <c r="Y586" s="461" t="s">
        <v>1824</v>
      </c>
      <c r="Z586" s="461" t="s">
        <v>170</v>
      </c>
      <c r="AA586" s="460" t="s">
        <v>1218</v>
      </c>
      <c r="AB586" s="561">
        <f>ROUND(35.03,2)</f>
        <v>35.03</v>
      </c>
      <c r="AC586" s="460" t="s">
        <v>308</v>
      </c>
      <c r="AD586" s="460"/>
      <c r="AE586" s="561">
        <f>ROUND(819.25,2)</f>
        <v>819.25</v>
      </c>
      <c r="AF586" s="460" t="s">
        <v>308</v>
      </c>
      <c r="AG586" s="561">
        <f t="shared" si="8"/>
        <v>0</v>
      </c>
      <c r="AH586" s="460" t="s">
        <v>2671</v>
      </c>
      <c r="AI586" s="460" t="s">
        <v>1214</v>
      </c>
      <c r="AJ586" s="460" t="s">
        <v>2549</v>
      </c>
      <c r="AK586" s="460" t="s">
        <v>2672</v>
      </c>
      <c r="AL586" s="560" t="s">
        <v>2694</v>
      </c>
      <c r="AM586" s="460" t="s">
        <v>2674</v>
      </c>
    </row>
    <row r="587" spans="1:39" ht="34.200000000000003">
      <c r="A587" s="460" t="s">
        <v>1810</v>
      </c>
      <c r="B587" s="460"/>
      <c r="C587" s="460" t="s">
        <v>1439</v>
      </c>
      <c r="D587" s="460" t="s">
        <v>2110</v>
      </c>
      <c r="E587" s="460" t="s">
        <v>1835</v>
      </c>
      <c r="F587" s="460" t="s">
        <v>1812</v>
      </c>
      <c r="G587" s="461" t="s">
        <v>1218</v>
      </c>
      <c r="H587" s="461" t="s">
        <v>290</v>
      </c>
      <c r="I587" s="460" t="s">
        <v>2109</v>
      </c>
      <c r="J587" s="460" t="s">
        <v>1983</v>
      </c>
      <c r="K587" s="460" t="s">
        <v>2669</v>
      </c>
      <c r="L587" s="460" t="s">
        <v>2733</v>
      </c>
      <c r="M587" s="460" t="s">
        <v>2002</v>
      </c>
      <c r="N587" s="460" t="s">
        <v>1986</v>
      </c>
      <c r="O587" s="460" t="s">
        <v>1980</v>
      </c>
      <c r="P587" s="460" t="s">
        <v>1979</v>
      </c>
      <c r="Q587" s="460" t="s">
        <v>95</v>
      </c>
      <c r="R587" s="460" t="s">
        <v>1977</v>
      </c>
      <c r="S587" s="460" t="s">
        <v>1842</v>
      </c>
      <c r="T587" s="460" t="s">
        <v>1827</v>
      </c>
      <c r="U587" s="461" t="s">
        <v>1976</v>
      </c>
      <c r="V587" s="460" t="s">
        <v>1843</v>
      </c>
      <c r="W587" s="560"/>
      <c r="X587" s="461" t="s">
        <v>1824</v>
      </c>
      <c r="Y587" s="461" t="s">
        <v>1824</v>
      </c>
      <c r="Z587" s="461" t="s">
        <v>170</v>
      </c>
      <c r="AA587" s="460" t="s">
        <v>1218</v>
      </c>
      <c r="AB587" s="561">
        <f>ROUND(30.41,2)</f>
        <v>30.41</v>
      </c>
      <c r="AC587" s="460" t="s">
        <v>308</v>
      </c>
      <c r="AD587" s="460"/>
      <c r="AE587" s="561">
        <f>ROUND(70.29,2)</f>
        <v>70.290000000000006</v>
      </c>
      <c r="AF587" s="460" t="s">
        <v>308</v>
      </c>
      <c r="AG587" s="561">
        <f t="shared" ref="AG587:AG650" si="9">ROUND(0,2)</f>
        <v>0</v>
      </c>
      <c r="AH587" s="460" t="s">
        <v>2671</v>
      </c>
      <c r="AI587" s="460" t="s">
        <v>1214</v>
      </c>
      <c r="AJ587" s="460" t="s">
        <v>2548</v>
      </c>
      <c r="AK587" s="460" t="s">
        <v>2672</v>
      </c>
      <c r="AL587" s="560" t="s">
        <v>2673</v>
      </c>
      <c r="AM587" s="460" t="s">
        <v>2674</v>
      </c>
    </row>
    <row r="588" spans="1:39" ht="34.200000000000003">
      <c r="A588" s="460" t="s">
        <v>1810</v>
      </c>
      <c r="B588" s="460"/>
      <c r="C588" s="460" t="s">
        <v>1439</v>
      </c>
      <c r="D588" s="460" t="s">
        <v>2110</v>
      </c>
      <c r="E588" s="460" t="s">
        <v>1835</v>
      </c>
      <c r="F588" s="460" t="s">
        <v>1812</v>
      </c>
      <c r="G588" s="461" t="s">
        <v>1218</v>
      </c>
      <c r="H588" s="461" t="s">
        <v>290</v>
      </c>
      <c r="I588" s="460" t="s">
        <v>2109</v>
      </c>
      <c r="J588" s="460" t="s">
        <v>1983</v>
      </c>
      <c r="K588" s="460" t="s">
        <v>2669</v>
      </c>
      <c r="L588" s="460" t="s">
        <v>2733</v>
      </c>
      <c r="M588" s="460" t="s">
        <v>2002</v>
      </c>
      <c r="N588" s="460" t="s">
        <v>1986</v>
      </c>
      <c r="O588" s="460" t="s">
        <v>1980</v>
      </c>
      <c r="P588" s="460" t="s">
        <v>2675</v>
      </c>
      <c r="Q588" s="460" t="s">
        <v>2676</v>
      </c>
      <c r="R588" s="460" t="s">
        <v>2677</v>
      </c>
      <c r="S588" s="460" t="s">
        <v>2676</v>
      </c>
      <c r="T588" s="460" t="s">
        <v>1827</v>
      </c>
      <c r="U588" s="461" t="s">
        <v>1824</v>
      </c>
      <c r="V588" s="460" t="s">
        <v>1843</v>
      </c>
      <c r="W588" s="560"/>
      <c r="X588" s="461" t="s">
        <v>1824</v>
      </c>
      <c r="Y588" s="461" t="s">
        <v>1824</v>
      </c>
      <c r="Z588" s="461" t="s">
        <v>170</v>
      </c>
      <c r="AA588" s="460" t="s">
        <v>1218</v>
      </c>
      <c r="AB588" s="561">
        <f>ROUND(50,2)</f>
        <v>50</v>
      </c>
      <c r="AC588" s="460" t="s">
        <v>2678</v>
      </c>
      <c r="AD588" s="460"/>
      <c r="AE588" s="561">
        <f>ROUND(1000,2)</f>
        <v>1000</v>
      </c>
      <c r="AF588" s="460" t="s">
        <v>2679</v>
      </c>
      <c r="AG588" s="561">
        <f t="shared" si="9"/>
        <v>0</v>
      </c>
      <c r="AH588" s="460" t="s">
        <v>2671</v>
      </c>
      <c r="AI588" s="460" t="s">
        <v>1214</v>
      </c>
      <c r="AJ588" s="460" t="s">
        <v>2550</v>
      </c>
      <c r="AK588" s="460" t="s">
        <v>2672</v>
      </c>
      <c r="AL588" s="560" t="s">
        <v>2690</v>
      </c>
      <c r="AM588" s="460" t="s">
        <v>2674</v>
      </c>
    </row>
    <row r="589" spans="1:39" ht="34.200000000000003">
      <c r="A589" s="460" t="s">
        <v>1810</v>
      </c>
      <c r="B589" s="460"/>
      <c r="C589" s="460" t="s">
        <v>1439</v>
      </c>
      <c r="D589" s="460" t="s">
        <v>2110</v>
      </c>
      <c r="E589" s="460" t="s">
        <v>1835</v>
      </c>
      <c r="F589" s="460" t="s">
        <v>1812</v>
      </c>
      <c r="G589" s="461" t="s">
        <v>1218</v>
      </c>
      <c r="H589" s="461" t="s">
        <v>290</v>
      </c>
      <c r="I589" s="460" t="s">
        <v>2109</v>
      </c>
      <c r="J589" s="460" t="s">
        <v>1983</v>
      </c>
      <c r="K589" s="460" t="s">
        <v>2669</v>
      </c>
      <c r="L589" s="460" t="s">
        <v>2733</v>
      </c>
      <c r="M589" s="460" t="s">
        <v>2002</v>
      </c>
      <c r="N589" s="460" t="s">
        <v>1986</v>
      </c>
      <c r="O589" s="460" t="s">
        <v>1980</v>
      </c>
      <c r="P589" s="460" t="s">
        <v>1979</v>
      </c>
      <c r="Q589" s="460" t="s">
        <v>1978</v>
      </c>
      <c r="R589" s="460" t="s">
        <v>1977</v>
      </c>
      <c r="S589" s="460" t="s">
        <v>1826</v>
      </c>
      <c r="T589" s="460" t="s">
        <v>1827</v>
      </c>
      <c r="U589" s="461" t="s">
        <v>1976</v>
      </c>
      <c r="V589" s="460" t="s">
        <v>1843</v>
      </c>
      <c r="W589" s="560"/>
      <c r="X589" s="461" t="s">
        <v>1824</v>
      </c>
      <c r="Y589" s="461" t="s">
        <v>1824</v>
      </c>
      <c r="Z589" s="461" t="s">
        <v>170</v>
      </c>
      <c r="AA589" s="460" t="s">
        <v>1218</v>
      </c>
      <c r="AB589" s="561">
        <f>ROUND(321.85,2)</f>
        <v>321.85000000000002</v>
      </c>
      <c r="AC589" s="460" t="s">
        <v>308</v>
      </c>
      <c r="AD589" s="460"/>
      <c r="AE589" s="561">
        <f>ROUND(1809.61,2)</f>
        <v>1809.61</v>
      </c>
      <c r="AF589" s="460" t="s">
        <v>308</v>
      </c>
      <c r="AG589" s="561">
        <f t="shared" si="9"/>
        <v>0</v>
      </c>
      <c r="AH589" s="460" t="s">
        <v>2671</v>
      </c>
      <c r="AI589" s="460" t="s">
        <v>1214</v>
      </c>
      <c r="AJ589" s="460" t="s">
        <v>2549</v>
      </c>
      <c r="AK589" s="460" t="s">
        <v>2672</v>
      </c>
      <c r="AL589" s="560" t="s">
        <v>2712</v>
      </c>
      <c r="AM589" s="460" t="s">
        <v>2674</v>
      </c>
    </row>
    <row r="590" spans="1:39" ht="22.8">
      <c r="A590" s="460" t="s">
        <v>1810</v>
      </c>
      <c r="B590" s="460"/>
      <c r="C590" s="460" t="s">
        <v>2909</v>
      </c>
      <c r="D590" s="460" t="s">
        <v>2982</v>
      </c>
      <c r="E590" s="460" t="s">
        <v>1814</v>
      </c>
      <c r="F590" s="460" t="s">
        <v>1812</v>
      </c>
      <c r="G590" s="461" t="s">
        <v>1218</v>
      </c>
      <c r="H590" s="461" t="s">
        <v>2969</v>
      </c>
      <c r="I590" s="460" t="s">
        <v>2103</v>
      </c>
      <c r="J590" s="460" t="s">
        <v>1983</v>
      </c>
      <c r="K590" s="460" t="s">
        <v>2669</v>
      </c>
      <c r="L590" s="460" t="s">
        <v>2707</v>
      </c>
      <c r="M590" s="460" t="s">
        <v>1982</v>
      </c>
      <c r="N590" s="460" t="s">
        <v>1981</v>
      </c>
      <c r="O590" s="460" t="s">
        <v>1980</v>
      </c>
      <c r="P590" s="460" t="s">
        <v>1979</v>
      </c>
      <c r="Q590" s="460" t="s">
        <v>95</v>
      </c>
      <c r="R590" s="460" t="s">
        <v>1977</v>
      </c>
      <c r="S590" s="460" t="s">
        <v>1842</v>
      </c>
      <c r="T590" s="460" t="s">
        <v>1827</v>
      </c>
      <c r="U590" s="461" t="s">
        <v>1976</v>
      </c>
      <c r="V590" s="460" t="s">
        <v>1119</v>
      </c>
      <c r="W590" s="560"/>
      <c r="X590" s="461" t="s">
        <v>2966</v>
      </c>
      <c r="Y590" s="461" t="s">
        <v>2966</v>
      </c>
      <c r="Z590" s="461" t="s">
        <v>170</v>
      </c>
      <c r="AA590" s="460" t="s">
        <v>1218</v>
      </c>
      <c r="AB590" s="561">
        <f>ROUND(0,2)</f>
        <v>0</v>
      </c>
      <c r="AC590" s="460" t="s">
        <v>308</v>
      </c>
      <c r="AD590" s="460"/>
      <c r="AE590" s="561">
        <f>ROUND(36.23,2)</f>
        <v>36.229999999999997</v>
      </c>
      <c r="AF590" s="460" t="s">
        <v>308</v>
      </c>
      <c r="AG590" s="561">
        <f t="shared" si="9"/>
        <v>0</v>
      </c>
      <c r="AH590" s="460" t="s">
        <v>2671</v>
      </c>
      <c r="AI590" s="460" t="s">
        <v>1214</v>
      </c>
      <c r="AJ590" s="460"/>
      <c r="AK590" s="460"/>
      <c r="AL590" s="560"/>
      <c r="AM590" s="460"/>
    </row>
    <row r="591" spans="1:39" ht="22.8">
      <c r="A591" s="460" t="s">
        <v>1810</v>
      </c>
      <c r="B591" s="460"/>
      <c r="C591" s="460" t="s">
        <v>2909</v>
      </c>
      <c r="D591" s="460" t="s">
        <v>2982</v>
      </c>
      <c r="E591" s="460" t="s">
        <v>1814</v>
      </c>
      <c r="F591" s="460" t="s">
        <v>1812</v>
      </c>
      <c r="G591" s="461" t="s">
        <v>1218</v>
      </c>
      <c r="H591" s="461" t="s">
        <v>2969</v>
      </c>
      <c r="I591" s="460" t="s">
        <v>2103</v>
      </c>
      <c r="J591" s="460" t="s">
        <v>1983</v>
      </c>
      <c r="K591" s="460" t="s">
        <v>2669</v>
      </c>
      <c r="L591" s="460" t="s">
        <v>2707</v>
      </c>
      <c r="M591" s="460" t="s">
        <v>1982</v>
      </c>
      <c r="N591" s="460" t="s">
        <v>1981</v>
      </c>
      <c r="O591" s="460" t="s">
        <v>1980</v>
      </c>
      <c r="P591" s="460" t="s">
        <v>2675</v>
      </c>
      <c r="Q591" s="460" t="s">
        <v>2676</v>
      </c>
      <c r="R591" s="460" t="s">
        <v>2677</v>
      </c>
      <c r="S591" s="460" t="s">
        <v>2676</v>
      </c>
      <c r="T591" s="460" t="s">
        <v>1827</v>
      </c>
      <c r="U591" s="461" t="s">
        <v>1824</v>
      </c>
      <c r="V591" s="460" t="s">
        <v>1119</v>
      </c>
      <c r="W591" s="560"/>
      <c r="X591" s="461" t="s">
        <v>2966</v>
      </c>
      <c r="Y591" s="461" t="s">
        <v>2966</v>
      </c>
      <c r="Z591" s="461" t="s">
        <v>170</v>
      </c>
      <c r="AA591" s="460" t="s">
        <v>1218</v>
      </c>
      <c r="AB591" s="561">
        <f>ROUND(10,2)</f>
        <v>10</v>
      </c>
      <c r="AC591" s="460" t="s">
        <v>2678</v>
      </c>
      <c r="AD591" s="460"/>
      <c r="AE591" s="561">
        <f>ROUND(500.05,2)</f>
        <v>500.05</v>
      </c>
      <c r="AF591" s="460" t="s">
        <v>2679</v>
      </c>
      <c r="AG591" s="561">
        <f t="shared" si="9"/>
        <v>0</v>
      </c>
      <c r="AH591" s="460" t="s">
        <v>2671</v>
      </c>
      <c r="AI591" s="460" t="s">
        <v>1214</v>
      </c>
      <c r="AJ591" s="460" t="s">
        <v>2550</v>
      </c>
      <c r="AK591" s="460" t="s">
        <v>2672</v>
      </c>
      <c r="AL591" s="560" t="s">
        <v>2725</v>
      </c>
      <c r="AM591" s="460" t="s">
        <v>2674</v>
      </c>
    </row>
    <row r="592" spans="1:39" ht="22.8">
      <c r="A592" s="460" t="s">
        <v>1810</v>
      </c>
      <c r="B592" s="460"/>
      <c r="C592" s="460" t="s">
        <v>2909</v>
      </c>
      <c r="D592" s="460" t="s">
        <v>2982</v>
      </c>
      <c r="E592" s="460" t="s">
        <v>1814</v>
      </c>
      <c r="F592" s="460" t="s">
        <v>1812</v>
      </c>
      <c r="G592" s="461" t="s">
        <v>1218</v>
      </c>
      <c r="H592" s="461" t="s">
        <v>2969</v>
      </c>
      <c r="I592" s="460" t="s">
        <v>2103</v>
      </c>
      <c r="J592" s="460" t="s">
        <v>1983</v>
      </c>
      <c r="K592" s="460" t="s">
        <v>2669</v>
      </c>
      <c r="L592" s="460" t="s">
        <v>2707</v>
      </c>
      <c r="M592" s="460" t="s">
        <v>1982</v>
      </c>
      <c r="N592" s="460" t="s">
        <v>1981</v>
      </c>
      <c r="O592" s="460" t="s">
        <v>1980</v>
      </c>
      <c r="P592" s="460" t="s">
        <v>1979</v>
      </c>
      <c r="Q592" s="460" t="s">
        <v>1978</v>
      </c>
      <c r="R592" s="460" t="s">
        <v>1977</v>
      </c>
      <c r="S592" s="460" t="s">
        <v>1826</v>
      </c>
      <c r="T592" s="460" t="s">
        <v>1827</v>
      </c>
      <c r="U592" s="461" t="s">
        <v>1976</v>
      </c>
      <c r="V592" s="460" t="s">
        <v>1119</v>
      </c>
      <c r="W592" s="560"/>
      <c r="X592" s="461" t="s">
        <v>2966</v>
      </c>
      <c r="Y592" s="461" t="s">
        <v>2966</v>
      </c>
      <c r="Z592" s="461" t="s">
        <v>170</v>
      </c>
      <c r="AA592" s="460" t="s">
        <v>1218</v>
      </c>
      <c r="AB592" s="561">
        <f>ROUND(25.63,2)</f>
        <v>25.63</v>
      </c>
      <c r="AC592" s="460" t="s">
        <v>308</v>
      </c>
      <c r="AD592" s="460"/>
      <c r="AE592" s="561">
        <f>ROUND(828.65,2)</f>
        <v>828.65</v>
      </c>
      <c r="AF592" s="460" t="s">
        <v>308</v>
      </c>
      <c r="AG592" s="561">
        <f t="shared" si="9"/>
        <v>0</v>
      </c>
      <c r="AH592" s="460" t="s">
        <v>2671</v>
      </c>
      <c r="AI592" s="460" t="s">
        <v>1214</v>
      </c>
      <c r="AJ592" s="460" t="s">
        <v>2549</v>
      </c>
      <c r="AK592" s="460" t="s">
        <v>2672</v>
      </c>
      <c r="AL592" s="560" t="s">
        <v>2685</v>
      </c>
      <c r="AM592" s="460" t="s">
        <v>2674</v>
      </c>
    </row>
    <row r="593" spans="1:39" ht="22.8">
      <c r="A593" s="460" t="s">
        <v>1810</v>
      </c>
      <c r="B593" s="460"/>
      <c r="C593" s="460" t="s">
        <v>1719</v>
      </c>
      <c r="D593" s="460" t="s">
        <v>2108</v>
      </c>
      <c r="E593" s="460" t="s">
        <v>1814</v>
      </c>
      <c r="F593" s="460" t="s">
        <v>1812</v>
      </c>
      <c r="G593" s="461" t="s">
        <v>1218</v>
      </c>
      <c r="H593" s="461" t="s">
        <v>1837</v>
      </c>
      <c r="I593" s="460" t="s">
        <v>2107</v>
      </c>
      <c r="J593" s="460" t="s">
        <v>1983</v>
      </c>
      <c r="K593" s="460" t="s">
        <v>2669</v>
      </c>
      <c r="L593" s="460" t="s">
        <v>2707</v>
      </c>
      <c r="M593" s="460" t="s">
        <v>1982</v>
      </c>
      <c r="N593" s="460" t="s">
        <v>1981</v>
      </c>
      <c r="O593" s="460" t="s">
        <v>1980</v>
      </c>
      <c r="P593" s="460" t="s">
        <v>1979</v>
      </c>
      <c r="Q593" s="460" t="s">
        <v>95</v>
      </c>
      <c r="R593" s="460" t="s">
        <v>1977</v>
      </c>
      <c r="S593" s="460" t="s">
        <v>1842</v>
      </c>
      <c r="T593" s="460" t="s">
        <v>1827</v>
      </c>
      <c r="U593" s="461" t="s">
        <v>1976</v>
      </c>
      <c r="V593" s="460" t="s">
        <v>1119</v>
      </c>
      <c r="W593" s="560"/>
      <c r="X593" s="461" t="s">
        <v>1824</v>
      </c>
      <c r="Y593" s="461" t="s">
        <v>1824</v>
      </c>
      <c r="Z593" s="461" t="s">
        <v>170</v>
      </c>
      <c r="AA593" s="460" t="s">
        <v>1218</v>
      </c>
      <c r="AB593" s="561">
        <f>ROUND(0,2)</f>
        <v>0</v>
      </c>
      <c r="AC593" s="460" t="s">
        <v>308</v>
      </c>
      <c r="AD593" s="460"/>
      <c r="AE593" s="561">
        <f>ROUND(36.23,2)</f>
        <v>36.229999999999997</v>
      </c>
      <c r="AF593" s="460" t="s">
        <v>308</v>
      </c>
      <c r="AG593" s="561">
        <f t="shared" si="9"/>
        <v>0</v>
      </c>
      <c r="AH593" s="460" t="s">
        <v>2671</v>
      </c>
      <c r="AI593" s="460" t="s">
        <v>1214</v>
      </c>
      <c r="AJ593" s="460"/>
      <c r="AK593" s="460"/>
      <c r="AL593" s="560"/>
      <c r="AM593" s="460"/>
    </row>
    <row r="594" spans="1:39" ht="22.8">
      <c r="A594" s="460" t="s">
        <v>1810</v>
      </c>
      <c r="B594" s="460"/>
      <c r="C594" s="460" t="s">
        <v>1719</v>
      </c>
      <c r="D594" s="460" t="s">
        <v>2108</v>
      </c>
      <c r="E594" s="460" t="s">
        <v>1814</v>
      </c>
      <c r="F594" s="460" t="s">
        <v>1812</v>
      </c>
      <c r="G594" s="461" t="s">
        <v>1218</v>
      </c>
      <c r="H594" s="461" t="s">
        <v>1837</v>
      </c>
      <c r="I594" s="460" t="s">
        <v>2107</v>
      </c>
      <c r="J594" s="460" t="s">
        <v>1983</v>
      </c>
      <c r="K594" s="460" t="s">
        <v>2669</v>
      </c>
      <c r="L594" s="460" t="s">
        <v>2707</v>
      </c>
      <c r="M594" s="460" t="s">
        <v>1982</v>
      </c>
      <c r="N594" s="460" t="s">
        <v>1981</v>
      </c>
      <c r="O594" s="460" t="s">
        <v>1980</v>
      </c>
      <c r="P594" s="460" t="s">
        <v>2675</v>
      </c>
      <c r="Q594" s="460" t="s">
        <v>2676</v>
      </c>
      <c r="R594" s="460" t="s">
        <v>2677</v>
      </c>
      <c r="S594" s="460" t="s">
        <v>2676</v>
      </c>
      <c r="T594" s="460" t="s">
        <v>1827</v>
      </c>
      <c r="U594" s="461" t="s">
        <v>1824</v>
      </c>
      <c r="V594" s="460" t="s">
        <v>1119</v>
      </c>
      <c r="W594" s="560"/>
      <c r="X594" s="461" t="s">
        <v>1824</v>
      </c>
      <c r="Y594" s="461" t="s">
        <v>2683</v>
      </c>
      <c r="Z594" s="461" t="s">
        <v>170</v>
      </c>
      <c r="AA594" s="460" t="s">
        <v>1218</v>
      </c>
      <c r="AB594" s="561">
        <f>ROUND(75,2)</f>
        <v>75</v>
      </c>
      <c r="AC594" s="460" t="s">
        <v>2678</v>
      </c>
      <c r="AD594" s="460"/>
      <c r="AE594" s="561">
        <f>ROUND(500.05,2)</f>
        <v>500.05</v>
      </c>
      <c r="AF594" s="460" t="s">
        <v>2679</v>
      </c>
      <c r="AG594" s="561">
        <f t="shared" si="9"/>
        <v>0</v>
      </c>
      <c r="AH594" s="460" t="s">
        <v>2671</v>
      </c>
      <c r="AI594" s="460" t="s">
        <v>1214</v>
      </c>
      <c r="AJ594" s="460" t="s">
        <v>2550</v>
      </c>
      <c r="AK594" s="460" t="s">
        <v>2672</v>
      </c>
      <c r="AL594" s="560" t="s">
        <v>2797</v>
      </c>
      <c r="AM594" s="460" t="s">
        <v>2674</v>
      </c>
    </row>
    <row r="595" spans="1:39" ht="22.8">
      <c r="A595" s="460" t="s">
        <v>1810</v>
      </c>
      <c r="B595" s="460"/>
      <c r="C595" s="460" t="s">
        <v>1719</v>
      </c>
      <c r="D595" s="460" t="s">
        <v>2108</v>
      </c>
      <c r="E595" s="460" t="s">
        <v>1814</v>
      </c>
      <c r="F595" s="460" t="s">
        <v>1812</v>
      </c>
      <c r="G595" s="461" t="s">
        <v>1218</v>
      </c>
      <c r="H595" s="461" t="s">
        <v>1837</v>
      </c>
      <c r="I595" s="460" t="s">
        <v>2107</v>
      </c>
      <c r="J595" s="460" t="s">
        <v>1983</v>
      </c>
      <c r="K595" s="460" t="s">
        <v>2669</v>
      </c>
      <c r="L595" s="460" t="s">
        <v>2707</v>
      </c>
      <c r="M595" s="460" t="s">
        <v>1982</v>
      </c>
      <c r="N595" s="460" t="s">
        <v>1981</v>
      </c>
      <c r="O595" s="460" t="s">
        <v>1980</v>
      </c>
      <c r="P595" s="460" t="s">
        <v>1979</v>
      </c>
      <c r="Q595" s="460" t="s">
        <v>1978</v>
      </c>
      <c r="R595" s="460" t="s">
        <v>1977</v>
      </c>
      <c r="S595" s="460" t="s">
        <v>1826</v>
      </c>
      <c r="T595" s="460" t="s">
        <v>1827</v>
      </c>
      <c r="U595" s="461" t="s">
        <v>1976</v>
      </c>
      <c r="V595" s="460" t="s">
        <v>1119</v>
      </c>
      <c r="W595" s="560"/>
      <c r="X595" s="461" t="s">
        <v>1824</v>
      </c>
      <c r="Y595" s="461" t="s">
        <v>1824</v>
      </c>
      <c r="Z595" s="461" t="s">
        <v>170</v>
      </c>
      <c r="AA595" s="460" t="s">
        <v>1218</v>
      </c>
      <c r="AB595" s="561">
        <f>ROUND(25.63,2)</f>
        <v>25.63</v>
      </c>
      <c r="AC595" s="460" t="s">
        <v>308</v>
      </c>
      <c r="AD595" s="460"/>
      <c r="AE595" s="561">
        <f>ROUND(828.65,2)</f>
        <v>828.65</v>
      </c>
      <c r="AF595" s="460" t="s">
        <v>308</v>
      </c>
      <c r="AG595" s="561">
        <f t="shared" si="9"/>
        <v>0</v>
      </c>
      <c r="AH595" s="460" t="s">
        <v>2671</v>
      </c>
      <c r="AI595" s="460" t="s">
        <v>1214</v>
      </c>
      <c r="AJ595" s="460" t="s">
        <v>2549</v>
      </c>
      <c r="AK595" s="460" t="s">
        <v>2672</v>
      </c>
      <c r="AL595" s="560" t="s">
        <v>2685</v>
      </c>
      <c r="AM595" s="460" t="s">
        <v>2674</v>
      </c>
    </row>
    <row r="596" spans="1:39" ht="22.8">
      <c r="A596" s="460" t="s">
        <v>1810</v>
      </c>
      <c r="B596" s="460"/>
      <c r="C596" s="460" t="s">
        <v>1667</v>
      </c>
      <c r="D596" s="460" t="s">
        <v>2106</v>
      </c>
      <c r="E596" s="460" t="s">
        <v>1821</v>
      </c>
      <c r="F596" s="460" t="s">
        <v>1812</v>
      </c>
      <c r="G596" s="461" t="s">
        <v>1218</v>
      </c>
      <c r="H596" s="461" t="s">
        <v>2731</v>
      </c>
      <c r="I596" s="460" t="s">
        <v>2105</v>
      </c>
      <c r="J596" s="460" t="s">
        <v>1983</v>
      </c>
      <c r="K596" s="460" t="s">
        <v>2669</v>
      </c>
      <c r="L596" s="460" t="s">
        <v>2714</v>
      </c>
      <c r="M596" s="460" t="s">
        <v>1994</v>
      </c>
      <c r="N596" s="460" t="s">
        <v>1981</v>
      </c>
      <c r="O596" s="460" t="s">
        <v>1980</v>
      </c>
      <c r="P596" s="460" t="s">
        <v>1979</v>
      </c>
      <c r="Q596" s="460" t="s">
        <v>95</v>
      </c>
      <c r="R596" s="460" t="s">
        <v>1977</v>
      </c>
      <c r="S596" s="460" t="s">
        <v>1842</v>
      </c>
      <c r="T596" s="460" t="s">
        <v>1827</v>
      </c>
      <c r="U596" s="461" t="s">
        <v>1976</v>
      </c>
      <c r="V596" s="460" t="s">
        <v>1119</v>
      </c>
      <c r="W596" s="560"/>
      <c r="X596" s="461" t="s">
        <v>1824</v>
      </c>
      <c r="Y596" s="461" t="s">
        <v>1824</v>
      </c>
      <c r="Z596" s="461" t="s">
        <v>170</v>
      </c>
      <c r="AA596" s="460" t="s">
        <v>1218</v>
      </c>
      <c r="AB596" s="561">
        <f>ROUND(0,2)</f>
        <v>0</v>
      </c>
      <c r="AC596" s="460" t="s">
        <v>308</v>
      </c>
      <c r="AD596" s="460"/>
      <c r="AE596" s="561">
        <f>ROUND(36.23,2)</f>
        <v>36.229999999999997</v>
      </c>
      <c r="AF596" s="460" t="s">
        <v>308</v>
      </c>
      <c r="AG596" s="561">
        <f t="shared" si="9"/>
        <v>0</v>
      </c>
      <c r="AH596" s="460" t="s">
        <v>2671</v>
      </c>
      <c r="AI596" s="460" t="s">
        <v>1214</v>
      </c>
      <c r="AJ596" s="460"/>
      <c r="AK596" s="460"/>
      <c r="AL596" s="560"/>
      <c r="AM596" s="460"/>
    </row>
    <row r="597" spans="1:39" ht="22.8">
      <c r="A597" s="460" t="s">
        <v>1810</v>
      </c>
      <c r="B597" s="460"/>
      <c r="C597" s="460" t="s">
        <v>1667</v>
      </c>
      <c r="D597" s="460" t="s">
        <v>2106</v>
      </c>
      <c r="E597" s="460" t="s">
        <v>1821</v>
      </c>
      <c r="F597" s="460" t="s">
        <v>1812</v>
      </c>
      <c r="G597" s="461" t="s">
        <v>1218</v>
      </c>
      <c r="H597" s="461" t="s">
        <v>2731</v>
      </c>
      <c r="I597" s="460" t="s">
        <v>2105</v>
      </c>
      <c r="J597" s="460" t="s">
        <v>1983</v>
      </c>
      <c r="K597" s="460" t="s">
        <v>2669</v>
      </c>
      <c r="L597" s="460" t="s">
        <v>2714</v>
      </c>
      <c r="M597" s="460" t="s">
        <v>1994</v>
      </c>
      <c r="N597" s="460" t="s">
        <v>1981</v>
      </c>
      <c r="O597" s="460" t="s">
        <v>1980</v>
      </c>
      <c r="P597" s="460" t="s">
        <v>2675</v>
      </c>
      <c r="Q597" s="460" t="s">
        <v>2676</v>
      </c>
      <c r="R597" s="460" t="s">
        <v>2677</v>
      </c>
      <c r="S597" s="460" t="s">
        <v>2676</v>
      </c>
      <c r="T597" s="460" t="s">
        <v>1827</v>
      </c>
      <c r="U597" s="461" t="s">
        <v>1824</v>
      </c>
      <c r="V597" s="460" t="s">
        <v>1119</v>
      </c>
      <c r="W597" s="560"/>
      <c r="X597" s="461" t="s">
        <v>1824</v>
      </c>
      <c r="Y597" s="461" t="s">
        <v>2683</v>
      </c>
      <c r="Z597" s="461" t="s">
        <v>170</v>
      </c>
      <c r="AA597" s="460" t="s">
        <v>1218</v>
      </c>
      <c r="AB597" s="561">
        <f>ROUND(20,2)</f>
        <v>20</v>
      </c>
      <c r="AC597" s="460" t="s">
        <v>2678</v>
      </c>
      <c r="AD597" s="460"/>
      <c r="AE597" s="561">
        <f>ROUND(500.05,2)</f>
        <v>500.05</v>
      </c>
      <c r="AF597" s="460" t="s">
        <v>2679</v>
      </c>
      <c r="AG597" s="561">
        <f t="shared" si="9"/>
        <v>0</v>
      </c>
      <c r="AH597" s="460" t="s">
        <v>2671</v>
      </c>
      <c r="AI597" s="460" t="s">
        <v>1214</v>
      </c>
      <c r="AJ597" s="460" t="s">
        <v>2550</v>
      </c>
      <c r="AK597" s="460" t="s">
        <v>2672</v>
      </c>
      <c r="AL597" s="560" t="s">
        <v>2711</v>
      </c>
      <c r="AM597" s="460" t="s">
        <v>2674</v>
      </c>
    </row>
    <row r="598" spans="1:39" ht="22.8">
      <c r="A598" s="460" t="s">
        <v>1810</v>
      </c>
      <c r="B598" s="460"/>
      <c r="C598" s="460" t="s">
        <v>1667</v>
      </c>
      <c r="D598" s="460" t="s">
        <v>2106</v>
      </c>
      <c r="E598" s="460" t="s">
        <v>1821</v>
      </c>
      <c r="F598" s="460" t="s">
        <v>1812</v>
      </c>
      <c r="G598" s="461" t="s">
        <v>1218</v>
      </c>
      <c r="H598" s="461" t="s">
        <v>2731</v>
      </c>
      <c r="I598" s="460" t="s">
        <v>2105</v>
      </c>
      <c r="J598" s="460" t="s">
        <v>1983</v>
      </c>
      <c r="K598" s="460" t="s">
        <v>2669</v>
      </c>
      <c r="L598" s="460" t="s">
        <v>2714</v>
      </c>
      <c r="M598" s="460" t="s">
        <v>1994</v>
      </c>
      <c r="N598" s="460" t="s">
        <v>1981</v>
      </c>
      <c r="O598" s="460" t="s">
        <v>1980</v>
      </c>
      <c r="P598" s="460" t="s">
        <v>1979</v>
      </c>
      <c r="Q598" s="460" t="s">
        <v>1978</v>
      </c>
      <c r="R598" s="460" t="s">
        <v>1977</v>
      </c>
      <c r="S598" s="460" t="s">
        <v>1826</v>
      </c>
      <c r="T598" s="460" t="s">
        <v>1827</v>
      </c>
      <c r="U598" s="461" t="s">
        <v>1976</v>
      </c>
      <c r="V598" s="460" t="s">
        <v>1119</v>
      </c>
      <c r="W598" s="560"/>
      <c r="X598" s="461" t="s">
        <v>1824</v>
      </c>
      <c r="Y598" s="461" t="s">
        <v>2683</v>
      </c>
      <c r="Z598" s="461" t="s">
        <v>170</v>
      </c>
      <c r="AA598" s="460" t="s">
        <v>1218</v>
      </c>
      <c r="AB598" s="561">
        <f>ROUND(35.03,2)</f>
        <v>35.03</v>
      </c>
      <c r="AC598" s="460" t="s">
        <v>308</v>
      </c>
      <c r="AD598" s="460"/>
      <c r="AE598" s="561">
        <f>ROUND(819.25,2)</f>
        <v>819.25</v>
      </c>
      <c r="AF598" s="460" t="s">
        <v>308</v>
      </c>
      <c r="AG598" s="561">
        <f t="shared" si="9"/>
        <v>0</v>
      </c>
      <c r="AH598" s="460" t="s">
        <v>2671</v>
      </c>
      <c r="AI598" s="460" t="s">
        <v>1214</v>
      </c>
      <c r="AJ598" s="460" t="s">
        <v>2549</v>
      </c>
      <c r="AK598" s="460" t="s">
        <v>2672</v>
      </c>
      <c r="AL598" s="560" t="s">
        <v>2694</v>
      </c>
      <c r="AM598" s="460" t="s">
        <v>2674</v>
      </c>
    </row>
    <row r="599" spans="1:39" ht="22.8">
      <c r="A599" s="460" t="s">
        <v>1810</v>
      </c>
      <c r="B599" s="460"/>
      <c r="C599" s="460" t="s">
        <v>1446</v>
      </c>
      <c r="D599" s="460" t="s">
        <v>2104</v>
      </c>
      <c r="E599" s="460" t="s">
        <v>1811</v>
      </c>
      <c r="F599" s="460" t="s">
        <v>1812</v>
      </c>
      <c r="G599" s="461" t="s">
        <v>1218</v>
      </c>
      <c r="H599" s="461" t="s">
        <v>302</v>
      </c>
      <c r="I599" s="460" t="s">
        <v>2103</v>
      </c>
      <c r="J599" s="460" t="s">
        <v>1983</v>
      </c>
      <c r="K599" s="460" t="s">
        <v>2669</v>
      </c>
      <c r="L599" s="460" t="s">
        <v>2757</v>
      </c>
      <c r="M599" s="460" t="s">
        <v>1987</v>
      </c>
      <c r="N599" s="460" t="s">
        <v>1981</v>
      </c>
      <c r="O599" s="460" t="s">
        <v>1980</v>
      </c>
      <c r="P599" s="460" t="s">
        <v>1979</v>
      </c>
      <c r="Q599" s="460" t="s">
        <v>95</v>
      </c>
      <c r="R599" s="460" t="s">
        <v>1977</v>
      </c>
      <c r="S599" s="460" t="s">
        <v>1842</v>
      </c>
      <c r="T599" s="460" t="s">
        <v>1827</v>
      </c>
      <c r="U599" s="461" t="s">
        <v>1976</v>
      </c>
      <c r="V599" s="460" t="s">
        <v>1843</v>
      </c>
      <c r="W599" s="560"/>
      <c r="X599" s="461" t="s">
        <v>1824</v>
      </c>
      <c r="Y599" s="461" t="s">
        <v>1824</v>
      </c>
      <c r="Z599" s="461" t="s">
        <v>170</v>
      </c>
      <c r="AA599" s="460" t="s">
        <v>1218</v>
      </c>
      <c r="AB599" s="561">
        <f>ROUND(30.41,2)</f>
        <v>30.41</v>
      </c>
      <c r="AC599" s="460" t="s">
        <v>308</v>
      </c>
      <c r="AD599" s="460"/>
      <c r="AE599" s="561">
        <f>ROUND(70.29,2)</f>
        <v>70.290000000000006</v>
      </c>
      <c r="AF599" s="460" t="s">
        <v>308</v>
      </c>
      <c r="AG599" s="561">
        <f t="shared" si="9"/>
        <v>0</v>
      </c>
      <c r="AH599" s="460" t="s">
        <v>2671</v>
      </c>
      <c r="AI599" s="460" t="s">
        <v>1214</v>
      </c>
      <c r="AJ599" s="460" t="s">
        <v>2548</v>
      </c>
      <c r="AK599" s="460" t="s">
        <v>2672</v>
      </c>
      <c r="AL599" s="560" t="s">
        <v>2673</v>
      </c>
      <c r="AM599" s="460" t="s">
        <v>2674</v>
      </c>
    </row>
    <row r="600" spans="1:39" ht="22.8">
      <c r="A600" s="460" t="s">
        <v>1810</v>
      </c>
      <c r="B600" s="460"/>
      <c r="C600" s="460" t="s">
        <v>1446</v>
      </c>
      <c r="D600" s="460" t="s">
        <v>2104</v>
      </c>
      <c r="E600" s="460" t="s">
        <v>1811</v>
      </c>
      <c r="F600" s="460" t="s">
        <v>1812</v>
      </c>
      <c r="G600" s="461" t="s">
        <v>1218</v>
      </c>
      <c r="H600" s="461" t="s">
        <v>302</v>
      </c>
      <c r="I600" s="460" t="s">
        <v>2103</v>
      </c>
      <c r="J600" s="460" t="s">
        <v>1983</v>
      </c>
      <c r="K600" s="460" t="s">
        <v>2669</v>
      </c>
      <c r="L600" s="460" t="s">
        <v>2757</v>
      </c>
      <c r="M600" s="460" t="s">
        <v>1987</v>
      </c>
      <c r="N600" s="460" t="s">
        <v>1981</v>
      </c>
      <c r="O600" s="460" t="s">
        <v>1980</v>
      </c>
      <c r="P600" s="460" t="s">
        <v>2675</v>
      </c>
      <c r="Q600" s="460" t="s">
        <v>2676</v>
      </c>
      <c r="R600" s="460" t="s">
        <v>2677</v>
      </c>
      <c r="S600" s="460" t="s">
        <v>2676</v>
      </c>
      <c r="T600" s="460" t="s">
        <v>1827</v>
      </c>
      <c r="U600" s="461" t="s">
        <v>1824</v>
      </c>
      <c r="V600" s="460" t="s">
        <v>1119</v>
      </c>
      <c r="W600" s="560"/>
      <c r="X600" s="461" t="s">
        <v>1824</v>
      </c>
      <c r="Y600" s="461" t="s">
        <v>1824</v>
      </c>
      <c r="Z600" s="461" t="s">
        <v>170</v>
      </c>
      <c r="AA600" s="460" t="s">
        <v>1218</v>
      </c>
      <c r="AB600" s="561">
        <f>ROUND(0,2)</f>
        <v>0</v>
      </c>
      <c r="AC600" s="460" t="s">
        <v>2678</v>
      </c>
      <c r="AD600" s="460"/>
      <c r="AE600" s="561">
        <f>ROUND(500.05,2)</f>
        <v>500.05</v>
      </c>
      <c r="AF600" s="460" t="s">
        <v>2679</v>
      </c>
      <c r="AG600" s="561">
        <f t="shared" si="9"/>
        <v>0</v>
      </c>
      <c r="AH600" s="460" t="s">
        <v>2671</v>
      </c>
      <c r="AI600" s="460" t="s">
        <v>1214</v>
      </c>
      <c r="AJ600" s="460"/>
      <c r="AK600" s="460"/>
      <c r="AL600" s="560"/>
      <c r="AM600" s="460"/>
    </row>
    <row r="601" spans="1:39" ht="22.8">
      <c r="A601" s="460" t="s">
        <v>1810</v>
      </c>
      <c r="B601" s="460"/>
      <c r="C601" s="460" t="s">
        <v>1446</v>
      </c>
      <c r="D601" s="460" t="s">
        <v>2104</v>
      </c>
      <c r="E601" s="460" t="s">
        <v>1811</v>
      </c>
      <c r="F601" s="460" t="s">
        <v>1812</v>
      </c>
      <c r="G601" s="461" t="s">
        <v>1218</v>
      </c>
      <c r="H601" s="461" t="s">
        <v>302</v>
      </c>
      <c r="I601" s="460" t="s">
        <v>2103</v>
      </c>
      <c r="J601" s="460" t="s">
        <v>1983</v>
      </c>
      <c r="K601" s="460" t="s">
        <v>2669</v>
      </c>
      <c r="L601" s="460" t="s">
        <v>2757</v>
      </c>
      <c r="M601" s="460" t="s">
        <v>1987</v>
      </c>
      <c r="N601" s="460" t="s">
        <v>1981</v>
      </c>
      <c r="O601" s="460" t="s">
        <v>1980</v>
      </c>
      <c r="P601" s="460" t="s">
        <v>1979</v>
      </c>
      <c r="Q601" s="460" t="s">
        <v>1978</v>
      </c>
      <c r="R601" s="460" t="s">
        <v>1977</v>
      </c>
      <c r="S601" s="460" t="s">
        <v>1826</v>
      </c>
      <c r="T601" s="460" t="s">
        <v>1827</v>
      </c>
      <c r="U601" s="461" t="s">
        <v>1976</v>
      </c>
      <c r="V601" s="460" t="s">
        <v>1119</v>
      </c>
      <c r="W601" s="560"/>
      <c r="X601" s="461" t="s">
        <v>1824</v>
      </c>
      <c r="Y601" s="461" t="s">
        <v>1824</v>
      </c>
      <c r="Z601" s="461" t="s">
        <v>170</v>
      </c>
      <c r="AA601" s="460" t="s">
        <v>1218</v>
      </c>
      <c r="AB601" s="561">
        <f>ROUND(29.05,2)</f>
        <v>29.05</v>
      </c>
      <c r="AC601" s="460" t="s">
        <v>308</v>
      </c>
      <c r="AD601" s="460"/>
      <c r="AE601" s="561">
        <f>ROUND(825.23,2)</f>
        <v>825.23</v>
      </c>
      <c r="AF601" s="460" t="s">
        <v>308</v>
      </c>
      <c r="AG601" s="561">
        <f t="shared" si="9"/>
        <v>0</v>
      </c>
      <c r="AH601" s="460" t="s">
        <v>2671</v>
      </c>
      <c r="AI601" s="460" t="s">
        <v>1214</v>
      </c>
      <c r="AJ601" s="460" t="s">
        <v>2549</v>
      </c>
      <c r="AK601" s="460" t="s">
        <v>2672</v>
      </c>
      <c r="AL601" s="560" t="s">
        <v>2692</v>
      </c>
      <c r="AM601" s="460" t="s">
        <v>2674</v>
      </c>
    </row>
    <row r="602" spans="1:39" ht="34.200000000000003">
      <c r="A602" s="460" t="s">
        <v>1810</v>
      </c>
      <c r="B602" s="460"/>
      <c r="C602" s="460" t="s">
        <v>1451</v>
      </c>
      <c r="D602" s="460" t="s">
        <v>2102</v>
      </c>
      <c r="E602" s="460" t="s">
        <v>1840</v>
      </c>
      <c r="F602" s="460" t="s">
        <v>1812</v>
      </c>
      <c r="G602" s="461" t="s">
        <v>1218</v>
      </c>
      <c r="H602" s="461" t="s">
        <v>260</v>
      </c>
      <c r="I602" s="460" t="s">
        <v>2101</v>
      </c>
      <c r="J602" s="460" t="s">
        <v>1983</v>
      </c>
      <c r="K602" s="460" t="s">
        <v>2669</v>
      </c>
      <c r="L602" s="460" t="s">
        <v>2746</v>
      </c>
      <c r="M602" s="460" t="s">
        <v>1987</v>
      </c>
      <c r="N602" s="460" t="s">
        <v>1986</v>
      </c>
      <c r="O602" s="460" t="s">
        <v>1980</v>
      </c>
      <c r="P602" s="460" t="s">
        <v>1979</v>
      </c>
      <c r="Q602" s="460" t="s">
        <v>95</v>
      </c>
      <c r="R602" s="460" t="s">
        <v>1977</v>
      </c>
      <c r="S602" s="460" t="s">
        <v>1842</v>
      </c>
      <c r="T602" s="460" t="s">
        <v>1827</v>
      </c>
      <c r="U602" s="461" t="s">
        <v>1976</v>
      </c>
      <c r="V602" s="460" t="s">
        <v>1843</v>
      </c>
      <c r="W602" s="560"/>
      <c r="X602" s="461" t="s">
        <v>1824</v>
      </c>
      <c r="Y602" s="461" t="s">
        <v>1824</v>
      </c>
      <c r="Z602" s="461" t="s">
        <v>170</v>
      </c>
      <c r="AA602" s="460" t="s">
        <v>1218</v>
      </c>
      <c r="AB602" s="561">
        <f>ROUND(30.41,2)</f>
        <v>30.41</v>
      </c>
      <c r="AC602" s="460" t="s">
        <v>308</v>
      </c>
      <c r="AD602" s="460"/>
      <c r="AE602" s="561">
        <f>ROUND(70.29,2)</f>
        <v>70.290000000000006</v>
      </c>
      <c r="AF602" s="460" t="s">
        <v>308</v>
      </c>
      <c r="AG602" s="561">
        <f t="shared" si="9"/>
        <v>0</v>
      </c>
      <c r="AH602" s="460" t="s">
        <v>2671</v>
      </c>
      <c r="AI602" s="460" t="s">
        <v>1214</v>
      </c>
      <c r="AJ602" s="460" t="s">
        <v>2548</v>
      </c>
      <c r="AK602" s="460" t="s">
        <v>2672</v>
      </c>
      <c r="AL602" s="560" t="s">
        <v>2673</v>
      </c>
      <c r="AM602" s="460" t="s">
        <v>2674</v>
      </c>
    </row>
    <row r="603" spans="1:39" ht="34.200000000000003">
      <c r="A603" s="460" t="s">
        <v>1810</v>
      </c>
      <c r="B603" s="460"/>
      <c r="C603" s="460" t="s">
        <v>1451</v>
      </c>
      <c r="D603" s="460" t="s">
        <v>2102</v>
      </c>
      <c r="E603" s="460" t="s">
        <v>1840</v>
      </c>
      <c r="F603" s="460" t="s">
        <v>1812</v>
      </c>
      <c r="G603" s="461" t="s">
        <v>1218</v>
      </c>
      <c r="H603" s="461" t="s">
        <v>260</v>
      </c>
      <c r="I603" s="460" t="s">
        <v>2101</v>
      </c>
      <c r="J603" s="460" t="s">
        <v>1983</v>
      </c>
      <c r="K603" s="460" t="s">
        <v>2669</v>
      </c>
      <c r="L603" s="460" t="s">
        <v>2746</v>
      </c>
      <c r="M603" s="460" t="s">
        <v>1987</v>
      </c>
      <c r="N603" s="460" t="s">
        <v>1986</v>
      </c>
      <c r="O603" s="460" t="s">
        <v>1980</v>
      </c>
      <c r="P603" s="460" t="s">
        <v>2675</v>
      </c>
      <c r="Q603" s="460" t="s">
        <v>2676</v>
      </c>
      <c r="R603" s="460" t="s">
        <v>2677</v>
      </c>
      <c r="S603" s="460" t="s">
        <v>2676</v>
      </c>
      <c r="T603" s="460" t="s">
        <v>1827</v>
      </c>
      <c r="U603" s="461" t="s">
        <v>1824</v>
      </c>
      <c r="V603" s="460" t="s">
        <v>1119</v>
      </c>
      <c r="W603" s="560"/>
      <c r="X603" s="461" t="s">
        <v>1824</v>
      </c>
      <c r="Y603" s="461" t="s">
        <v>1824</v>
      </c>
      <c r="Z603" s="461" t="s">
        <v>170</v>
      </c>
      <c r="AA603" s="460" t="s">
        <v>1218</v>
      </c>
      <c r="AB603" s="561">
        <f>ROUND(100,2)</f>
        <v>100</v>
      </c>
      <c r="AC603" s="460" t="s">
        <v>2678</v>
      </c>
      <c r="AD603" s="460"/>
      <c r="AE603" s="561">
        <f>ROUND(500.05,2)</f>
        <v>500.05</v>
      </c>
      <c r="AF603" s="460" t="s">
        <v>2679</v>
      </c>
      <c r="AG603" s="561">
        <f t="shared" si="9"/>
        <v>0</v>
      </c>
      <c r="AH603" s="460" t="s">
        <v>2671</v>
      </c>
      <c r="AI603" s="460" t="s">
        <v>1214</v>
      </c>
      <c r="AJ603" s="460" t="s">
        <v>2550</v>
      </c>
      <c r="AK603" s="460" t="s">
        <v>2672</v>
      </c>
      <c r="AL603" s="560" t="s">
        <v>2691</v>
      </c>
      <c r="AM603" s="460" t="s">
        <v>2674</v>
      </c>
    </row>
    <row r="604" spans="1:39" ht="34.200000000000003">
      <c r="A604" s="460" t="s">
        <v>1810</v>
      </c>
      <c r="B604" s="460"/>
      <c r="C604" s="460" t="s">
        <v>1451</v>
      </c>
      <c r="D604" s="460" t="s">
        <v>2102</v>
      </c>
      <c r="E604" s="460" t="s">
        <v>1840</v>
      </c>
      <c r="F604" s="460" t="s">
        <v>1812</v>
      </c>
      <c r="G604" s="461" t="s">
        <v>1218</v>
      </c>
      <c r="H604" s="461" t="s">
        <v>260</v>
      </c>
      <c r="I604" s="460" t="s">
        <v>2101</v>
      </c>
      <c r="J604" s="460" t="s">
        <v>1983</v>
      </c>
      <c r="K604" s="460" t="s">
        <v>2669</v>
      </c>
      <c r="L604" s="460" t="s">
        <v>2746</v>
      </c>
      <c r="M604" s="460" t="s">
        <v>1987</v>
      </c>
      <c r="N604" s="460" t="s">
        <v>1986</v>
      </c>
      <c r="O604" s="460" t="s">
        <v>1980</v>
      </c>
      <c r="P604" s="460" t="s">
        <v>1979</v>
      </c>
      <c r="Q604" s="460" t="s">
        <v>1978</v>
      </c>
      <c r="R604" s="460" t="s">
        <v>1977</v>
      </c>
      <c r="S604" s="460" t="s">
        <v>1826</v>
      </c>
      <c r="T604" s="460" t="s">
        <v>1827</v>
      </c>
      <c r="U604" s="461" t="s">
        <v>1976</v>
      </c>
      <c r="V604" s="460" t="s">
        <v>1119</v>
      </c>
      <c r="W604" s="560"/>
      <c r="X604" s="461" t="s">
        <v>1824</v>
      </c>
      <c r="Y604" s="461" t="s">
        <v>1824</v>
      </c>
      <c r="Z604" s="461" t="s">
        <v>170</v>
      </c>
      <c r="AA604" s="460" t="s">
        <v>1218</v>
      </c>
      <c r="AB604" s="561">
        <f>ROUND(35.03,2)</f>
        <v>35.03</v>
      </c>
      <c r="AC604" s="460" t="s">
        <v>308</v>
      </c>
      <c r="AD604" s="460"/>
      <c r="AE604" s="561">
        <f>ROUND(819.25,2)</f>
        <v>819.25</v>
      </c>
      <c r="AF604" s="460" t="s">
        <v>308</v>
      </c>
      <c r="AG604" s="561">
        <f t="shared" si="9"/>
        <v>0</v>
      </c>
      <c r="AH604" s="460" t="s">
        <v>2671</v>
      </c>
      <c r="AI604" s="460" t="s">
        <v>1214</v>
      </c>
      <c r="AJ604" s="460" t="s">
        <v>2549</v>
      </c>
      <c r="AK604" s="460" t="s">
        <v>2672</v>
      </c>
      <c r="AL604" s="560" t="s">
        <v>2694</v>
      </c>
      <c r="AM604" s="460" t="s">
        <v>2674</v>
      </c>
    </row>
    <row r="605" spans="1:39" ht="22.8">
      <c r="A605" s="460" t="s">
        <v>1810</v>
      </c>
      <c r="B605" s="460"/>
      <c r="C605" s="460" t="s">
        <v>2492</v>
      </c>
      <c r="D605" s="460" t="s">
        <v>2854</v>
      </c>
      <c r="E605" s="460" t="s">
        <v>1821</v>
      </c>
      <c r="F605" s="460" t="s">
        <v>1812</v>
      </c>
      <c r="G605" s="461" t="s">
        <v>1218</v>
      </c>
      <c r="H605" s="461" t="s">
        <v>2803</v>
      </c>
      <c r="I605" s="460" t="s">
        <v>2007</v>
      </c>
      <c r="J605" s="460" t="s">
        <v>1983</v>
      </c>
      <c r="K605" s="460" t="s">
        <v>2669</v>
      </c>
      <c r="L605" s="460" t="s">
        <v>2714</v>
      </c>
      <c r="M605" s="460" t="s">
        <v>1994</v>
      </c>
      <c r="N605" s="460" t="s">
        <v>1981</v>
      </c>
      <c r="O605" s="460" t="s">
        <v>1980</v>
      </c>
      <c r="P605" s="460" t="s">
        <v>1979</v>
      </c>
      <c r="Q605" s="460" t="s">
        <v>95</v>
      </c>
      <c r="R605" s="460" t="s">
        <v>1977</v>
      </c>
      <c r="S605" s="460" t="s">
        <v>1842</v>
      </c>
      <c r="T605" s="460" t="s">
        <v>1827</v>
      </c>
      <c r="U605" s="461" t="s">
        <v>1976</v>
      </c>
      <c r="V605" s="460" t="s">
        <v>1119</v>
      </c>
      <c r="W605" s="560"/>
      <c r="X605" s="461" t="s">
        <v>2683</v>
      </c>
      <c r="Y605" s="461" t="s">
        <v>2683</v>
      </c>
      <c r="Z605" s="461" t="s">
        <v>170</v>
      </c>
      <c r="AA605" s="460" t="s">
        <v>1218</v>
      </c>
      <c r="AB605" s="561">
        <f>ROUND(0,2)</f>
        <v>0</v>
      </c>
      <c r="AC605" s="460" t="s">
        <v>308</v>
      </c>
      <c r="AD605" s="460"/>
      <c r="AE605" s="561">
        <f>ROUND(36.23,2)</f>
        <v>36.229999999999997</v>
      </c>
      <c r="AF605" s="460" t="s">
        <v>308</v>
      </c>
      <c r="AG605" s="561">
        <f t="shared" si="9"/>
        <v>0</v>
      </c>
      <c r="AH605" s="460" t="s">
        <v>2671</v>
      </c>
      <c r="AI605" s="460" t="s">
        <v>1214</v>
      </c>
      <c r="AJ605" s="460"/>
      <c r="AK605" s="460"/>
      <c r="AL605" s="560"/>
      <c r="AM605" s="460"/>
    </row>
    <row r="606" spans="1:39" ht="22.8">
      <c r="A606" s="460" t="s">
        <v>1810</v>
      </c>
      <c r="B606" s="460"/>
      <c r="C606" s="460" t="s">
        <v>2492</v>
      </c>
      <c r="D606" s="460" t="s">
        <v>2854</v>
      </c>
      <c r="E606" s="460" t="s">
        <v>1821</v>
      </c>
      <c r="F606" s="460" t="s">
        <v>1812</v>
      </c>
      <c r="G606" s="461" t="s">
        <v>1218</v>
      </c>
      <c r="H606" s="461" t="s">
        <v>2803</v>
      </c>
      <c r="I606" s="460" t="s">
        <v>2007</v>
      </c>
      <c r="J606" s="460" t="s">
        <v>1983</v>
      </c>
      <c r="K606" s="460" t="s">
        <v>2669</v>
      </c>
      <c r="L606" s="460" t="s">
        <v>2714</v>
      </c>
      <c r="M606" s="460" t="s">
        <v>1994</v>
      </c>
      <c r="N606" s="460" t="s">
        <v>1981</v>
      </c>
      <c r="O606" s="460" t="s">
        <v>1980</v>
      </c>
      <c r="P606" s="460" t="s">
        <v>2675</v>
      </c>
      <c r="Q606" s="460" t="s">
        <v>2676</v>
      </c>
      <c r="R606" s="460" t="s">
        <v>2677</v>
      </c>
      <c r="S606" s="460" t="s">
        <v>2676</v>
      </c>
      <c r="T606" s="460" t="s">
        <v>1827</v>
      </c>
      <c r="U606" s="461" t="s">
        <v>1824</v>
      </c>
      <c r="V606" s="460" t="s">
        <v>1119</v>
      </c>
      <c r="W606" s="560"/>
      <c r="X606" s="461" t="s">
        <v>2683</v>
      </c>
      <c r="Y606" s="461" t="s">
        <v>2683</v>
      </c>
      <c r="Z606" s="461" t="s">
        <v>170</v>
      </c>
      <c r="AA606" s="460" t="s">
        <v>1218</v>
      </c>
      <c r="AB606" s="561">
        <f>ROUND(0,2)</f>
        <v>0</v>
      </c>
      <c r="AC606" s="460" t="s">
        <v>2678</v>
      </c>
      <c r="AD606" s="460"/>
      <c r="AE606" s="561">
        <f>ROUND(500.05,2)</f>
        <v>500.05</v>
      </c>
      <c r="AF606" s="460" t="s">
        <v>2679</v>
      </c>
      <c r="AG606" s="561">
        <f t="shared" si="9"/>
        <v>0</v>
      </c>
      <c r="AH606" s="460" t="s">
        <v>2671</v>
      </c>
      <c r="AI606" s="460" t="s">
        <v>1214</v>
      </c>
      <c r="AJ606" s="460"/>
      <c r="AK606" s="460"/>
      <c r="AL606" s="560"/>
      <c r="AM606" s="460"/>
    </row>
    <row r="607" spans="1:39" ht="22.8">
      <c r="A607" s="460" t="s">
        <v>1810</v>
      </c>
      <c r="B607" s="460"/>
      <c r="C607" s="460" t="s">
        <v>2492</v>
      </c>
      <c r="D607" s="460" t="s">
        <v>2854</v>
      </c>
      <c r="E607" s="460" t="s">
        <v>1821</v>
      </c>
      <c r="F607" s="460" t="s">
        <v>1812</v>
      </c>
      <c r="G607" s="461" t="s">
        <v>1218</v>
      </c>
      <c r="H607" s="461" t="s">
        <v>2803</v>
      </c>
      <c r="I607" s="460" t="s">
        <v>2007</v>
      </c>
      <c r="J607" s="460" t="s">
        <v>1983</v>
      </c>
      <c r="K607" s="460" t="s">
        <v>2669</v>
      </c>
      <c r="L607" s="460" t="s">
        <v>2714</v>
      </c>
      <c r="M607" s="460" t="s">
        <v>1994</v>
      </c>
      <c r="N607" s="460" t="s">
        <v>1981</v>
      </c>
      <c r="O607" s="460" t="s">
        <v>1980</v>
      </c>
      <c r="P607" s="460" t="s">
        <v>1979</v>
      </c>
      <c r="Q607" s="460" t="s">
        <v>1978</v>
      </c>
      <c r="R607" s="460" t="s">
        <v>1977</v>
      </c>
      <c r="S607" s="460" t="s">
        <v>1826</v>
      </c>
      <c r="T607" s="460" t="s">
        <v>1827</v>
      </c>
      <c r="U607" s="461" t="s">
        <v>1976</v>
      </c>
      <c r="V607" s="460" t="s">
        <v>1119</v>
      </c>
      <c r="W607" s="560"/>
      <c r="X607" s="461" t="s">
        <v>2683</v>
      </c>
      <c r="Y607" s="461" t="s">
        <v>2683</v>
      </c>
      <c r="Z607" s="461" t="s">
        <v>170</v>
      </c>
      <c r="AA607" s="460" t="s">
        <v>1218</v>
      </c>
      <c r="AB607" s="561">
        <f>ROUND(29.05,2)</f>
        <v>29.05</v>
      </c>
      <c r="AC607" s="460" t="s">
        <v>308</v>
      </c>
      <c r="AD607" s="460"/>
      <c r="AE607" s="561">
        <f>ROUND(825.23,2)</f>
        <v>825.23</v>
      </c>
      <c r="AF607" s="460" t="s">
        <v>308</v>
      </c>
      <c r="AG607" s="561">
        <f t="shared" si="9"/>
        <v>0</v>
      </c>
      <c r="AH607" s="460" t="s">
        <v>2671</v>
      </c>
      <c r="AI607" s="460" t="s">
        <v>1214</v>
      </c>
      <c r="AJ607" s="460" t="s">
        <v>2549</v>
      </c>
      <c r="AK607" s="460" t="s">
        <v>2672</v>
      </c>
      <c r="AL607" s="560" t="s">
        <v>2692</v>
      </c>
      <c r="AM607" s="460" t="s">
        <v>2674</v>
      </c>
    </row>
    <row r="608" spans="1:39" ht="22.8">
      <c r="A608" s="460" t="s">
        <v>1810</v>
      </c>
      <c r="B608" s="460"/>
      <c r="C608" s="460" t="s">
        <v>1597</v>
      </c>
      <c r="D608" s="460" t="s">
        <v>2100</v>
      </c>
      <c r="E608" s="460" t="s">
        <v>1821</v>
      </c>
      <c r="F608" s="460" t="s">
        <v>1812</v>
      </c>
      <c r="G608" s="461" t="s">
        <v>1218</v>
      </c>
      <c r="H608" s="461" t="s">
        <v>1030</v>
      </c>
      <c r="I608" s="460" t="s">
        <v>2099</v>
      </c>
      <c r="J608" s="460" t="s">
        <v>1983</v>
      </c>
      <c r="K608" s="460" t="s">
        <v>2669</v>
      </c>
      <c r="L608" s="460" t="s">
        <v>2714</v>
      </c>
      <c r="M608" s="460" t="s">
        <v>1994</v>
      </c>
      <c r="N608" s="460" t="s">
        <v>1981</v>
      </c>
      <c r="O608" s="460" t="s">
        <v>1980</v>
      </c>
      <c r="P608" s="460" t="s">
        <v>1979</v>
      </c>
      <c r="Q608" s="460" t="s">
        <v>95</v>
      </c>
      <c r="R608" s="460" t="s">
        <v>1977</v>
      </c>
      <c r="S608" s="460" t="s">
        <v>1842</v>
      </c>
      <c r="T608" s="460" t="s">
        <v>1827</v>
      </c>
      <c r="U608" s="461" t="s">
        <v>1976</v>
      </c>
      <c r="V608" s="460" t="s">
        <v>1843</v>
      </c>
      <c r="W608" s="560"/>
      <c r="X608" s="461" t="s">
        <v>1824</v>
      </c>
      <c r="Y608" s="461" t="s">
        <v>1824</v>
      </c>
      <c r="Z608" s="461" t="s">
        <v>170</v>
      </c>
      <c r="AA608" s="460" t="s">
        <v>1218</v>
      </c>
      <c r="AB608" s="561">
        <f>ROUND(30.41,2)</f>
        <v>30.41</v>
      </c>
      <c r="AC608" s="460" t="s">
        <v>308</v>
      </c>
      <c r="AD608" s="460"/>
      <c r="AE608" s="561">
        <f>ROUND(70.29,2)</f>
        <v>70.290000000000006</v>
      </c>
      <c r="AF608" s="460" t="s">
        <v>308</v>
      </c>
      <c r="AG608" s="561">
        <f t="shared" si="9"/>
        <v>0</v>
      </c>
      <c r="AH608" s="460" t="s">
        <v>2671</v>
      </c>
      <c r="AI608" s="460" t="s">
        <v>1214</v>
      </c>
      <c r="AJ608" s="460" t="s">
        <v>2548</v>
      </c>
      <c r="AK608" s="460" t="s">
        <v>2672</v>
      </c>
      <c r="AL608" s="560" t="s">
        <v>2673</v>
      </c>
      <c r="AM608" s="460" t="s">
        <v>2674</v>
      </c>
    </row>
    <row r="609" spans="1:39" ht="22.8">
      <c r="A609" s="460" t="s">
        <v>1810</v>
      </c>
      <c r="B609" s="460"/>
      <c r="C609" s="460" t="s">
        <v>1597</v>
      </c>
      <c r="D609" s="460" t="s">
        <v>2100</v>
      </c>
      <c r="E609" s="460" t="s">
        <v>1821</v>
      </c>
      <c r="F609" s="460" t="s">
        <v>1812</v>
      </c>
      <c r="G609" s="461" t="s">
        <v>1218</v>
      </c>
      <c r="H609" s="461" t="s">
        <v>1030</v>
      </c>
      <c r="I609" s="460" t="s">
        <v>2099</v>
      </c>
      <c r="J609" s="460" t="s">
        <v>1983</v>
      </c>
      <c r="K609" s="460" t="s">
        <v>2669</v>
      </c>
      <c r="L609" s="460" t="s">
        <v>2714</v>
      </c>
      <c r="M609" s="460" t="s">
        <v>1994</v>
      </c>
      <c r="N609" s="460" t="s">
        <v>1981</v>
      </c>
      <c r="O609" s="460" t="s">
        <v>1980</v>
      </c>
      <c r="P609" s="460" t="s">
        <v>2675</v>
      </c>
      <c r="Q609" s="460" t="s">
        <v>2676</v>
      </c>
      <c r="R609" s="460" t="s">
        <v>2677</v>
      </c>
      <c r="S609" s="460" t="s">
        <v>2676</v>
      </c>
      <c r="T609" s="460" t="s">
        <v>1827</v>
      </c>
      <c r="U609" s="461" t="s">
        <v>1824</v>
      </c>
      <c r="V609" s="460" t="s">
        <v>1843</v>
      </c>
      <c r="W609" s="560"/>
      <c r="X609" s="461" t="s">
        <v>1824</v>
      </c>
      <c r="Y609" s="461" t="s">
        <v>1824</v>
      </c>
      <c r="Z609" s="461" t="s">
        <v>170</v>
      </c>
      <c r="AA609" s="460" t="s">
        <v>1218</v>
      </c>
      <c r="AB609" s="561">
        <f>ROUND(25,2)</f>
        <v>25</v>
      </c>
      <c r="AC609" s="460" t="s">
        <v>2678</v>
      </c>
      <c r="AD609" s="460"/>
      <c r="AE609" s="561">
        <f>ROUND(1000,2)</f>
        <v>1000</v>
      </c>
      <c r="AF609" s="460" t="s">
        <v>2679</v>
      </c>
      <c r="AG609" s="561">
        <f t="shared" si="9"/>
        <v>0</v>
      </c>
      <c r="AH609" s="460" t="s">
        <v>2671</v>
      </c>
      <c r="AI609" s="460" t="s">
        <v>1214</v>
      </c>
      <c r="AJ609" s="460" t="s">
        <v>2550</v>
      </c>
      <c r="AK609" s="460" t="s">
        <v>2672</v>
      </c>
      <c r="AL609" s="560" t="s">
        <v>2680</v>
      </c>
      <c r="AM609" s="460" t="s">
        <v>2674</v>
      </c>
    </row>
    <row r="610" spans="1:39" ht="22.8">
      <c r="A610" s="460" t="s">
        <v>1810</v>
      </c>
      <c r="B610" s="460"/>
      <c r="C610" s="460" t="s">
        <v>1597</v>
      </c>
      <c r="D610" s="460" t="s">
        <v>2100</v>
      </c>
      <c r="E610" s="460" t="s">
        <v>1821</v>
      </c>
      <c r="F610" s="460" t="s">
        <v>1812</v>
      </c>
      <c r="G610" s="461" t="s">
        <v>1218</v>
      </c>
      <c r="H610" s="461" t="s">
        <v>1030</v>
      </c>
      <c r="I610" s="460" t="s">
        <v>2099</v>
      </c>
      <c r="J610" s="460" t="s">
        <v>1983</v>
      </c>
      <c r="K610" s="460" t="s">
        <v>2669</v>
      </c>
      <c r="L610" s="460" t="s">
        <v>2714</v>
      </c>
      <c r="M610" s="460" t="s">
        <v>1994</v>
      </c>
      <c r="N610" s="460" t="s">
        <v>1981</v>
      </c>
      <c r="O610" s="460" t="s">
        <v>1980</v>
      </c>
      <c r="P610" s="460" t="s">
        <v>1979</v>
      </c>
      <c r="Q610" s="460" t="s">
        <v>1978</v>
      </c>
      <c r="R610" s="460" t="s">
        <v>1977</v>
      </c>
      <c r="S610" s="460" t="s">
        <v>1826</v>
      </c>
      <c r="T610" s="460" t="s">
        <v>1827</v>
      </c>
      <c r="U610" s="461" t="s">
        <v>1976</v>
      </c>
      <c r="V610" s="460" t="s">
        <v>1843</v>
      </c>
      <c r="W610" s="560"/>
      <c r="X610" s="461" t="s">
        <v>1824</v>
      </c>
      <c r="Y610" s="461" t="s">
        <v>1824</v>
      </c>
      <c r="Z610" s="461" t="s">
        <v>170</v>
      </c>
      <c r="AA610" s="460" t="s">
        <v>1218</v>
      </c>
      <c r="AB610" s="561">
        <f>ROUND(475.32,2)</f>
        <v>475.32</v>
      </c>
      <c r="AC610" s="460" t="s">
        <v>308</v>
      </c>
      <c r="AD610" s="460"/>
      <c r="AE610" s="561">
        <f>ROUND(1656.14,2)</f>
        <v>1656.14</v>
      </c>
      <c r="AF610" s="460" t="s">
        <v>308</v>
      </c>
      <c r="AG610" s="561">
        <f t="shared" si="9"/>
        <v>0</v>
      </c>
      <c r="AH610" s="460" t="s">
        <v>2671</v>
      </c>
      <c r="AI610" s="460" t="s">
        <v>1214</v>
      </c>
      <c r="AJ610" s="460" t="s">
        <v>2549</v>
      </c>
      <c r="AK610" s="460" t="s">
        <v>2672</v>
      </c>
      <c r="AL610" s="560" t="s">
        <v>2718</v>
      </c>
      <c r="AM610" s="460" t="s">
        <v>2674</v>
      </c>
    </row>
    <row r="611" spans="1:39" ht="22.8">
      <c r="A611" s="460" t="s">
        <v>1810</v>
      </c>
      <c r="B611" s="460"/>
      <c r="C611" s="460" t="s">
        <v>1509</v>
      </c>
      <c r="D611" s="460" t="s">
        <v>2098</v>
      </c>
      <c r="E611" s="460" t="s">
        <v>1821</v>
      </c>
      <c r="F611" s="460" t="s">
        <v>1812</v>
      </c>
      <c r="G611" s="461" t="s">
        <v>1218</v>
      </c>
      <c r="H611" s="461" t="s">
        <v>251</v>
      </c>
      <c r="I611" s="460" t="s">
        <v>2026</v>
      </c>
      <c r="J611" s="460" t="s">
        <v>1983</v>
      </c>
      <c r="K611" s="460" t="s">
        <v>2669</v>
      </c>
      <c r="L611" s="460" t="s">
        <v>2714</v>
      </c>
      <c r="M611" s="460" t="s">
        <v>1994</v>
      </c>
      <c r="N611" s="460" t="s">
        <v>1981</v>
      </c>
      <c r="O611" s="460" t="s">
        <v>1980</v>
      </c>
      <c r="P611" s="460" t="s">
        <v>1979</v>
      </c>
      <c r="Q611" s="460" t="s">
        <v>95</v>
      </c>
      <c r="R611" s="460" t="s">
        <v>1977</v>
      </c>
      <c r="S611" s="460" t="s">
        <v>1842</v>
      </c>
      <c r="T611" s="460" t="s">
        <v>1827</v>
      </c>
      <c r="U611" s="461" t="s">
        <v>1976</v>
      </c>
      <c r="V611" s="460" t="s">
        <v>1119</v>
      </c>
      <c r="W611" s="560"/>
      <c r="X611" s="461" t="s">
        <v>1824</v>
      </c>
      <c r="Y611" s="461" t="s">
        <v>1824</v>
      </c>
      <c r="Z611" s="461" t="s">
        <v>170</v>
      </c>
      <c r="AA611" s="460" t="s">
        <v>1218</v>
      </c>
      <c r="AB611" s="561">
        <f>ROUND(0,2)</f>
        <v>0</v>
      </c>
      <c r="AC611" s="460" t="s">
        <v>308</v>
      </c>
      <c r="AD611" s="460"/>
      <c r="AE611" s="561">
        <f>ROUND(36.23,2)</f>
        <v>36.229999999999997</v>
      </c>
      <c r="AF611" s="460" t="s">
        <v>308</v>
      </c>
      <c r="AG611" s="561">
        <f t="shared" si="9"/>
        <v>0</v>
      </c>
      <c r="AH611" s="460" t="s">
        <v>2671</v>
      </c>
      <c r="AI611" s="460" t="s">
        <v>1214</v>
      </c>
      <c r="AJ611" s="460"/>
      <c r="AK611" s="460"/>
      <c r="AL611" s="560"/>
      <c r="AM611" s="460"/>
    </row>
    <row r="612" spans="1:39" ht="22.8">
      <c r="A612" s="460" t="s">
        <v>1810</v>
      </c>
      <c r="B612" s="460"/>
      <c r="C612" s="460" t="s">
        <v>1509</v>
      </c>
      <c r="D612" s="460" t="s">
        <v>2098</v>
      </c>
      <c r="E612" s="460" t="s">
        <v>1821</v>
      </c>
      <c r="F612" s="460" t="s">
        <v>1812</v>
      </c>
      <c r="G612" s="461" t="s">
        <v>1218</v>
      </c>
      <c r="H612" s="461" t="s">
        <v>251</v>
      </c>
      <c r="I612" s="460" t="s">
        <v>2026</v>
      </c>
      <c r="J612" s="460" t="s">
        <v>1983</v>
      </c>
      <c r="K612" s="460" t="s">
        <v>2669</v>
      </c>
      <c r="L612" s="460" t="s">
        <v>2714</v>
      </c>
      <c r="M612" s="460" t="s">
        <v>1994</v>
      </c>
      <c r="N612" s="460" t="s">
        <v>1981</v>
      </c>
      <c r="O612" s="460" t="s">
        <v>1980</v>
      </c>
      <c r="P612" s="460" t="s">
        <v>2675</v>
      </c>
      <c r="Q612" s="460" t="s">
        <v>2676</v>
      </c>
      <c r="R612" s="460" t="s">
        <v>2677</v>
      </c>
      <c r="S612" s="460" t="s">
        <v>2676</v>
      </c>
      <c r="T612" s="460" t="s">
        <v>1827</v>
      </c>
      <c r="U612" s="461" t="s">
        <v>1824</v>
      </c>
      <c r="V612" s="460" t="s">
        <v>1843</v>
      </c>
      <c r="W612" s="560"/>
      <c r="X612" s="461" t="s">
        <v>2836</v>
      </c>
      <c r="Y612" s="461" t="s">
        <v>2836</v>
      </c>
      <c r="Z612" s="461" t="s">
        <v>170</v>
      </c>
      <c r="AA612" s="460" t="s">
        <v>1218</v>
      </c>
      <c r="AB612" s="561">
        <f>ROUND(0,2)</f>
        <v>0</v>
      </c>
      <c r="AC612" s="460" t="s">
        <v>2678</v>
      </c>
      <c r="AD612" s="460"/>
      <c r="AE612" s="561">
        <f>ROUND(1000,2)</f>
        <v>1000</v>
      </c>
      <c r="AF612" s="460" t="s">
        <v>2679</v>
      </c>
      <c r="AG612" s="561">
        <f t="shared" si="9"/>
        <v>0</v>
      </c>
      <c r="AH612" s="460" t="s">
        <v>2671</v>
      </c>
      <c r="AI612" s="460" t="s">
        <v>1214</v>
      </c>
      <c r="AJ612" s="460"/>
      <c r="AK612" s="460"/>
      <c r="AL612" s="560"/>
      <c r="AM612" s="460"/>
    </row>
    <row r="613" spans="1:39" ht="22.8">
      <c r="A613" s="460" t="s">
        <v>1810</v>
      </c>
      <c r="B613" s="460"/>
      <c r="C613" s="460" t="s">
        <v>1509</v>
      </c>
      <c r="D613" s="460" t="s">
        <v>2098</v>
      </c>
      <c r="E613" s="460" t="s">
        <v>1821</v>
      </c>
      <c r="F613" s="460" t="s">
        <v>1812</v>
      </c>
      <c r="G613" s="461" t="s">
        <v>1218</v>
      </c>
      <c r="H613" s="461" t="s">
        <v>251</v>
      </c>
      <c r="I613" s="460" t="s">
        <v>2026</v>
      </c>
      <c r="J613" s="460" t="s">
        <v>1983</v>
      </c>
      <c r="K613" s="460" t="s">
        <v>2669</v>
      </c>
      <c r="L613" s="460" t="s">
        <v>2714</v>
      </c>
      <c r="M613" s="460" t="s">
        <v>1994</v>
      </c>
      <c r="N613" s="460" t="s">
        <v>1981</v>
      </c>
      <c r="O613" s="460" t="s">
        <v>1980</v>
      </c>
      <c r="P613" s="460" t="s">
        <v>1979</v>
      </c>
      <c r="Q613" s="460" t="s">
        <v>1978</v>
      </c>
      <c r="R613" s="460" t="s">
        <v>1977</v>
      </c>
      <c r="S613" s="460" t="s">
        <v>1826</v>
      </c>
      <c r="T613" s="460" t="s">
        <v>1827</v>
      </c>
      <c r="U613" s="461" t="s">
        <v>1976</v>
      </c>
      <c r="V613" s="460" t="s">
        <v>1967</v>
      </c>
      <c r="W613" s="560"/>
      <c r="X613" s="461" t="s">
        <v>1824</v>
      </c>
      <c r="Y613" s="461" t="s">
        <v>2836</v>
      </c>
      <c r="Z613" s="461" t="s">
        <v>170</v>
      </c>
      <c r="AA613" s="460" t="s">
        <v>1218</v>
      </c>
      <c r="AB613" s="561">
        <f>ROUND(399.25,2)</f>
        <v>399.25</v>
      </c>
      <c r="AC613" s="460" t="s">
        <v>308</v>
      </c>
      <c r="AD613" s="460"/>
      <c r="AE613" s="561">
        <f>ROUND(1383.11,2)</f>
        <v>1383.11</v>
      </c>
      <c r="AF613" s="460" t="s">
        <v>308</v>
      </c>
      <c r="AG613" s="561">
        <f t="shared" si="9"/>
        <v>0</v>
      </c>
      <c r="AH613" s="460" t="s">
        <v>2671</v>
      </c>
      <c r="AI613" s="460" t="s">
        <v>1214</v>
      </c>
      <c r="AJ613" s="460" t="s">
        <v>2549</v>
      </c>
      <c r="AK613" s="460" t="s">
        <v>2672</v>
      </c>
      <c r="AL613" s="560" t="s">
        <v>2841</v>
      </c>
      <c r="AM613" s="460" t="s">
        <v>2674</v>
      </c>
    </row>
    <row r="614" spans="1:39" ht="22.8">
      <c r="A614" s="460" t="s">
        <v>1810</v>
      </c>
      <c r="B614" s="460"/>
      <c r="C614" s="460" t="s">
        <v>1661</v>
      </c>
      <c r="D614" s="460" t="s">
        <v>2097</v>
      </c>
      <c r="E614" s="460" t="s">
        <v>1811</v>
      </c>
      <c r="F614" s="460" t="s">
        <v>1812</v>
      </c>
      <c r="G614" s="461" t="s">
        <v>1218</v>
      </c>
      <c r="H614" s="461" t="s">
        <v>1027</v>
      </c>
      <c r="I614" s="460" t="s">
        <v>2096</v>
      </c>
      <c r="J614" s="460" t="s">
        <v>1983</v>
      </c>
      <c r="K614" s="460" t="s">
        <v>2669</v>
      </c>
      <c r="L614" s="460" t="s">
        <v>2689</v>
      </c>
      <c r="M614" s="460" t="s">
        <v>1987</v>
      </c>
      <c r="N614" s="460" t="s">
        <v>1981</v>
      </c>
      <c r="O614" s="460" t="s">
        <v>1980</v>
      </c>
      <c r="P614" s="460" t="s">
        <v>1979</v>
      </c>
      <c r="Q614" s="460" t="s">
        <v>95</v>
      </c>
      <c r="R614" s="460" t="s">
        <v>1977</v>
      </c>
      <c r="S614" s="460" t="s">
        <v>1842</v>
      </c>
      <c r="T614" s="460" t="s">
        <v>1827</v>
      </c>
      <c r="U614" s="461" t="s">
        <v>1976</v>
      </c>
      <c r="V614" s="460" t="s">
        <v>1119</v>
      </c>
      <c r="W614" s="560"/>
      <c r="X614" s="461" t="s">
        <v>1824</v>
      </c>
      <c r="Y614" s="461" t="s">
        <v>1824</v>
      </c>
      <c r="Z614" s="461" t="s">
        <v>170</v>
      </c>
      <c r="AA614" s="460" t="s">
        <v>1218</v>
      </c>
      <c r="AB614" s="561">
        <f>ROUND(0,2)</f>
        <v>0</v>
      </c>
      <c r="AC614" s="460" t="s">
        <v>308</v>
      </c>
      <c r="AD614" s="460"/>
      <c r="AE614" s="561">
        <f>ROUND(36.23,2)</f>
        <v>36.229999999999997</v>
      </c>
      <c r="AF614" s="460" t="s">
        <v>308</v>
      </c>
      <c r="AG614" s="561">
        <f t="shared" si="9"/>
        <v>0</v>
      </c>
      <c r="AH614" s="460" t="s">
        <v>2671</v>
      </c>
      <c r="AI614" s="460" t="s">
        <v>1214</v>
      </c>
      <c r="AJ614" s="460"/>
      <c r="AK614" s="460"/>
      <c r="AL614" s="560"/>
      <c r="AM614" s="460"/>
    </row>
    <row r="615" spans="1:39" ht="22.8">
      <c r="A615" s="460" t="s">
        <v>1810</v>
      </c>
      <c r="B615" s="460"/>
      <c r="C615" s="460" t="s">
        <v>1661</v>
      </c>
      <c r="D615" s="460" t="s">
        <v>2097</v>
      </c>
      <c r="E615" s="460" t="s">
        <v>1811</v>
      </c>
      <c r="F615" s="460" t="s">
        <v>1812</v>
      </c>
      <c r="G615" s="461" t="s">
        <v>1218</v>
      </c>
      <c r="H615" s="461" t="s">
        <v>1027</v>
      </c>
      <c r="I615" s="460" t="s">
        <v>2096</v>
      </c>
      <c r="J615" s="460" t="s">
        <v>1983</v>
      </c>
      <c r="K615" s="460" t="s">
        <v>2669</v>
      </c>
      <c r="L615" s="460" t="s">
        <v>2689</v>
      </c>
      <c r="M615" s="460" t="s">
        <v>1987</v>
      </c>
      <c r="N615" s="460" t="s">
        <v>1981</v>
      </c>
      <c r="O615" s="460" t="s">
        <v>1980</v>
      </c>
      <c r="P615" s="460" t="s">
        <v>2675</v>
      </c>
      <c r="Q615" s="460" t="s">
        <v>2676</v>
      </c>
      <c r="R615" s="460" t="s">
        <v>2677</v>
      </c>
      <c r="S615" s="460" t="s">
        <v>2676</v>
      </c>
      <c r="T615" s="460" t="s">
        <v>1827</v>
      </c>
      <c r="U615" s="461" t="s">
        <v>1824</v>
      </c>
      <c r="V615" s="460" t="s">
        <v>1119</v>
      </c>
      <c r="W615" s="560"/>
      <c r="X615" s="461" t="s">
        <v>1824</v>
      </c>
      <c r="Y615" s="461" t="s">
        <v>1824</v>
      </c>
      <c r="Z615" s="461" t="s">
        <v>170</v>
      </c>
      <c r="AA615" s="460" t="s">
        <v>1218</v>
      </c>
      <c r="AB615" s="561">
        <f>ROUND(0,2)</f>
        <v>0</v>
      </c>
      <c r="AC615" s="460" t="s">
        <v>2678</v>
      </c>
      <c r="AD615" s="460"/>
      <c r="AE615" s="561">
        <f>ROUND(500.05,2)</f>
        <v>500.05</v>
      </c>
      <c r="AF615" s="460" t="s">
        <v>2679</v>
      </c>
      <c r="AG615" s="561">
        <f t="shared" si="9"/>
        <v>0</v>
      </c>
      <c r="AH615" s="460" t="s">
        <v>2671</v>
      </c>
      <c r="AI615" s="460" t="s">
        <v>1214</v>
      </c>
      <c r="AJ615" s="460"/>
      <c r="AK615" s="460"/>
      <c r="AL615" s="560"/>
      <c r="AM615" s="460"/>
    </row>
    <row r="616" spans="1:39" ht="22.8">
      <c r="A616" s="460" t="s">
        <v>1810</v>
      </c>
      <c r="B616" s="460"/>
      <c r="C616" s="460" t="s">
        <v>1661</v>
      </c>
      <c r="D616" s="460" t="s">
        <v>2097</v>
      </c>
      <c r="E616" s="460" t="s">
        <v>1811</v>
      </c>
      <c r="F616" s="460" t="s">
        <v>1812</v>
      </c>
      <c r="G616" s="461" t="s">
        <v>1218</v>
      </c>
      <c r="H616" s="461" t="s">
        <v>1027</v>
      </c>
      <c r="I616" s="460" t="s">
        <v>2096</v>
      </c>
      <c r="J616" s="460" t="s">
        <v>1983</v>
      </c>
      <c r="K616" s="460" t="s">
        <v>2669</v>
      </c>
      <c r="L616" s="460" t="s">
        <v>2689</v>
      </c>
      <c r="M616" s="460" t="s">
        <v>1987</v>
      </c>
      <c r="N616" s="460" t="s">
        <v>1981</v>
      </c>
      <c r="O616" s="460" t="s">
        <v>1980</v>
      </c>
      <c r="P616" s="460" t="s">
        <v>1979</v>
      </c>
      <c r="Q616" s="460" t="s">
        <v>1978</v>
      </c>
      <c r="R616" s="460" t="s">
        <v>1977</v>
      </c>
      <c r="S616" s="460" t="s">
        <v>1826</v>
      </c>
      <c r="T616" s="460" t="s">
        <v>1827</v>
      </c>
      <c r="U616" s="461" t="s">
        <v>1976</v>
      </c>
      <c r="V616" s="460" t="s">
        <v>1119</v>
      </c>
      <c r="W616" s="560"/>
      <c r="X616" s="461" t="s">
        <v>1824</v>
      </c>
      <c r="Y616" s="461" t="s">
        <v>1824</v>
      </c>
      <c r="Z616" s="461" t="s">
        <v>170</v>
      </c>
      <c r="AA616" s="460" t="s">
        <v>1218</v>
      </c>
      <c r="AB616" s="561">
        <f>ROUND(25.63,2)</f>
        <v>25.63</v>
      </c>
      <c r="AC616" s="460" t="s">
        <v>308</v>
      </c>
      <c r="AD616" s="460"/>
      <c r="AE616" s="561">
        <f>ROUND(828.65,2)</f>
        <v>828.65</v>
      </c>
      <c r="AF616" s="460" t="s">
        <v>308</v>
      </c>
      <c r="AG616" s="561">
        <f t="shared" si="9"/>
        <v>0</v>
      </c>
      <c r="AH616" s="460" t="s">
        <v>2671</v>
      </c>
      <c r="AI616" s="460" t="s">
        <v>1214</v>
      </c>
      <c r="AJ616" s="460" t="s">
        <v>2549</v>
      </c>
      <c r="AK616" s="460" t="s">
        <v>2672</v>
      </c>
      <c r="AL616" s="560" t="s">
        <v>2685</v>
      </c>
      <c r="AM616" s="460" t="s">
        <v>2674</v>
      </c>
    </row>
    <row r="617" spans="1:39" ht="22.8">
      <c r="A617" s="460" t="s">
        <v>1810</v>
      </c>
      <c r="B617" s="460"/>
      <c r="C617" s="460" t="s">
        <v>2457</v>
      </c>
      <c r="D617" s="460" t="s">
        <v>2855</v>
      </c>
      <c r="E617" s="460" t="s">
        <v>1821</v>
      </c>
      <c r="F617" s="460" t="s">
        <v>1812</v>
      </c>
      <c r="G617" s="461" t="s">
        <v>1218</v>
      </c>
      <c r="H617" s="461" t="s">
        <v>2824</v>
      </c>
      <c r="I617" s="460" t="s">
        <v>2856</v>
      </c>
      <c r="J617" s="460" t="s">
        <v>1983</v>
      </c>
      <c r="K617" s="460" t="s">
        <v>2669</v>
      </c>
      <c r="L617" s="460" t="s">
        <v>2714</v>
      </c>
      <c r="M617" s="460" t="s">
        <v>1994</v>
      </c>
      <c r="N617" s="460" t="s">
        <v>1981</v>
      </c>
      <c r="O617" s="460" t="s">
        <v>1980</v>
      </c>
      <c r="P617" s="460" t="s">
        <v>1979</v>
      </c>
      <c r="Q617" s="460" t="s">
        <v>95</v>
      </c>
      <c r="R617" s="460" t="s">
        <v>1977</v>
      </c>
      <c r="S617" s="460" t="s">
        <v>1842</v>
      </c>
      <c r="T617" s="460" t="s">
        <v>1827</v>
      </c>
      <c r="U617" s="461" t="s">
        <v>1976</v>
      </c>
      <c r="V617" s="460" t="s">
        <v>1119</v>
      </c>
      <c r="W617" s="560"/>
      <c r="X617" s="461" t="s">
        <v>2789</v>
      </c>
      <c r="Y617" s="461" t="s">
        <v>2789</v>
      </c>
      <c r="Z617" s="461" t="s">
        <v>170</v>
      </c>
      <c r="AA617" s="460" t="s">
        <v>1218</v>
      </c>
      <c r="AB617" s="561">
        <f>ROUND(0,2)</f>
        <v>0</v>
      </c>
      <c r="AC617" s="460" t="s">
        <v>308</v>
      </c>
      <c r="AD617" s="460"/>
      <c r="AE617" s="561">
        <f>ROUND(36.23,2)</f>
        <v>36.229999999999997</v>
      </c>
      <c r="AF617" s="460" t="s">
        <v>308</v>
      </c>
      <c r="AG617" s="561">
        <f t="shared" si="9"/>
        <v>0</v>
      </c>
      <c r="AH617" s="460" t="s">
        <v>2671</v>
      </c>
      <c r="AI617" s="460" t="s">
        <v>1214</v>
      </c>
      <c r="AJ617" s="460"/>
      <c r="AK617" s="460"/>
      <c r="AL617" s="560"/>
      <c r="AM617" s="460"/>
    </row>
    <row r="618" spans="1:39" ht="22.8">
      <c r="A618" s="460" t="s">
        <v>1810</v>
      </c>
      <c r="B618" s="460"/>
      <c r="C618" s="460" t="s">
        <v>2457</v>
      </c>
      <c r="D618" s="460" t="s">
        <v>2855</v>
      </c>
      <c r="E618" s="460" t="s">
        <v>1821</v>
      </c>
      <c r="F618" s="460" t="s">
        <v>1812</v>
      </c>
      <c r="G618" s="461" t="s">
        <v>1218</v>
      </c>
      <c r="H618" s="461" t="s">
        <v>2824</v>
      </c>
      <c r="I618" s="460" t="s">
        <v>2856</v>
      </c>
      <c r="J618" s="460" t="s">
        <v>1983</v>
      </c>
      <c r="K618" s="460" t="s">
        <v>2669</v>
      </c>
      <c r="L618" s="460" t="s">
        <v>2714</v>
      </c>
      <c r="M618" s="460" t="s">
        <v>1994</v>
      </c>
      <c r="N618" s="460" t="s">
        <v>1981</v>
      </c>
      <c r="O618" s="460" t="s">
        <v>1980</v>
      </c>
      <c r="P618" s="460" t="s">
        <v>2675</v>
      </c>
      <c r="Q618" s="460" t="s">
        <v>2676</v>
      </c>
      <c r="R618" s="460" t="s">
        <v>2677</v>
      </c>
      <c r="S618" s="460" t="s">
        <v>2676</v>
      </c>
      <c r="T618" s="460" t="s">
        <v>1827</v>
      </c>
      <c r="U618" s="461" t="s">
        <v>1824</v>
      </c>
      <c r="V618" s="460" t="s">
        <v>1119</v>
      </c>
      <c r="W618" s="560"/>
      <c r="X618" s="461" t="s">
        <v>2789</v>
      </c>
      <c r="Y618" s="461" t="s">
        <v>2789</v>
      </c>
      <c r="Z618" s="461" t="s">
        <v>170</v>
      </c>
      <c r="AA618" s="460" t="s">
        <v>1218</v>
      </c>
      <c r="AB618" s="561">
        <f>ROUND(100,2)</f>
        <v>100</v>
      </c>
      <c r="AC618" s="460" t="s">
        <v>2678</v>
      </c>
      <c r="AD618" s="460"/>
      <c r="AE618" s="561">
        <f>ROUND(500.05,2)</f>
        <v>500.05</v>
      </c>
      <c r="AF618" s="460" t="s">
        <v>2679</v>
      </c>
      <c r="AG618" s="561">
        <f t="shared" si="9"/>
        <v>0</v>
      </c>
      <c r="AH618" s="460" t="s">
        <v>2671</v>
      </c>
      <c r="AI618" s="460" t="s">
        <v>1214</v>
      </c>
      <c r="AJ618" s="460" t="s">
        <v>2550</v>
      </c>
      <c r="AK618" s="460" t="s">
        <v>2672</v>
      </c>
      <c r="AL618" s="560" t="s">
        <v>2691</v>
      </c>
      <c r="AM618" s="460" t="s">
        <v>2674</v>
      </c>
    </row>
    <row r="619" spans="1:39" ht="22.8">
      <c r="A619" s="460" t="s">
        <v>1810</v>
      </c>
      <c r="B619" s="460"/>
      <c r="C619" s="460" t="s">
        <v>2457</v>
      </c>
      <c r="D619" s="460" t="s">
        <v>2855</v>
      </c>
      <c r="E619" s="460" t="s">
        <v>1821</v>
      </c>
      <c r="F619" s="460" t="s">
        <v>1812</v>
      </c>
      <c r="G619" s="461" t="s">
        <v>1218</v>
      </c>
      <c r="H619" s="461" t="s">
        <v>2824</v>
      </c>
      <c r="I619" s="460" t="s">
        <v>2856</v>
      </c>
      <c r="J619" s="460" t="s">
        <v>1983</v>
      </c>
      <c r="K619" s="460" t="s">
        <v>2669</v>
      </c>
      <c r="L619" s="460" t="s">
        <v>2714</v>
      </c>
      <c r="M619" s="460" t="s">
        <v>1994</v>
      </c>
      <c r="N619" s="460" t="s">
        <v>1981</v>
      </c>
      <c r="O619" s="460" t="s">
        <v>1980</v>
      </c>
      <c r="P619" s="460" t="s">
        <v>1979</v>
      </c>
      <c r="Q619" s="460" t="s">
        <v>1978</v>
      </c>
      <c r="R619" s="460" t="s">
        <v>1977</v>
      </c>
      <c r="S619" s="460" t="s">
        <v>1826</v>
      </c>
      <c r="T619" s="460" t="s">
        <v>1827</v>
      </c>
      <c r="U619" s="461" t="s">
        <v>1976</v>
      </c>
      <c r="V619" s="460" t="s">
        <v>1119</v>
      </c>
      <c r="W619" s="560"/>
      <c r="X619" s="461" t="s">
        <v>2789</v>
      </c>
      <c r="Y619" s="461" t="s">
        <v>2789</v>
      </c>
      <c r="Z619" s="461" t="s">
        <v>170</v>
      </c>
      <c r="AA619" s="460" t="s">
        <v>1218</v>
      </c>
      <c r="AB619" s="561">
        <f>ROUND(29.05,2)</f>
        <v>29.05</v>
      </c>
      <c r="AC619" s="460" t="s">
        <v>308</v>
      </c>
      <c r="AD619" s="460"/>
      <c r="AE619" s="561">
        <f>ROUND(825.23,2)</f>
        <v>825.23</v>
      </c>
      <c r="AF619" s="460" t="s">
        <v>308</v>
      </c>
      <c r="AG619" s="561">
        <f t="shared" si="9"/>
        <v>0</v>
      </c>
      <c r="AH619" s="460" t="s">
        <v>2671</v>
      </c>
      <c r="AI619" s="460" t="s">
        <v>1214</v>
      </c>
      <c r="AJ619" s="460" t="s">
        <v>2549</v>
      </c>
      <c r="AK619" s="460" t="s">
        <v>2672</v>
      </c>
      <c r="AL619" s="560" t="s">
        <v>2692</v>
      </c>
      <c r="AM619" s="460" t="s">
        <v>2674</v>
      </c>
    </row>
    <row r="620" spans="1:39" ht="22.8">
      <c r="A620" s="460" t="s">
        <v>1810</v>
      </c>
      <c r="B620" s="460"/>
      <c r="C620" s="460" t="s">
        <v>1456</v>
      </c>
      <c r="D620" s="460" t="s">
        <v>2095</v>
      </c>
      <c r="E620" s="460" t="s">
        <v>1821</v>
      </c>
      <c r="F620" s="460" t="s">
        <v>1812</v>
      </c>
      <c r="G620" s="461" t="s">
        <v>1218</v>
      </c>
      <c r="H620" s="461" t="s">
        <v>253</v>
      </c>
      <c r="I620" s="460" t="s">
        <v>2094</v>
      </c>
      <c r="J620" s="460" t="s">
        <v>1983</v>
      </c>
      <c r="K620" s="460" t="s">
        <v>2669</v>
      </c>
      <c r="L620" s="460" t="s">
        <v>2714</v>
      </c>
      <c r="M620" s="460" t="s">
        <v>1994</v>
      </c>
      <c r="N620" s="460" t="s">
        <v>1981</v>
      </c>
      <c r="O620" s="460" t="s">
        <v>1980</v>
      </c>
      <c r="P620" s="460" t="s">
        <v>1979</v>
      </c>
      <c r="Q620" s="460" t="s">
        <v>95</v>
      </c>
      <c r="R620" s="460" t="s">
        <v>1977</v>
      </c>
      <c r="S620" s="460" t="s">
        <v>1842</v>
      </c>
      <c r="T620" s="460" t="s">
        <v>1827</v>
      </c>
      <c r="U620" s="461" t="s">
        <v>1976</v>
      </c>
      <c r="V620" s="460" t="s">
        <v>1843</v>
      </c>
      <c r="W620" s="560"/>
      <c r="X620" s="461" t="s">
        <v>1824</v>
      </c>
      <c r="Y620" s="461" t="s">
        <v>1824</v>
      </c>
      <c r="Z620" s="461" t="s">
        <v>170</v>
      </c>
      <c r="AA620" s="460" t="s">
        <v>1218</v>
      </c>
      <c r="AB620" s="561">
        <f>ROUND(30.41,2)</f>
        <v>30.41</v>
      </c>
      <c r="AC620" s="460" t="s">
        <v>308</v>
      </c>
      <c r="AD620" s="460"/>
      <c r="AE620" s="561">
        <f>ROUND(70.29,2)</f>
        <v>70.290000000000006</v>
      </c>
      <c r="AF620" s="460" t="s">
        <v>308</v>
      </c>
      <c r="AG620" s="561">
        <f t="shared" si="9"/>
        <v>0</v>
      </c>
      <c r="AH620" s="460" t="s">
        <v>2671</v>
      </c>
      <c r="AI620" s="460" t="s">
        <v>1214</v>
      </c>
      <c r="AJ620" s="460" t="s">
        <v>2548</v>
      </c>
      <c r="AK620" s="460" t="s">
        <v>2672</v>
      </c>
      <c r="AL620" s="560" t="s">
        <v>2673</v>
      </c>
      <c r="AM620" s="460" t="s">
        <v>2674</v>
      </c>
    </row>
    <row r="621" spans="1:39" ht="22.8">
      <c r="A621" s="460" t="s">
        <v>1810</v>
      </c>
      <c r="B621" s="460"/>
      <c r="C621" s="460" t="s">
        <v>1456</v>
      </c>
      <c r="D621" s="460" t="s">
        <v>2095</v>
      </c>
      <c r="E621" s="460" t="s">
        <v>1821</v>
      </c>
      <c r="F621" s="460" t="s">
        <v>1812</v>
      </c>
      <c r="G621" s="461" t="s">
        <v>1218</v>
      </c>
      <c r="H621" s="461" t="s">
        <v>253</v>
      </c>
      <c r="I621" s="460" t="s">
        <v>2094</v>
      </c>
      <c r="J621" s="460" t="s">
        <v>1983</v>
      </c>
      <c r="K621" s="460" t="s">
        <v>2669</v>
      </c>
      <c r="L621" s="460" t="s">
        <v>2714</v>
      </c>
      <c r="M621" s="460" t="s">
        <v>1994</v>
      </c>
      <c r="N621" s="460" t="s">
        <v>1981</v>
      </c>
      <c r="O621" s="460" t="s">
        <v>1980</v>
      </c>
      <c r="P621" s="460" t="s">
        <v>2675</v>
      </c>
      <c r="Q621" s="460" t="s">
        <v>2676</v>
      </c>
      <c r="R621" s="460" t="s">
        <v>2677</v>
      </c>
      <c r="S621" s="460" t="s">
        <v>2676</v>
      </c>
      <c r="T621" s="460" t="s">
        <v>1827</v>
      </c>
      <c r="U621" s="461" t="s">
        <v>1824</v>
      </c>
      <c r="V621" s="460" t="s">
        <v>1843</v>
      </c>
      <c r="W621" s="560"/>
      <c r="X621" s="461" t="s">
        <v>1824</v>
      </c>
      <c r="Y621" s="461" t="s">
        <v>1824</v>
      </c>
      <c r="Z621" s="461" t="s">
        <v>170</v>
      </c>
      <c r="AA621" s="460" t="s">
        <v>1218</v>
      </c>
      <c r="AB621" s="561">
        <f>ROUND(125,2)</f>
        <v>125</v>
      </c>
      <c r="AC621" s="460" t="s">
        <v>2678</v>
      </c>
      <c r="AD621" s="460"/>
      <c r="AE621" s="561">
        <f>ROUND(1000,2)</f>
        <v>1000</v>
      </c>
      <c r="AF621" s="460" t="s">
        <v>2679</v>
      </c>
      <c r="AG621" s="561">
        <f t="shared" si="9"/>
        <v>0</v>
      </c>
      <c r="AH621" s="460" t="s">
        <v>2671</v>
      </c>
      <c r="AI621" s="460" t="s">
        <v>1214</v>
      </c>
      <c r="AJ621" s="460" t="s">
        <v>2550</v>
      </c>
      <c r="AK621" s="460" t="s">
        <v>2672</v>
      </c>
      <c r="AL621" s="560" t="s">
        <v>2701</v>
      </c>
      <c r="AM621" s="460" t="s">
        <v>2674</v>
      </c>
    </row>
    <row r="622" spans="1:39" ht="22.8">
      <c r="A622" s="460" t="s">
        <v>1810</v>
      </c>
      <c r="B622" s="460"/>
      <c r="C622" s="460" t="s">
        <v>1456</v>
      </c>
      <c r="D622" s="460" t="s">
        <v>2095</v>
      </c>
      <c r="E622" s="460" t="s">
        <v>1821</v>
      </c>
      <c r="F622" s="460" t="s">
        <v>1812</v>
      </c>
      <c r="G622" s="461" t="s">
        <v>1218</v>
      </c>
      <c r="H622" s="461" t="s">
        <v>253</v>
      </c>
      <c r="I622" s="460" t="s">
        <v>2094</v>
      </c>
      <c r="J622" s="460" t="s">
        <v>1983</v>
      </c>
      <c r="K622" s="460" t="s">
        <v>2669</v>
      </c>
      <c r="L622" s="460" t="s">
        <v>2714</v>
      </c>
      <c r="M622" s="460" t="s">
        <v>1994</v>
      </c>
      <c r="N622" s="460" t="s">
        <v>1981</v>
      </c>
      <c r="O622" s="460" t="s">
        <v>1980</v>
      </c>
      <c r="P622" s="460" t="s">
        <v>1979</v>
      </c>
      <c r="Q622" s="460" t="s">
        <v>1978</v>
      </c>
      <c r="R622" s="460" t="s">
        <v>1977</v>
      </c>
      <c r="S622" s="460" t="s">
        <v>1826</v>
      </c>
      <c r="T622" s="460" t="s">
        <v>1827</v>
      </c>
      <c r="U622" s="461" t="s">
        <v>1976</v>
      </c>
      <c r="V622" s="460" t="s">
        <v>1843</v>
      </c>
      <c r="W622" s="560"/>
      <c r="X622" s="461" t="s">
        <v>1824</v>
      </c>
      <c r="Y622" s="461" t="s">
        <v>1824</v>
      </c>
      <c r="Z622" s="461" t="s">
        <v>170</v>
      </c>
      <c r="AA622" s="460" t="s">
        <v>1218</v>
      </c>
      <c r="AB622" s="561">
        <f>ROUND(603.2,2)</f>
        <v>603.20000000000005</v>
      </c>
      <c r="AC622" s="460" t="s">
        <v>308</v>
      </c>
      <c r="AD622" s="460"/>
      <c r="AE622" s="561">
        <f>ROUND(1528.26,2)</f>
        <v>1528.26</v>
      </c>
      <c r="AF622" s="460" t="s">
        <v>308</v>
      </c>
      <c r="AG622" s="561">
        <f t="shared" si="9"/>
        <v>0</v>
      </c>
      <c r="AH622" s="460" t="s">
        <v>2671</v>
      </c>
      <c r="AI622" s="460" t="s">
        <v>1214</v>
      </c>
      <c r="AJ622" s="460" t="s">
        <v>2549</v>
      </c>
      <c r="AK622" s="460" t="s">
        <v>2672</v>
      </c>
      <c r="AL622" s="560" t="s">
        <v>2702</v>
      </c>
      <c r="AM622" s="460" t="s">
        <v>2674</v>
      </c>
    </row>
    <row r="623" spans="1:39" ht="22.8">
      <c r="A623" s="460" t="s">
        <v>1810</v>
      </c>
      <c r="B623" s="460"/>
      <c r="C623" s="460" t="s">
        <v>1572</v>
      </c>
      <c r="D623" s="460" t="s">
        <v>2093</v>
      </c>
      <c r="E623" s="460" t="s">
        <v>1821</v>
      </c>
      <c r="F623" s="460" t="s">
        <v>1812</v>
      </c>
      <c r="G623" s="461" t="s">
        <v>1218</v>
      </c>
      <c r="H623" s="461" t="s">
        <v>252</v>
      </c>
      <c r="I623" s="460" t="s">
        <v>2092</v>
      </c>
      <c r="J623" s="460" t="s">
        <v>1983</v>
      </c>
      <c r="K623" s="460" t="s">
        <v>2669</v>
      </c>
      <c r="L623" s="460" t="s">
        <v>2714</v>
      </c>
      <c r="M623" s="460" t="s">
        <v>1994</v>
      </c>
      <c r="N623" s="460" t="s">
        <v>1981</v>
      </c>
      <c r="O623" s="460" t="s">
        <v>1980</v>
      </c>
      <c r="P623" s="460" t="s">
        <v>1979</v>
      </c>
      <c r="Q623" s="460" t="s">
        <v>95</v>
      </c>
      <c r="R623" s="460" t="s">
        <v>1977</v>
      </c>
      <c r="S623" s="460" t="s">
        <v>1842</v>
      </c>
      <c r="T623" s="460" t="s">
        <v>1827</v>
      </c>
      <c r="U623" s="461" t="s">
        <v>1976</v>
      </c>
      <c r="V623" s="460" t="s">
        <v>1843</v>
      </c>
      <c r="W623" s="560"/>
      <c r="X623" s="461" t="s">
        <v>1824</v>
      </c>
      <c r="Y623" s="461" t="s">
        <v>2683</v>
      </c>
      <c r="Z623" s="461" t="s">
        <v>170</v>
      </c>
      <c r="AA623" s="460" t="s">
        <v>1218</v>
      </c>
      <c r="AB623" s="561">
        <f>ROUND(30.41,2)</f>
        <v>30.41</v>
      </c>
      <c r="AC623" s="460" t="s">
        <v>308</v>
      </c>
      <c r="AD623" s="460"/>
      <c r="AE623" s="561">
        <f>ROUND(70.29,2)</f>
        <v>70.290000000000006</v>
      </c>
      <c r="AF623" s="460" t="s">
        <v>308</v>
      </c>
      <c r="AG623" s="561">
        <f t="shared" si="9"/>
        <v>0</v>
      </c>
      <c r="AH623" s="460" t="s">
        <v>2671</v>
      </c>
      <c r="AI623" s="460" t="s">
        <v>1214</v>
      </c>
      <c r="AJ623" s="460" t="s">
        <v>2548</v>
      </c>
      <c r="AK623" s="460" t="s">
        <v>2672</v>
      </c>
      <c r="AL623" s="560" t="s">
        <v>2673</v>
      </c>
      <c r="AM623" s="460" t="s">
        <v>2674</v>
      </c>
    </row>
    <row r="624" spans="1:39" ht="22.8">
      <c r="A624" s="460" t="s">
        <v>1810</v>
      </c>
      <c r="B624" s="460"/>
      <c r="C624" s="460" t="s">
        <v>1572</v>
      </c>
      <c r="D624" s="460" t="s">
        <v>2093</v>
      </c>
      <c r="E624" s="460" t="s">
        <v>1821</v>
      </c>
      <c r="F624" s="460" t="s">
        <v>1812</v>
      </c>
      <c r="G624" s="461" t="s">
        <v>1218</v>
      </c>
      <c r="H624" s="461" t="s">
        <v>252</v>
      </c>
      <c r="I624" s="460" t="s">
        <v>2092</v>
      </c>
      <c r="J624" s="460" t="s">
        <v>1983</v>
      </c>
      <c r="K624" s="460" t="s">
        <v>2669</v>
      </c>
      <c r="L624" s="460" t="s">
        <v>2714</v>
      </c>
      <c r="M624" s="460" t="s">
        <v>1994</v>
      </c>
      <c r="N624" s="460" t="s">
        <v>1981</v>
      </c>
      <c r="O624" s="460" t="s">
        <v>1980</v>
      </c>
      <c r="P624" s="460" t="s">
        <v>2675</v>
      </c>
      <c r="Q624" s="460" t="s">
        <v>2676</v>
      </c>
      <c r="R624" s="460" t="s">
        <v>2677</v>
      </c>
      <c r="S624" s="460" t="s">
        <v>2676</v>
      </c>
      <c r="T624" s="460" t="s">
        <v>1827</v>
      </c>
      <c r="U624" s="461" t="s">
        <v>1824</v>
      </c>
      <c r="V624" s="460" t="s">
        <v>1843</v>
      </c>
      <c r="W624" s="560"/>
      <c r="X624" s="461" t="s">
        <v>2857</v>
      </c>
      <c r="Y624" s="461" t="s">
        <v>2683</v>
      </c>
      <c r="Z624" s="461" t="s">
        <v>170</v>
      </c>
      <c r="AA624" s="460" t="s">
        <v>1218</v>
      </c>
      <c r="AB624" s="561">
        <f>ROUND(125,2)</f>
        <v>125</v>
      </c>
      <c r="AC624" s="460" t="s">
        <v>2678</v>
      </c>
      <c r="AD624" s="460"/>
      <c r="AE624" s="561">
        <f>ROUND(1000,2)</f>
        <v>1000</v>
      </c>
      <c r="AF624" s="460" t="s">
        <v>2679</v>
      </c>
      <c r="AG624" s="561">
        <f t="shared" si="9"/>
        <v>0</v>
      </c>
      <c r="AH624" s="460" t="s">
        <v>2671</v>
      </c>
      <c r="AI624" s="460" t="s">
        <v>1214</v>
      </c>
      <c r="AJ624" s="460" t="s">
        <v>2550</v>
      </c>
      <c r="AK624" s="460" t="s">
        <v>2672</v>
      </c>
      <c r="AL624" s="560" t="s">
        <v>2701</v>
      </c>
      <c r="AM624" s="460" t="s">
        <v>2674</v>
      </c>
    </row>
    <row r="625" spans="1:39" ht="22.8">
      <c r="A625" s="460" t="s">
        <v>1810</v>
      </c>
      <c r="B625" s="460"/>
      <c r="C625" s="460" t="s">
        <v>1572</v>
      </c>
      <c r="D625" s="460" t="s">
        <v>2093</v>
      </c>
      <c r="E625" s="460" t="s">
        <v>1821</v>
      </c>
      <c r="F625" s="460" t="s">
        <v>1812</v>
      </c>
      <c r="G625" s="461" t="s">
        <v>1218</v>
      </c>
      <c r="H625" s="461" t="s">
        <v>252</v>
      </c>
      <c r="I625" s="460" t="s">
        <v>2092</v>
      </c>
      <c r="J625" s="460" t="s">
        <v>1983</v>
      </c>
      <c r="K625" s="460" t="s">
        <v>2669</v>
      </c>
      <c r="L625" s="460" t="s">
        <v>2714</v>
      </c>
      <c r="M625" s="460" t="s">
        <v>1994</v>
      </c>
      <c r="N625" s="460" t="s">
        <v>1981</v>
      </c>
      <c r="O625" s="460" t="s">
        <v>1980</v>
      </c>
      <c r="P625" s="460" t="s">
        <v>1979</v>
      </c>
      <c r="Q625" s="460" t="s">
        <v>1978</v>
      </c>
      <c r="R625" s="460" t="s">
        <v>1977</v>
      </c>
      <c r="S625" s="460" t="s">
        <v>1826</v>
      </c>
      <c r="T625" s="460" t="s">
        <v>1827</v>
      </c>
      <c r="U625" s="461" t="s">
        <v>1976</v>
      </c>
      <c r="V625" s="460" t="s">
        <v>1843</v>
      </c>
      <c r="W625" s="560"/>
      <c r="X625" s="461" t="s">
        <v>1824</v>
      </c>
      <c r="Y625" s="461" t="s">
        <v>2857</v>
      </c>
      <c r="Z625" s="461" t="s">
        <v>170</v>
      </c>
      <c r="AA625" s="460" t="s">
        <v>1218</v>
      </c>
      <c r="AB625" s="561">
        <f>ROUND(475.32,2)</f>
        <v>475.32</v>
      </c>
      <c r="AC625" s="460" t="s">
        <v>308</v>
      </c>
      <c r="AD625" s="460"/>
      <c r="AE625" s="561">
        <f>ROUND(1656.14,2)</f>
        <v>1656.14</v>
      </c>
      <c r="AF625" s="460" t="s">
        <v>308</v>
      </c>
      <c r="AG625" s="561">
        <f t="shared" si="9"/>
        <v>0</v>
      </c>
      <c r="AH625" s="460" t="s">
        <v>2671</v>
      </c>
      <c r="AI625" s="460" t="s">
        <v>1214</v>
      </c>
      <c r="AJ625" s="460" t="s">
        <v>2549</v>
      </c>
      <c r="AK625" s="460" t="s">
        <v>2672</v>
      </c>
      <c r="AL625" s="560" t="s">
        <v>2718</v>
      </c>
      <c r="AM625" s="460" t="s">
        <v>2674</v>
      </c>
    </row>
    <row r="626" spans="1:39" ht="22.8">
      <c r="A626" s="460" t="s">
        <v>1810</v>
      </c>
      <c r="B626" s="460"/>
      <c r="C626" s="460" t="s">
        <v>1548</v>
      </c>
      <c r="D626" s="460" t="s">
        <v>2381</v>
      </c>
      <c r="E626" s="460" t="s">
        <v>1821</v>
      </c>
      <c r="F626" s="460" t="s">
        <v>1812</v>
      </c>
      <c r="G626" s="461" t="s">
        <v>1218</v>
      </c>
      <c r="H626" s="461" t="s">
        <v>364</v>
      </c>
      <c r="I626" s="460" t="s">
        <v>2208</v>
      </c>
      <c r="J626" s="460" t="s">
        <v>1983</v>
      </c>
      <c r="K626" s="460" t="s">
        <v>2669</v>
      </c>
      <c r="L626" s="460" t="s">
        <v>2714</v>
      </c>
      <c r="M626" s="460" t="s">
        <v>1994</v>
      </c>
      <c r="N626" s="460" t="s">
        <v>1981</v>
      </c>
      <c r="O626" s="460" t="s">
        <v>1980</v>
      </c>
      <c r="P626" s="460" t="s">
        <v>1979</v>
      </c>
      <c r="Q626" s="460" t="s">
        <v>95</v>
      </c>
      <c r="R626" s="460" t="s">
        <v>1977</v>
      </c>
      <c r="S626" s="460" t="s">
        <v>1842</v>
      </c>
      <c r="T626" s="460" t="s">
        <v>1827</v>
      </c>
      <c r="U626" s="461" t="s">
        <v>1976</v>
      </c>
      <c r="V626" s="460" t="s">
        <v>1119</v>
      </c>
      <c r="W626" s="560"/>
      <c r="X626" s="461" t="s">
        <v>1824</v>
      </c>
      <c r="Y626" s="461" t="s">
        <v>1824</v>
      </c>
      <c r="Z626" s="461" t="s">
        <v>170</v>
      </c>
      <c r="AA626" s="460" t="s">
        <v>1218</v>
      </c>
      <c r="AB626" s="561">
        <f>ROUND(0,2)</f>
        <v>0</v>
      </c>
      <c r="AC626" s="460" t="s">
        <v>308</v>
      </c>
      <c r="AD626" s="460"/>
      <c r="AE626" s="561">
        <f>ROUND(36.23,2)</f>
        <v>36.229999999999997</v>
      </c>
      <c r="AF626" s="460" t="s">
        <v>308</v>
      </c>
      <c r="AG626" s="561">
        <f t="shared" si="9"/>
        <v>0</v>
      </c>
      <c r="AH626" s="460" t="s">
        <v>2671</v>
      </c>
      <c r="AI626" s="460" t="s">
        <v>1214</v>
      </c>
      <c r="AJ626" s="460"/>
      <c r="AK626" s="460"/>
      <c r="AL626" s="560"/>
      <c r="AM626" s="460"/>
    </row>
    <row r="627" spans="1:39" ht="22.8">
      <c r="A627" s="460" t="s">
        <v>1810</v>
      </c>
      <c r="B627" s="460"/>
      <c r="C627" s="460" t="s">
        <v>1457</v>
      </c>
      <c r="D627" s="460" t="s">
        <v>2091</v>
      </c>
      <c r="E627" s="460" t="s">
        <v>1818</v>
      </c>
      <c r="F627" s="460" t="s">
        <v>2015</v>
      </c>
      <c r="G627" s="461" t="s">
        <v>1218</v>
      </c>
      <c r="H627" s="461" t="s">
        <v>174</v>
      </c>
      <c r="I627" s="460" t="s">
        <v>2090</v>
      </c>
      <c r="J627" s="460" t="s">
        <v>1990</v>
      </c>
      <c r="K627" s="460" t="s">
        <v>2669</v>
      </c>
      <c r="L627" s="460" t="s">
        <v>2858</v>
      </c>
      <c r="M627" s="460" t="s">
        <v>2002</v>
      </c>
      <c r="N627" s="460" t="s">
        <v>1981</v>
      </c>
      <c r="O627" s="460" t="s">
        <v>2001</v>
      </c>
      <c r="P627" s="460" t="s">
        <v>1979</v>
      </c>
      <c r="Q627" s="460" t="s">
        <v>95</v>
      </c>
      <c r="R627" s="460" t="s">
        <v>1977</v>
      </c>
      <c r="S627" s="460" t="s">
        <v>1842</v>
      </c>
      <c r="T627" s="460" t="s">
        <v>1827</v>
      </c>
      <c r="U627" s="461" t="s">
        <v>1976</v>
      </c>
      <c r="V627" s="460" t="s">
        <v>1843</v>
      </c>
      <c r="W627" s="560"/>
      <c r="X627" s="461" t="s">
        <v>1824</v>
      </c>
      <c r="Y627" s="461" t="s">
        <v>1824</v>
      </c>
      <c r="Z627" s="461" t="s">
        <v>170</v>
      </c>
      <c r="AA627" s="460" t="s">
        <v>1218</v>
      </c>
      <c r="AB627" s="561">
        <f>ROUND(30.41,2)</f>
        <v>30.41</v>
      </c>
      <c r="AC627" s="460" t="s">
        <v>308</v>
      </c>
      <c r="AD627" s="460"/>
      <c r="AE627" s="561">
        <f>ROUND(70.29,2)</f>
        <v>70.290000000000006</v>
      </c>
      <c r="AF627" s="460" t="s">
        <v>308</v>
      </c>
      <c r="AG627" s="561">
        <f t="shared" si="9"/>
        <v>0</v>
      </c>
      <c r="AH627" s="460" t="s">
        <v>2671</v>
      </c>
      <c r="AI627" s="460" t="s">
        <v>1214</v>
      </c>
      <c r="AJ627" s="460" t="s">
        <v>2548</v>
      </c>
      <c r="AK627" s="460" t="s">
        <v>2672</v>
      </c>
      <c r="AL627" s="560" t="s">
        <v>2673</v>
      </c>
      <c r="AM627" s="460" t="s">
        <v>2674</v>
      </c>
    </row>
    <row r="628" spans="1:39" ht="22.8">
      <c r="A628" s="460" t="s">
        <v>1810</v>
      </c>
      <c r="B628" s="460"/>
      <c r="C628" s="460" t="s">
        <v>1457</v>
      </c>
      <c r="D628" s="460" t="s">
        <v>2091</v>
      </c>
      <c r="E628" s="460" t="s">
        <v>1818</v>
      </c>
      <c r="F628" s="460" t="s">
        <v>2015</v>
      </c>
      <c r="G628" s="461" t="s">
        <v>1218</v>
      </c>
      <c r="H628" s="461" t="s">
        <v>174</v>
      </c>
      <c r="I628" s="460" t="s">
        <v>2090</v>
      </c>
      <c r="J628" s="460" t="s">
        <v>1990</v>
      </c>
      <c r="K628" s="460" t="s">
        <v>2669</v>
      </c>
      <c r="L628" s="460" t="s">
        <v>2858</v>
      </c>
      <c r="M628" s="460" t="s">
        <v>2002</v>
      </c>
      <c r="N628" s="460" t="s">
        <v>1981</v>
      </c>
      <c r="O628" s="460" t="s">
        <v>2001</v>
      </c>
      <c r="P628" s="460" t="s">
        <v>2675</v>
      </c>
      <c r="Q628" s="460" t="s">
        <v>2676</v>
      </c>
      <c r="R628" s="460" t="s">
        <v>2677</v>
      </c>
      <c r="S628" s="460" t="s">
        <v>2676</v>
      </c>
      <c r="T628" s="460" t="s">
        <v>1827</v>
      </c>
      <c r="U628" s="461" t="s">
        <v>1824</v>
      </c>
      <c r="V628" s="460" t="s">
        <v>1843</v>
      </c>
      <c r="W628" s="560"/>
      <c r="X628" s="461" t="s">
        <v>1824</v>
      </c>
      <c r="Y628" s="461" t="s">
        <v>2683</v>
      </c>
      <c r="Z628" s="461" t="s">
        <v>170</v>
      </c>
      <c r="AA628" s="460" t="s">
        <v>1218</v>
      </c>
      <c r="AB628" s="561">
        <f>ROUND(75,2)</f>
        <v>75</v>
      </c>
      <c r="AC628" s="460" t="s">
        <v>2678</v>
      </c>
      <c r="AD628" s="460"/>
      <c r="AE628" s="561">
        <f>ROUND(1000,2)</f>
        <v>1000</v>
      </c>
      <c r="AF628" s="460" t="s">
        <v>2679</v>
      </c>
      <c r="AG628" s="561">
        <f t="shared" si="9"/>
        <v>0</v>
      </c>
      <c r="AH628" s="460" t="s">
        <v>2671</v>
      </c>
      <c r="AI628" s="460" t="s">
        <v>1214</v>
      </c>
      <c r="AJ628" s="460" t="s">
        <v>2550</v>
      </c>
      <c r="AK628" s="460" t="s">
        <v>2672</v>
      </c>
      <c r="AL628" s="560" t="s">
        <v>2797</v>
      </c>
      <c r="AM628" s="460" t="s">
        <v>2674</v>
      </c>
    </row>
    <row r="629" spans="1:39" ht="22.8">
      <c r="A629" s="460" t="s">
        <v>1810</v>
      </c>
      <c r="B629" s="460"/>
      <c r="C629" s="460" t="s">
        <v>1457</v>
      </c>
      <c r="D629" s="460" t="s">
        <v>2091</v>
      </c>
      <c r="E629" s="460" t="s">
        <v>1818</v>
      </c>
      <c r="F629" s="460" t="s">
        <v>2015</v>
      </c>
      <c r="G629" s="461" t="s">
        <v>1218</v>
      </c>
      <c r="H629" s="461" t="s">
        <v>174</v>
      </c>
      <c r="I629" s="460" t="s">
        <v>2090</v>
      </c>
      <c r="J629" s="460" t="s">
        <v>1990</v>
      </c>
      <c r="K629" s="460" t="s">
        <v>2669</v>
      </c>
      <c r="L629" s="460" t="s">
        <v>2858</v>
      </c>
      <c r="M629" s="460" t="s">
        <v>2002</v>
      </c>
      <c r="N629" s="460" t="s">
        <v>1981</v>
      </c>
      <c r="O629" s="460" t="s">
        <v>2001</v>
      </c>
      <c r="P629" s="460" t="s">
        <v>1979</v>
      </c>
      <c r="Q629" s="460" t="s">
        <v>1978</v>
      </c>
      <c r="R629" s="460" t="s">
        <v>1977</v>
      </c>
      <c r="S629" s="460" t="s">
        <v>1826</v>
      </c>
      <c r="T629" s="460" t="s">
        <v>1827</v>
      </c>
      <c r="U629" s="461" t="s">
        <v>1976</v>
      </c>
      <c r="V629" s="460" t="s">
        <v>1843</v>
      </c>
      <c r="W629" s="560"/>
      <c r="X629" s="461" t="s">
        <v>1824</v>
      </c>
      <c r="Y629" s="461" t="s">
        <v>1824</v>
      </c>
      <c r="Z629" s="461" t="s">
        <v>170</v>
      </c>
      <c r="AA629" s="460" t="s">
        <v>1218</v>
      </c>
      <c r="AB629" s="561">
        <f>ROUND(603.2,2)</f>
        <v>603.20000000000005</v>
      </c>
      <c r="AC629" s="460" t="s">
        <v>308</v>
      </c>
      <c r="AD629" s="460"/>
      <c r="AE629" s="561">
        <f>ROUND(1528.26,2)</f>
        <v>1528.26</v>
      </c>
      <c r="AF629" s="460" t="s">
        <v>308</v>
      </c>
      <c r="AG629" s="561">
        <f t="shared" si="9"/>
        <v>0</v>
      </c>
      <c r="AH629" s="460" t="s">
        <v>2671</v>
      </c>
      <c r="AI629" s="460" t="s">
        <v>1214</v>
      </c>
      <c r="AJ629" s="460" t="s">
        <v>2549</v>
      </c>
      <c r="AK629" s="460" t="s">
        <v>2672</v>
      </c>
      <c r="AL629" s="560" t="s">
        <v>2702</v>
      </c>
      <c r="AM629" s="460" t="s">
        <v>2674</v>
      </c>
    </row>
    <row r="630" spans="1:39" ht="22.8">
      <c r="A630" s="460" t="s">
        <v>1810</v>
      </c>
      <c r="B630" s="460"/>
      <c r="C630" s="460" t="s">
        <v>1460</v>
      </c>
      <c r="D630" s="460" t="s">
        <v>2089</v>
      </c>
      <c r="E630" s="460" t="s">
        <v>1821</v>
      </c>
      <c r="F630" s="460" t="s">
        <v>1812</v>
      </c>
      <c r="G630" s="461" t="s">
        <v>1218</v>
      </c>
      <c r="H630" s="461" t="s">
        <v>254</v>
      </c>
      <c r="I630" s="460" t="s">
        <v>2088</v>
      </c>
      <c r="J630" s="460" t="s">
        <v>1983</v>
      </c>
      <c r="K630" s="460" t="s">
        <v>2669</v>
      </c>
      <c r="L630" s="460" t="s">
        <v>2714</v>
      </c>
      <c r="M630" s="460" t="s">
        <v>1994</v>
      </c>
      <c r="N630" s="460" t="s">
        <v>1981</v>
      </c>
      <c r="O630" s="460" t="s">
        <v>1980</v>
      </c>
      <c r="P630" s="460" t="s">
        <v>1979</v>
      </c>
      <c r="Q630" s="460" t="s">
        <v>95</v>
      </c>
      <c r="R630" s="460" t="s">
        <v>1977</v>
      </c>
      <c r="S630" s="460" t="s">
        <v>1842</v>
      </c>
      <c r="T630" s="460" t="s">
        <v>1827</v>
      </c>
      <c r="U630" s="461" t="s">
        <v>1976</v>
      </c>
      <c r="V630" s="460" t="s">
        <v>1119</v>
      </c>
      <c r="W630" s="560"/>
      <c r="X630" s="461" t="s">
        <v>1824</v>
      </c>
      <c r="Y630" s="461" t="s">
        <v>2859</v>
      </c>
      <c r="Z630" s="461" t="s">
        <v>170</v>
      </c>
      <c r="AA630" s="460" t="s">
        <v>1218</v>
      </c>
      <c r="AB630" s="561">
        <f>ROUND(0,2)</f>
        <v>0</v>
      </c>
      <c r="AC630" s="460" t="s">
        <v>308</v>
      </c>
      <c r="AD630" s="460"/>
      <c r="AE630" s="561">
        <f>ROUND(36.23,2)</f>
        <v>36.229999999999997</v>
      </c>
      <c r="AF630" s="460" t="s">
        <v>308</v>
      </c>
      <c r="AG630" s="561">
        <f t="shared" si="9"/>
        <v>0</v>
      </c>
      <c r="AH630" s="460" t="s">
        <v>2671</v>
      </c>
      <c r="AI630" s="460" t="s">
        <v>1214</v>
      </c>
      <c r="AJ630" s="460"/>
      <c r="AK630" s="460"/>
      <c r="AL630" s="560"/>
      <c r="AM630" s="460"/>
    </row>
    <row r="631" spans="1:39" ht="22.8">
      <c r="A631" s="460" t="s">
        <v>1810</v>
      </c>
      <c r="B631" s="460"/>
      <c r="C631" s="460" t="s">
        <v>1460</v>
      </c>
      <c r="D631" s="460" t="s">
        <v>2089</v>
      </c>
      <c r="E631" s="460" t="s">
        <v>1821</v>
      </c>
      <c r="F631" s="460" t="s">
        <v>1812</v>
      </c>
      <c r="G631" s="461" t="s">
        <v>1218</v>
      </c>
      <c r="H631" s="461" t="s">
        <v>254</v>
      </c>
      <c r="I631" s="460" t="s">
        <v>2088</v>
      </c>
      <c r="J631" s="460" t="s">
        <v>1983</v>
      </c>
      <c r="K631" s="460" t="s">
        <v>2669</v>
      </c>
      <c r="L631" s="460" t="s">
        <v>2714</v>
      </c>
      <c r="M631" s="460" t="s">
        <v>1994</v>
      </c>
      <c r="N631" s="460" t="s">
        <v>1981</v>
      </c>
      <c r="O631" s="460" t="s">
        <v>1980</v>
      </c>
      <c r="P631" s="460" t="s">
        <v>2675</v>
      </c>
      <c r="Q631" s="460" t="s">
        <v>2676</v>
      </c>
      <c r="R631" s="460" t="s">
        <v>2677</v>
      </c>
      <c r="S631" s="460" t="s">
        <v>2676</v>
      </c>
      <c r="T631" s="460" t="s">
        <v>1827</v>
      </c>
      <c r="U631" s="461" t="s">
        <v>1824</v>
      </c>
      <c r="V631" s="460" t="s">
        <v>1119</v>
      </c>
      <c r="W631" s="560"/>
      <c r="X631" s="461" t="s">
        <v>2729</v>
      </c>
      <c r="Y631" s="461" t="s">
        <v>2729</v>
      </c>
      <c r="Z631" s="461" t="s">
        <v>170</v>
      </c>
      <c r="AA631" s="460" t="s">
        <v>1218</v>
      </c>
      <c r="AB631" s="561">
        <f>ROUND(50,2)</f>
        <v>50</v>
      </c>
      <c r="AC631" s="460" t="s">
        <v>2678</v>
      </c>
      <c r="AD631" s="460"/>
      <c r="AE631" s="561">
        <f>ROUND(500.05,2)</f>
        <v>500.05</v>
      </c>
      <c r="AF631" s="460" t="s">
        <v>2679</v>
      </c>
      <c r="AG631" s="561">
        <f t="shared" si="9"/>
        <v>0</v>
      </c>
      <c r="AH631" s="460" t="s">
        <v>2671</v>
      </c>
      <c r="AI631" s="460" t="s">
        <v>1214</v>
      </c>
      <c r="AJ631" s="460" t="s">
        <v>2550</v>
      </c>
      <c r="AK631" s="460" t="s">
        <v>2672</v>
      </c>
      <c r="AL631" s="560" t="s">
        <v>2690</v>
      </c>
      <c r="AM631" s="460" t="s">
        <v>2674</v>
      </c>
    </row>
    <row r="632" spans="1:39" ht="22.8">
      <c r="A632" s="460" t="s">
        <v>1810</v>
      </c>
      <c r="B632" s="460"/>
      <c r="C632" s="460" t="s">
        <v>1460</v>
      </c>
      <c r="D632" s="460" t="s">
        <v>2089</v>
      </c>
      <c r="E632" s="460" t="s">
        <v>1821</v>
      </c>
      <c r="F632" s="460" t="s">
        <v>1812</v>
      </c>
      <c r="G632" s="461" t="s">
        <v>1218</v>
      </c>
      <c r="H632" s="461" t="s">
        <v>254</v>
      </c>
      <c r="I632" s="460" t="s">
        <v>2088</v>
      </c>
      <c r="J632" s="460" t="s">
        <v>1983</v>
      </c>
      <c r="K632" s="460" t="s">
        <v>2669</v>
      </c>
      <c r="L632" s="460" t="s">
        <v>2714</v>
      </c>
      <c r="M632" s="460" t="s">
        <v>1994</v>
      </c>
      <c r="N632" s="460" t="s">
        <v>1981</v>
      </c>
      <c r="O632" s="460" t="s">
        <v>1980</v>
      </c>
      <c r="P632" s="460" t="s">
        <v>1979</v>
      </c>
      <c r="Q632" s="460" t="s">
        <v>1978</v>
      </c>
      <c r="R632" s="460" t="s">
        <v>1977</v>
      </c>
      <c r="S632" s="460" t="s">
        <v>1826</v>
      </c>
      <c r="T632" s="460" t="s">
        <v>1827</v>
      </c>
      <c r="U632" s="461" t="s">
        <v>1976</v>
      </c>
      <c r="V632" s="460" t="s">
        <v>1119</v>
      </c>
      <c r="W632" s="560"/>
      <c r="X632" s="461" t="s">
        <v>1824</v>
      </c>
      <c r="Y632" s="461" t="s">
        <v>2729</v>
      </c>
      <c r="Z632" s="461" t="s">
        <v>170</v>
      </c>
      <c r="AA632" s="460" t="s">
        <v>1218</v>
      </c>
      <c r="AB632" s="561">
        <f>ROUND(35.03,2)</f>
        <v>35.03</v>
      </c>
      <c r="AC632" s="460" t="s">
        <v>308</v>
      </c>
      <c r="AD632" s="460"/>
      <c r="AE632" s="561">
        <f>ROUND(819.25,2)</f>
        <v>819.25</v>
      </c>
      <c r="AF632" s="460" t="s">
        <v>308</v>
      </c>
      <c r="AG632" s="561">
        <f t="shared" si="9"/>
        <v>0</v>
      </c>
      <c r="AH632" s="460" t="s">
        <v>2671</v>
      </c>
      <c r="AI632" s="460" t="s">
        <v>1214</v>
      </c>
      <c r="AJ632" s="460" t="s">
        <v>2549</v>
      </c>
      <c r="AK632" s="460" t="s">
        <v>2672</v>
      </c>
      <c r="AL632" s="560" t="s">
        <v>2694</v>
      </c>
      <c r="AM632" s="460" t="s">
        <v>2674</v>
      </c>
    </row>
    <row r="633" spans="1:39" ht="22.8">
      <c r="A633" s="460" t="s">
        <v>1810</v>
      </c>
      <c r="B633" s="460"/>
      <c r="C633" s="460" t="s">
        <v>1733</v>
      </c>
      <c r="D633" s="460" t="s">
        <v>2087</v>
      </c>
      <c r="E633" s="460" t="s">
        <v>1814</v>
      </c>
      <c r="F633" s="460" t="s">
        <v>1812</v>
      </c>
      <c r="G633" s="461" t="s">
        <v>1218</v>
      </c>
      <c r="H633" s="461" t="s">
        <v>1849</v>
      </c>
      <c r="I633" s="460" t="s">
        <v>2086</v>
      </c>
      <c r="J633" s="460" t="s">
        <v>1990</v>
      </c>
      <c r="K633" s="460" t="s">
        <v>2669</v>
      </c>
      <c r="L633" s="460" t="s">
        <v>2703</v>
      </c>
      <c r="M633" s="460" t="s">
        <v>1982</v>
      </c>
      <c r="N633" s="460" t="s">
        <v>1981</v>
      </c>
      <c r="O633" s="460" t="s">
        <v>1980</v>
      </c>
      <c r="P633" s="460" t="s">
        <v>1979</v>
      </c>
      <c r="Q633" s="460" t="s">
        <v>95</v>
      </c>
      <c r="R633" s="460" t="s">
        <v>1977</v>
      </c>
      <c r="S633" s="460" t="s">
        <v>1842</v>
      </c>
      <c r="T633" s="460" t="s">
        <v>1827</v>
      </c>
      <c r="U633" s="461" t="s">
        <v>1976</v>
      </c>
      <c r="V633" s="460" t="s">
        <v>1119</v>
      </c>
      <c r="W633" s="560"/>
      <c r="X633" s="461" t="s">
        <v>2061</v>
      </c>
      <c r="Y633" s="461" t="s">
        <v>2061</v>
      </c>
      <c r="Z633" s="461" t="s">
        <v>170</v>
      </c>
      <c r="AA633" s="460" t="s">
        <v>1218</v>
      </c>
      <c r="AB633" s="561">
        <f>ROUND(0,2)</f>
        <v>0</v>
      </c>
      <c r="AC633" s="460" t="s">
        <v>308</v>
      </c>
      <c r="AD633" s="460"/>
      <c r="AE633" s="561">
        <f>ROUND(36.23,2)</f>
        <v>36.229999999999997</v>
      </c>
      <c r="AF633" s="460" t="s">
        <v>308</v>
      </c>
      <c r="AG633" s="561">
        <f t="shared" si="9"/>
        <v>0</v>
      </c>
      <c r="AH633" s="460" t="s">
        <v>2671</v>
      </c>
      <c r="AI633" s="460" t="s">
        <v>1214</v>
      </c>
      <c r="AJ633" s="460"/>
      <c r="AK633" s="460"/>
      <c r="AL633" s="560"/>
      <c r="AM633" s="460"/>
    </row>
    <row r="634" spans="1:39" ht="34.200000000000003">
      <c r="A634" s="460" t="s">
        <v>1810</v>
      </c>
      <c r="B634" s="460"/>
      <c r="C634" s="460" t="s">
        <v>2507</v>
      </c>
      <c r="D634" s="460" t="s">
        <v>2860</v>
      </c>
      <c r="E634" s="460" t="s">
        <v>1829</v>
      </c>
      <c r="F634" s="460" t="s">
        <v>1812</v>
      </c>
      <c r="G634" s="461" t="s">
        <v>1218</v>
      </c>
      <c r="H634" s="461" t="s">
        <v>2840</v>
      </c>
      <c r="I634" s="460" t="s">
        <v>2194</v>
      </c>
      <c r="J634" s="460" t="s">
        <v>1990</v>
      </c>
      <c r="K634" s="460" t="s">
        <v>2669</v>
      </c>
      <c r="L634" s="460" t="s">
        <v>2737</v>
      </c>
      <c r="M634" s="460" t="s">
        <v>2002</v>
      </c>
      <c r="N634" s="460" t="s">
        <v>1986</v>
      </c>
      <c r="O634" s="460" t="s">
        <v>1980</v>
      </c>
      <c r="P634" s="460" t="s">
        <v>1979</v>
      </c>
      <c r="Q634" s="460" t="s">
        <v>95</v>
      </c>
      <c r="R634" s="460" t="s">
        <v>1977</v>
      </c>
      <c r="S634" s="460" t="s">
        <v>1842</v>
      </c>
      <c r="T634" s="460" t="s">
        <v>1827</v>
      </c>
      <c r="U634" s="461" t="s">
        <v>1976</v>
      </c>
      <c r="V634" s="460" t="s">
        <v>1119</v>
      </c>
      <c r="W634" s="560"/>
      <c r="X634" s="461" t="s">
        <v>2773</v>
      </c>
      <c r="Y634" s="461" t="s">
        <v>2773</v>
      </c>
      <c r="Z634" s="461" t="s">
        <v>170</v>
      </c>
      <c r="AA634" s="460" t="s">
        <v>1218</v>
      </c>
      <c r="AB634" s="561">
        <f>ROUND(0,2)</f>
        <v>0</v>
      </c>
      <c r="AC634" s="460" t="s">
        <v>308</v>
      </c>
      <c r="AD634" s="460"/>
      <c r="AE634" s="561">
        <f>ROUND(36.23,2)</f>
        <v>36.229999999999997</v>
      </c>
      <c r="AF634" s="460" t="s">
        <v>308</v>
      </c>
      <c r="AG634" s="561">
        <f t="shared" si="9"/>
        <v>0</v>
      </c>
      <c r="AH634" s="460" t="s">
        <v>2671</v>
      </c>
      <c r="AI634" s="460" t="s">
        <v>1214</v>
      </c>
      <c r="AJ634" s="460"/>
      <c r="AK634" s="460"/>
      <c r="AL634" s="560"/>
      <c r="AM634" s="460"/>
    </row>
    <row r="635" spans="1:39" ht="34.200000000000003">
      <c r="A635" s="460" t="s">
        <v>1810</v>
      </c>
      <c r="B635" s="460"/>
      <c r="C635" s="460" t="s">
        <v>2507</v>
      </c>
      <c r="D635" s="460" t="s">
        <v>2860</v>
      </c>
      <c r="E635" s="460" t="s">
        <v>1829</v>
      </c>
      <c r="F635" s="460" t="s">
        <v>1812</v>
      </c>
      <c r="G635" s="461" t="s">
        <v>1218</v>
      </c>
      <c r="H635" s="461" t="s">
        <v>2840</v>
      </c>
      <c r="I635" s="460" t="s">
        <v>2194</v>
      </c>
      <c r="J635" s="460" t="s">
        <v>1990</v>
      </c>
      <c r="K635" s="460" t="s">
        <v>2669</v>
      </c>
      <c r="L635" s="460" t="s">
        <v>2737</v>
      </c>
      <c r="M635" s="460" t="s">
        <v>2002</v>
      </c>
      <c r="N635" s="460" t="s">
        <v>1986</v>
      </c>
      <c r="O635" s="460" t="s">
        <v>1980</v>
      </c>
      <c r="P635" s="460" t="s">
        <v>2675</v>
      </c>
      <c r="Q635" s="460" t="s">
        <v>2676</v>
      </c>
      <c r="R635" s="460" t="s">
        <v>2677</v>
      </c>
      <c r="S635" s="460" t="s">
        <v>2676</v>
      </c>
      <c r="T635" s="460" t="s">
        <v>1827</v>
      </c>
      <c r="U635" s="461" t="s">
        <v>1824</v>
      </c>
      <c r="V635" s="460" t="s">
        <v>1119</v>
      </c>
      <c r="W635" s="560"/>
      <c r="X635" s="461" t="s">
        <v>2773</v>
      </c>
      <c r="Y635" s="461" t="s">
        <v>2773</v>
      </c>
      <c r="Z635" s="461" t="s">
        <v>170</v>
      </c>
      <c r="AA635" s="460" t="s">
        <v>1218</v>
      </c>
      <c r="AB635" s="561">
        <f>ROUND(25,2)</f>
        <v>25</v>
      </c>
      <c r="AC635" s="460" t="s">
        <v>2678</v>
      </c>
      <c r="AD635" s="460"/>
      <c r="AE635" s="561">
        <f>ROUND(500.05,2)</f>
        <v>500.05</v>
      </c>
      <c r="AF635" s="460" t="s">
        <v>2679</v>
      </c>
      <c r="AG635" s="561">
        <f t="shared" si="9"/>
        <v>0</v>
      </c>
      <c r="AH635" s="460" t="s">
        <v>2671</v>
      </c>
      <c r="AI635" s="460" t="s">
        <v>1214</v>
      </c>
      <c r="AJ635" s="460" t="s">
        <v>2550</v>
      </c>
      <c r="AK635" s="460" t="s">
        <v>2672</v>
      </c>
      <c r="AL635" s="560" t="s">
        <v>2680</v>
      </c>
      <c r="AM635" s="460" t="s">
        <v>2674</v>
      </c>
    </row>
    <row r="636" spans="1:39" ht="22.8">
      <c r="A636" s="460" t="s">
        <v>1810</v>
      </c>
      <c r="B636" s="460"/>
      <c r="C636" s="460" t="s">
        <v>1733</v>
      </c>
      <c r="D636" s="460" t="s">
        <v>2087</v>
      </c>
      <c r="E636" s="460" t="s">
        <v>1814</v>
      </c>
      <c r="F636" s="460" t="s">
        <v>1812</v>
      </c>
      <c r="G636" s="461" t="s">
        <v>1218</v>
      </c>
      <c r="H636" s="461" t="s">
        <v>1849</v>
      </c>
      <c r="I636" s="460" t="s">
        <v>2086</v>
      </c>
      <c r="J636" s="460" t="s">
        <v>1990</v>
      </c>
      <c r="K636" s="460" t="s">
        <v>2669</v>
      </c>
      <c r="L636" s="460" t="s">
        <v>2703</v>
      </c>
      <c r="M636" s="460" t="s">
        <v>1982</v>
      </c>
      <c r="N636" s="460" t="s">
        <v>1981</v>
      </c>
      <c r="O636" s="460" t="s">
        <v>1980</v>
      </c>
      <c r="P636" s="460" t="s">
        <v>2675</v>
      </c>
      <c r="Q636" s="460" t="s">
        <v>2676</v>
      </c>
      <c r="R636" s="460" t="s">
        <v>2677</v>
      </c>
      <c r="S636" s="460" t="s">
        <v>2676</v>
      </c>
      <c r="T636" s="460" t="s">
        <v>1827</v>
      </c>
      <c r="U636" s="461" t="s">
        <v>1824</v>
      </c>
      <c r="V636" s="460" t="s">
        <v>1119</v>
      </c>
      <c r="W636" s="560"/>
      <c r="X636" s="461" t="s">
        <v>2061</v>
      </c>
      <c r="Y636" s="461" t="s">
        <v>2061</v>
      </c>
      <c r="Z636" s="461" t="s">
        <v>170</v>
      </c>
      <c r="AA636" s="460" t="s">
        <v>1218</v>
      </c>
      <c r="AB636" s="561">
        <f>ROUND(10,2)</f>
        <v>10</v>
      </c>
      <c r="AC636" s="460" t="s">
        <v>2678</v>
      </c>
      <c r="AD636" s="460"/>
      <c r="AE636" s="561">
        <f>ROUND(500.05,2)</f>
        <v>500.05</v>
      </c>
      <c r="AF636" s="460" t="s">
        <v>2679</v>
      </c>
      <c r="AG636" s="561">
        <f t="shared" si="9"/>
        <v>0</v>
      </c>
      <c r="AH636" s="460" t="s">
        <v>2671</v>
      </c>
      <c r="AI636" s="460" t="s">
        <v>1214</v>
      </c>
      <c r="AJ636" s="460" t="s">
        <v>2550</v>
      </c>
      <c r="AK636" s="460" t="s">
        <v>2672</v>
      </c>
      <c r="AL636" s="560" t="s">
        <v>2725</v>
      </c>
      <c r="AM636" s="460" t="s">
        <v>2674</v>
      </c>
    </row>
    <row r="637" spans="1:39" ht="22.8">
      <c r="A637" s="460" t="s">
        <v>1810</v>
      </c>
      <c r="B637" s="460"/>
      <c r="C637" s="460" t="s">
        <v>1733</v>
      </c>
      <c r="D637" s="460" t="s">
        <v>2087</v>
      </c>
      <c r="E637" s="460" t="s">
        <v>1814</v>
      </c>
      <c r="F637" s="460" t="s">
        <v>1812</v>
      </c>
      <c r="G637" s="461" t="s">
        <v>1218</v>
      </c>
      <c r="H637" s="461" t="s">
        <v>1849</v>
      </c>
      <c r="I637" s="460" t="s">
        <v>2086</v>
      </c>
      <c r="J637" s="460" t="s">
        <v>1990</v>
      </c>
      <c r="K637" s="460" t="s">
        <v>2669</v>
      </c>
      <c r="L637" s="460" t="s">
        <v>2703</v>
      </c>
      <c r="M637" s="460" t="s">
        <v>1982</v>
      </c>
      <c r="N637" s="460" t="s">
        <v>1981</v>
      </c>
      <c r="O637" s="460" t="s">
        <v>1980</v>
      </c>
      <c r="P637" s="460" t="s">
        <v>1979</v>
      </c>
      <c r="Q637" s="460" t="s">
        <v>1978</v>
      </c>
      <c r="R637" s="460" t="s">
        <v>1977</v>
      </c>
      <c r="S637" s="460" t="s">
        <v>1826</v>
      </c>
      <c r="T637" s="460" t="s">
        <v>1827</v>
      </c>
      <c r="U637" s="461" t="s">
        <v>1976</v>
      </c>
      <c r="V637" s="460" t="s">
        <v>1119</v>
      </c>
      <c r="W637" s="560"/>
      <c r="X637" s="461" t="s">
        <v>2061</v>
      </c>
      <c r="Y637" s="461" t="s">
        <v>2061</v>
      </c>
      <c r="Z637" s="461" t="s">
        <v>170</v>
      </c>
      <c r="AA637" s="460" t="s">
        <v>1218</v>
      </c>
      <c r="AB637" s="561">
        <f>ROUND(29.05,2)</f>
        <v>29.05</v>
      </c>
      <c r="AC637" s="460" t="s">
        <v>308</v>
      </c>
      <c r="AD637" s="460"/>
      <c r="AE637" s="561">
        <f>ROUND(825.23,2)</f>
        <v>825.23</v>
      </c>
      <c r="AF637" s="460" t="s">
        <v>308</v>
      </c>
      <c r="AG637" s="561">
        <f t="shared" si="9"/>
        <v>0</v>
      </c>
      <c r="AH637" s="460" t="s">
        <v>2671</v>
      </c>
      <c r="AI637" s="460" t="s">
        <v>1214</v>
      </c>
      <c r="AJ637" s="460" t="s">
        <v>2549</v>
      </c>
      <c r="AK637" s="460" t="s">
        <v>2672</v>
      </c>
      <c r="AL637" s="560" t="s">
        <v>2692</v>
      </c>
      <c r="AM637" s="460" t="s">
        <v>2674</v>
      </c>
    </row>
    <row r="638" spans="1:39" ht="34.200000000000003">
      <c r="A638" s="460" t="s">
        <v>1810</v>
      </c>
      <c r="B638" s="460"/>
      <c r="C638" s="460" t="s">
        <v>2507</v>
      </c>
      <c r="D638" s="460" t="s">
        <v>2860</v>
      </c>
      <c r="E638" s="460" t="s">
        <v>1829</v>
      </c>
      <c r="F638" s="460" t="s">
        <v>1812</v>
      </c>
      <c r="G638" s="461" t="s">
        <v>1218</v>
      </c>
      <c r="H638" s="461" t="s">
        <v>2840</v>
      </c>
      <c r="I638" s="460" t="s">
        <v>2194</v>
      </c>
      <c r="J638" s="460" t="s">
        <v>1990</v>
      </c>
      <c r="K638" s="460" t="s">
        <v>2669</v>
      </c>
      <c r="L638" s="460" t="s">
        <v>2737</v>
      </c>
      <c r="M638" s="460" t="s">
        <v>2002</v>
      </c>
      <c r="N638" s="460" t="s">
        <v>1986</v>
      </c>
      <c r="O638" s="460" t="s">
        <v>1980</v>
      </c>
      <c r="P638" s="460" t="s">
        <v>1979</v>
      </c>
      <c r="Q638" s="460" t="s">
        <v>1978</v>
      </c>
      <c r="R638" s="460" t="s">
        <v>1977</v>
      </c>
      <c r="S638" s="460" t="s">
        <v>1826</v>
      </c>
      <c r="T638" s="460" t="s">
        <v>1827</v>
      </c>
      <c r="U638" s="461" t="s">
        <v>1976</v>
      </c>
      <c r="V638" s="460" t="s">
        <v>1119</v>
      </c>
      <c r="W638" s="560"/>
      <c r="X638" s="461" t="s">
        <v>2773</v>
      </c>
      <c r="Y638" s="461" t="s">
        <v>2773</v>
      </c>
      <c r="Z638" s="461" t="s">
        <v>170</v>
      </c>
      <c r="AA638" s="460" t="s">
        <v>1218</v>
      </c>
      <c r="AB638" s="561">
        <f>ROUND(25.63,2)</f>
        <v>25.63</v>
      </c>
      <c r="AC638" s="460" t="s">
        <v>308</v>
      </c>
      <c r="AD638" s="460"/>
      <c r="AE638" s="561">
        <f>ROUND(828.65,2)</f>
        <v>828.65</v>
      </c>
      <c r="AF638" s="460" t="s">
        <v>308</v>
      </c>
      <c r="AG638" s="561">
        <f t="shared" si="9"/>
        <v>0</v>
      </c>
      <c r="AH638" s="460" t="s">
        <v>2671</v>
      </c>
      <c r="AI638" s="460" t="s">
        <v>1214</v>
      </c>
      <c r="AJ638" s="460" t="s">
        <v>2549</v>
      </c>
      <c r="AK638" s="460" t="s">
        <v>2672</v>
      </c>
      <c r="AL638" s="560" t="s">
        <v>2685</v>
      </c>
      <c r="AM638" s="460" t="s">
        <v>2674</v>
      </c>
    </row>
    <row r="639" spans="1:39" ht="22.8">
      <c r="A639" s="460" t="s">
        <v>1810</v>
      </c>
      <c r="B639" s="460"/>
      <c r="C639" s="460" t="s">
        <v>1741</v>
      </c>
      <c r="D639" s="460" t="s">
        <v>2085</v>
      </c>
      <c r="E639" s="460" t="s">
        <v>1814</v>
      </c>
      <c r="F639" s="460" t="s">
        <v>1812</v>
      </c>
      <c r="G639" s="461" t="s">
        <v>1218</v>
      </c>
      <c r="H639" s="461" t="s">
        <v>1847</v>
      </c>
      <c r="I639" s="460" t="s">
        <v>2084</v>
      </c>
      <c r="J639" s="460" t="s">
        <v>1983</v>
      </c>
      <c r="K639" s="460" t="s">
        <v>2669</v>
      </c>
      <c r="L639" s="460" t="s">
        <v>2703</v>
      </c>
      <c r="M639" s="460" t="s">
        <v>1982</v>
      </c>
      <c r="N639" s="460" t="s">
        <v>1981</v>
      </c>
      <c r="O639" s="460" t="s">
        <v>1980</v>
      </c>
      <c r="P639" s="460" t="s">
        <v>1979</v>
      </c>
      <c r="Q639" s="460" t="s">
        <v>95</v>
      </c>
      <c r="R639" s="460" t="s">
        <v>1977</v>
      </c>
      <c r="S639" s="460" t="s">
        <v>1842</v>
      </c>
      <c r="T639" s="460" t="s">
        <v>1827</v>
      </c>
      <c r="U639" s="461" t="s">
        <v>1976</v>
      </c>
      <c r="V639" s="460" t="s">
        <v>1119</v>
      </c>
      <c r="W639" s="560"/>
      <c r="X639" s="461" t="s">
        <v>2083</v>
      </c>
      <c r="Y639" s="461" t="s">
        <v>2083</v>
      </c>
      <c r="Z639" s="461" t="s">
        <v>170</v>
      </c>
      <c r="AA639" s="460" t="s">
        <v>1218</v>
      </c>
      <c r="AB639" s="561">
        <f>ROUND(0,2)</f>
        <v>0</v>
      </c>
      <c r="AC639" s="460" t="s">
        <v>308</v>
      </c>
      <c r="AD639" s="460"/>
      <c r="AE639" s="561">
        <f>ROUND(36.23,2)</f>
        <v>36.229999999999997</v>
      </c>
      <c r="AF639" s="460" t="s">
        <v>308</v>
      </c>
      <c r="AG639" s="561">
        <f t="shared" si="9"/>
        <v>0</v>
      </c>
      <c r="AH639" s="460" t="s">
        <v>2671</v>
      </c>
      <c r="AI639" s="460" t="s">
        <v>1214</v>
      </c>
      <c r="AJ639" s="460"/>
      <c r="AK639" s="460"/>
      <c r="AL639" s="560"/>
      <c r="AM639" s="460"/>
    </row>
    <row r="640" spans="1:39" ht="22.8">
      <c r="A640" s="460" t="s">
        <v>1810</v>
      </c>
      <c r="B640" s="460"/>
      <c r="C640" s="460" t="s">
        <v>1741</v>
      </c>
      <c r="D640" s="460" t="s">
        <v>2085</v>
      </c>
      <c r="E640" s="460" t="s">
        <v>1814</v>
      </c>
      <c r="F640" s="460" t="s">
        <v>1812</v>
      </c>
      <c r="G640" s="461" t="s">
        <v>1218</v>
      </c>
      <c r="H640" s="461" t="s">
        <v>1847</v>
      </c>
      <c r="I640" s="460" t="s">
        <v>2084</v>
      </c>
      <c r="J640" s="460" t="s">
        <v>1983</v>
      </c>
      <c r="K640" s="460" t="s">
        <v>2669</v>
      </c>
      <c r="L640" s="460" t="s">
        <v>2703</v>
      </c>
      <c r="M640" s="460" t="s">
        <v>1982</v>
      </c>
      <c r="N640" s="460" t="s">
        <v>1981</v>
      </c>
      <c r="O640" s="460" t="s">
        <v>1980</v>
      </c>
      <c r="P640" s="460" t="s">
        <v>2675</v>
      </c>
      <c r="Q640" s="460" t="s">
        <v>2676</v>
      </c>
      <c r="R640" s="460" t="s">
        <v>2677</v>
      </c>
      <c r="S640" s="460" t="s">
        <v>2676</v>
      </c>
      <c r="T640" s="460" t="s">
        <v>1827</v>
      </c>
      <c r="U640" s="461" t="s">
        <v>1824</v>
      </c>
      <c r="V640" s="460" t="s">
        <v>1119</v>
      </c>
      <c r="W640" s="560"/>
      <c r="X640" s="461" t="s">
        <v>2083</v>
      </c>
      <c r="Y640" s="461" t="s">
        <v>2083</v>
      </c>
      <c r="Z640" s="461" t="s">
        <v>170</v>
      </c>
      <c r="AA640" s="460" t="s">
        <v>1218</v>
      </c>
      <c r="AB640" s="561">
        <f>ROUND(50,2)</f>
        <v>50</v>
      </c>
      <c r="AC640" s="460" t="s">
        <v>2678</v>
      </c>
      <c r="AD640" s="460"/>
      <c r="AE640" s="561">
        <f>ROUND(500.05,2)</f>
        <v>500.05</v>
      </c>
      <c r="AF640" s="460" t="s">
        <v>2679</v>
      </c>
      <c r="AG640" s="561">
        <f t="shared" si="9"/>
        <v>0</v>
      </c>
      <c r="AH640" s="460" t="s">
        <v>2671</v>
      </c>
      <c r="AI640" s="460" t="s">
        <v>1214</v>
      </c>
      <c r="AJ640" s="460" t="s">
        <v>2550</v>
      </c>
      <c r="AK640" s="460" t="s">
        <v>2672</v>
      </c>
      <c r="AL640" s="560" t="s">
        <v>2690</v>
      </c>
      <c r="AM640" s="460" t="s">
        <v>2674</v>
      </c>
    </row>
    <row r="641" spans="1:39" ht="22.8">
      <c r="A641" s="460" t="s">
        <v>1810</v>
      </c>
      <c r="B641" s="460"/>
      <c r="C641" s="460" t="s">
        <v>1741</v>
      </c>
      <c r="D641" s="460" t="s">
        <v>2085</v>
      </c>
      <c r="E641" s="460" t="s">
        <v>1814</v>
      </c>
      <c r="F641" s="460" t="s">
        <v>1812</v>
      </c>
      <c r="G641" s="461" t="s">
        <v>1218</v>
      </c>
      <c r="H641" s="461" t="s">
        <v>1847</v>
      </c>
      <c r="I641" s="460" t="s">
        <v>2084</v>
      </c>
      <c r="J641" s="460" t="s">
        <v>1983</v>
      </c>
      <c r="K641" s="460" t="s">
        <v>2669</v>
      </c>
      <c r="L641" s="460" t="s">
        <v>2703</v>
      </c>
      <c r="M641" s="460" t="s">
        <v>1982</v>
      </c>
      <c r="N641" s="460" t="s">
        <v>1981</v>
      </c>
      <c r="O641" s="460" t="s">
        <v>1980</v>
      </c>
      <c r="P641" s="460" t="s">
        <v>1979</v>
      </c>
      <c r="Q641" s="460" t="s">
        <v>1978</v>
      </c>
      <c r="R641" s="460" t="s">
        <v>1977</v>
      </c>
      <c r="S641" s="460" t="s">
        <v>1826</v>
      </c>
      <c r="T641" s="460" t="s">
        <v>1827</v>
      </c>
      <c r="U641" s="461" t="s">
        <v>1976</v>
      </c>
      <c r="V641" s="460" t="s">
        <v>1119</v>
      </c>
      <c r="W641" s="560"/>
      <c r="X641" s="461" t="s">
        <v>2083</v>
      </c>
      <c r="Y641" s="461" t="s">
        <v>2083</v>
      </c>
      <c r="Z641" s="461" t="s">
        <v>170</v>
      </c>
      <c r="AA641" s="460" t="s">
        <v>1218</v>
      </c>
      <c r="AB641" s="561">
        <f>ROUND(29.05,2)</f>
        <v>29.05</v>
      </c>
      <c r="AC641" s="460" t="s">
        <v>308</v>
      </c>
      <c r="AD641" s="460"/>
      <c r="AE641" s="561">
        <f>ROUND(825.23,2)</f>
        <v>825.23</v>
      </c>
      <c r="AF641" s="460" t="s">
        <v>308</v>
      </c>
      <c r="AG641" s="561">
        <f t="shared" si="9"/>
        <v>0</v>
      </c>
      <c r="AH641" s="460" t="s">
        <v>2671</v>
      </c>
      <c r="AI641" s="460" t="s">
        <v>1214</v>
      </c>
      <c r="AJ641" s="460" t="s">
        <v>2549</v>
      </c>
      <c r="AK641" s="460" t="s">
        <v>2672</v>
      </c>
      <c r="AL641" s="560" t="s">
        <v>2692</v>
      </c>
      <c r="AM641" s="460" t="s">
        <v>2674</v>
      </c>
    </row>
    <row r="642" spans="1:39" ht="22.8">
      <c r="A642" s="460" t="s">
        <v>1810</v>
      </c>
      <c r="B642" s="460"/>
      <c r="C642" s="460" t="s">
        <v>1646</v>
      </c>
      <c r="D642" s="460" t="s">
        <v>2082</v>
      </c>
      <c r="E642" s="460" t="s">
        <v>1816</v>
      </c>
      <c r="F642" s="460" t="s">
        <v>1812</v>
      </c>
      <c r="G642" s="461" t="s">
        <v>1218</v>
      </c>
      <c r="H642" s="461" t="s">
        <v>1023</v>
      </c>
      <c r="I642" s="460" t="s">
        <v>2081</v>
      </c>
      <c r="J642" s="460" t="s">
        <v>1990</v>
      </c>
      <c r="K642" s="460" t="s">
        <v>2669</v>
      </c>
      <c r="L642" s="460" t="s">
        <v>2716</v>
      </c>
      <c r="M642" s="460" t="s">
        <v>2022</v>
      </c>
      <c r="N642" s="460" t="s">
        <v>2021</v>
      </c>
      <c r="O642" s="460" t="s">
        <v>2001</v>
      </c>
      <c r="P642" s="460" t="s">
        <v>1979</v>
      </c>
      <c r="Q642" s="460" t="s">
        <v>95</v>
      </c>
      <c r="R642" s="460" t="s">
        <v>1977</v>
      </c>
      <c r="S642" s="460" t="s">
        <v>1842</v>
      </c>
      <c r="T642" s="460" t="s">
        <v>1827</v>
      </c>
      <c r="U642" s="461" t="s">
        <v>1976</v>
      </c>
      <c r="V642" s="460" t="s">
        <v>1119</v>
      </c>
      <c r="W642" s="560"/>
      <c r="X642" s="461" t="s">
        <v>1824</v>
      </c>
      <c r="Y642" s="461" t="s">
        <v>1824</v>
      </c>
      <c r="Z642" s="461" t="s">
        <v>170</v>
      </c>
      <c r="AA642" s="460" t="s">
        <v>1218</v>
      </c>
      <c r="AB642" s="561">
        <f>ROUND(0,2)</f>
        <v>0</v>
      </c>
      <c r="AC642" s="460" t="s">
        <v>308</v>
      </c>
      <c r="AD642" s="460"/>
      <c r="AE642" s="561">
        <f>ROUND(36.23,2)</f>
        <v>36.229999999999997</v>
      </c>
      <c r="AF642" s="460" t="s">
        <v>308</v>
      </c>
      <c r="AG642" s="561">
        <f t="shared" si="9"/>
        <v>0</v>
      </c>
      <c r="AH642" s="460" t="s">
        <v>2671</v>
      </c>
      <c r="AI642" s="460" t="s">
        <v>1214</v>
      </c>
      <c r="AJ642" s="460"/>
      <c r="AK642" s="460"/>
      <c r="AL642" s="560"/>
      <c r="AM642" s="460"/>
    </row>
    <row r="643" spans="1:39" ht="22.8">
      <c r="A643" s="460" t="s">
        <v>1810</v>
      </c>
      <c r="B643" s="460"/>
      <c r="C643" s="460" t="s">
        <v>1646</v>
      </c>
      <c r="D643" s="460" t="s">
        <v>2082</v>
      </c>
      <c r="E643" s="460" t="s">
        <v>1816</v>
      </c>
      <c r="F643" s="460" t="s">
        <v>1812</v>
      </c>
      <c r="G643" s="461" t="s">
        <v>1218</v>
      </c>
      <c r="H643" s="461" t="s">
        <v>1023</v>
      </c>
      <c r="I643" s="460" t="s">
        <v>2081</v>
      </c>
      <c r="J643" s="460" t="s">
        <v>1990</v>
      </c>
      <c r="K643" s="460" t="s">
        <v>2669</v>
      </c>
      <c r="L643" s="460" t="s">
        <v>2716</v>
      </c>
      <c r="M643" s="460" t="s">
        <v>2022</v>
      </c>
      <c r="N643" s="460" t="s">
        <v>2021</v>
      </c>
      <c r="O643" s="460" t="s">
        <v>2001</v>
      </c>
      <c r="P643" s="460" t="s">
        <v>2675</v>
      </c>
      <c r="Q643" s="460" t="s">
        <v>2676</v>
      </c>
      <c r="R643" s="460" t="s">
        <v>2677</v>
      </c>
      <c r="S643" s="460" t="s">
        <v>2676</v>
      </c>
      <c r="T643" s="460" t="s">
        <v>1827</v>
      </c>
      <c r="U643" s="461" t="s">
        <v>1824</v>
      </c>
      <c r="V643" s="460" t="s">
        <v>1119</v>
      </c>
      <c r="W643" s="560"/>
      <c r="X643" s="461" t="s">
        <v>1824</v>
      </c>
      <c r="Y643" s="461" t="s">
        <v>1824</v>
      </c>
      <c r="Z643" s="461" t="s">
        <v>170</v>
      </c>
      <c r="AA643" s="460" t="s">
        <v>1218</v>
      </c>
      <c r="AB643" s="561">
        <f>ROUND(129.17,2)</f>
        <v>129.16999999999999</v>
      </c>
      <c r="AC643" s="460" t="s">
        <v>2678</v>
      </c>
      <c r="AD643" s="460"/>
      <c r="AE643" s="561">
        <f>ROUND(500.05,2)</f>
        <v>500.05</v>
      </c>
      <c r="AF643" s="460" t="s">
        <v>2679</v>
      </c>
      <c r="AG643" s="561">
        <f t="shared" si="9"/>
        <v>0</v>
      </c>
      <c r="AH643" s="460" t="s">
        <v>2671</v>
      </c>
      <c r="AI643" s="460" t="s">
        <v>1214</v>
      </c>
      <c r="AJ643" s="460" t="s">
        <v>2550</v>
      </c>
      <c r="AK643" s="460" t="s">
        <v>2672</v>
      </c>
      <c r="AL643" s="560" t="s">
        <v>2861</v>
      </c>
      <c r="AM643" s="460" t="s">
        <v>2674</v>
      </c>
    </row>
    <row r="644" spans="1:39" ht="22.8">
      <c r="A644" s="460" t="s">
        <v>1810</v>
      </c>
      <c r="B644" s="460"/>
      <c r="C644" s="460" t="s">
        <v>1646</v>
      </c>
      <c r="D644" s="460" t="s">
        <v>2082</v>
      </c>
      <c r="E644" s="460" t="s">
        <v>1816</v>
      </c>
      <c r="F644" s="460" t="s">
        <v>1812</v>
      </c>
      <c r="G644" s="461" t="s">
        <v>1218</v>
      </c>
      <c r="H644" s="461" t="s">
        <v>1023</v>
      </c>
      <c r="I644" s="460" t="s">
        <v>2081</v>
      </c>
      <c r="J644" s="460" t="s">
        <v>1990</v>
      </c>
      <c r="K644" s="460" t="s">
        <v>2669</v>
      </c>
      <c r="L644" s="460" t="s">
        <v>2716</v>
      </c>
      <c r="M644" s="460" t="s">
        <v>2022</v>
      </c>
      <c r="N644" s="460" t="s">
        <v>2021</v>
      </c>
      <c r="O644" s="460" t="s">
        <v>2001</v>
      </c>
      <c r="P644" s="460" t="s">
        <v>1979</v>
      </c>
      <c r="Q644" s="460" t="s">
        <v>1978</v>
      </c>
      <c r="R644" s="460" t="s">
        <v>1977</v>
      </c>
      <c r="S644" s="460" t="s">
        <v>1826</v>
      </c>
      <c r="T644" s="460" t="s">
        <v>1827</v>
      </c>
      <c r="U644" s="461" t="s">
        <v>1976</v>
      </c>
      <c r="V644" s="460" t="s">
        <v>1119</v>
      </c>
      <c r="W644" s="560"/>
      <c r="X644" s="461" t="s">
        <v>1824</v>
      </c>
      <c r="Y644" s="461" t="s">
        <v>1824</v>
      </c>
      <c r="Z644" s="461" t="s">
        <v>170</v>
      </c>
      <c r="AA644" s="460" t="s">
        <v>1218</v>
      </c>
      <c r="AB644" s="561">
        <f>ROUND(29.05,2)</f>
        <v>29.05</v>
      </c>
      <c r="AC644" s="460" t="s">
        <v>308</v>
      </c>
      <c r="AD644" s="460"/>
      <c r="AE644" s="561">
        <f>ROUND(825.23,2)</f>
        <v>825.23</v>
      </c>
      <c r="AF644" s="460" t="s">
        <v>308</v>
      </c>
      <c r="AG644" s="561">
        <f t="shared" si="9"/>
        <v>0</v>
      </c>
      <c r="AH644" s="460" t="s">
        <v>2671</v>
      </c>
      <c r="AI644" s="460" t="s">
        <v>1214</v>
      </c>
      <c r="AJ644" s="460" t="s">
        <v>2549</v>
      </c>
      <c r="AK644" s="460" t="s">
        <v>2672</v>
      </c>
      <c r="AL644" s="560" t="s">
        <v>2692</v>
      </c>
      <c r="AM644" s="460" t="s">
        <v>2674</v>
      </c>
    </row>
    <row r="645" spans="1:39" ht="34.200000000000003">
      <c r="A645" s="460" t="s">
        <v>1810</v>
      </c>
      <c r="B645" s="460"/>
      <c r="C645" s="460" t="s">
        <v>2421</v>
      </c>
      <c r="D645" s="460" t="s">
        <v>2862</v>
      </c>
      <c r="E645" s="460" t="s">
        <v>1829</v>
      </c>
      <c r="F645" s="460" t="s">
        <v>1812</v>
      </c>
      <c r="G645" s="461" t="s">
        <v>1218</v>
      </c>
      <c r="H645" s="461" t="s">
        <v>2983</v>
      </c>
      <c r="I645" s="460" t="s">
        <v>2863</v>
      </c>
      <c r="J645" s="460" t="s">
        <v>1990</v>
      </c>
      <c r="K645" s="460" t="s">
        <v>2669</v>
      </c>
      <c r="L645" s="460" t="s">
        <v>2737</v>
      </c>
      <c r="M645" s="460" t="s">
        <v>2002</v>
      </c>
      <c r="N645" s="460" t="s">
        <v>1986</v>
      </c>
      <c r="O645" s="460" t="s">
        <v>1980</v>
      </c>
      <c r="P645" s="460" t="s">
        <v>1979</v>
      </c>
      <c r="Q645" s="460" t="s">
        <v>95</v>
      </c>
      <c r="R645" s="460" t="s">
        <v>1977</v>
      </c>
      <c r="S645" s="460" t="s">
        <v>1842</v>
      </c>
      <c r="T645" s="460" t="s">
        <v>1827</v>
      </c>
      <c r="U645" s="461" t="s">
        <v>1976</v>
      </c>
      <c r="V645" s="460" t="s">
        <v>1967</v>
      </c>
      <c r="W645" s="560"/>
      <c r="X645" s="461" t="s">
        <v>2738</v>
      </c>
      <c r="Y645" s="461" t="s">
        <v>2738</v>
      </c>
      <c r="Z645" s="461" t="s">
        <v>170</v>
      </c>
      <c r="AA645" s="460" t="s">
        <v>1218</v>
      </c>
      <c r="AB645" s="561">
        <f>ROUND(30.41,2)</f>
        <v>30.41</v>
      </c>
      <c r="AC645" s="460" t="s">
        <v>308</v>
      </c>
      <c r="AD645" s="460"/>
      <c r="AE645" s="561">
        <f>ROUND(70.29,2)</f>
        <v>70.290000000000006</v>
      </c>
      <c r="AF645" s="460" t="s">
        <v>308</v>
      </c>
      <c r="AG645" s="561">
        <f t="shared" si="9"/>
        <v>0</v>
      </c>
      <c r="AH645" s="460" t="s">
        <v>2671</v>
      </c>
      <c r="AI645" s="460" t="s">
        <v>1214</v>
      </c>
      <c r="AJ645" s="460" t="s">
        <v>2548</v>
      </c>
      <c r="AK645" s="460" t="s">
        <v>2672</v>
      </c>
      <c r="AL645" s="560" t="s">
        <v>2673</v>
      </c>
      <c r="AM645" s="460" t="s">
        <v>2674</v>
      </c>
    </row>
    <row r="646" spans="1:39" ht="34.200000000000003">
      <c r="A646" s="460" t="s">
        <v>1810</v>
      </c>
      <c r="B646" s="460"/>
      <c r="C646" s="460" t="s">
        <v>2421</v>
      </c>
      <c r="D646" s="460" t="s">
        <v>2862</v>
      </c>
      <c r="E646" s="460" t="s">
        <v>1829</v>
      </c>
      <c r="F646" s="460" t="s">
        <v>1812</v>
      </c>
      <c r="G646" s="461" t="s">
        <v>1218</v>
      </c>
      <c r="H646" s="461" t="s">
        <v>2983</v>
      </c>
      <c r="I646" s="460" t="s">
        <v>2863</v>
      </c>
      <c r="J646" s="460" t="s">
        <v>1990</v>
      </c>
      <c r="K646" s="460" t="s">
        <v>2669</v>
      </c>
      <c r="L646" s="460" t="s">
        <v>2737</v>
      </c>
      <c r="M646" s="460" t="s">
        <v>2002</v>
      </c>
      <c r="N646" s="460" t="s">
        <v>1986</v>
      </c>
      <c r="O646" s="460" t="s">
        <v>1980</v>
      </c>
      <c r="P646" s="460" t="s">
        <v>2675</v>
      </c>
      <c r="Q646" s="460" t="s">
        <v>2676</v>
      </c>
      <c r="R646" s="460" t="s">
        <v>2677</v>
      </c>
      <c r="S646" s="460" t="s">
        <v>2676</v>
      </c>
      <c r="T646" s="460" t="s">
        <v>1827</v>
      </c>
      <c r="U646" s="461" t="s">
        <v>1824</v>
      </c>
      <c r="V646" s="460" t="s">
        <v>1843</v>
      </c>
      <c r="W646" s="560"/>
      <c r="X646" s="461" t="s">
        <v>2738</v>
      </c>
      <c r="Y646" s="461" t="s">
        <v>2738</v>
      </c>
      <c r="Z646" s="461" t="s">
        <v>170</v>
      </c>
      <c r="AA646" s="460" t="s">
        <v>1218</v>
      </c>
      <c r="AB646" s="561">
        <f>ROUND(5,2)</f>
        <v>5</v>
      </c>
      <c r="AC646" s="460" t="s">
        <v>2678</v>
      </c>
      <c r="AD646" s="460"/>
      <c r="AE646" s="561">
        <f>ROUND(1000,2)</f>
        <v>1000</v>
      </c>
      <c r="AF646" s="460" t="s">
        <v>2679</v>
      </c>
      <c r="AG646" s="561">
        <f t="shared" si="9"/>
        <v>0</v>
      </c>
      <c r="AH646" s="460" t="s">
        <v>2671</v>
      </c>
      <c r="AI646" s="460" t="s">
        <v>1214</v>
      </c>
      <c r="AJ646" s="460" t="s">
        <v>2550</v>
      </c>
      <c r="AK646" s="460" t="s">
        <v>2672</v>
      </c>
      <c r="AL646" s="560" t="s">
        <v>2713</v>
      </c>
      <c r="AM646" s="460" t="s">
        <v>2674</v>
      </c>
    </row>
    <row r="647" spans="1:39" ht="34.200000000000003">
      <c r="A647" s="460" t="s">
        <v>1810</v>
      </c>
      <c r="B647" s="460"/>
      <c r="C647" s="460" t="s">
        <v>2421</v>
      </c>
      <c r="D647" s="460" t="s">
        <v>2862</v>
      </c>
      <c r="E647" s="460" t="s">
        <v>1829</v>
      </c>
      <c r="F647" s="460" t="s">
        <v>1812</v>
      </c>
      <c r="G647" s="461" t="s">
        <v>1218</v>
      </c>
      <c r="H647" s="461" t="s">
        <v>2983</v>
      </c>
      <c r="I647" s="460" t="s">
        <v>2863</v>
      </c>
      <c r="J647" s="460" t="s">
        <v>1990</v>
      </c>
      <c r="K647" s="460" t="s">
        <v>2669</v>
      </c>
      <c r="L647" s="460" t="s">
        <v>2737</v>
      </c>
      <c r="M647" s="460" t="s">
        <v>2002</v>
      </c>
      <c r="N647" s="460" t="s">
        <v>1986</v>
      </c>
      <c r="O647" s="460" t="s">
        <v>1980</v>
      </c>
      <c r="P647" s="460" t="s">
        <v>1979</v>
      </c>
      <c r="Q647" s="460" t="s">
        <v>1978</v>
      </c>
      <c r="R647" s="460" t="s">
        <v>1977</v>
      </c>
      <c r="S647" s="460" t="s">
        <v>1826</v>
      </c>
      <c r="T647" s="460" t="s">
        <v>1827</v>
      </c>
      <c r="U647" s="461" t="s">
        <v>1976</v>
      </c>
      <c r="V647" s="460" t="s">
        <v>1967</v>
      </c>
      <c r="W647" s="560"/>
      <c r="X647" s="461" t="s">
        <v>2738</v>
      </c>
      <c r="Y647" s="461" t="s">
        <v>2738</v>
      </c>
      <c r="Z647" s="461" t="s">
        <v>170</v>
      </c>
      <c r="AA647" s="460" t="s">
        <v>1218</v>
      </c>
      <c r="AB647" s="561">
        <f>ROUND(258.44,2)</f>
        <v>258.44</v>
      </c>
      <c r="AC647" s="460" t="s">
        <v>308</v>
      </c>
      <c r="AD647" s="460"/>
      <c r="AE647" s="561">
        <f>ROUND(1523.92,2)</f>
        <v>1523.92</v>
      </c>
      <c r="AF647" s="460" t="s">
        <v>308</v>
      </c>
      <c r="AG647" s="561">
        <f t="shared" si="9"/>
        <v>0</v>
      </c>
      <c r="AH647" s="460" t="s">
        <v>2671</v>
      </c>
      <c r="AI647" s="460" t="s">
        <v>1214</v>
      </c>
      <c r="AJ647" s="460" t="s">
        <v>2549</v>
      </c>
      <c r="AK647" s="460" t="s">
        <v>2672</v>
      </c>
      <c r="AL647" s="560" t="s">
        <v>2748</v>
      </c>
      <c r="AM647" s="460" t="s">
        <v>2674</v>
      </c>
    </row>
    <row r="648" spans="1:39" ht="34.200000000000003">
      <c r="A648" s="460" t="s">
        <v>1810</v>
      </c>
      <c r="B648" s="460"/>
      <c r="C648" s="460" t="s">
        <v>1757</v>
      </c>
      <c r="D648" s="460" t="s">
        <v>2079</v>
      </c>
      <c r="E648" s="460" t="s">
        <v>1844</v>
      </c>
      <c r="F648" s="460" t="s">
        <v>1812</v>
      </c>
      <c r="G648" s="461" t="s">
        <v>1218</v>
      </c>
      <c r="H648" s="461" t="s">
        <v>1831</v>
      </c>
      <c r="I648" s="460" t="s">
        <v>2078</v>
      </c>
      <c r="J648" s="460" t="s">
        <v>1983</v>
      </c>
      <c r="K648" s="460" t="s">
        <v>2669</v>
      </c>
      <c r="L648" s="460" t="s">
        <v>2767</v>
      </c>
      <c r="M648" s="460" t="s">
        <v>1987</v>
      </c>
      <c r="N648" s="460" t="s">
        <v>2025</v>
      </c>
      <c r="O648" s="460" t="s">
        <v>1980</v>
      </c>
      <c r="P648" s="460" t="s">
        <v>1979</v>
      </c>
      <c r="Q648" s="460" t="s">
        <v>95</v>
      </c>
      <c r="R648" s="460" t="s">
        <v>1977</v>
      </c>
      <c r="S648" s="460" t="s">
        <v>1842</v>
      </c>
      <c r="T648" s="460" t="s">
        <v>1827</v>
      </c>
      <c r="U648" s="461" t="s">
        <v>1976</v>
      </c>
      <c r="V648" s="460" t="s">
        <v>1843</v>
      </c>
      <c r="W648" s="560"/>
      <c r="X648" s="461" t="s">
        <v>2077</v>
      </c>
      <c r="Y648" s="461" t="s">
        <v>2077</v>
      </c>
      <c r="Z648" s="461" t="s">
        <v>170</v>
      </c>
      <c r="AA648" s="460" t="s">
        <v>1218</v>
      </c>
      <c r="AB648" s="561">
        <f>ROUND(30.41,2)</f>
        <v>30.41</v>
      </c>
      <c r="AC648" s="460" t="s">
        <v>308</v>
      </c>
      <c r="AD648" s="460"/>
      <c r="AE648" s="561">
        <f>ROUND(70.29,2)</f>
        <v>70.290000000000006</v>
      </c>
      <c r="AF648" s="460" t="s">
        <v>308</v>
      </c>
      <c r="AG648" s="561">
        <f t="shared" si="9"/>
        <v>0</v>
      </c>
      <c r="AH648" s="460" t="s">
        <v>2671</v>
      </c>
      <c r="AI648" s="460" t="s">
        <v>1214</v>
      </c>
      <c r="AJ648" s="460" t="s">
        <v>2548</v>
      </c>
      <c r="AK648" s="460" t="s">
        <v>2672</v>
      </c>
      <c r="AL648" s="560" t="s">
        <v>2673</v>
      </c>
      <c r="AM648" s="460" t="s">
        <v>2674</v>
      </c>
    </row>
    <row r="649" spans="1:39" ht="34.200000000000003">
      <c r="A649" s="460" t="s">
        <v>1810</v>
      </c>
      <c r="B649" s="460"/>
      <c r="C649" s="460" t="s">
        <v>1757</v>
      </c>
      <c r="D649" s="460" t="s">
        <v>2079</v>
      </c>
      <c r="E649" s="460" t="s">
        <v>1844</v>
      </c>
      <c r="F649" s="460" t="s">
        <v>1812</v>
      </c>
      <c r="G649" s="461" t="s">
        <v>1218</v>
      </c>
      <c r="H649" s="461" t="s">
        <v>1831</v>
      </c>
      <c r="I649" s="460" t="s">
        <v>2078</v>
      </c>
      <c r="J649" s="460" t="s">
        <v>1983</v>
      </c>
      <c r="K649" s="460" t="s">
        <v>2669</v>
      </c>
      <c r="L649" s="460" t="s">
        <v>2767</v>
      </c>
      <c r="M649" s="460" t="s">
        <v>1987</v>
      </c>
      <c r="N649" s="460" t="s">
        <v>2025</v>
      </c>
      <c r="O649" s="460" t="s">
        <v>1980</v>
      </c>
      <c r="P649" s="460" t="s">
        <v>2675</v>
      </c>
      <c r="Q649" s="460" t="s">
        <v>2676</v>
      </c>
      <c r="R649" s="460" t="s">
        <v>2677</v>
      </c>
      <c r="S649" s="460" t="s">
        <v>2676</v>
      </c>
      <c r="T649" s="460" t="s">
        <v>1827</v>
      </c>
      <c r="U649" s="461" t="s">
        <v>1824</v>
      </c>
      <c r="V649" s="460" t="s">
        <v>1843</v>
      </c>
      <c r="W649" s="560"/>
      <c r="X649" s="461" t="s">
        <v>1824</v>
      </c>
      <c r="Y649" s="461" t="s">
        <v>1824</v>
      </c>
      <c r="Z649" s="461" t="s">
        <v>170</v>
      </c>
      <c r="AA649" s="460" t="s">
        <v>1218</v>
      </c>
      <c r="AB649" s="561">
        <f>ROUND(5,2)</f>
        <v>5</v>
      </c>
      <c r="AC649" s="460" t="s">
        <v>2678</v>
      </c>
      <c r="AD649" s="460"/>
      <c r="AE649" s="561">
        <f>ROUND(1000,2)</f>
        <v>1000</v>
      </c>
      <c r="AF649" s="460" t="s">
        <v>2679</v>
      </c>
      <c r="AG649" s="561">
        <f t="shared" si="9"/>
        <v>0</v>
      </c>
      <c r="AH649" s="460" t="s">
        <v>2671</v>
      </c>
      <c r="AI649" s="460" t="s">
        <v>1214</v>
      </c>
      <c r="AJ649" s="460" t="s">
        <v>2550</v>
      </c>
      <c r="AK649" s="460" t="s">
        <v>2672</v>
      </c>
      <c r="AL649" s="560" t="s">
        <v>2713</v>
      </c>
      <c r="AM649" s="460" t="s">
        <v>2674</v>
      </c>
    </row>
    <row r="650" spans="1:39" ht="34.200000000000003">
      <c r="A650" s="460" t="s">
        <v>1810</v>
      </c>
      <c r="B650" s="460"/>
      <c r="C650" s="460" t="s">
        <v>1757</v>
      </c>
      <c r="D650" s="460" t="s">
        <v>2079</v>
      </c>
      <c r="E650" s="460" t="s">
        <v>1844</v>
      </c>
      <c r="F650" s="460" t="s">
        <v>1812</v>
      </c>
      <c r="G650" s="461" t="s">
        <v>1218</v>
      </c>
      <c r="H650" s="461" t="s">
        <v>1831</v>
      </c>
      <c r="I650" s="460" t="s">
        <v>2078</v>
      </c>
      <c r="J650" s="460" t="s">
        <v>1983</v>
      </c>
      <c r="K650" s="460" t="s">
        <v>2669</v>
      </c>
      <c r="L650" s="460" t="s">
        <v>2767</v>
      </c>
      <c r="M650" s="460" t="s">
        <v>1987</v>
      </c>
      <c r="N650" s="460" t="s">
        <v>2025</v>
      </c>
      <c r="O650" s="460" t="s">
        <v>1980</v>
      </c>
      <c r="P650" s="460" t="s">
        <v>1979</v>
      </c>
      <c r="Q650" s="460" t="s">
        <v>1978</v>
      </c>
      <c r="R650" s="460" t="s">
        <v>1977</v>
      </c>
      <c r="S650" s="460" t="s">
        <v>1826</v>
      </c>
      <c r="T650" s="460" t="s">
        <v>1827</v>
      </c>
      <c r="U650" s="461" t="s">
        <v>1976</v>
      </c>
      <c r="V650" s="460" t="s">
        <v>1851</v>
      </c>
      <c r="W650" s="560"/>
      <c r="X650" s="461" t="s">
        <v>2077</v>
      </c>
      <c r="Y650" s="461" t="s">
        <v>2077</v>
      </c>
      <c r="Z650" s="461" t="s">
        <v>170</v>
      </c>
      <c r="AA650" s="460" t="s">
        <v>1218</v>
      </c>
      <c r="AB650" s="561">
        <f>ROUND(178.26,2)</f>
        <v>178.26</v>
      </c>
      <c r="AC650" s="460" t="s">
        <v>308</v>
      </c>
      <c r="AD650" s="460"/>
      <c r="AE650" s="561">
        <f>ROUND(1442.33,2)</f>
        <v>1442.33</v>
      </c>
      <c r="AF650" s="460" t="s">
        <v>308</v>
      </c>
      <c r="AG650" s="561">
        <f t="shared" si="9"/>
        <v>0</v>
      </c>
      <c r="AH650" s="460" t="s">
        <v>2671</v>
      </c>
      <c r="AI650" s="460" t="s">
        <v>1214</v>
      </c>
      <c r="AJ650" s="460" t="s">
        <v>2549</v>
      </c>
      <c r="AK650" s="460" t="s">
        <v>2672</v>
      </c>
      <c r="AL650" s="560" t="s">
        <v>2785</v>
      </c>
      <c r="AM650" s="460" t="s">
        <v>2674</v>
      </c>
    </row>
    <row r="651" spans="1:39" ht="34.200000000000003">
      <c r="A651" s="460" t="s">
        <v>1810</v>
      </c>
      <c r="B651" s="460"/>
      <c r="C651" s="460" t="s">
        <v>2500</v>
      </c>
      <c r="D651" s="460" t="s">
        <v>2864</v>
      </c>
      <c r="E651" s="460" t="s">
        <v>1828</v>
      </c>
      <c r="F651" s="460" t="s">
        <v>1812</v>
      </c>
      <c r="G651" s="461" t="s">
        <v>1218</v>
      </c>
      <c r="H651" s="461" t="s">
        <v>2771</v>
      </c>
      <c r="I651" s="460" t="s">
        <v>2096</v>
      </c>
      <c r="J651" s="460" t="s">
        <v>1990</v>
      </c>
      <c r="K651" s="460" t="s">
        <v>2669</v>
      </c>
      <c r="L651" s="460" t="s">
        <v>2815</v>
      </c>
      <c r="M651" s="460" t="s">
        <v>2002</v>
      </c>
      <c r="N651" s="460" t="s">
        <v>1981</v>
      </c>
      <c r="O651" s="460" t="s">
        <v>1980</v>
      </c>
      <c r="P651" s="460" t="s">
        <v>1979</v>
      </c>
      <c r="Q651" s="460" t="s">
        <v>95</v>
      </c>
      <c r="R651" s="460" t="s">
        <v>1977</v>
      </c>
      <c r="S651" s="460" t="s">
        <v>1842</v>
      </c>
      <c r="T651" s="460" t="s">
        <v>1827</v>
      </c>
      <c r="U651" s="461" t="s">
        <v>1976</v>
      </c>
      <c r="V651" s="460" t="s">
        <v>1119</v>
      </c>
      <c r="W651" s="560"/>
      <c r="X651" s="461" t="s">
        <v>2773</v>
      </c>
      <c r="Y651" s="461" t="s">
        <v>2773</v>
      </c>
      <c r="Z651" s="461" t="s">
        <v>170</v>
      </c>
      <c r="AA651" s="460" t="s">
        <v>1218</v>
      </c>
      <c r="AB651" s="561">
        <f>ROUND(0,2)</f>
        <v>0</v>
      </c>
      <c r="AC651" s="460" t="s">
        <v>308</v>
      </c>
      <c r="AD651" s="460"/>
      <c r="AE651" s="561">
        <f>ROUND(36.23,2)</f>
        <v>36.229999999999997</v>
      </c>
      <c r="AF651" s="460" t="s">
        <v>308</v>
      </c>
      <c r="AG651" s="561">
        <f t="shared" ref="AG651:AG714" si="10">ROUND(0,2)</f>
        <v>0</v>
      </c>
      <c r="AH651" s="460" t="s">
        <v>2671</v>
      </c>
      <c r="AI651" s="460" t="s">
        <v>1214</v>
      </c>
      <c r="AJ651" s="460"/>
      <c r="AK651" s="460"/>
      <c r="AL651" s="560"/>
      <c r="AM651" s="460"/>
    </row>
    <row r="652" spans="1:39" ht="34.200000000000003">
      <c r="A652" s="460" t="s">
        <v>1810</v>
      </c>
      <c r="B652" s="460"/>
      <c r="C652" s="460" t="s">
        <v>2500</v>
      </c>
      <c r="D652" s="460" t="s">
        <v>2864</v>
      </c>
      <c r="E652" s="460" t="s">
        <v>1828</v>
      </c>
      <c r="F652" s="460" t="s">
        <v>1812</v>
      </c>
      <c r="G652" s="461" t="s">
        <v>1218</v>
      </c>
      <c r="H652" s="461" t="s">
        <v>2771</v>
      </c>
      <c r="I652" s="460" t="s">
        <v>2096</v>
      </c>
      <c r="J652" s="460" t="s">
        <v>1990</v>
      </c>
      <c r="K652" s="460" t="s">
        <v>2669</v>
      </c>
      <c r="L652" s="460" t="s">
        <v>2815</v>
      </c>
      <c r="M652" s="460" t="s">
        <v>2002</v>
      </c>
      <c r="N652" s="460" t="s">
        <v>1981</v>
      </c>
      <c r="O652" s="460" t="s">
        <v>1980</v>
      </c>
      <c r="P652" s="460" t="s">
        <v>2675</v>
      </c>
      <c r="Q652" s="460" t="s">
        <v>2676</v>
      </c>
      <c r="R652" s="460" t="s">
        <v>2677</v>
      </c>
      <c r="S652" s="460" t="s">
        <v>2676</v>
      </c>
      <c r="T652" s="460" t="s">
        <v>1827</v>
      </c>
      <c r="U652" s="461" t="s">
        <v>1824</v>
      </c>
      <c r="V652" s="460" t="s">
        <v>1119</v>
      </c>
      <c r="W652" s="560"/>
      <c r="X652" s="461" t="s">
        <v>2773</v>
      </c>
      <c r="Y652" s="461" t="s">
        <v>2773</v>
      </c>
      <c r="Z652" s="461" t="s">
        <v>170</v>
      </c>
      <c r="AA652" s="460" t="s">
        <v>1218</v>
      </c>
      <c r="AB652" s="561">
        <f>ROUND(20,2)</f>
        <v>20</v>
      </c>
      <c r="AC652" s="460" t="s">
        <v>2678</v>
      </c>
      <c r="AD652" s="460"/>
      <c r="AE652" s="561">
        <f>ROUND(500.05,2)</f>
        <v>500.05</v>
      </c>
      <c r="AF652" s="460" t="s">
        <v>2679</v>
      </c>
      <c r="AG652" s="561">
        <f t="shared" si="10"/>
        <v>0</v>
      </c>
      <c r="AH652" s="460" t="s">
        <v>2671</v>
      </c>
      <c r="AI652" s="460" t="s">
        <v>1214</v>
      </c>
      <c r="AJ652" s="460" t="s">
        <v>2550</v>
      </c>
      <c r="AK652" s="460" t="s">
        <v>2672</v>
      </c>
      <c r="AL652" s="560" t="s">
        <v>2711</v>
      </c>
      <c r="AM652" s="460" t="s">
        <v>2674</v>
      </c>
    </row>
    <row r="653" spans="1:39" ht="34.200000000000003">
      <c r="A653" s="460" t="s">
        <v>1810</v>
      </c>
      <c r="B653" s="460"/>
      <c r="C653" s="460" t="s">
        <v>2500</v>
      </c>
      <c r="D653" s="460" t="s">
        <v>2864</v>
      </c>
      <c r="E653" s="460" t="s">
        <v>1828</v>
      </c>
      <c r="F653" s="460" t="s">
        <v>1812</v>
      </c>
      <c r="G653" s="461" t="s">
        <v>1218</v>
      </c>
      <c r="H653" s="461" t="s">
        <v>2771</v>
      </c>
      <c r="I653" s="460" t="s">
        <v>2096</v>
      </c>
      <c r="J653" s="460" t="s">
        <v>1990</v>
      </c>
      <c r="K653" s="460" t="s">
        <v>2669</v>
      </c>
      <c r="L653" s="460" t="s">
        <v>2815</v>
      </c>
      <c r="M653" s="460" t="s">
        <v>2002</v>
      </c>
      <c r="N653" s="460" t="s">
        <v>1981</v>
      </c>
      <c r="O653" s="460" t="s">
        <v>1980</v>
      </c>
      <c r="P653" s="460" t="s">
        <v>1979</v>
      </c>
      <c r="Q653" s="460" t="s">
        <v>1978</v>
      </c>
      <c r="R653" s="460" t="s">
        <v>1977</v>
      </c>
      <c r="S653" s="460" t="s">
        <v>1826</v>
      </c>
      <c r="T653" s="460" t="s">
        <v>1827</v>
      </c>
      <c r="U653" s="461" t="s">
        <v>1976</v>
      </c>
      <c r="V653" s="460" t="s">
        <v>1119</v>
      </c>
      <c r="W653" s="560"/>
      <c r="X653" s="461" t="s">
        <v>2773</v>
      </c>
      <c r="Y653" s="461" t="s">
        <v>2773</v>
      </c>
      <c r="Z653" s="461" t="s">
        <v>170</v>
      </c>
      <c r="AA653" s="460" t="s">
        <v>1218</v>
      </c>
      <c r="AB653" s="561">
        <f>ROUND(25.63,2)</f>
        <v>25.63</v>
      </c>
      <c r="AC653" s="460" t="s">
        <v>308</v>
      </c>
      <c r="AD653" s="460"/>
      <c r="AE653" s="561">
        <f>ROUND(828.65,2)</f>
        <v>828.65</v>
      </c>
      <c r="AF653" s="460" t="s">
        <v>308</v>
      </c>
      <c r="AG653" s="561">
        <f t="shared" si="10"/>
        <v>0</v>
      </c>
      <c r="AH653" s="460" t="s">
        <v>2671</v>
      </c>
      <c r="AI653" s="460" t="s">
        <v>1214</v>
      </c>
      <c r="AJ653" s="460" t="s">
        <v>2549</v>
      </c>
      <c r="AK653" s="460" t="s">
        <v>2672</v>
      </c>
      <c r="AL653" s="560" t="s">
        <v>2685</v>
      </c>
      <c r="AM653" s="460" t="s">
        <v>2674</v>
      </c>
    </row>
    <row r="654" spans="1:39" ht="22.8">
      <c r="A654" s="460" t="s">
        <v>1810</v>
      </c>
      <c r="B654" s="460"/>
      <c r="C654" s="460" t="s">
        <v>1519</v>
      </c>
      <c r="D654" s="460" t="s">
        <v>2076</v>
      </c>
      <c r="E654" s="460" t="s">
        <v>1814</v>
      </c>
      <c r="F654" s="460" t="s">
        <v>1812</v>
      </c>
      <c r="G654" s="461" t="s">
        <v>1218</v>
      </c>
      <c r="H654" s="461" t="s">
        <v>224</v>
      </c>
      <c r="I654" s="460" t="s">
        <v>2075</v>
      </c>
      <c r="J654" s="460" t="s">
        <v>1983</v>
      </c>
      <c r="K654" s="460" t="s">
        <v>2669</v>
      </c>
      <c r="L654" s="460" t="s">
        <v>2703</v>
      </c>
      <c r="M654" s="460" t="s">
        <v>1982</v>
      </c>
      <c r="N654" s="460" t="s">
        <v>1981</v>
      </c>
      <c r="O654" s="460" t="s">
        <v>1980</v>
      </c>
      <c r="P654" s="460" t="s">
        <v>1979</v>
      </c>
      <c r="Q654" s="460" t="s">
        <v>95</v>
      </c>
      <c r="R654" s="460" t="s">
        <v>1977</v>
      </c>
      <c r="S654" s="460" t="s">
        <v>1842</v>
      </c>
      <c r="T654" s="460" t="s">
        <v>1827</v>
      </c>
      <c r="U654" s="461" t="s">
        <v>1976</v>
      </c>
      <c r="V654" s="460" t="s">
        <v>1119</v>
      </c>
      <c r="W654" s="560"/>
      <c r="X654" s="461" t="s">
        <v>1824</v>
      </c>
      <c r="Y654" s="461" t="s">
        <v>1824</v>
      </c>
      <c r="Z654" s="461" t="s">
        <v>170</v>
      </c>
      <c r="AA654" s="460" t="s">
        <v>1218</v>
      </c>
      <c r="AB654" s="561">
        <f>ROUND(0,2)</f>
        <v>0</v>
      </c>
      <c r="AC654" s="460" t="s">
        <v>308</v>
      </c>
      <c r="AD654" s="460"/>
      <c r="AE654" s="561">
        <f>ROUND(36.23,2)</f>
        <v>36.229999999999997</v>
      </c>
      <c r="AF654" s="460" t="s">
        <v>308</v>
      </c>
      <c r="AG654" s="561">
        <f t="shared" si="10"/>
        <v>0</v>
      </c>
      <c r="AH654" s="460" t="s">
        <v>2671</v>
      </c>
      <c r="AI654" s="460" t="s">
        <v>1214</v>
      </c>
      <c r="AJ654" s="460"/>
      <c r="AK654" s="460"/>
      <c r="AL654" s="560"/>
      <c r="AM654" s="460"/>
    </row>
    <row r="655" spans="1:39" ht="22.8">
      <c r="A655" s="460" t="s">
        <v>1810</v>
      </c>
      <c r="B655" s="460"/>
      <c r="C655" s="460" t="s">
        <v>1519</v>
      </c>
      <c r="D655" s="460" t="s">
        <v>2076</v>
      </c>
      <c r="E655" s="460" t="s">
        <v>1814</v>
      </c>
      <c r="F655" s="460" t="s">
        <v>1812</v>
      </c>
      <c r="G655" s="461" t="s">
        <v>1218</v>
      </c>
      <c r="H655" s="461" t="s">
        <v>224</v>
      </c>
      <c r="I655" s="460" t="s">
        <v>2075</v>
      </c>
      <c r="J655" s="460" t="s">
        <v>1983</v>
      </c>
      <c r="K655" s="460" t="s">
        <v>2669</v>
      </c>
      <c r="L655" s="460" t="s">
        <v>2703</v>
      </c>
      <c r="M655" s="460" t="s">
        <v>1982</v>
      </c>
      <c r="N655" s="460" t="s">
        <v>1981</v>
      </c>
      <c r="O655" s="460" t="s">
        <v>1980</v>
      </c>
      <c r="P655" s="460" t="s">
        <v>2675</v>
      </c>
      <c r="Q655" s="460" t="s">
        <v>2676</v>
      </c>
      <c r="R655" s="460" t="s">
        <v>2677</v>
      </c>
      <c r="S655" s="460" t="s">
        <v>2676</v>
      </c>
      <c r="T655" s="460" t="s">
        <v>1827</v>
      </c>
      <c r="U655" s="461" t="s">
        <v>1824</v>
      </c>
      <c r="V655" s="460" t="s">
        <v>1119</v>
      </c>
      <c r="W655" s="560"/>
      <c r="X655" s="461" t="s">
        <v>1824</v>
      </c>
      <c r="Y655" s="461" t="s">
        <v>1824</v>
      </c>
      <c r="Z655" s="461" t="s">
        <v>170</v>
      </c>
      <c r="AA655" s="460" t="s">
        <v>1218</v>
      </c>
      <c r="AB655" s="561">
        <f>ROUND(0,2)</f>
        <v>0</v>
      </c>
      <c r="AC655" s="460" t="s">
        <v>2678</v>
      </c>
      <c r="AD655" s="460"/>
      <c r="AE655" s="561">
        <f>ROUND(500.05,2)</f>
        <v>500.05</v>
      </c>
      <c r="AF655" s="460" t="s">
        <v>2679</v>
      </c>
      <c r="AG655" s="561">
        <f t="shared" si="10"/>
        <v>0</v>
      </c>
      <c r="AH655" s="460" t="s">
        <v>2671</v>
      </c>
      <c r="AI655" s="460" t="s">
        <v>1214</v>
      </c>
      <c r="AJ655" s="460"/>
      <c r="AK655" s="460"/>
      <c r="AL655" s="560"/>
      <c r="AM655" s="460"/>
    </row>
    <row r="656" spans="1:39" ht="22.8">
      <c r="A656" s="460" t="s">
        <v>1810</v>
      </c>
      <c r="B656" s="460"/>
      <c r="C656" s="460" t="s">
        <v>1519</v>
      </c>
      <c r="D656" s="460" t="s">
        <v>2076</v>
      </c>
      <c r="E656" s="460" t="s">
        <v>1814</v>
      </c>
      <c r="F656" s="460" t="s">
        <v>1812</v>
      </c>
      <c r="G656" s="461" t="s">
        <v>1218</v>
      </c>
      <c r="H656" s="461" t="s">
        <v>224</v>
      </c>
      <c r="I656" s="460" t="s">
        <v>2075</v>
      </c>
      <c r="J656" s="460" t="s">
        <v>1983</v>
      </c>
      <c r="K656" s="460" t="s">
        <v>2669</v>
      </c>
      <c r="L656" s="460" t="s">
        <v>2703</v>
      </c>
      <c r="M656" s="460" t="s">
        <v>1982</v>
      </c>
      <c r="N656" s="460" t="s">
        <v>1981</v>
      </c>
      <c r="O656" s="460" t="s">
        <v>1980</v>
      </c>
      <c r="P656" s="460" t="s">
        <v>1979</v>
      </c>
      <c r="Q656" s="460" t="s">
        <v>1978</v>
      </c>
      <c r="R656" s="460" t="s">
        <v>1977</v>
      </c>
      <c r="S656" s="460" t="s">
        <v>1826</v>
      </c>
      <c r="T656" s="460" t="s">
        <v>1827</v>
      </c>
      <c r="U656" s="461" t="s">
        <v>1976</v>
      </c>
      <c r="V656" s="460" t="s">
        <v>1119</v>
      </c>
      <c r="W656" s="560"/>
      <c r="X656" s="461" t="s">
        <v>1824</v>
      </c>
      <c r="Y656" s="461" t="s">
        <v>1824</v>
      </c>
      <c r="Z656" s="461" t="s">
        <v>170</v>
      </c>
      <c r="AA656" s="460" t="s">
        <v>1218</v>
      </c>
      <c r="AB656" s="561">
        <f>ROUND(35.03,2)</f>
        <v>35.03</v>
      </c>
      <c r="AC656" s="460" t="s">
        <v>308</v>
      </c>
      <c r="AD656" s="460"/>
      <c r="AE656" s="561">
        <f>ROUND(819.25,2)</f>
        <v>819.25</v>
      </c>
      <c r="AF656" s="460" t="s">
        <v>308</v>
      </c>
      <c r="AG656" s="561">
        <f t="shared" si="10"/>
        <v>0</v>
      </c>
      <c r="AH656" s="460" t="s">
        <v>2671</v>
      </c>
      <c r="AI656" s="460" t="s">
        <v>1214</v>
      </c>
      <c r="AJ656" s="460" t="s">
        <v>2549</v>
      </c>
      <c r="AK656" s="460" t="s">
        <v>2672</v>
      </c>
      <c r="AL656" s="560" t="s">
        <v>2694</v>
      </c>
      <c r="AM656" s="460" t="s">
        <v>2674</v>
      </c>
    </row>
    <row r="657" spans="1:39" ht="22.8">
      <c r="A657" s="460" t="s">
        <v>1810</v>
      </c>
      <c r="B657" s="460"/>
      <c r="C657" s="460" t="s">
        <v>1675</v>
      </c>
      <c r="D657" s="460" t="s">
        <v>2074</v>
      </c>
      <c r="E657" s="460" t="s">
        <v>1821</v>
      </c>
      <c r="F657" s="460" t="s">
        <v>1812</v>
      </c>
      <c r="G657" s="461" t="s">
        <v>1218</v>
      </c>
      <c r="H657" s="461" t="s">
        <v>1029</v>
      </c>
      <c r="I657" s="460" t="s">
        <v>2073</v>
      </c>
      <c r="J657" s="460" t="s">
        <v>1983</v>
      </c>
      <c r="K657" s="460" t="s">
        <v>2669</v>
      </c>
      <c r="L657" s="460" t="s">
        <v>2714</v>
      </c>
      <c r="M657" s="460" t="s">
        <v>1994</v>
      </c>
      <c r="N657" s="460" t="s">
        <v>1981</v>
      </c>
      <c r="O657" s="460" t="s">
        <v>1980</v>
      </c>
      <c r="P657" s="460" t="s">
        <v>1979</v>
      </c>
      <c r="Q657" s="460" t="s">
        <v>95</v>
      </c>
      <c r="R657" s="460" t="s">
        <v>1977</v>
      </c>
      <c r="S657" s="460" t="s">
        <v>1842</v>
      </c>
      <c r="T657" s="460" t="s">
        <v>1827</v>
      </c>
      <c r="U657" s="461" t="s">
        <v>1976</v>
      </c>
      <c r="V657" s="460" t="s">
        <v>1119</v>
      </c>
      <c r="W657" s="560"/>
      <c r="X657" s="461" t="s">
        <v>1824</v>
      </c>
      <c r="Y657" s="461" t="s">
        <v>1824</v>
      </c>
      <c r="Z657" s="461" t="s">
        <v>170</v>
      </c>
      <c r="AA657" s="460" t="s">
        <v>1218</v>
      </c>
      <c r="AB657" s="561">
        <f>ROUND(0,2)</f>
        <v>0</v>
      </c>
      <c r="AC657" s="460" t="s">
        <v>308</v>
      </c>
      <c r="AD657" s="460"/>
      <c r="AE657" s="561">
        <f>ROUND(36.23,2)</f>
        <v>36.229999999999997</v>
      </c>
      <c r="AF657" s="460" t="s">
        <v>308</v>
      </c>
      <c r="AG657" s="561">
        <f t="shared" si="10"/>
        <v>0</v>
      </c>
      <c r="AH657" s="460" t="s">
        <v>2671</v>
      </c>
      <c r="AI657" s="460" t="s">
        <v>1214</v>
      </c>
      <c r="AJ657" s="460"/>
      <c r="AK657" s="460"/>
      <c r="AL657" s="560"/>
      <c r="AM657" s="460"/>
    </row>
    <row r="658" spans="1:39" ht="22.8">
      <c r="A658" s="460" t="s">
        <v>1810</v>
      </c>
      <c r="B658" s="460"/>
      <c r="C658" s="460" t="s">
        <v>1675</v>
      </c>
      <c r="D658" s="460" t="s">
        <v>2074</v>
      </c>
      <c r="E658" s="460" t="s">
        <v>1821</v>
      </c>
      <c r="F658" s="460" t="s">
        <v>1812</v>
      </c>
      <c r="G658" s="461" t="s">
        <v>1218</v>
      </c>
      <c r="H658" s="461" t="s">
        <v>1029</v>
      </c>
      <c r="I658" s="460" t="s">
        <v>2073</v>
      </c>
      <c r="J658" s="460" t="s">
        <v>1983</v>
      </c>
      <c r="K658" s="460" t="s">
        <v>2669</v>
      </c>
      <c r="L658" s="460" t="s">
        <v>2714</v>
      </c>
      <c r="M658" s="460" t="s">
        <v>1994</v>
      </c>
      <c r="N658" s="460" t="s">
        <v>1981</v>
      </c>
      <c r="O658" s="460" t="s">
        <v>1980</v>
      </c>
      <c r="P658" s="460" t="s">
        <v>2675</v>
      </c>
      <c r="Q658" s="460" t="s">
        <v>2676</v>
      </c>
      <c r="R658" s="460" t="s">
        <v>2677</v>
      </c>
      <c r="S658" s="460" t="s">
        <v>2676</v>
      </c>
      <c r="T658" s="460" t="s">
        <v>1827</v>
      </c>
      <c r="U658" s="461" t="s">
        <v>1824</v>
      </c>
      <c r="V658" s="460" t="s">
        <v>1119</v>
      </c>
      <c r="W658" s="560"/>
      <c r="X658" s="461" t="s">
        <v>1824</v>
      </c>
      <c r="Y658" s="461" t="s">
        <v>1824</v>
      </c>
      <c r="Z658" s="461" t="s">
        <v>170</v>
      </c>
      <c r="AA658" s="460" t="s">
        <v>1218</v>
      </c>
      <c r="AB658" s="561">
        <f>ROUND(20,2)</f>
        <v>20</v>
      </c>
      <c r="AC658" s="460" t="s">
        <v>2678</v>
      </c>
      <c r="AD658" s="460"/>
      <c r="AE658" s="561">
        <f>ROUND(500.05,2)</f>
        <v>500.05</v>
      </c>
      <c r="AF658" s="460" t="s">
        <v>2679</v>
      </c>
      <c r="AG658" s="561">
        <f t="shared" si="10"/>
        <v>0</v>
      </c>
      <c r="AH658" s="460" t="s">
        <v>2671</v>
      </c>
      <c r="AI658" s="460" t="s">
        <v>1214</v>
      </c>
      <c r="AJ658" s="460" t="s">
        <v>2550</v>
      </c>
      <c r="AK658" s="460" t="s">
        <v>2672</v>
      </c>
      <c r="AL658" s="560" t="s">
        <v>2711</v>
      </c>
      <c r="AM658" s="460" t="s">
        <v>2674</v>
      </c>
    </row>
    <row r="659" spans="1:39" ht="22.8">
      <c r="A659" s="460" t="s">
        <v>1810</v>
      </c>
      <c r="B659" s="460"/>
      <c r="C659" s="460" t="s">
        <v>1675</v>
      </c>
      <c r="D659" s="460" t="s">
        <v>2074</v>
      </c>
      <c r="E659" s="460" t="s">
        <v>1821</v>
      </c>
      <c r="F659" s="460" t="s">
        <v>1812</v>
      </c>
      <c r="G659" s="461" t="s">
        <v>1218</v>
      </c>
      <c r="H659" s="461" t="s">
        <v>1029</v>
      </c>
      <c r="I659" s="460" t="s">
        <v>2073</v>
      </c>
      <c r="J659" s="460" t="s">
        <v>1983</v>
      </c>
      <c r="K659" s="460" t="s">
        <v>2669</v>
      </c>
      <c r="L659" s="460" t="s">
        <v>2714</v>
      </c>
      <c r="M659" s="460" t="s">
        <v>1994</v>
      </c>
      <c r="N659" s="460" t="s">
        <v>1981</v>
      </c>
      <c r="O659" s="460" t="s">
        <v>1980</v>
      </c>
      <c r="P659" s="460" t="s">
        <v>1979</v>
      </c>
      <c r="Q659" s="460" t="s">
        <v>1978</v>
      </c>
      <c r="R659" s="460" t="s">
        <v>1977</v>
      </c>
      <c r="S659" s="460" t="s">
        <v>1826</v>
      </c>
      <c r="T659" s="460" t="s">
        <v>1827</v>
      </c>
      <c r="U659" s="461" t="s">
        <v>1976</v>
      </c>
      <c r="V659" s="460" t="s">
        <v>1119</v>
      </c>
      <c r="W659" s="560"/>
      <c r="X659" s="461" t="s">
        <v>1824</v>
      </c>
      <c r="Y659" s="461" t="s">
        <v>1824</v>
      </c>
      <c r="Z659" s="461" t="s">
        <v>170</v>
      </c>
      <c r="AA659" s="460" t="s">
        <v>1218</v>
      </c>
      <c r="AB659" s="561">
        <f>ROUND(29.05,2)</f>
        <v>29.05</v>
      </c>
      <c r="AC659" s="460" t="s">
        <v>308</v>
      </c>
      <c r="AD659" s="460"/>
      <c r="AE659" s="561">
        <f>ROUND(825.23,2)</f>
        <v>825.23</v>
      </c>
      <c r="AF659" s="460" t="s">
        <v>308</v>
      </c>
      <c r="AG659" s="561">
        <f t="shared" si="10"/>
        <v>0</v>
      </c>
      <c r="AH659" s="460" t="s">
        <v>2671</v>
      </c>
      <c r="AI659" s="460" t="s">
        <v>1214</v>
      </c>
      <c r="AJ659" s="460" t="s">
        <v>2549</v>
      </c>
      <c r="AK659" s="460" t="s">
        <v>2672</v>
      </c>
      <c r="AL659" s="560" t="s">
        <v>2692</v>
      </c>
      <c r="AM659" s="460" t="s">
        <v>2674</v>
      </c>
    </row>
    <row r="660" spans="1:39" ht="22.8">
      <c r="A660" s="460" t="s">
        <v>1810</v>
      </c>
      <c r="B660" s="460"/>
      <c r="C660" s="460" t="s">
        <v>1461</v>
      </c>
      <c r="D660" s="460" t="s">
        <v>2072</v>
      </c>
      <c r="E660" s="460" t="s">
        <v>1817</v>
      </c>
      <c r="F660" s="460" t="s">
        <v>1812</v>
      </c>
      <c r="G660" s="461" t="s">
        <v>1218</v>
      </c>
      <c r="H660" s="461" t="s">
        <v>188</v>
      </c>
      <c r="I660" s="460" t="s">
        <v>2071</v>
      </c>
      <c r="J660" s="460" t="s">
        <v>1983</v>
      </c>
      <c r="K660" s="460" t="s">
        <v>2669</v>
      </c>
      <c r="L660" s="460" t="s">
        <v>2796</v>
      </c>
      <c r="M660" s="460" t="s">
        <v>1987</v>
      </c>
      <c r="N660" s="460" t="s">
        <v>1986</v>
      </c>
      <c r="O660" s="460" t="s">
        <v>1980</v>
      </c>
      <c r="P660" s="460" t="s">
        <v>1979</v>
      </c>
      <c r="Q660" s="460" t="s">
        <v>95</v>
      </c>
      <c r="R660" s="460" t="s">
        <v>1977</v>
      </c>
      <c r="S660" s="460" t="s">
        <v>1842</v>
      </c>
      <c r="T660" s="460" t="s">
        <v>1827</v>
      </c>
      <c r="U660" s="461" t="s">
        <v>1976</v>
      </c>
      <c r="V660" s="460" t="s">
        <v>1119</v>
      </c>
      <c r="W660" s="560"/>
      <c r="X660" s="461" t="s">
        <v>1824</v>
      </c>
      <c r="Y660" s="461" t="s">
        <v>1824</v>
      </c>
      <c r="Z660" s="461" t="s">
        <v>170</v>
      </c>
      <c r="AA660" s="460" t="s">
        <v>1218</v>
      </c>
      <c r="AB660" s="561">
        <f>ROUND(0,2)</f>
        <v>0</v>
      </c>
      <c r="AC660" s="460" t="s">
        <v>308</v>
      </c>
      <c r="AD660" s="460"/>
      <c r="AE660" s="561">
        <f>ROUND(36.23,2)</f>
        <v>36.229999999999997</v>
      </c>
      <c r="AF660" s="460" t="s">
        <v>308</v>
      </c>
      <c r="AG660" s="561">
        <f t="shared" si="10"/>
        <v>0</v>
      </c>
      <c r="AH660" s="460" t="s">
        <v>2671</v>
      </c>
      <c r="AI660" s="460" t="s">
        <v>1214</v>
      </c>
      <c r="AJ660" s="460"/>
      <c r="AK660" s="460"/>
      <c r="AL660" s="560"/>
      <c r="AM660" s="460"/>
    </row>
    <row r="661" spans="1:39" ht="22.8">
      <c r="A661" s="460" t="s">
        <v>1810</v>
      </c>
      <c r="B661" s="460"/>
      <c r="C661" s="460" t="s">
        <v>1461</v>
      </c>
      <c r="D661" s="460" t="s">
        <v>2072</v>
      </c>
      <c r="E661" s="460" t="s">
        <v>1817</v>
      </c>
      <c r="F661" s="460" t="s">
        <v>1812</v>
      </c>
      <c r="G661" s="461" t="s">
        <v>1218</v>
      </c>
      <c r="H661" s="461" t="s">
        <v>188</v>
      </c>
      <c r="I661" s="460" t="s">
        <v>2071</v>
      </c>
      <c r="J661" s="460" t="s">
        <v>1983</v>
      </c>
      <c r="K661" s="460" t="s">
        <v>2669</v>
      </c>
      <c r="L661" s="460" t="s">
        <v>2796</v>
      </c>
      <c r="M661" s="460" t="s">
        <v>1987</v>
      </c>
      <c r="N661" s="460" t="s">
        <v>1986</v>
      </c>
      <c r="O661" s="460" t="s">
        <v>1980</v>
      </c>
      <c r="P661" s="460" t="s">
        <v>2675</v>
      </c>
      <c r="Q661" s="460" t="s">
        <v>2676</v>
      </c>
      <c r="R661" s="460" t="s">
        <v>2677</v>
      </c>
      <c r="S661" s="460" t="s">
        <v>2676</v>
      </c>
      <c r="T661" s="460" t="s">
        <v>1827</v>
      </c>
      <c r="U661" s="461" t="s">
        <v>1824</v>
      </c>
      <c r="V661" s="460" t="s">
        <v>1119</v>
      </c>
      <c r="W661" s="560"/>
      <c r="X661" s="461" t="s">
        <v>1824</v>
      </c>
      <c r="Y661" s="461" t="s">
        <v>1824</v>
      </c>
      <c r="Z661" s="461" t="s">
        <v>170</v>
      </c>
      <c r="AA661" s="460" t="s">
        <v>1218</v>
      </c>
      <c r="AB661" s="561">
        <f>ROUND(50,2)</f>
        <v>50</v>
      </c>
      <c r="AC661" s="460" t="s">
        <v>2678</v>
      </c>
      <c r="AD661" s="460"/>
      <c r="AE661" s="561">
        <f>ROUND(500.05,2)</f>
        <v>500.05</v>
      </c>
      <c r="AF661" s="460" t="s">
        <v>2679</v>
      </c>
      <c r="AG661" s="561">
        <f t="shared" si="10"/>
        <v>0</v>
      </c>
      <c r="AH661" s="460" t="s">
        <v>2671</v>
      </c>
      <c r="AI661" s="460" t="s">
        <v>1214</v>
      </c>
      <c r="AJ661" s="460" t="s">
        <v>2550</v>
      </c>
      <c r="AK661" s="460" t="s">
        <v>2672</v>
      </c>
      <c r="AL661" s="560" t="s">
        <v>2690</v>
      </c>
      <c r="AM661" s="460" t="s">
        <v>2674</v>
      </c>
    </row>
    <row r="662" spans="1:39" ht="22.8">
      <c r="A662" s="460" t="s">
        <v>1810</v>
      </c>
      <c r="B662" s="460"/>
      <c r="C662" s="460" t="s">
        <v>1461</v>
      </c>
      <c r="D662" s="460" t="s">
        <v>2072</v>
      </c>
      <c r="E662" s="460" t="s">
        <v>1817</v>
      </c>
      <c r="F662" s="460" t="s">
        <v>1812</v>
      </c>
      <c r="G662" s="461" t="s">
        <v>1218</v>
      </c>
      <c r="H662" s="461" t="s">
        <v>188</v>
      </c>
      <c r="I662" s="460" t="s">
        <v>2071</v>
      </c>
      <c r="J662" s="460" t="s">
        <v>1983</v>
      </c>
      <c r="K662" s="460" t="s">
        <v>2669</v>
      </c>
      <c r="L662" s="460" t="s">
        <v>2796</v>
      </c>
      <c r="M662" s="460" t="s">
        <v>1987</v>
      </c>
      <c r="N662" s="460" t="s">
        <v>1986</v>
      </c>
      <c r="O662" s="460" t="s">
        <v>1980</v>
      </c>
      <c r="P662" s="460" t="s">
        <v>1979</v>
      </c>
      <c r="Q662" s="460" t="s">
        <v>1978</v>
      </c>
      <c r="R662" s="460" t="s">
        <v>1977</v>
      </c>
      <c r="S662" s="460" t="s">
        <v>1826</v>
      </c>
      <c r="T662" s="460" t="s">
        <v>1827</v>
      </c>
      <c r="U662" s="461" t="s">
        <v>1976</v>
      </c>
      <c r="V662" s="460" t="s">
        <v>1119</v>
      </c>
      <c r="W662" s="560"/>
      <c r="X662" s="461" t="s">
        <v>1824</v>
      </c>
      <c r="Y662" s="461" t="s">
        <v>1824</v>
      </c>
      <c r="Z662" s="461" t="s">
        <v>170</v>
      </c>
      <c r="AA662" s="460" t="s">
        <v>1218</v>
      </c>
      <c r="AB662" s="561">
        <f>ROUND(29.05,2)</f>
        <v>29.05</v>
      </c>
      <c r="AC662" s="460" t="s">
        <v>308</v>
      </c>
      <c r="AD662" s="460"/>
      <c r="AE662" s="561">
        <f>ROUND(825.23,2)</f>
        <v>825.23</v>
      </c>
      <c r="AF662" s="460" t="s">
        <v>308</v>
      </c>
      <c r="AG662" s="561">
        <f t="shared" si="10"/>
        <v>0</v>
      </c>
      <c r="AH662" s="460" t="s">
        <v>2671</v>
      </c>
      <c r="AI662" s="460" t="s">
        <v>1214</v>
      </c>
      <c r="AJ662" s="460" t="s">
        <v>2549</v>
      </c>
      <c r="AK662" s="460" t="s">
        <v>2672</v>
      </c>
      <c r="AL662" s="560" t="s">
        <v>2692</v>
      </c>
      <c r="AM662" s="460" t="s">
        <v>2674</v>
      </c>
    </row>
    <row r="663" spans="1:39" ht="22.8">
      <c r="A663" s="460" t="s">
        <v>1810</v>
      </c>
      <c r="B663" s="460"/>
      <c r="C663" s="460" t="s">
        <v>1654</v>
      </c>
      <c r="D663" s="460" t="s">
        <v>2070</v>
      </c>
      <c r="E663" s="460" t="s">
        <v>1811</v>
      </c>
      <c r="F663" s="460" t="s">
        <v>1812</v>
      </c>
      <c r="G663" s="461" t="s">
        <v>1218</v>
      </c>
      <c r="H663" s="461" t="s">
        <v>1024</v>
      </c>
      <c r="I663" s="460" t="s">
        <v>2069</v>
      </c>
      <c r="J663" s="460" t="s">
        <v>1983</v>
      </c>
      <c r="K663" s="460" t="s">
        <v>2669</v>
      </c>
      <c r="L663" s="460" t="s">
        <v>2736</v>
      </c>
      <c r="M663" s="460" t="s">
        <v>1987</v>
      </c>
      <c r="N663" s="460" t="s">
        <v>1981</v>
      </c>
      <c r="O663" s="460" t="s">
        <v>1980</v>
      </c>
      <c r="P663" s="460" t="s">
        <v>1979</v>
      </c>
      <c r="Q663" s="460" t="s">
        <v>95</v>
      </c>
      <c r="R663" s="460" t="s">
        <v>1977</v>
      </c>
      <c r="S663" s="460" t="s">
        <v>1842</v>
      </c>
      <c r="T663" s="460" t="s">
        <v>1827</v>
      </c>
      <c r="U663" s="461" t="s">
        <v>1976</v>
      </c>
      <c r="V663" s="460" t="s">
        <v>1119</v>
      </c>
      <c r="W663" s="560"/>
      <c r="X663" s="461" t="s">
        <v>1824</v>
      </c>
      <c r="Y663" s="461" t="s">
        <v>1824</v>
      </c>
      <c r="Z663" s="461" t="s">
        <v>170</v>
      </c>
      <c r="AA663" s="460" t="s">
        <v>1218</v>
      </c>
      <c r="AB663" s="561">
        <f>ROUND(0,2)</f>
        <v>0</v>
      </c>
      <c r="AC663" s="460" t="s">
        <v>308</v>
      </c>
      <c r="AD663" s="460"/>
      <c r="AE663" s="561">
        <f>ROUND(36.23,2)</f>
        <v>36.229999999999997</v>
      </c>
      <c r="AF663" s="460" t="s">
        <v>308</v>
      </c>
      <c r="AG663" s="561">
        <f t="shared" si="10"/>
        <v>0</v>
      </c>
      <c r="AH663" s="460" t="s">
        <v>2671</v>
      </c>
      <c r="AI663" s="460" t="s">
        <v>1214</v>
      </c>
      <c r="AJ663" s="460"/>
      <c r="AK663" s="460"/>
      <c r="AL663" s="560"/>
      <c r="AM663" s="460"/>
    </row>
    <row r="664" spans="1:39" ht="22.8">
      <c r="A664" s="460" t="s">
        <v>1810</v>
      </c>
      <c r="B664" s="460"/>
      <c r="C664" s="460" t="s">
        <v>1654</v>
      </c>
      <c r="D664" s="460" t="s">
        <v>2070</v>
      </c>
      <c r="E664" s="460" t="s">
        <v>1811</v>
      </c>
      <c r="F664" s="460" t="s">
        <v>1812</v>
      </c>
      <c r="G664" s="461" t="s">
        <v>1218</v>
      </c>
      <c r="H664" s="461" t="s">
        <v>1024</v>
      </c>
      <c r="I664" s="460" t="s">
        <v>2069</v>
      </c>
      <c r="J664" s="460" t="s">
        <v>1983</v>
      </c>
      <c r="K664" s="460" t="s">
        <v>2669</v>
      </c>
      <c r="L664" s="460" t="s">
        <v>2736</v>
      </c>
      <c r="M664" s="460" t="s">
        <v>1987</v>
      </c>
      <c r="N664" s="460" t="s">
        <v>1981</v>
      </c>
      <c r="O664" s="460" t="s">
        <v>1980</v>
      </c>
      <c r="P664" s="460" t="s">
        <v>2675</v>
      </c>
      <c r="Q664" s="460" t="s">
        <v>2676</v>
      </c>
      <c r="R664" s="460" t="s">
        <v>2677</v>
      </c>
      <c r="S664" s="460" t="s">
        <v>2676</v>
      </c>
      <c r="T664" s="460" t="s">
        <v>1827</v>
      </c>
      <c r="U664" s="461" t="s">
        <v>1824</v>
      </c>
      <c r="V664" s="460" t="s">
        <v>1119</v>
      </c>
      <c r="W664" s="560"/>
      <c r="X664" s="461" t="s">
        <v>1824</v>
      </c>
      <c r="Y664" s="461" t="s">
        <v>1824</v>
      </c>
      <c r="Z664" s="461" t="s">
        <v>170</v>
      </c>
      <c r="AA664" s="460" t="s">
        <v>1218</v>
      </c>
      <c r="AB664" s="561">
        <f>ROUND(0,2)</f>
        <v>0</v>
      </c>
      <c r="AC664" s="460" t="s">
        <v>2678</v>
      </c>
      <c r="AD664" s="460"/>
      <c r="AE664" s="561">
        <f>ROUND(500.05,2)</f>
        <v>500.05</v>
      </c>
      <c r="AF664" s="460" t="s">
        <v>2679</v>
      </c>
      <c r="AG664" s="561">
        <f t="shared" si="10"/>
        <v>0</v>
      </c>
      <c r="AH664" s="460" t="s">
        <v>2671</v>
      </c>
      <c r="AI664" s="460" t="s">
        <v>1214</v>
      </c>
      <c r="AJ664" s="460"/>
      <c r="AK664" s="460"/>
      <c r="AL664" s="560"/>
      <c r="AM664" s="460"/>
    </row>
    <row r="665" spans="1:39" ht="22.8">
      <c r="A665" s="460" t="s">
        <v>1810</v>
      </c>
      <c r="B665" s="460"/>
      <c r="C665" s="460" t="s">
        <v>1654</v>
      </c>
      <c r="D665" s="460" t="s">
        <v>2070</v>
      </c>
      <c r="E665" s="460" t="s">
        <v>1811</v>
      </c>
      <c r="F665" s="460" t="s">
        <v>1812</v>
      </c>
      <c r="G665" s="461" t="s">
        <v>1218</v>
      </c>
      <c r="H665" s="461" t="s">
        <v>1024</v>
      </c>
      <c r="I665" s="460" t="s">
        <v>2069</v>
      </c>
      <c r="J665" s="460" t="s">
        <v>1983</v>
      </c>
      <c r="K665" s="460" t="s">
        <v>2669</v>
      </c>
      <c r="L665" s="460" t="s">
        <v>2736</v>
      </c>
      <c r="M665" s="460" t="s">
        <v>1987</v>
      </c>
      <c r="N665" s="460" t="s">
        <v>1981</v>
      </c>
      <c r="O665" s="460" t="s">
        <v>1980</v>
      </c>
      <c r="P665" s="460" t="s">
        <v>1979</v>
      </c>
      <c r="Q665" s="460" t="s">
        <v>1978</v>
      </c>
      <c r="R665" s="460" t="s">
        <v>1977</v>
      </c>
      <c r="S665" s="460" t="s">
        <v>1826</v>
      </c>
      <c r="T665" s="460" t="s">
        <v>1827</v>
      </c>
      <c r="U665" s="461" t="s">
        <v>1976</v>
      </c>
      <c r="V665" s="460" t="s">
        <v>1119</v>
      </c>
      <c r="W665" s="560"/>
      <c r="X665" s="461" t="s">
        <v>1824</v>
      </c>
      <c r="Y665" s="461" t="s">
        <v>1824</v>
      </c>
      <c r="Z665" s="461" t="s">
        <v>170</v>
      </c>
      <c r="AA665" s="460" t="s">
        <v>1218</v>
      </c>
      <c r="AB665" s="561">
        <f>ROUND(25.63,2)</f>
        <v>25.63</v>
      </c>
      <c r="AC665" s="460" t="s">
        <v>308</v>
      </c>
      <c r="AD665" s="460"/>
      <c r="AE665" s="561">
        <f>ROUND(828.65,2)</f>
        <v>828.65</v>
      </c>
      <c r="AF665" s="460" t="s">
        <v>308</v>
      </c>
      <c r="AG665" s="561">
        <f t="shared" si="10"/>
        <v>0</v>
      </c>
      <c r="AH665" s="460" t="s">
        <v>2671</v>
      </c>
      <c r="AI665" s="460" t="s">
        <v>1214</v>
      </c>
      <c r="AJ665" s="460" t="s">
        <v>2549</v>
      </c>
      <c r="AK665" s="460" t="s">
        <v>2672</v>
      </c>
      <c r="AL665" s="560" t="s">
        <v>2685</v>
      </c>
      <c r="AM665" s="460" t="s">
        <v>2674</v>
      </c>
    </row>
    <row r="666" spans="1:39" ht="34.200000000000003">
      <c r="A666" s="460" t="s">
        <v>1810</v>
      </c>
      <c r="B666" s="460"/>
      <c r="C666" s="460" t="s">
        <v>1462</v>
      </c>
      <c r="D666" s="460" t="s">
        <v>2068</v>
      </c>
      <c r="E666" s="460" t="s">
        <v>1819</v>
      </c>
      <c r="F666" s="460" t="s">
        <v>1812</v>
      </c>
      <c r="G666" s="461" t="s">
        <v>1218</v>
      </c>
      <c r="H666" s="461" t="s">
        <v>294</v>
      </c>
      <c r="I666" s="460" t="s">
        <v>2067</v>
      </c>
      <c r="J666" s="460" t="s">
        <v>1983</v>
      </c>
      <c r="K666" s="460" t="s">
        <v>2669</v>
      </c>
      <c r="L666" s="460" t="s">
        <v>2705</v>
      </c>
      <c r="M666" s="460" t="s">
        <v>1987</v>
      </c>
      <c r="N666" s="460" t="s">
        <v>1981</v>
      </c>
      <c r="O666" s="460" t="s">
        <v>1980</v>
      </c>
      <c r="P666" s="460" t="s">
        <v>1979</v>
      </c>
      <c r="Q666" s="460" t="s">
        <v>95</v>
      </c>
      <c r="R666" s="460" t="s">
        <v>1977</v>
      </c>
      <c r="S666" s="460" t="s">
        <v>1842</v>
      </c>
      <c r="T666" s="460" t="s">
        <v>1827</v>
      </c>
      <c r="U666" s="461" t="s">
        <v>1976</v>
      </c>
      <c r="V666" s="460" t="s">
        <v>1119</v>
      </c>
      <c r="W666" s="560"/>
      <c r="X666" s="461" t="s">
        <v>1824</v>
      </c>
      <c r="Y666" s="461" t="s">
        <v>1824</v>
      </c>
      <c r="Z666" s="461" t="s">
        <v>170</v>
      </c>
      <c r="AA666" s="460" t="s">
        <v>1218</v>
      </c>
      <c r="AB666" s="561">
        <f>ROUND(0,2)</f>
        <v>0</v>
      </c>
      <c r="AC666" s="460" t="s">
        <v>308</v>
      </c>
      <c r="AD666" s="460"/>
      <c r="AE666" s="561">
        <f>ROUND(36.23,2)</f>
        <v>36.229999999999997</v>
      </c>
      <c r="AF666" s="460" t="s">
        <v>308</v>
      </c>
      <c r="AG666" s="561">
        <f t="shared" si="10"/>
        <v>0</v>
      </c>
      <c r="AH666" s="460" t="s">
        <v>2671</v>
      </c>
      <c r="AI666" s="460" t="s">
        <v>1214</v>
      </c>
      <c r="AJ666" s="460"/>
      <c r="AK666" s="460"/>
      <c r="AL666" s="560"/>
      <c r="AM666" s="460"/>
    </row>
    <row r="667" spans="1:39" ht="34.200000000000003">
      <c r="A667" s="460" t="s">
        <v>1810</v>
      </c>
      <c r="B667" s="460"/>
      <c r="C667" s="460" t="s">
        <v>1462</v>
      </c>
      <c r="D667" s="460" t="s">
        <v>2068</v>
      </c>
      <c r="E667" s="460" t="s">
        <v>1819</v>
      </c>
      <c r="F667" s="460" t="s">
        <v>1812</v>
      </c>
      <c r="G667" s="461" t="s">
        <v>1218</v>
      </c>
      <c r="H667" s="461" t="s">
        <v>294</v>
      </c>
      <c r="I667" s="460" t="s">
        <v>2067</v>
      </c>
      <c r="J667" s="460" t="s">
        <v>1983</v>
      </c>
      <c r="K667" s="460" t="s">
        <v>2669</v>
      </c>
      <c r="L667" s="460" t="s">
        <v>2705</v>
      </c>
      <c r="M667" s="460" t="s">
        <v>1987</v>
      </c>
      <c r="N667" s="460" t="s">
        <v>1981</v>
      </c>
      <c r="O667" s="460" t="s">
        <v>1980</v>
      </c>
      <c r="P667" s="460" t="s">
        <v>2675</v>
      </c>
      <c r="Q667" s="460" t="s">
        <v>2676</v>
      </c>
      <c r="R667" s="460" t="s">
        <v>2677</v>
      </c>
      <c r="S667" s="460" t="s">
        <v>2676</v>
      </c>
      <c r="T667" s="460" t="s">
        <v>1827</v>
      </c>
      <c r="U667" s="461" t="s">
        <v>1824</v>
      </c>
      <c r="V667" s="460" t="s">
        <v>1119</v>
      </c>
      <c r="W667" s="560"/>
      <c r="X667" s="461" t="s">
        <v>1824</v>
      </c>
      <c r="Y667" s="461" t="s">
        <v>1824</v>
      </c>
      <c r="Z667" s="461" t="s">
        <v>170</v>
      </c>
      <c r="AA667" s="460" t="s">
        <v>1218</v>
      </c>
      <c r="AB667" s="561">
        <f>ROUND(48,2)</f>
        <v>48</v>
      </c>
      <c r="AC667" s="460" t="s">
        <v>2678</v>
      </c>
      <c r="AD667" s="460"/>
      <c r="AE667" s="561">
        <f>ROUND(500.05,2)</f>
        <v>500.05</v>
      </c>
      <c r="AF667" s="460" t="s">
        <v>2679</v>
      </c>
      <c r="AG667" s="561">
        <f t="shared" si="10"/>
        <v>0</v>
      </c>
      <c r="AH667" s="460" t="s">
        <v>2671</v>
      </c>
      <c r="AI667" s="460" t="s">
        <v>1214</v>
      </c>
      <c r="AJ667" s="460" t="s">
        <v>2550</v>
      </c>
      <c r="AK667" s="460" t="s">
        <v>2672</v>
      </c>
      <c r="AL667" s="560" t="s">
        <v>2865</v>
      </c>
      <c r="AM667" s="460" t="s">
        <v>2674</v>
      </c>
    </row>
    <row r="668" spans="1:39" ht="34.200000000000003">
      <c r="A668" s="460" t="s">
        <v>1810</v>
      </c>
      <c r="B668" s="460"/>
      <c r="C668" s="460" t="s">
        <v>1462</v>
      </c>
      <c r="D668" s="460" t="s">
        <v>2068</v>
      </c>
      <c r="E668" s="460" t="s">
        <v>1819</v>
      </c>
      <c r="F668" s="460" t="s">
        <v>1812</v>
      </c>
      <c r="G668" s="461" t="s">
        <v>1218</v>
      </c>
      <c r="H668" s="461" t="s">
        <v>294</v>
      </c>
      <c r="I668" s="460" t="s">
        <v>2067</v>
      </c>
      <c r="J668" s="460" t="s">
        <v>1983</v>
      </c>
      <c r="K668" s="460" t="s">
        <v>2669</v>
      </c>
      <c r="L668" s="460" t="s">
        <v>2705</v>
      </c>
      <c r="M668" s="460" t="s">
        <v>1987</v>
      </c>
      <c r="N668" s="460" t="s">
        <v>1981</v>
      </c>
      <c r="O668" s="460" t="s">
        <v>1980</v>
      </c>
      <c r="P668" s="460" t="s">
        <v>1979</v>
      </c>
      <c r="Q668" s="460" t="s">
        <v>1978</v>
      </c>
      <c r="R668" s="460" t="s">
        <v>1977</v>
      </c>
      <c r="S668" s="460" t="s">
        <v>1826</v>
      </c>
      <c r="T668" s="460" t="s">
        <v>1827</v>
      </c>
      <c r="U668" s="461" t="s">
        <v>1976</v>
      </c>
      <c r="V668" s="460" t="s">
        <v>1119</v>
      </c>
      <c r="W668" s="560"/>
      <c r="X668" s="461" t="s">
        <v>1824</v>
      </c>
      <c r="Y668" s="461" t="s">
        <v>1824</v>
      </c>
      <c r="Z668" s="461" t="s">
        <v>170</v>
      </c>
      <c r="AA668" s="460" t="s">
        <v>1218</v>
      </c>
      <c r="AB668" s="561">
        <f>ROUND(29.05,2)</f>
        <v>29.05</v>
      </c>
      <c r="AC668" s="460" t="s">
        <v>308</v>
      </c>
      <c r="AD668" s="460"/>
      <c r="AE668" s="561">
        <f>ROUND(825.23,2)</f>
        <v>825.23</v>
      </c>
      <c r="AF668" s="460" t="s">
        <v>308</v>
      </c>
      <c r="AG668" s="561">
        <f t="shared" si="10"/>
        <v>0</v>
      </c>
      <c r="AH668" s="460" t="s">
        <v>2671</v>
      </c>
      <c r="AI668" s="460" t="s">
        <v>1214</v>
      </c>
      <c r="AJ668" s="460" t="s">
        <v>2549</v>
      </c>
      <c r="AK668" s="460" t="s">
        <v>2672</v>
      </c>
      <c r="AL668" s="560" t="s">
        <v>2692</v>
      </c>
      <c r="AM668" s="460" t="s">
        <v>2674</v>
      </c>
    </row>
    <row r="669" spans="1:39" ht="22.8">
      <c r="A669" s="460" t="s">
        <v>1810</v>
      </c>
      <c r="B669" s="460"/>
      <c r="C669" s="460" t="s">
        <v>1708</v>
      </c>
      <c r="D669" s="460" t="s">
        <v>2065</v>
      </c>
      <c r="E669" s="460" t="s">
        <v>1814</v>
      </c>
      <c r="F669" s="460" t="s">
        <v>1812</v>
      </c>
      <c r="G669" s="461" t="s">
        <v>1218</v>
      </c>
      <c r="H669" s="461" t="s">
        <v>1850</v>
      </c>
      <c r="I669" s="460" t="s">
        <v>2064</v>
      </c>
      <c r="J669" s="460" t="s">
        <v>1983</v>
      </c>
      <c r="K669" s="460" t="s">
        <v>2669</v>
      </c>
      <c r="L669" s="460" t="s">
        <v>2703</v>
      </c>
      <c r="M669" s="460" t="s">
        <v>1982</v>
      </c>
      <c r="N669" s="460" t="s">
        <v>1981</v>
      </c>
      <c r="O669" s="460" t="s">
        <v>1980</v>
      </c>
      <c r="P669" s="460" t="s">
        <v>1979</v>
      </c>
      <c r="Q669" s="460" t="s">
        <v>95</v>
      </c>
      <c r="R669" s="460" t="s">
        <v>1977</v>
      </c>
      <c r="S669" s="460" t="s">
        <v>1842</v>
      </c>
      <c r="T669" s="460" t="s">
        <v>1827</v>
      </c>
      <c r="U669" s="461" t="s">
        <v>1976</v>
      </c>
      <c r="V669" s="460" t="s">
        <v>1119</v>
      </c>
      <c r="W669" s="560"/>
      <c r="X669" s="461" t="s">
        <v>2063</v>
      </c>
      <c r="Y669" s="461" t="s">
        <v>2063</v>
      </c>
      <c r="Z669" s="461" t="s">
        <v>2984</v>
      </c>
      <c r="AA669" s="460" t="s">
        <v>1218</v>
      </c>
      <c r="AB669" s="561">
        <f>ROUND(0,2)</f>
        <v>0</v>
      </c>
      <c r="AC669" s="460" t="s">
        <v>308</v>
      </c>
      <c r="AD669" s="460"/>
      <c r="AE669" s="561">
        <f>ROUND(36.23,2)</f>
        <v>36.229999999999997</v>
      </c>
      <c r="AF669" s="460" t="s">
        <v>308</v>
      </c>
      <c r="AG669" s="561">
        <f t="shared" si="10"/>
        <v>0</v>
      </c>
      <c r="AH669" s="460" t="s">
        <v>2671</v>
      </c>
      <c r="AI669" s="460" t="s">
        <v>1214</v>
      </c>
      <c r="AJ669" s="460"/>
      <c r="AK669" s="460"/>
      <c r="AL669" s="560"/>
      <c r="AM669" s="460"/>
    </row>
    <row r="670" spans="1:39" ht="22.8">
      <c r="A670" s="460" t="s">
        <v>1810</v>
      </c>
      <c r="B670" s="460"/>
      <c r="C670" s="460" t="s">
        <v>1708</v>
      </c>
      <c r="D670" s="460" t="s">
        <v>2065</v>
      </c>
      <c r="E670" s="460" t="s">
        <v>1814</v>
      </c>
      <c r="F670" s="460" t="s">
        <v>1812</v>
      </c>
      <c r="G670" s="461" t="s">
        <v>1218</v>
      </c>
      <c r="H670" s="461" t="s">
        <v>1850</v>
      </c>
      <c r="I670" s="460" t="s">
        <v>2064</v>
      </c>
      <c r="J670" s="460" t="s">
        <v>1983</v>
      </c>
      <c r="K670" s="460" t="s">
        <v>2669</v>
      </c>
      <c r="L670" s="460" t="s">
        <v>2703</v>
      </c>
      <c r="M670" s="460" t="s">
        <v>1982</v>
      </c>
      <c r="N670" s="460" t="s">
        <v>1981</v>
      </c>
      <c r="O670" s="460" t="s">
        <v>1980</v>
      </c>
      <c r="P670" s="460" t="s">
        <v>2675</v>
      </c>
      <c r="Q670" s="460" t="s">
        <v>2676</v>
      </c>
      <c r="R670" s="460" t="s">
        <v>2677</v>
      </c>
      <c r="S670" s="460" t="s">
        <v>2676</v>
      </c>
      <c r="T670" s="460" t="s">
        <v>1827</v>
      </c>
      <c r="U670" s="461" t="s">
        <v>1824</v>
      </c>
      <c r="V670" s="460" t="s">
        <v>1119</v>
      </c>
      <c r="W670" s="560"/>
      <c r="X670" s="461" t="s">
        <v>1824</v>
      </c>
      <c r="Y670" s="461" t="s">
        <v>1824</v>
      </c>
      <c r="Z670" s="461" t="s">
        <v>2984</v>
      </c>
      <c r="AA670" s="460" t="s">
        <v>1218</v>
      </c>
      <c r="AB670" s="561">
        <f>ROUND(50,2)</f>
        <v>50</v>
      </c>
      <c r="AC670" s="460" t="s">
        <v>2678</v>
      </c>
      <c r="AD670" s="460"/>
      <c r="AE670" s="561">
        <f>ROUND(500.05,2)</f>
        <v>500.05</v>
      </c>
      <c r="AF670" s="460" t="s">
        <v>2679</v>
      </c>
      <c r="AG670" s="561">
        <f t="shared" si="10"/>
        <v>0</v>
      </c>
      <c r="AH670" s="460" t="s">
        <v>2671</v>
      </c>
      <c r="AI670" s="460" t="s">
        <v>1214</v>
      </c>
      <c r="AJ670" s="460" t="s">
        <v>2550</v>
      </c>
      <c r="AK670" s="460" t="s">
        <v>2672</v>
      </c>
      <c r="AL670" s="560" t="s">
        <v>2690</v>
      </c>
      <c r="AM670" s="460" t="s">
        <v>2674</v>
      </c>
    </row>
    <row r="671" spans="1:39" ht="22.8">
      <c r="A671" s="460" t="s">
        <v>1810</v>
      </c>
      <c r="B671" s="460"/>
      <c r="C671" s="460" t="s">
        <v>1708</v>
      </c>
      <c r="D671" s="460" t="s">
        <v>2065</v>
      </c>
      <c r="E671" s="460" t="s">
        <v>1814</v>
      </c>
      <c r="F671" s="460" t="s">
        <v>1812</v>
      </c>
      <c r="G671" s="461" t="s">
        <v>1218</v>
      </c>
      <c r="H671" s="461" t="s">
        <v>1850</v>
      </c>
      <c r="I671" s="460" t="s">
        <v>2064</v>
      </c>
      <c r="J671" s="460" t="s">
        <v>1983</v>
      </c>
      <c r="K671" s="460" t="s">
        <v>2669</v>
      </c>
      <c r="L671" s="460" t="s">
        <v>2703</v>
      </c>
      <c r="M671" s="460" t="s">
        <v>1982</v>
      </c>
      <c r="N671" s="460" t="s">
        <v>1981</v>
      </c>
      <c r="O671" s="460" t="s">
        <v>1980</v>
      </c>
      <c r="P671" s="460" t="s">
        <v>1979</v>
      </c>
      <c r="Q671" s="460" t="s">
        <v>1978</v>
      </c>
      <c r="R671" s="460" t="s">
        <v>1977</v>
      </c>
      <c r="S671" s="460" t="s">
        <v>1826</v>
      </c>
      <c r="T671" s="460" t="s">
        <v>1827</v>
      </c>
      <c r="U671" s="461" t="s">
        <v>1976</v>
      </c>
      <c r="V671" s="460" t="s">
        <v>1119</v>
      </c>
      <c r="W671" s="560"/>
      <c r="X671" s="461" t="s">
        <v>2063</v>
      </c>
      <c r="Y671" s="461" t="s">
        <v>2063</v>
      </c>
      <c r="Z671" s="461" t="s">
        <v>2984</v>
      </c>
      <c r="AA671" s="460" t="s">
        <v>1218</v>
      </c>
      <c r="AB671" s="561">
        <f>ROUND(29.05,2)</f>
        <v>29.05</v>
      </c>
      <c r="AC671" s="460" t="s">
        <v>308</v>
      </c>
      <c r="AD671" s="460"/>
      <c r="AE671" s="561">
        <f>ROUND(825.23,2)</f>
        <v>825.23</v>
      </c>
      <c r="AF671" s="460" t="s">
        <v>308</v>
      </c>
      <c r="AG671" s="561">
        <f t="shared" si="10"/>
        <v>0</v>
      </c>
      <c r="AH671" s="460" t="s">
        <v>2671</v>
      </c>
      <c r="AI671" s="460" t="s">
        <v>1214</v>
      </c>
      <c r="AJ671" s="460" t="s">
        <v>2549</v>
      </c>
      <c r="AK671" s="460" t="s">
        <v>2672</v>
      </c>
      <c r="AL671" s="560" t="s">
        <v>2692</v>
      </c>
      <c r="AM671" s="460" t="s">
        <v>2674</v>
      </c>
    </row>
    <row r="672" spans="1:39" ht="22.8">
      <c r="A672" s="460" t="s">
        <v>1810</v>
      </c>
      <c r="B672" s="460"/>
      <c r="C672" s="460" t="s">
        <v>1729</v>
      </c>
      <c r="D672" s="460" t="s">
        <v>2062</v>
      </c>
      <c r="E672" s="460" t="s">
        <v>1821</v>
      </c>
      <c r="F672" s="460" t="s">
        <v>2015</v>
      </c>
      <c r="G672" s="461" t="s">
        <v>1218</v>
      </c>
      <c r="H672" s="461" t="s">
        <v>1852</v>
      </c>
      <c r="I672" s="460" t="s">
        <v>2029</v>
      </c>
      <c r="J672" s="460" t="s">
        <v>1983</v>
      </c>
      <c r="K672" s="460" t="s">
        <v>2669</v>
      </c>
      <c r="L672" s="460" t="s">
        <v>2750</v>
      </c>
      <c r="M672" s="460" t="s">
        <v>1994</v>
      </c>
      <c r="N672" s="460" t="s">
        <v>1981</v>
      </c>
      <c r="O672" s="460" t="s">
        <v>2001</v>
      </c>
      <c r="P672" s="460" t="s">
        <v>1979</v>
      </c>
      <c r="Q672" s="460" t="s">
        <v>95</v>
      </c>
      <c r="R672" s="460" t="s">
        <v>1977</v>
      </c>
      <c r="S672" s="460" t="s">
        <v>1842</v>
      </c>
      <c r="T672" s="460" t="s">
        <v>1827</v>
      </c>
      <c r="U672" s="461" t="s">
        <v>1976</v>
      </c>
      <c r="V672" s="460" t="s">
        <v>1843</v>
      </c>
      <c r="W672" s="560"/>
      <c r="X672" s="461" t="s">
        <v>2061</v>
      </c>
      <c r="Y672" s="461" t="s">
        <v>2061</v>
      </c>
      <c r="Z672" s="461" t="s">
        <v>170</v>
      </c>
      <c r="AA672" s="460" t="s">
        <v>1218</v>
      </c>
      <c r="AB672" s="561">
        <f>ROUND(30.41,2)</f>
        <v>30.41</v>
      </c>
      <c r="AC672" s="460" t="s">
        <v>308</v>
      </c>
      <c r="AD672" s="460"/>
      <c r="AE672" s="561">
        <f>ROUND(70.29,2)</f>
        <v>70.290000000000006</v>
      </c>
      <c r="AF672" s="460" t="s">
        <v>308</v>
      </c>
      <c r="AG672" s="561">
        <f t="shared" si="10"/>
        <v>0</v>
      </c>
      <c r="AH672" s="460" t="s">
        <v>2671</v>
      </c>
      <c r="AI672" s="460" t="s">
        <v>1214</v>
      </c>
      <c r="AJ672" s="460" t="s">
        <v>2548</v>
      </c>
      <c r="AK672" s="460" t="s">
        <v>2672</v>
      </c>
      <c r="AL672" s="560" t="s">
        <v>2673</v>
      </c>
      <c r="AM672" s="460" t="s">
        <v>2674</v>
      </c>
    </row>
    <row r="673" spans="1:39" ht="22.8">
      <c r="A673" s="460" t="s">
        <v>1810</v>
      </c>
      <c r="B673" s="460"/>
      <c r="C673" s="460" t="s">
        <v>1729</v>
      </c>
      <c r="D673" s="460" t="s">
        <v>2062</v>
      </c>
      <c r="E673" s="460" t="s">
        <v>1821</v>
      </c>
      <c r="F673" s="460" t="s">
        <v>2015</v>
      </c>
      <c r="G673" s="461" t="s">
        <v>1218</v>
      </c>
      <c r="H673" s="461" t="s">
        <v>1852</v>
      </c>
      <c r="I673" s="460" t="s">
        <v>2029</v>
      </c>
      <c r="J673" s="460" t="s">
        <v>1983</v>
      </c>
      <c r="K673" s="460" t="s">
        <v>2669</v>
      </c>
      <c r="L673" s="460" t="s">
        <v>2750</v>
      </c>
      <c r="M673" s="460" t="s">
        <v>1994</v>
      </c>
      <c r="N673" s="460" t="s">
        <v>1981</v>
      </c>
      <c r="O673" s="460" t="s">
        <v>2001</v>
      </c>
      <c r="P673" s="460" t="s">
        <v>2675</v>
      </c>
      <c r="Q673" s="460" t="s">
        <v>2676</v>
      </c>
      <c r="R673" s="460" t="s">
        <v>2677</v>
      </c>
      <c r="S673" s="460" t="s">
        <v>2676</v>
      </c>
      <c r="T673" s="460" t="s">
        <v>1827</v>
      </c>
      <c r="U673" s="461" t="s">
        <v>1824</v>
      </c>
      <c r="V673" s="460" t="s">
        <v>1119</v>
      </c>
      <c r="W673" s="560"/>
      <c r="X673" s="461" t="s">
        <v>2061</v>
      </c>
      <c r="Y673" s="461" t="s">
        <v>2061</v>
      </c>
      <c r="Z673" s="461" t="s">
        <v>170</v>
      </c>
      <c r="AA673" s="460" t="s">
        <v>1218</v>
      </c>
      <c r="AB673" s="561">
        <f>ROUND(150,2)</f>
        <v>150</v>
      </c>
      <c r="AC673" s="460" t="s">
        <v>2678</v>
      </c>
      <c r="AD673" s="460"/>
      <c r="AE673" s="561">
        <f>ROUND(500.05,2)</f>
        <v>500.05</v>
      </c>
      <c r="AF673" s="460" t="s">
        <v>2679</v>
      </c>
      <c r="AG673" s="561">
        <f t="shared" si="10"/>
        <v>0</v>
      </c>
      <c r="AH673" s="460" t="s">
        <v>2671</v>
      </c>
      <c r="AI673" s="460" t="s">
        <v>1214</v>
      </c>
      <c r="AJ673" s="460" t="s">
        <v>2550</v>
      </c>
      <c r="AK673" s="460" t="s">
        <v>2672</v>
      </c>
      <c r="AL673" s="560" t="s">
        <v>2741</v>
      </c>
      <c r="AM673" s="460" t="s">
        <v>2674</v>
      </c>
    </row>
    <row r="674" spans="1:39" ht="22.8">
      <c r="A674" s="460" t="s">
        <v>1810</v>
      </c>
      <c r="B674" s="460"/>
      <c r="C674" s="460" t="s">
        <v>1729</v>
      </c>
      <c r="D674" s="460" t="s">
        <v>2062</v>
      </c>
      <c r="E674" s="460" t="s">
        <v>1821</v>
      </c>
      <c r="F674" s="460" t="s">
        <v>2015</v>
      </c>
      <c r="G674" s="461" t="s">
        <v>1218</v>
      </c>
      <c r="H674" s="461" t="s">
        <v>1852</v>
      </c>
      <c r="I674" s="460" t="s">
        <v>2029</v>
      </c>
      <c r="J674" s="460" t="s">
        <v>1983</v>
      </c>
      <c r="K674" s="460" t="s">
        <v>2669</v>
      </c>
      <c r="L674" s="460" t="s">
        <v>2750</v>
      </c>
      <c r="M674" s="460" t="s">
        <v>1994</v>
      </c>
      <c r="N674" s="460" t="s">
        <v>1981</v>
      </c>
      <c r="O674" s="460" t="s">
        <v>2001</v>
      </c>
      <c r="P674" s="460" t="s">
        <v>1979</v>
      </c>
      <c r="Q674" s="460" t="s">
        <v>1978</v>
      </c>
      <c r="R674" s="460" t="s">
        <v>1977</v>
      </c>
      <c r="S674" s="460" t="s">
        <v>1826</v>
      </c>
      <c r="T674" s="460" t="s">
        <v>1827</v>
      </c>
      <c r="U674" s="461" t="s">
        <v>1976</v>
      </c>
      <c r="V674" s="460" t="s">
        <v>1119</v>
      </c>
      <c r="W674" s="560"/>
      <c r="X674" s="461" t="s">
        <v>2061</v>
      </c>
      <c r="Y674" s="461" t="s">
        <v>2061</v>
      </c>
      <c r="Z674" s="461" t="s">
        <v>170</v>
      </c>
      <c r="AA674" s="460" t="s">
        <v>1218</v>
      </c>
      <c r="AB674" s="561">
        <f>ROUND(45.28,2)</f>
        <v>45.28</v>
      </c>
      <c r="AC674" s="460" t="s">
        <v>308</v>
      </c>
      <c r="AD674" s="460"/>
      <c r="AE674" s="561">
        <f>ROUND(809,2)</f>
        <v>809</v>
      </c>
      <c r="AF674" s="460" t="s">
        <v>308</v>
      </c>
      <c r="AG674" s="561">
        <f t="shared" si="10"/>
        <v>0</v>
      </c>
      <c r="AH674" s="460" t="s">
        <v>2671</v>
      </c>
      <c r="AI674" s="460" t="s">
        <v>1214</v>
      </c>
      <c r="AJ674" s="460" t="s">
        <v>2549</v>
      </c>
      <c r="AK674" s="460" t="s">
        <v>2672</v>
      </c>
      <c r="AL674" s="560" t="s">
        <v>2752</v>
      </c>
      <c r="AM674" s="460" t="s">
        <v>2674</v>
      </c>
    </row>
    <row r="675" spans="1:39" ht="22.8">
      <c r="A675" s="460" t="s">
        <v>1810</v>
      </c>
      <c r="B675" s="460"/>
      <c r="C675" s="460" t="s">
        <v>1463</v>
      </c>
      <c r="D675" s="460" t="s">
        <v>2060</v>
      </c>
      <c r="E675" s="460" t="s">
        <v>1814</v>
      </c>
      <c r="F675" s="460" t="s">
        <v>1812</v>
      </c>
      <c r="G675" s="461" t="s">
        <v>1218</v>
      </c>
      <c r="H675" s="461" t="s">
        <v>209</v>
      </c>
      <c r="I675" s="460" t="s">
        <v>2059</v>
      </c>
      <c r="J675" s="460" t="s">
        <v>1983</v>
      </c>
      <c r="K675" s="460" t="s">
        <v>2669</v>
      </c>
      <c r="L675" s="460" t="s">
        <v>2703</v>
      </c>
      <c r="M675" s="460" t="s">
        <v>1982</v>
      </c>
      <c r="N675" s="460" t="s">
        <v>1981</v>
      </c>
      <c r="O675" s="460" t="s">
        <v>1980</v>
      </c>
      <c r="P675" s="460" t="s">
        <v>1979</v>
      </c>
      <c r="Q675" s="460" t="s">
        <v>95</v>
      </c>
      <c r="R675" s="460" t="s">
        <v>1977</v>
      </c>
      <c r="S675" s="460" t="s">
        <v>1842</v>
      </c>
      <c r="T675" s="460" t="s">
        <v>1827</v>
      </c>
      <c r="U675" s="461" t="s">
        <v>1976</v>
      </c>
      <c r="V675" s="460" t="s">
        <v>1843</v>
      </c>
      <c r="W675" s="560"/>
      <c r="X675" s="461" t="s">
        <v>1824</v>
      </c>
      <c r="Y675" s="461" t="s">
        <v>1824</v>
      </c>
      <c r="Z675" s="461" t="s">
        <v>170</v>
      </c>
      <c r="AA675" s="460" t="s">
        <v>1218</v>
      </c>
      <c r="AB675" s="561">
        <f>ROUND(30.41,2)</f>
        <v>30.41</v>
      </c>
      <c r="AC675" s="460" t="s">
        <v>308</v>
      </c>
      <c r="AD675" s="460"/>
      <c r="AE675" s="561">
        <f>ROUND(70.29,2)</f>
        <v>70.290000000000006</v>
      </c>
      <c r="AF675" s="460" t="s">
        <v>308</v>
      </c>
      <c r="AG675" s="561">
        <f t="shared" si="10"/>
        <v>0</v>
      </c>
      <c r="AH675" s="460" t="s">
        <v>2671</v>
      </c>
      <c r="AI675" s="460" t="s">
        <v>1214</v>
      </c>
      <c r="AJ675" s="460" t="s">
        <v>2548</v>
      </c>
      <c r="AK675" s="460" t="s">
        <v>2672</v>
      </c>
      <c r="AL675" s="560" t="s">
        <v>2673</v>
      </c>
      <c r="AM675" s="460" t="s">
        <v>2674</v>
      </c>
    </row>
    <row r="676" spans="1:39" ht="22.8">
      <c r="A676" s="460" t="s">
        <v>1810</v>
      </c>
      <c r="B676" s="460"/>
      <c r="C676" s="460" t="s">
        <v>1463</v>
      </c>
      <c r="D676" s="460" t="s">
        <v>2060</v>
      </c>
      <c r="E676" s="460" t="s">
        <v>1814</v>
      </c>
      <c r="F676" s="460" t="s">
        <v>1812</v>
      </c>
      <c r="G676" s="461" t="s">
        <v>1218</v>
      </c>
      <c r="H676" s="461" t="s">
        <v>209</v>
      </c>
      <c r="I676" s="460" t="s">
        <v>2059</v>
      </c>
      <c r="J676" s="460" t="s">
        <v>1983</v>
      </c>
      <c r="K676" s="460" t="s">
        <v>2669</v>
      </c>
      <c r="L676" s="460" t="s">
        <v>2703</v>
      </c>
      <c r="M676" s="460" t="s">
        <v>1982</v>
      </c>
      <c r="N676" s="460" t="s">
        <v>1981</v>
      </c>
      <c r="O676" s="460" t="s">
        <v>1980</v>
      </c>
      <c r="P676" s="460" t="s">
        <v>2675</v>
      </c>
      <c r="Q676" s="460" t="s">
        <v>2676</v>
      </c>
      <c r="R676" s="460" t="s">
        <v>2677</v>
      </c>
      <c r="S676" s="460" t="s">
        <v>2676</v>
      </c>
      <c r="T676" s="460" t="s">
        <v>1827</v>
      </c>
      <c r="U676" s="461" t="s">
        <v>1824</v>
      </c>
      <c r="V676" s="460" t="s">
        <v>1843</v>
      </c>
      <c r="W676" s="560"/>
      <c r="X676" s="461" t="s">
        <v>1824</v>
      </c>
      <c r="Y676" s="461" t="s">
        <v>1824</v>
      </c>
      <c r="Z676" s="461" t="s">
        <v>170</v>
      </c>
      <c r="AA676" s="460" t="s">
        <v>1218</v>
      </c>
      <c r="AB676" s="561">
        <f>ROUND(200,2)</f>
        <v>200</v>
      </c>
      <c r="AC676" s="460" t="s">
        <v>2678</v>
      </c>
      <c r="AD676" s="460"/>
      <c r="AE676" s="561">
        <f>ROUND(1000,2)</f>
        <v>1000</v>
      </c>
      <c r="AF676" s="460" t="s">
        <v>2679</v>
      </c>
      <c r="AG676" s="561">
        <f t="shared" si="10"/>
        <v>0</v>
      </c>
      <c r="AH676" s="460" t="s">
        <v>2671</v>
      </c>
      <c r="AI676" s="460" t="s">
        <v>1214</v>
      </c>
      <c r="AJ676" s="460" t="s">
        <v>2550</v>
      </c>
      <c r="AK676" s="460" t="s">
        <v>2672</v>
      </c>
      <c r="AL676" s="560" t="s">
        <v>2762</v>
      </c>
      <c r="AM676" s="460" t="s">
        <v>2674</v>
      </c>
    </row>
    <row r="677" spans="1:39" ht="22.8">
      <c r="A677" s="460" t="s">
        <v>1810</v>
      </c>
      <c r="B677" s="460"/>
      <c r="C677" s="460" t="s">
        <v>1463</v>
      </c>
      <c r="D677" s="460" t="s">
        <v>2060</v>
      </c>
      <c r="E677" s="460" t="s">
        <v>1814</v>
      </c>
      <c r="F677" s="460" t="s">
        <v>1812</v>
      </c>
      <c r="G677" s="461" t="s">
        <v>1218</v>
      </c>
      <c r="H677" s="461" t="s">
        <v>209</v>
      </c>
      <c r="I677" s="460" t="s">
        <v>2059</v>
      </c>
      <c r="J677" s="460" t="s">
        <v>1983</v>
      </c>
      <c r="K677" s="460" t="s">
        <v>2669</v>
      </c>
      <c r="L677" s="460" t="s">
        <v>2703</v>
      </c>
      <c r="M677" s="460" t="s">
        <v>1982</v>
      </c>
      <c r="N677" s="460" t="s">
        <v>1981</v>
      </c>
      <c r="O677" s="460" t="s">
        <v>1980</v>
      </c>
      <c r="P677" s="460" t="s">
        <v>1979</v>
      </c>
      <c r="Q677" s="460" t="s">
        <v>1978</v>
      </c>
      <c r="R677" s="460" t="s">
        <v>1977</v>
      </c>
      <c r="S677" s="460" t="s">
        <v>1826</v>
      </c>
      <c r="T677" s="460" t="s">
        <v>1827</v>
      </c>
      <c r="U677" s="461" t="s">
        <v>1976</v>
      </c>
      <c r="V677" s="460" t="s">
        <v>1843</v>
      </c>
      <c r="W677" s="560"/>
      <c r="X677" s="461" t="s">
        <v>1824</v>
      </c>
      <c r="Y677" s="461" t="s">
        <v>1824</v>
      </c>
      <c r="Z677" s="461" t="s">
        <v>170</v>
      </c>
      <c r="AA677" s="460" t="s">
        <v>1218</v>
      </c>
      <c r="AB677" s="561">
        <f>ROUND(603.2,2)</f>
        <v>603.20000000000005</v>
      </c>
      <c r="AC677" s="460" t="s">
        <v>308</v>
      </c>
      <c r="AD677" s="460"/>
      <c r="AE677" s="561">
        <f>ROUND(1528.26,2)</f>
        <v>1528.26</v>
      </c>
      <c r="AF677" s="460" t="s">
        <v>308</v>
      </c>
      <c r="AG677" s="561">
        <f t="shared" si="10"/>
        <v>0</v>
      </c>
      <c r="AH677" s="460" t="s">
        <v>2671</v>
      </c>
      <c r="AI677" s="460" t="s">
        <v>1214</v>
      </c>
      <c r="AJ677" s="460" t="s">
        <v>2549</v>
      </c>
      <c r="AK677" s="460" t="s">
        <v>2672</v>
      </c>
      <c r="AL677" s="560" t="s">
        <v>2702</v>
      </c>
      <c r="AM677" s="460" t="s">
        <v>2674</v>
      </c>
    </row>
    <row r="678" spans="1:39" ht="22.8">
      <c r="A678" s="460" t="s">
        <v>1810</v>
      </c>
      <c r="B678" s="460"/>
      <c r="C678" s="460" t="s">
        <v>1464</v>
      </c>
      <c r="D678" s="460" t="s">
        <v>2058</v>
      </c>
      <c r="E678" s="460" t="s">
        <v>1821</v>
      </c>
      <c r="F678" s="460" t="s">
        <v>1812</v>
      </c>
      <c r="G678" s="461" t="s">
        <v>1218</v>
      </c>
      <c r="H678" s="461" t="s">
        <v>255</v>
      </c>
      <c r="I678" s="460" t="s">
        <v>2057</v>
      </c>
      <c r="J678" s="460" t="s">
        <v>1983</v>
      </c>
      <c r="K678" s="460" t="s">
        <v>2669</v>
      </c>
      <c r="L678" s="460" t="s">
        <v>2714</v>
      </c>
      <c r="M678" s="460" t="s">
        <v>1994</v>
      </c>
      <c r="N678" s="460" t="s">
        <v>1981</v>
      </c>
      <c r="O678" s="460" t="s">
        <v>1980</v>
      </c>
      <c r="P678" s="460" t="s">
        <v>1979</v>
      </c>
      <c r="Q678" s="460" t="s">
        <v>95</v>
      </c>
      <c r="R678" s="460" t="s">
        <v>1977</v>
      </c>
      <c r="S678" s="460" t="s">
        <v>1842</v>
      </c>
      <c r="T678" s="460" t="s">
        <v>1827</v>
      </c>
      <c r="U678" s="461" t="s">
        <v>1976</v>
      </c>
      <c r="V678" s="460" t="s">
        <v>1843</v>
      </c>
      <c r="W678" s="560"/>
      <c r="X678" s="461" t="s">
        <v>1824</v>
      </c>
      <c r="Y678" s="461" t="s">
        <v>2773</v>
      </c>
      <c r="Z678" s="461" t="s">
        <v>170</v>
      </c>
      <c r="AA678" s="460" t="s">
        <v>1218</v>
      </c>
      <c r="AB678" s="561">
        <f>ROUND(30.41,2)</f>
        <v>30.41</v>
      </c>
      <c r="AC678" s="460" t="s">
        <v>308</v>
      </c>
      <c r="AD678" s="460"/>
      <c r="AE678" s="561">
        <f>ROUND(70.29,2)</f>
        <v>70.290000000000006</v>
      </c>
      <c r="AF678" s="460" t="s">
        <v>308</v>
      </c>
      <c r="AG678" s="561">
        <f t="shared" si="10"/>
        <v>0</v>
      </c>
      <c r="AH678" s="460" t="s">
        <v>2671</v>
      </c>
      <c r="AI678" s="460" t="s">
        <v>1214</v>
      </c>
      <c r="AJ678" s="460" t="s">
        <v>2548</v>
      </c>
      <c r="AK678" s="460" t="s">
        <v>2672</v>
      </c>
      <c r="AL678" s="560" t="s">
        <v>2673</v>
      </c>
      <c r="AM678" s="460" t="s">
        <v>2674</v>
      </c>
    </row>
    <row r="679" spans="1:39" ht="22.8">
      <c r="A679" s="460" t="s">
        <v>1810</v>
      </c>
      <c r="B679" s="460"/>
      <c r="C679" s="460" t="s">
        <v>1464</v>
      </c>
      <c r="D679" s="460" t="s">
        <v>2058</v>
      </c>
      <c r="E679" s="460" t="s">
        <v>1821</v>
      </c>
      <c r="F679" s="460" t="s">
        <v>1812</v>
      </c>
      <c r="G679" s="461" t="s">
        <v>1218</v>
      </c>
      <c r="H679" s="461" t="s">
        <v>255</v>
      </c>
      <c r="I679" s="460" t="s">
        <v>2057</v>
      </c>
      <c r="J679" s="460" t="s">
        <v>1983</v>
      </c>
      <c r="K679" s="460" t="s">
        <v>2669</v>
      </c>
      <c r="L679" s="460" t="s">
        <v>2714</v>
      </c>
      <c r="M679" s="460" t="s">
        <v>1994</v>
      </c>
      <c r="N679" s="460" t="s">
        <v>1981</v>
      </c>
      <c r="O679" s="460" t="s">
        <v>1980</v>
      </c>
      <c r="P679" s="460" t="s">
        <v>2675</v>
      </c>
      <c r="Q679" s="460" t="s">
        <v>2676</v>
      </c>
      <c r="R679" s="460" t="s">
        <v>2677</v>
      </c>
      <c r="S679" s="460" t="s">
        <v>2676</v>
      </c>
      <c r="T679" s="460" t="s">
        <v>1827</v>
      </c>
      <c r="U679" s="461" t="s">
        <v>1824</v>
      </c>
      <c r="V679" s="460" t="s">
        <v>1843</v>
      </c>
      <c r="W679" s="560"/>
      <c r="X679" s="461" t="s">
        <v>1824</v>
      </c>
      <c r="Y679" s="461" t="s">
        <v>1824</v>
      </c>
      <c r="Z679" s="461" t="s">
        <v>170</v>
      </c>
      <c r="AA679" s="460" t="s">
        <v>1218</v>
      </c>
      <c r="AB679" s="561">
        <f>ROUND(200,2)</f>
        <v>200</v>
      </c>
      <c r="AC679" s="460" t="s">
        <v>2678</v>
      </c>
      <c r="AD679" s="460"/>
      <c r="AE679" s="561">
        <f>ROUND(1000,2)</f>
        <v>1000</v>
      </c>
      <c r="AF679" s="460" t="s">
        <v>2679</v>
      </c>
      <c r="AG679" s="561">
        <f t="shared" si="10"/>
        <v>0</v>
      </c>
      <c r="AH679" s="460" t="s">
        <v>2671</v>
      </c>
      <c r="AI679" s="460" t="s">
        <v>1214</v>
      </c>
      <c r="AJ679" s="460" t="s">
        <v>2550</v>
      </c>
      <c r="AK679" s="460" t="s">
        <v>2672</v>
      </c>
      <c r="AL679" s="560" t="s">
        <v>2762</v>
      </c>
      <c r="AM679" s="460" t="s">
        <v>2674</v>
      </c>
    </row>
    <row r="680" spans="1:39" ht="22.8">
      <c r="A680" s="460" t="s">
        <v>1810</v>
      </c>
      <c r="B680" s="460"/>
      <c r="C680" s="460" t="s">
        <v>1464</v>
      </c>
      <c r="D680" s="460" t="s">
        <v>2058</v>
      </c>
      <c r="E680" s="460" t="s">
        <v>1821</v>
      </c>
      <c r="F680" s="460" t="s">
        <v>1812</v>
      </c>
      <c r="G680" s="461" t="s">
        <v>1218</v>
      </c>
      <c r="H680" s="461" t="s">
        <v>255</v>
      </c>
      <c r="I680" s="460" t="s">
        <v>2057</v>
      </c>
      <c r="J680" s="460" t="s">
        <v>1983</v>
      </c>
      <c r="K680" s="460" t="s">
        <v>2669</v>
      </c>
      <c r="L680" s="460" t="s">
        <v>2714</v>
      </c>
      <c r="M680" s="460" t="s">
        <v>1994</v>
      </c>
      <c r="N680" s="460" t="s">
        <v>1981</v>
      </c>
      <c r="O680" s="460" t="s">
        <v>1980</v>
      </c>
      <c r="P680" s="460" t="s">
        <v>1979</v>
      </c>
      <c r="Q680" s="460" t="s">
        <v>1978</v>
      </c>
      <c r="R680" s="460" t="s">
        <v>1977</v>
      </c>
      <c r="S680" s="460" t="s">
        <v>1826</v>
      </c>
      <c r="T680" s="460" t="s">
        <v>1827</v>
      </c>
      <c r="U680" s="461" t="s">
        <v>1976</v>
      </c>
      <c r="V680" s="460" t="s">
        <v>1843</v>
      </c>
      <c r="W680" s="560"/>
      <c r="X680" s="461" t="s">
        <v>1824</v>
      </c>
      <c r="Y680" s="461" t="s">
        <v>2773</v>
      </c>
      <c r="Z680" s="461" t="s">
        <v>170</v>
      </c>
      <c r="AA680" s="460" t="s">
        <v>1218</v>
      </c>
      <c r="AB680" s="561">
        <f>ROUND(603.2,2)</f>
        <v>603.20000000000005</v>
      </c>
      <c r="AC680" s="460" t="s">
        <v>308</v>
      </c>
      <c r="AD680" s="460"/>
      <c r="AE680" s="561">
        <f>ROUND(1528.26,2)</f>
        <v>1528.26</v>
      </c>
      <c r="AF680" s="460" t="s">
        <v>308</v>
      </c>
      <c r="AG680" s="561">
        <f t="shared" si="10"/>
        <v>0</v>
      </c>
      <c r="AH680" s="460" t="s">
        <v>2671</v>
      </c>
      <c r="AI680" s="460" t="s">
        <v>1214</v>
      </c>
      <c r="AJ680" s="460" t="s">
        <v>2549</v>
      </c>
      <c r="AK680" s="460" t="s">
        <v>2672</v>
      </c>
      <c r="AL680" s="560" t="s">
        <v>2702</v>
      </c>
      <c r="AM680" s="460" t="s">
        <v>2674</v>
      </c>
    </row>
    <row r="681" spans="1:39" ht="22.8">
      <c r="A681" s="460" t="s">
        <v>1810</v>
      </c>
      <c r="B681" s="460"/>
      <c r="C681" s="460" t="s">
        <v>2499</v>
      </c>
      <c r="D681" s="460" t="s">
        <v>2866</v>
      </c>
      <c r="E681" s="460" t="s">
        <v>1811</v>
      </c>
      <c r="F681" s="460" t="s">
        <v>1812</v>
      </c>
      <c r="G681" s="461" t="s">
        <v>1218</v>
      </c>
      <c r="H681" s="461" t="s">
        <v>2760</v>
      </c>
      <c r="I681" s="460" t="s">
        <v>1988</v>
      </c>
      <c r="J681" s="460" t="s">
        <v>1983</v>
      </c>
      <c r="K681" s="460" t="s">
        <v>2669</v>
      </c>
      <c r="L681" s="460" t="s">
        <v>2689</v>
      </c>
      <c r="M681" s="460" t="s">
        <v>1987</v>
      </c>
      <c r="N681" s="460" t="s">
        <v>1981</v>
      </c>
      <c r="O681" s="460" t="s">
        <v>1980</v>
      </c>
      <c r="P681" s="460" t="s">
        <v>1979</v>
      </c>
      <c r="Q681" s="460" t="s">
        <v>95</v>
      </c>
      <c r="R681" s="460" t="s">
        <v>1977</v>
      </c>
      <c r="S681" s="460" t="s">
        <v>1842</v>
      </c>
      <c r="T681" s="460" t="s">
        <v>1827</v>
      </c>
      <c r="U681" s="461" t="s">
        <v>1976</v>
      </c>
      <c r="V681" s="460" t="s">
        <v>1851</v>
      </c>
      <c r="W681" s="560"/>
      <c r="X681" s="461" t="s">
        <v>2747</v>
      </c>
      <c r="Y681" s="461" t="s">
        <v>2784</v>
      </c>
      <c r="Z681" s="461" t="s">
        <v>170</v>
      </c>
      <c r="AA681" s="460" t="s">
        <v>1218</v>
      </c>
      <c r="AB681" s="561">
        <f>ROUND(30.41,2)</f>
        <v>30.41</v>
      </c>
      <c r="AC681" s="460" t="s">
        <v>308</v>
      </c>
      <c r="AD681" s="460"/>
      <c r="AE681" s="561">
        <f>ROUND(70.29,2)</f>
        <v>70.290000000000006</v>
      </c>
      <c r="AF681" s="460" t="s">
        <v>308</v>
      </c>
      <c r="AG681" s="561">
        <f t="shared" si="10"/>
        <v>0</v>
      </c>
      <c r="AH681" s="460" t="s">
        <v>2671</v>
      </c>
      <c r="AI681" s="460" t="s">
        <v>1214</v>
      </c>
      <c r="AJ681" s="460" t="s">
        <v>2548</v>
      </c>
      <c r="AK681" s="460" t="s">
        <v>2672</v>
      </c>
      <c r="AL681" s="560" t="s">
        <v>2673</v>
      </c>
      <c r="AM681" s="460" t="s">
        <v>2674</v>
      </c>
    </row>
    <row r="682" spans="1:39" ht="22.8">
      <c r="A682" s="460" t="s">
        <v>1810</v>
      </c>
      <c r="B682" s="460"/>
      <c r="C682" s="460" t="s">
        <v>2499</v>
      </c>
      <c r="D682" s="460" t="s">
        <v>2866</v>
      </c>
      <c r="E682" s="460" t="s">
        <v>1811</v>
      </c>
      <c r="F682" s="460" t="s">
        <v>1812</v>
      </c>
      <c r="G682" s="461" t="s">
        <v>1218</v>
      </c>
      <c r="H682" s="461" t="s">
        <v>2760</v>
      </c>
      <c r="I682" s="460" t="s">
        <v>1988</v>
      </c>
      <c r="J682" s="460" t="s">
        <v>1983</v>
      </c>
      <c r="K682" s="460" t="s">
        <v>2669</v>
      </c>
      <c r="L682" s="460" t="s">
        <v>2689</v>
      </c>
      <c r="M682" s="460" t="s">
        <v>1987</v>
      </c>
      <c r="N682" s="460" t="s">
        <v>1981</v>
      </c>
      <c r="O682" s="460" t="s">
        <v>1980</v>
      </c>
      <c r="P682" s="460" t="s">
        <v>2675</v>
      </c>
      <c r="Q682" s="460" t="s">
        <v>2676</v>
      </c>
      <c r="R682" s="460" t="s">
        <v>2677</v>
      </c>
      <c r="S682" s="460" t="s">
        <v>2676</v>
      </c>
      <c r="T682" s="460" t="s">
        <v>1827</v>
      </c>
      <c r="U682" s="461" t="s">
        <v>1824</v>
      </c>
      <c r="V682" s="460" t="s">
        <v>1843</v>
      </c>
      <c r="W682" s="560"/>
      <c r="X682" s="461" t="s">
        <v>2784</v>
      </c>
      <c r="Y682" s="461" t="s">
        <v>2784</v>
      </c>
      <c r="Z682" s="461" t="s">
        <v>170</v>
      </c>
      <c r="AA682" s="460" t="s">
        <v>1218</v>
      </c>
      <c r="AB682" s="561">
        <f>ROUND(10,2)</f>
        <v>10</v>
      </c>
      <c r="AC682" s="460" t="s">
        <v>2678</v>
      </c>
      <c r="AD682" s="460"/>
      <c r="AE682" s="561">
        <f>ROUND(1000,2)</f>
        <v>1000</v>
      </c>
      <c r="AF682" s="460" t="s">
        <v>2679</v>
      </c>
      <c r="AG682" s="561">
        <f t="shared" si="10"/>
        <v>0</v>
      </c>
      <c r="AH682" s="460" t="s">
        <v>2671</v>
      </c>
      <c r="AI682" s="460" t="s">
        <v>1214</v>
      </c>
      <c r="AJ682" s="460" t="s">
        <v>2550</v>
      </c>
      <c r="AK682" s="460" t="s">
        <v>2672</v>
      </c>
      <c r="AL682" s="560" t="s">
        <v>2725</v>
      </c>
      <c r="AM682" s="460" t="s">
        <v>2674</v>
      </c>
    </row>
    <row r="683" spans="1:39" ht="22.8">
      <c r="A683" s="460" t="s">
        <v>1810</v>
      </c>
      <c r="B683" s="460"/>
      <c r="C683" s="460" t="s">
        <v>2499</v>
      </c>
      <c r="D683" s="460" t="s">
        <v>2866</v>
      </c>
      <c r="E683" s="460" t="s">
        <v>1811</v>
      </c>
      <c r="F683" s="460" t="s">
        <v>1812</v>
      </c>
      <c r="G683" s="461" t="s">
        <v>1218</v>
      </c>
      <c r="H683" s="461" t="s">
        <v>2760</v>
      </c>
      <c r="I683" s="460" t="s">
        <v>1988</v>
      </c>
      <c r="J683" s="460" t="s">
        <v>1983</v>
      </c>
      <c r="K683" s="460" t="s">
        <v>2669</v>
      </c>
      <c r="L683" s="460" t="s">
        <v>2689</v>
      </c>
      <c r="M683" s="460" t="s">
        <v>1987</v>
      </c>
      <c r="N683" s="460" t="s">
        <v>1981</v>
      </c>
      <c r="O683" s="460" t="s">
        <v>1980</v>
      </c>
      <c r="P683" s="460" t="s">
        <v>1979</v>
      </c>
      <c r="Q683" s="460" t="s">
        <v>1978</v>
      </c>
      <c r="R683" s="460" t="s">
        <v>1977</v>
      </c>
      <c r="S683" s="460" t="s">
        <v>1826</v>
      </c>
      <c r="T683" s="460" t="s">
        <v>1827</v>
      </c>
      <c r="U683" s="461" t="s">
        <v>1976</v>
      </c>
      <c r="V683" s="460" t="s">
        <v>1851</v>
      </c>
      <c r="W683" s="560"/>
      <c r="X683" s="461" t="s">
        <v>2747</v>
      </c>
      <c r="Y683" s="461" t="s">
        <v>2784</v>
      </c>
      <c r="Z683" s="461" t="s">
        <v>170</v>
      </c>
      <c r="AA683" s="460" t="s">
        <v>1218</v>
      </c>
      <c r="AB683" s="561">
        <f>ROUND(178.26,2)</f>
        <v>178.26</v>
      </c>
      <c r="AC683" s="460" t="s">
        <v>308</v>
      </c>
      <c r="AD683" s="460"/>
      <c r="AE683" s="561">
        <f>ROUND(1442.33,2)</f>
        <v>1442.33</v>
      </c>
      <c r="AF683" s="460" t="s">
        <v>308</v>
      </c>
      <c r="AG683" s="561">
        <f t="shared" si="10"/>
        <v>0</v>
      </c>
      <c r="AH683" s="460" t="s">
        <v>2671</v>
      </c>
      <c r="AI683" s="460" t="s">
        <v>1214</v>
      </c>
      <c r="AJ683" s="460" t="s">
        <v>2549</v>
      </c>
      <c r="AK683" s="460" t="s">
        <v>2672</v>
      </c>
      <c r="AL683" s="560" t="s">
        <v>2785</v>
      </c>
      <c r="AM683" s="460" t="s">
        <v>2674</v>
      </c>
    </row>
    <row r="684" spans="1:39" ht="22.8">
      <c r="A684" s="460" t="s">
        <v>1810</v>
      </c>
      <c r="B684" s="460"/>
      <c r="C684" s="460" t="s">
        <v>1472</v>
      </c>
      <c r="D684" s="460" t="s">
        <v>2056</v>
      </c>
      <c r="E684" s="460" t="s">
        <v>1814</v>
      </c>
      <c r="F684" s="460" t="s">
        <v>1812</v>
      </c>
      <c r="G684" s="461" t="s">
        <v>1218</v>
      </c>
      <c r="H684" s="461" t="s">
        <v>210</v>
      </c>
      <c r="I684" s="460" t="s">
        <v>2055</v>
      </c>
      <c r="J684" s="460" t="s">
        <v>1990</v>
      </c>
      <c r="K684" s="460" t="s">
        <v>2669</v>
      </c>
      <c r="L684" s="460" t="s">
        <v>2703</v>
      </c>
      <c r="M684" s="460" t="s">
        <v>1982</v>
      </c>
      <c r="N684" s="460" t="s">
        <v>1981</v>
      </c>
      <c r="O684" s="460" t="s">
        <v>1980</v>
      </c>
      <c r="P684" s="460" t="s">
        <v>1979</v>
      </c>
      <c r="Q684" s="460" t="s">
        <v>95</v>
      </c>
      <c r="R684" s="460" t="s">
        <v>1977</v>
      </c>
      <c r="S684" s="460" t="s">
        <v>1842</v>
      </c>
      <c r="T684" s="460" t="s">
        <v>1827</v>
      </c>
      <c r="U684" s="461" t="s">
        <v>1976</v>
      </c>
      <c r="V684" s="460" t="s">
        <v>1851</v>
      </c>
      <c r="W684" s="560"/>
      <c r="X684" s="461" t="s">
        <v>1824</v>
      </c>
      <c r="Y684" s="461" t="s">
        <v>2683</v>
      </c>
      <c r="Z684" s="461" t="s">
        <v>170</v>
      </c>
      <c r="AA684" s="460" t="s">
        <v>1218</v>
      </c>
      <c r="AB684" s="561">
        <f>ROUND(30.41,2)</f>
        <v>30.41</v>
      </c>
      <c r="AC684" s="460" t="s">
        <v>308</v>
      </c>
      <c r="AD684" s="460"/>
      <c r="AE684" s="561">
        <f>ROUND(70.29,2)</f>
        <v>70.290000000000006</v>
      </c>
      <c r="AF684" s="460" t="s">
        <v>308</v>
      </c>
      <c r="AG684" s="561">
        <f t="shared" si="10"/>
        <v>0</v>
      </c>
      <c r="AH684" s="460" t="s">
        <v>2671</v>
      </c>
      <c r="AI684" s="460" t="s">
        <v>1214</v>
      </c>
      <c r="AJ684" s="460" t="s">
        <v>2548</v>
      </c>
      <c r="AK684" s="460" t="s">
        <v>2672</v>
      </c>
      <c r="AL684" s="560" t="s">
        <v>2673</v>
      </c>
      <c r="AM684" s="460" t="s">
        <v>2674</v>
      </c>
    </row>
    <row r="685" spans="1:39" ht="22.8">
      <c r="A685" s="460" t="s">
        <v>1810</v>
      </c>
      <c r="B685" s="460"/>
      <c r="C685" s="460" t="s">
        <v>1472</v>
      </c>
      <c r="D685" s="460" t="s">
        <v>2056</v>
      </c>
      <c r="E685" s="460" t="s">
        <v>1814</v>
      </c>
      <c r="F685" s="460" t="s">
        <v>1812</v>
      </c>
      <c r="G685" s="461" t="s">
        <v>1218</v>
      </c>
      <c r="H685" s="461" t="s">
        <v>210</v>
      </c>
      <c r="I685" s="460" t="s">
        <v>2055</v>
      </c>
      <c r="J685" s="460" t="s">
        <v>1990</v>
      </c>
      <c r="K685" s="460" t="s">
        <v>2669</v>
      </c>
      <c r="L685" s="460" t="s">
        <v>2703</v>
      </c>
      <c r="M685" s="460" t="s">
        <v>1982</v>
      </c>
      <c r="N685" s="460" t="s">
        <v>1981</v>
      </c>
      <c r="O685" s="460" t="s">
        <v>1980</v>
      </c>
      <c r="P685" s="460" t="s">
        <v>2675</v>
      </c>
      <c r="Q685" s="460" t="s">
        <v>2676</v>
      </c>
      <c r="R685" s="460" t="s">
        <v>2677</v>
      </c>
      <c r="S685" s="460" t="s">
        <v>2676</v>
      </c>
      <c r="T685" s="460" t="s">
        <v>1827</v>
      </c>
      <c r="U685" s="461" t="s">
        <v>1824</v>
      </c>
      <c r="V685" s="460" t="s">
        <v>1843</v>
      </c>
      <c r="W685" s="560"/>
      <c r="X685" s="461" t="s">
        <v>1824</v>
      </c>
      <c r="Y685" s="461" t="s">
        <v>1824</v>
      </c>
      <c r="Z685" s="461" t="s">
        <v>170</v>
      </c>
      <c r="AA685" s="460" t="s">
        <v>1218</v>
      </c>
      <c r="AB685" s="561">
        <f>ROUND(80,2)</f>
        <v>80</v>
      </c>
      <c r="AC685" s="460" t="s">
        <v>2678</v>
      </c>
      <c r="AD685" s="460"/>
      <c r="AE685" s="561">
        <f>ROUND(1000,2)</f>
        <v>1000</v>
      </c>
      <c r="AF685" s="460" t="s">
        <v>2679</v>
      </c>
      <c r="AG685" s="561">
        <f t="shared" si="10"/>
        <v>0</v>
      </c>
      <c r="AH685" s="460" t="s">
        <v>2671</v>
      </c>
      <c r="AI685" s="460" t="s">
        <v>1214</v>
      </c>
      <c r="AJ685" s="460" t="s">
        <v>2550</v>
      </c>
      <c r="AK685" s="460" t="s">
        <v>2672</v>
      </c>
      <c r="AL685" s="560" t="s">
        <v>2753</v>
      </c>
      <c r="AM685" s="460" t="s">
        <v>2674</v>
      </c>
    </row>
    <row r="686" spans="1:39" ht="22.8">
      <c r="A686" s="460" t="s">
        <v>1810</v>
      </c>
      <c r="B686" s="460"/>
      <c r="C686" s="460" t="s">
        <v>1472</v>
      </c>
      <c r="D686" s="460" t="s">
        <v>2056</v>
      </c>
      <c r="E686" s="460" t="s">
        <v>1814</v>
      </c>
      <c r="F686" s="460" t="s">
        <v>1812</v>
      </c>
      <c r="G686" s="461" t="s">
        <v>1218</v>
      </c>
      <c r="H686" s="461" t="s">
        <v>210</v>
      </c>
      <c r="I686" s="460" t="s">
        <v>2055</v>
      </c>
      <c r="J686" s="460" t="s">
        <v>1990</v>
      </c>
      <c r="K686" s="460" t="s">
        <v>2669</v>
      </c>
      <c r="L686" s="460" t="s">
        <v>2703</v>
      </c>
      <c r="M686" s="460" t="s">
        <v>1982</v>
      </c>
      <c r="N686" s="460" t="s">
        <v>1981</v>
      </c>
      <c r="O686" s="460" t="s">
        <v>1980</v>
      </c>
      <c r="P686" s="460" t="s">
        <v>1979</v>
      </c>
      <c r="Q686" s="460" t="s">
        <v>1978</v>
      </c>
      <c r="R686" s="460" t="s">
        <v>1977</v>
      </c>
      <c r="S686" s="460" t="s">
        <v>1826</v>
      </c>
      <c r="T686" s="460" t="s">
        <v>1827</v>
      </c>
      <c r="U686" s="461" t="s">
        <v>1976</v>
      </c>
      <c r="V686" s="460" t="s">
        <v>1851</v>
      </c>
      <c r="W686" s="560"/>
      <c r="X686" s="461" t="s">
        <v>1824</v>
      </c>
      <c r="Y686" s="461" t="s">
        <v>1824</v>
      </c>
      <c r="Z686" s="461" t="s">
        <v>170</v>
      </c>
      <c r="AA686" s="460" t="s">
        <v>1218</v>
      </c>
      <c r="AB686" s="561">
        <f>ROUND(299.81,2)</f>
        <v>299.81</v>
      </c>
      <c r="AC686" s="460" t="s">
        <v>308</v>
      </c>
      <c r="AD686" s="460"/>
      <c r="AE686" s="561">
        <f>ROUND(1320.78,2)</f>
        <v>1320.78</v>
      </c>
      <c r="AF686" s="460" t="s">
        <v>308</v>
      </c>
      <c r="AG686" s="561">
        <f t="shared" si="10"/>
        <v>0</v>
      </c>
      <c r="AH686" s="460" t="s">
        <v>2671</v>
      </c>
      <c r="AI686" s="460" t="s">
        <v>1214</v>
      </c>
      <c r="AJ686" s="460" t="s">
        <v>2549</v>
      </c>
      <c r="AK686" s="460" t="s">
        <v>2672</v>
      </c>
      <c r="AL686" s="560" t="s">
        <v>2699</v>
      </c>
      <c r="AM686" s="460" t="s">
        <v>2674</v>
      </c>
    </row>
    <row r="687" spans="1:39" ht="22.8">
      <c r="A687" s="460" t="s">
        <v>1810</v>
      </c>
      <c r="B687" s="460"/>
      <c r="C687" s="460" t="s">
        <v>1510</v>
      </c>
      <c r="D687" s="460" t="s">
        <v>2053</v>
      </c>
      <c r="E687" s="460" t="s">
        <v>1814</v>
      </c>
      <c r="F687" s="460" t="s">
        <v>1812</v>
      </c>
      <c r="G687" s="461" t="s">
        <v>1218</v>
      </c>
      <c r="H687" s="461" t="s">
        <v>211</v>
      </c>
      <c r="I687" s="460" t="s">
        <v>2052</v>
      </c>
      <c r="J687" s="460" t="s">
        <v>1983</v>
      </c>
      <c r="K687" s="460" t="s">
        <v>2669</v>
      </c>
      <c r="L687" s="460" t="s">
        <v>2703</v>
      </c>
      <c r="M687" s="460" t="s">
        <v>1982</v>
      </c>
      <c r="N687" s="460" t="s">
        <v>1981</v>
      </c>
      <c r="O687" s="460" t="s">
        <v>1980</v>
      </c>
      <c r="P687" s="460" t="s">
        <v>1979</v>
      </c>
      <c r="Q687" s="460" t="s">
        <v>95</v>
      </c>
      <c r="R687" s="460" t="s">
        <v>1977</v>
      </c>
      <c r="S687" s="460" t="s">
        <v>1842</v>
      </c>
      <c r="T687" s="460" t="s">
        <v>1827</v>
      </c>
      <c r="U687" s="461" t="s">
        <v>1976</v>
      </c>
      <c r="V687" s="460" t="s">
        <v>1843</v>
      </c>
      <c r="W687" s="560"/>
      <c r="X687" s="461" t="s">
        <v>1824</v>
      </c>
      <c r="Y687" s="461" t="s">
        <v>1824</v>
      </c>
      <c r="Z687" s="461" t="s">
        <v>170</v>
      </c>
      <c r="AA687" s="460" t="s">
        <v>1218</v>
      </c>
      <c r="AB687" s="561">
        <f>ROUND(30.41,2)</f>
        <v>30.41</v>
      </c>
      <c r="AC687" s="460" t="s">
        <v>308</v>
      </c>
      <c r="AD687" s="460"/>
      <c r="AE687" s="561">
        <f>ROUND(70.29,2)</f>
        <v>70.290000000000006</v>
      </c>
      <c r="AF687" s="460" t="s">
        <v>308</v>
      </c>
      <c r="AG687" s="561">
        <f t="shared" si="10"/>
        <v>0</v>
      </c>
      <c r="AH687" s="460" t="s">
        <v>2671</v>
      </c>
      <c r="AI687" s="460" t="s">
        <v>1214</v>
      </c>
      <c r="AJ687" s="460" t="s">
        <v>2548</v>
      </c>
      <c r="AK687" s="460" t="s">
        <v>2672</v>
      </c>
      <c r="AL687" s="560" t="s">
        <v>2673</v>
      </c>
      <c r="AM687" s="460" t="s">
        <v>2674</v>
      </c>
    </row>
    <row r="688" spans="1:39" ht="22.8">
      <c r="A688" s="460" t="s">
        <v>1810</v>
      </c>
      <c r="B688" s="460"/>
      <c r="C688" s="460" t="s">
        <v>1510</v>
      </c>
      <c r="D688" s="460" t="s">
        <v>2053</v>
      </c>
      <c r="E688" s="460" t="s">
        <v>1814</v>
      </c>
      <c r="F688" s="460" t="s">
        <v>1812</v>
      </c>
      <c r="G688" s="461" t="s">
        <v>1218</v>
      </c>
      <c r="H688" s="461" t="s">
        <v>211</v>
      </c>
      <c r="I688" s="460" t="s">
        <v>2052</v>
      </c>
      <c r="J688" s="460" t="s">
        <v>1983</v>
      </c>
      <c r="K688" s="460" t="s">
        <v>2669</v>
      </c>
      <c r="L688" s="460" t="s">
        <v>2703</v>
      </c>
      <c r="M688" s="460" t="s">
        <v>1982</v>
      </c>
      <c r="N688" s="460" t="s">
        <v>1981</v>
      </c>
      <c r="O688" s="460" t="s">
        <v>1980</v>
      </c>
      <c r="P688" s="460" t="s">
        <v>2675</v>
      </c>
      <c r="Q688" s="460" t="s">
        <v>2676</v>
      </c>
      <c r="R688" s="460" t="s">
        <v>2677</v>
      </c>
      <c r="S688" s="460" t="s">
        <v>2676</v>
      </c>
      <c r="T688" s="460" t="s">
        <v>1827</v>
      </c>
      <c r="U688" s="461" t="s">
        <v>1824</v>
      </c>
      <c r="V688" s="460" t="s">
        <v>1843</v>
      </c>
      <c r="W688" s="560"/>
      <c r="X688" s="461" t="s">
        <v>1824</v>
      </c>
      <c r="Y688" s="461" t="s">
        <v>1824</v>
      </c>
      <c r="Z688" s="461" t="s">
        <v>170</v>
      </c>
      <c r="AA688" s="460" t="s">
        <v>1218</v>
      </c>
      <c r="AB688" s="561">
        <f>ROUND(10,2)</f>
        <v>10</v>
      </c>
      <c r="AC688" s="460" t="s">
        <v>2678</v>
      </c>
      <c r="AD688" s="460"/>
      <c r="AE688" s="561">
        <f>ROUND(1000,2)</f>
        <v>1000</v>
      </c>
      <c r="AF688" s="460" t="s">
        <v>2679</v>
      </c>
      <c r="AG688" s="561">
        <f t="shared" si="10"/>
        <v>0</v>
      </c>
      <c r="AH688" s="460" t="s">
        <v>2671</v>
      </c>
      <c r="AI688" s="460" t="s">
        <v>1214</v>
      </c>
      <c r="AJ688" s="460" t="s">
        <v>2550</v>
      </c>
      <c r="AK688" s="460" t="s">
        <v>2672</v>
      </c>
      <c r="AL688" s="560" t="s">
        <v>2725</v>
      </c>
      <c r="AM688" s="460" t="s">
        <v>2674</v>
      </c>
    </row>
    <row r="689" spans="1:39" ht="22.8">
      <c r="A689" s="460" t="s">
        <v>1810</v>
      </c>
      <c r="B689" s="460"/>
      <c r="C689" s="460" t="s">
        <v>1510</v>
      </c>
      <c r="D689" s="460" t="s">
        <v>2053</v>
      </c>
      <c r="E689" s="460" t="s">
        <v>1814</v>
      </c>
      <c r="F689" s="460" t="s">
        <v>1812</v>
      </c>
      <c r="G689" s="461" t="s">
        <v>1218</v>
      </c>
      <c r="H689" s="461" t="s">
        <v>211</v>
      </c>
      <c r="I689" s="460" t="s">
        <v>2052</v>
      </c>
      <c r="J689" s="460" t="s">
        <v>1983</v>
      </c>
      <c r="K689" s="460" t="s">
        <v>2669</v>
      </c>
      <c r="L689" s="460" t="s">
        <v>2703</v>
      </c>
      <c r="M689" s="460" t="s">
        <v>1982</v>
      </c>
      <c r="N689" s="460" t="s">
        <v>1981</v>
      </c>
      <c r="O689" s="460" t="s">
        <v>1980</v>
      </c>
      <c r="P689" s="460" t="s">
        <v>1979</v>
      </c>
      <c r="Q689" s="460" t="s">
        <v>1978</v>
      </c>
      <c r="R689" s="460" t="s">
        <v>1977</v>
      </c>
      <c r="S689" s="460" t="s">
        <v>1826</v>
      </c>
      <c r="T689" s="460" t="s">
        <v>1827</v>
      </c>
      <c r="U689" s="461" t="s">
        <v>1976</v>
      </c>
      <c r="V689" s="460" t="s">
        <v>1843</v>
      </c>
      <c r="W689" s="560"/>
      <c r="X689" s="461" t="s">
        <v>1824</v>
      </c>
      <c r="Y689" s="461" t="s">
        <v>1824</v>
      </c>
      <c r="Z689" s="461" t="s">
        <v>170</v>
      </c>
      <c r="AA689" s="460" t="s">
        <v>1218</v>
      </c>
      <c r="AB689" s="561">
        <f>ROUND(475.32,2)</f>
        <v>475.32</v>
      </c>
      <c r="AC689" s="460" t="s">
        <v>308</v>
      </c>
      <c r="AD689" s="460"/>
      <c r="AE689" s="561">
        <f>ROUND(1656.14,2)</f>
        <v>1656.14</v>
      </c>
      <c r="AF689" s="460" t="s">
        <v>308</v>
      </c>
      <c r="AG689" s="561">
        <f t="shared" si="10"/>
        <v>0</v>
      </c>
      <c r="AH689" s="460" t="s">
        <v>2671</v>
      </c>
      <c r="AI689" s="460" t="s">
        <v>1214</v>
      </c>
      <c r="AJ689" s="460" t="s">
        <v>2549</v>
      </c>
      <c r="AK689" s="460" t="s">
        <v>2672</v>
      </c>
      <c r="AL689" s="560" t="s">
        <v>2718</v>
      </c>
      <c r="AM689" s="460" t="s">
        <v>2674</v>
      </c>
    </row>
    <row r="690" spans="1:39" ht="34.200000000000003">
      <c r="A690" s="460" t="s">
        <v>1810</v>
      </c>
      <c r="B690" s="460"/>
      <c r="C690" s="460" t="s">
        <v>1573</v>
      </c>
      <c r="D690" s="460" t="s">
        <v>2051</v>
      </c>
      <c r="E690" s="460" t="s">
        <v>1840</v>
      </c>
      <c r="F690" s="460" t="s">
        <v>1812</v>
      </c>
      <c r="G690" s="461" t="s">
        <v>1218</v>
      </c>
      <c r="H690" s="461" t="s">
        <v>387</v>
      </c>
      <c r="I690" s="460" t="s">
        <v>2050</v>
      </c>
      <c r="J690" s="460" t="s">
        <v>1983</v>
      </c>
      <c r="K690" s="460" t="s">
        <v>2669</v>
      </c>
      <c r="L690" s="460" t="s">
        <v>2746</v>
      </c>
      <c r="M690" s="460" t="s">
        <v>1987</v>
      </c>
      <c r="N690" s="460" t="s">
        <v>1986</v>
      </c>
      <c r="O690" s="460" t="s">
        <v>1980</v>
      </c>
      <c r="P690" s="460" t="s">
        <v>1979</v>
      </c>
      <c r="Q690" s="460" t="s">
        <v>95</v>
      </c>
      <c r="R690" s="460" t="s">
        <v>1977</v>
      </c>
      <c r="S690" s="460" t="s">
        <v>1842</v>
      </c>
      <c r="T690" s="460" t="s">
        <v>1827</v>
      </c>
      <c r="U690" s="461" t="s">
        <v>1976</v>
      </c>
      <c r="V690" s="460" t="s">
        <v>1843</v>
      </c>
      <c r="W690" s="560"/>
      <c r="X690" s="461" t="s">
        <v>2049</v>
      </c>
      <c r="Y690" s="461" t="s">
        <v>2049</v>
      </c>
      <c r="Z690" s="461" t="s">
        <v>170</v>
      </c>
      <c r="AA690" s="460" t="s">
        <v>1218</v>
      </c>
      <c r="AB690" s="561">
        <f>ROUND(30.41,2)</f>
        <v>30.41</v>
      </c>
      <c r="AC690" s="460" t="s">
        <v>308</v>
      </c>
      <c r="AD690" s="460"/>
      <c r="AE690" s="561">
        <f>ROUND(70.29,2)</f>
        <v>70.290000000000006</v>
      </c>
      <c r="AF690" s="460" t="s">
        <v>308</v>
      </c>
      <c r="AG690" s="561">
        <f t="shared" si="10"/>
        <v>0</v>
      </c>
      <c r="AH690" s="460" t="s">
        <v>2671</v>
      </c>
      <c r="AI690" s="460" t="s">
        <v>1214</v>
      </c>
      <c r="AJ690" s="460" t="s">
        <v>2548</v>
      </c>
      <c r="AK690" s="460" t="s">
        <v>2672</v>
      </c>
      <c r="AL690" s="560" t="s">
        <v>2673</v>
      </c>
      <c r="AM690" s="460" t="s">
        <v>2674</v>
      </c>
    </row>
    <row r="691" spans="1:39" ht="34.200000000000003">
      <c r="A691" s="460" t="s">
        <v>1810</v>
      </c>
      <c r="B691" s="460"/>
      <c r="C691" s="460" t="s">
        <v>1573</v>
      </c>
      <c r="D691" s="460" t="s">
        <v>2051</v>
      </c>
      <c r="E691" s="460" t="s">
        <v>1840</v>
      </c>
      <c r="F691" s="460" t="s">
        <v>1812</v>
      </c>
      <c r="G691" s="461" t="s">
        <v>1218</v>
      </c>
      <c r="H691" s="461" t="s">
        <v>387</v>
      </c>
      <c r="I691" s="460" t="s">
        <v>2050</v>
      </c>
      <c r="J691" s="460" t="s">
        <v>1983</v>
      </c>
      <c r="K691" s="460" t="s">
        <v>2669</v>
      </c>
      <c r="L691" s="460" t="s">
        <v>2746</v>
      </c>
      <c r="M691" s="460" t="s">
        <v>1987</v>
      </c>
      <c r="N691" s="460" t="s">
        <v>1986</v>
      </c>
      <c r="O691" s="460" t="s">
        <v>1980</v>
      </c>
      <c r="P691" s="460" t="s">
        <v>2675</v>
      </c>
      <c r="Q691" s="460" t="s">
        <v>2676</v>
      </c>
      <c r="R691" s="460" t="s">
        <v>2677</v>
      </c>
      <c r="S691" s="460" t="s">
        <v>2676</v>
      </c>
      <c r="T691" s="460" t="s">
        <v>1827</v>
      </c>
      <c r="U691" s="461" t="s">
        <v>1824</v>
      </c>
      <c r="V691" s="460" t="s">
        <v>1843</v>
      </c>
      <c r="W691" s="560"/>
      <c r="X691" s="461" t="s">
        <v>2049</v>
      </c>
      <c r="Y691" s="461" t="s">
        <v>2683</v>
      </c>
      <c r="Z691" s="461" t="s">
        <v>170</v>
      </c>
      <c r="AA691" s="460" t="s">
        <v>1218</v>
      </c>
      <c r="AB691" s="561">
        <f>ROUND(25,2)</f>
        <v>25</v>
      </c>
      <c r="AC691" s="460" t="s">
        <v>2678</v>
      </c>
      <c r="AD691" s="460"/>
      <c r="AE691" s="561">
        <f>ROUND(1000,2)</f>
        <v>1000</v>
      </c>
      <c r="AF691" s="460" t="s">
        <v>2679</v>
      </c>
      <c r="AG691" s="561">
        <f t="shared" si="10"/>
        <v>0</v>
      </c>
      <c r="AH691" s="460" t="s">
        <v>2671</v>
      </c>
      <c r="AI691" s="460" t="s">
        <v>1214</v>
      </c>
      <c r="AJ691" s="460" t="s">
        <v>2550</v>
      </c>
      <c r="AK691" s="460" t="s">
        <v>2672</v>
      </c>
      <c r="AL691" s="560" t="s">
        <v>2680</v>
      </c>
      <c r="AM691" s="460" t="s">
        <v>2674</v>
      </c>
    </row>
    <row r="692" spans="1:39" ht="34.200000000000003">
      <c r="A692" s="460" t="s">
        <v>1810</v>
      </c>
      <c r="B692" s="460"/>
      <c r="C692" s="460" t="s">
        <v>1573</v>
      </c>
      <c r="D692" s="460" t="s">
        <v>2051</v>
      </c>
      <c r="E692" s="460" t="s">
        <v>1840</v>
      </c>
      <c r="F692" s="460" t="s">
        <v>1812</v>
      </c>
      <c r="G692" s="461" t="s">
        <v>1218</v>
      </c>
      <c r="H692" s="461" t="s">
        <v>387</v>
      </c>
      <c r="I692" s="460" t="s">
        <v>2050</v>
      </c>
      <c r="J692" s="460" t="s">
        <v>1983</v>
      </c>
      <c r="K692" s="460" t="s">
        <v>2669</v>
      </c>
      <c r="L692" s="460" t="s">
        <v>2746</v>
      </c>
      <c r="M692" s="460" t="s">
        <v>1987</v>
      </c>
      <c r="N692" s="460" t="s">
        <v>1986</v>
      </c>
      <c r="O692" s="460" t="s">
        <v>1980</v>
      </c>
      <c r="P692" s="460" t="s">
        <v>1979</v>
      </c>
      <c r="Q692" s="460" t="s">
        <v>1978</v>
      </c>
      <c r="R692" s="460" t="s">
        <v>1977</v>
      </c>
      <c r="S692" s="460" t="s">
        <v>1826</v>
      </c>
      <c r="T692" s="460" t="s">
        <v>1827</v>
      </c>
      <c r="U692" s="461" t="s">
        <v>1976</v>
      </c>
      <c r="V692" s="460" t="s">
        <v>1967</v>
      </c>
      <c r="W692" s="560"/>
      <c r="X692" s="461" t="s">
        <v>2049</v>
      </c>
      <c r="Y692" s="461" t="s">
        <v>2049</v>
      </c>
      <c r="Z692" s="461" t="s">
        <v>170</v>
      </c>
      <c r="AA692" s="460" t="s">
        <v>1218</v>
      </c>
      <c r="AB692" s="561">
        <f>ROUND(258.44,2)</f>
        <v>258.44</v>
      </c>
      <c r="AC692" s="460" t="s">
        <v>308</v>
      </c>
      <c r="AD692" s="460"/>
      <c r="AE692" s="561">
        <f>ROUND(1523.92,2)</f>
        <v>1523.92</v>
      </c>
      <c r="AF692" s="460" t="s">
        <v>308</v>
      </c>
      <c r="AG692" s="561">
        <f t="shared" si="10"/>
        <v>0</v>
      </c>
      <c r="AH692" s="460" t="s">
        <v>2671</v>
      </c>
      <c r="AI692" s="460" t="s">
        <v>1214</v>
      </c>
      <c r="AJ692" s="460" t="s">
        <v>2549</v>
      </c>
      <c r="AK692" s="460" t="s">
        <v>2672</v>
      </c>
      <c r="AL692" s="560" t="s">
        <v>2748</v>
      </c>
      <c r="AM692" s="460" t="s">
        <v>2674</v>
      </c>
    </row>
    <row r="693" spans="1:39" ht="22.8">
      <c r="A693" s="460" t="s">
        <v>1810</v>
      </c>
      <c r="B693" s="460"/>
      <c r="C693" s="460" t="s">
        <v>1508</v>
      </c>
      <c r="D693" s="460" t="s">
        <v>2048</v>
      </c>
      <c r="E693" s="460" t="s">
        <v>1814</v>
      </c>
      <c r="F693" s="460" t="s">
        <v>1812</v>
      </c>
      <c r="G693" s="461" t="s">
        <v>1218</v>
      </c>
      <c r="H693" s="461" t="s">
        <v>221</v>
      </c>
      <c r="I693" s="460" t="s">
        <v>2047</v>
      </c>
      <c r="J693" s="460" t="s">
        <v>1990</v>
      </c>
      <c r="K693" s="460" t="s">
        <v>2669</v>
      </c>
      <c r="L693" s="460" t="s">
        <v>2715</v>
      </c>
      <c r="M693" s="460" t="s">
        <v>1982</v>
      </c>
      <c r="N693" s="460" t="s">
        <v>1981</v>
      </c>
      <c r="O693" s="460" t="s">
        <v>1980</v>
      </c>
      <c r="P693" s="460" t="s">
        <v>1979</v>
      </c>
      <c r="Q693" s="460" t="s">
        <v>95</v>
      </c>
      <c r="R693" s="460" t="s">
        <v>1977</v>
      </c>
      <c r="S693" s="460" t="s">
        <v>1842</v>
      </c>
      <c r="T693" s="460" t="s">
        <v>1827</v>
      </c>
      <c r="U693" s="461" t="s">
        <v>1976</v>
      </c>
      <c r="V693" s="460" t="s">
        <v>1119</v>
      </c>
      <c r="W693" s="560"/>
      <c r="X693" s="461" t="s">
        <v>1824</v>
      </c>
      <c r="Y693" s="461" t="s">
        <v>1824</v>
      </c>
      <c r="Z693" s="461" t="s">
        <v>170</v>
      </c>
      <c r="AA693" s="460" t="s">
        <v>1218</v>
      </c>
      <c r="AB693" s="561">
        <f>ROUND(0,2)</f>
        <v>0</v>
      </c>
      <c r="AC693" s="460" t="s">
        <v>308</v>
      </c>
      <c r="AD693" s="460"/>
      <c r="AE693" s="561">
        <f>ROUND(36.23,2)</f>
        <v>36.229999999999997</v>
      </c>
      <c r="AF693" s="460" t="s">
        <v>308</v>
      </c>
      <c r="AG693" s="561">
        <f t="shared" si="10"/>
        <v>0</v>
      </c>
      <c r="AH693" s="460" t="s">
        <v>2671</v>
      </c>
      <c r="AI693" s="460" t="s">
        <v>1214</v>
      </c>
      <c r="AJ693" s="460"/>
      <c r="AK693" s="460"/>
      <c r="AL693" s="560"/>
      <c r="AM693" s="460"/>
    </row>
    <row r="694" spans="1:39" ht="22.8">
      <c r="A694" s="460" t="s">
        <v>1810</v>
      </c>
      <c r="B694" s="460"/>
      <c r="C694" s="460" t="s">
        <v>1508</v>
      </c>
      <c r="D694" s="460" t="s">
        <v>2048</v>
      </c>
      <c r="E694" s="460" t="s">
        <v>1814</v>
      </c>
      <c r="F694" s="460" t="s">
        <v>1812</v>
      </c>
      <c r="G694" s="461" t="s">
        <v>1218</v>
      </c>
      <c r="H694" s="461" t="s">
        <v>221</v>
      </c>
      <c r="I694" s="460" t="s">
        <v>2047</v>
      </c>
      <c r="J694" s="460" t="s">
        <v>1990</v>
      </c>
      <c r="K694" s="460" t="s">
        <v>2669</v>
      </c>
      <c r="L694" s="460" t="s">
        <v>2715</v>
      </c>
      <c r="M694" s="460" t="s">
        <v>1982</v>
      </c>
      <c r="N694" s="460" t="s">
        <v>1981</v>
      </c>
      <c r="O694" s="460" t="s">
        <v>1980</v>
      </c>
      <c r="P694" s="460" t="s">
        <v>2675</v>
      </c>
      <c r="Q694" s="460" t="s">
        <v>2676</v>
      </c>
      <c r="R694" s="460" t="s">
        <v>2677</v>
      </c>
      <c r="S694" s="460" t="s">
        <v>2676</v>
      </c>
      <c r="T694" s="460" t="s">
        <v>1827</v>
      </c>
      <c r="U694" s="461" t="s">
        <v>1824</v>
      </c>
      <c r="V694" s="460" t="s">
        <v>1119</v>
      </c>
      <c r="W694" s="560"/>
      <c r="X694" s="461" t="s">
        <v>1824</v>
      </c>
      <c r="Y694" s="461" t="s">
        <v>2867</v>
      </c>
      <c r="Z694" s="461" t="s">
        <v>170</v>
      </c>
      <c r="AA694" s="460" t="s">
        <v>1218</v>
      </c>
      <c r="AB694" s="561">
        <f>ROUND(165,2)</f>
        <v>165</v>
      </c>
      <c r="AC694" s="460" t="s">
        <v>2678</v>
      </c>
      <c r="AD694" s="460"/>
      <c r="AE694" s="561">
        <f>ROUND(500.05,2)</f>
        <v>500.05</v>
      </c>
      <c r="AF694" s="460" t="s">
        <v>2679</v>
      </c>
      <c r="AG694" s="561">
        <f t="shared" si="10"/>
        <v>0</v>
      </c>
      <c r="AH694" s="460" t="s">
        <v>2671</v>
      </c>
      <c r="AI694" s="460" t="s">
        <v>1214</v>
      </c>
      <c r="AJ694" s="460" t="s">
        <v>2550</v>
      </c>
      <c r="AK694" s="460" t="s">
        <v>2672</v>
      </c>
      <c r="AL694" s="560" t="s">
        <v>2868</v>
      </c>
      <c r="AM694" s="460" t="s">
        <v>2674</v>
      </c>
    </row>
    <row r="695" spans="1:39" ht="22.8">
      <c r="A695" s="460" t="s">
        <v>1810</v>
      </c>
      <c r="B695" s="460"/>
      <c r="C695" s="460" t="s">
        <v>1508</v>
      </c>
      <c r="D695" s="460" t="s">
        <v>2048</v>
      </c>
      <c r="E695" s="460" t="s">
        <v>1814</v>
      </c>
      <c r="F695" s="460" t="s">
        <v>1812</v>
      </c>
      <c r="G695" s="461" t="s">
        <v>1218</v>
      </c>
      <c r="H695" s="461" t="s">
        <v>221</v>
      </c>
      <c r="I695" s="460" t="s">
        <v>2047</v>
      </c>
      <c r="J695" s="460" t="s">
        <v>1990</v>
      </c>
      <c r="K695" s="460" t="s">
        <v>2669</v>
      </c>
      <c r="L695" s="460" t="s">
        <v>2715</v>
      </c>
      <c r="M695" s="460" t="s">
        <v>1982</v>
      </c>
      <c r="N695" s="460" t="s">
        <v>1981</v>
      </c>
      <c r="O695" s="460" t="s">
        <v>1980</v>
      </c>
      <c r="P695" s="460" t="s">
        <v>1979</v>
      </c>
      <c r="Q695" s="460" t="s">
        <v>1978</v>
      </c>
      <c r="R695" s="460" t="s">
        <v>1977</v>
      </c>
      <c r="S695" s="460" t="s">
        <v>1826</v>
      </c>
      <c r="T695" s="460" t="s">
        <v>1827</v>
      </c>
      <c r="U695" s="461" t="s">
        <v>1976</v>
      </c>
      <c r="V695" s="460" t="s">
        <v>1119</v>
      </c>
      <c r="W695" s="560"/>
      <c r="X695" s="461" t="s">
        <v>1824</v>
      </c>
      <c r="Y695" s="461" t="s">
        <v>1824</v>
      </c>
      <c r="Z695" s="461" t="s">
        <v>170</v>
      </c>
      <c r="AA695" s="460" t="s">
        <v>1218</v>
      </c>
      <c r="AB695" s="561">
        <f>ROUND(29.05,2)</f>
        <v>29.05</v>
      </c>
      <c r="AC695" s="460" t="s">
        <v>308</v>
      </c>
      <c r="AD695" s="460"/>
      <c r="AE695" s="561">
        <f>ROUND(825.23,2)</f>
        <v>825.23</v>
      </c>
      <c r="AF695" s="460" t="s">
        <v>308</v>
      </c>
      <c r="AG695" s="561">
        <f t="shared" si="10"/>
        <v>0</v>
      </c>
      <c r="AH695" s="460" t="s">
        <v>2671</v>
      </c>
      <c r="AI695" s="460" t="s">
        <v>1214</v>
      </c>
      <c r="AJ695" s="460" t="s">
        <v>2549</v>
      </c>
      <c r="AK695" s="460" t="s">
        <v>2672</v>
      </c>
      <c r="AL695" s="560" t="s">
        <v>2692</v>
      </c>
      <c r="AM695" s="460" t="s">
        <v>2674</v>
      </c>
    </row>
    <row r="696" spans="1:39" ht="22.8">
      <c r="A696" s="460" t="s">
        <v>1810</v>
      </c>
      <c r="B696" s="460"/>
      <c r="C696" s="460" t="s">
        <v>2513</v>
      </c>
      <c r="D696" s="460" t="s">
        <v>2869</v>
      </c>
      <c r="E696" s="460" t="s">
        <v>1816</v>
      </c>
      <c r="F696" s="460" t="s">
        <v>1812</v>
      </c>
      <c r="G696" s="461" t="s">
        <v>1218</v>
      </c>
      <c r="H696" s="461" t="s">
        <v>2723</v>
      </c>
      <c r="I696" s="460" t="s">
        <v>2092</v>
      </c>
      <c r="J696" s="460" t="s">
        <v>1990</v>
      </c>
      <c r="K696" s="460" t="s">
        <v>2669</v>
      </c>
      <c r="L696" s="460" t="s">
        <v>2870</v>
      </c>
      <c r="M696" s="460" t="s">
        <v>2022</v>
      </c>
      <c r="N696" s="460" t="s">
        <v>2021</v>
      </c>
      <c r="O696" s="460" t="s">
        <v>2001</v>
      </c>
      <c r="P696" s="460" t="s">
        <v>1979</v>
      </c>
      <c r="Q696" s="460" t="s">
        <v>95</v>
      </c>
      <c r="R696" s="460" t="s">
        <v>1977</v>
      </c>
      <c r="S696" s="460" t="s">
        <v>1842</v>
      </c>
      <c r="T696" s="460" t="s">
        <v>1827</v>
      </c>
      <c r="U696" s="461" t="s">
        <v>1976</v>
      </c>
      <c r="V696" s="460" t="s">
        <v>1851</v>
      </c>
      <c r="W696" s="560"/>
      <c r="X696" s="461" t="s">
        <v>2724</v>
      </c>
      <c r="Y696" s="461" t="s">
        <v>2724</v>
      </c>
      <c r="Z696" s="461" t="s">
        <v>170</v>
      </c>
      <c r="AA696" s="460" t="s">
        <v>1218</v>
      </c>
      <c r="AB696" s="561">
        <f>ROUND(30.41,2)</f>
        <v>30.41</v>
      </c>
      <c r="AC696" s="460" t="s">
        <v>308</v>
      </c>
      <c r="AD696" s="460"/>
      <c r="AE696" s="561">
        <f>ROUND(70.29,2)</f>
        <v>70.290000000000006</v>
      </c>
      <c r="AF696" s="460" t="s">
        <v>308</v>
      </c>
      <c r="AG696" s="561">
        <f t="shared" si="10"/>
        <v>0</v>
      </c>
      <c r="AH696" s="460" t="s">
        <v>2671</v>
      </c>
      <c r="AI696" s="460" t="s">
        <v>1214</v>
      </c>
      <c r="AJ696" s="460" t="s">
        <v>2548</v>
      </c>
      <c r="AK696" s="460" t="s">
        <v>2672</v>
      </c>
      <c r="AL696" s="560" t="s">
        <v>2673</v>
      </c>
      <c r="AM696" s="460" t="s">
        <v>2674</v>
      </c>
    </row>
    <row r="697" spans="1:39" ht="22.8">
      <c r="A697" s="460" t="s">
        <v>1810</v>
      </c>
      <c r="B697" s="460"/>
      <c r="C697" s="460" t="s">
        <v>2513</v>
      </c>
      <c r="D697" s="460" t="s">
        <v>2869</v>
      </c>
      <c r="E697" s="460" t="s">
        <v>1816</v>
      </c>
      <c r="F697" s="460" t="s">
        <v>1812</v>
      </c>
      <c r="G697" s="461" t="s">
        <v>1218</v>
      </c>
      <c r="H697" s="461" t="s">
        <v>2723</v>
      </c>
      <c r="I697" s="460" t="s">
        <v>2092</v>
      </c>
      <c r="J697" s="460" t="s">
        <v>1990</v>
      </c>
      <c r="K697" s="460" t="s">
        <v>2669</v>
      </c>
      <c r="L697" s="460" t="s">
        <v>2870</v>
      </c>
      <c r="M697" s="460" t="s">
        <v>2022</v>
      </c>
      <c r="N697" s="460" t="s">
        <v>2021</v>
      </c>
      <c r="O697" s="460" t="s">
        <v>2001</v>
      </c>
      <c r="P697" s="460" t="s">
        <v>2675</v>
      </c>
      <c r="Q697" s="460" t="s">
        <v>2676</v>
      </c>
      <c r="R697" s="460" t="s">
        <v>2677</v>
      </c>
      <c r="S697" s="460" t="s">
        <v>2676</v>
      </c>
      <c r="T697" s="460" t="s">
        <v>1827</v>
      </c>
      <c r="U697" s="461" t="s">
        <v>1824</v>
      </c>
      <c r="V697" s="460" t="s">
        <v>1843</v>
      </c>
      <c r="W697" s="560"/>
      <c r="X697" s="461" t="s">
        <v>2724</v>
      </c>
      <c r="Y697" s="461" t="s">
        <v>2724</v>
      </c>
      <c r="Z697" s="461" t="s">
        <v>170</v>
      </c>
      <c r="AA697" s="460" t="s">
        <v>1218</v>
      </c>
      <c r="AB697" s="561">
        <f>ROUND(0,2)</f>
        <v>0</v>
      </c>
      <c r="AC697" s="460" t="s">
        <v>2678</v>
      </c>
      <c r="AD697" s="460"/>
      <c r="AE697" s="561">
        <f>ROUND(1000,2)</f>
        <v>1000</v>
      </c>
      <c r="AF697" s="460" t="s">
        <v>2679</v>
      </c>
      <c r="AG697" s="561">
        <f t="shared" si="10"/>
        <v>0</v>
      </c>
      <c r="AH697" s="460" t="s">
        <v>2671</v>
      </c>
      <c r="AI697" s="460" t="s">
        <v>1214</v>
      </c>
      <c r="AJ697" s="460"/>
      <c r="AK697" s="460"/>
      <c r="AL697" s="560"/>
      <c r="AM697" s="460"/>
    </row>
    <row r="698" spans="1:39" ht="22.8">
      <c r="A698" s="460" t="s">
        <v>1810</v>
      </c>
      <c r="B698" s="460"/>
      <c r="C698" s="460" t="s">
        <v>2513</v>
      </c>
      <c r="D698" s="460" t="s">
        <v>2869</v>
      </c>
      <c r="E698" s="460" t="s">
        <v>1816</v>
      </c>
      <c r="F698" s="460" t="s">
        <v>1812</v>
      </c>
      <c r="G698" s="461" t="s">
        <v>1218</v>
      </c>
      <c r="H698" s="461" t="s">
        <v>2723</v>
      </c>
      <c r="I698" s="460" t="s">
        <v>2092</v>
      </c>
      <c r="J698" s="460" t="s">
        <v>1990</v>
      </c>
      <c r="K698" s="460" t="s">
        <v>2669</v>
      </c>
      <c r="L698" s="460" t="s">
        <v>2870</v>
      </c>
      <c r="M698" s="460" t="s">
        <v>2022</v>
      </c>
      <c r="N698" s="460" t="s">
        <v>2021</v>
      </c>
      <c r="O698" s="460" t="s">
        <v>2001</v>
      </c>
      <c r="P698" s="460" t="s">
        <v>1979</v>
      </c>
      <c r="Q698" s="460" t="s">
        <v>1978</v>
      </c>
      <c r="R698" s="460" t="s">
        <v>1977</v>
      </c>
      <c r="S698" s="460" t="s">
        <v>1826</v>
      </c>
      <c r="T698" s="460" t="s">
        <v>1827</v>
      </c>
      <c r="U698" s="461" t="s">
        <v>1976</v>
      </c>
      <c r="V698" s="460" t="s">
        <v>1851</v>
      </c>
      <c r="W698" s="560"/>
      <c r="X698" s="461" t="s">
        <v>2724</v>
      </c>
      <c r="Y698" s="461" t="s">
        <v>2724</v>
      </c>
      <c r="Z698" s="461" t="s">
        <v>170</v>
      </c>
      <c r="AA698" s="460" t="s">
        <v>1218</v>
      </c>
      <c r="AB698" s="561">
        <f>ROUND(226.88,2)</f>
        <v>226.88</v>
      </c>
      <c r="AC698" s="460" t="s">
        <v>308</v>
      </c>
      <c r="AD698" s="460"/>
      <c r="AE698" s="561">
        <f>ROUND(1393.71,2)</f>
        <v>1393.71</v>
      </c>
      <c r="AF698" s="460" t="s">
        <v>308</v>
      </c>
      <c r="AG698" s="561">
        <f t="shared" si="10"/>
        <v>0</v>
      </c>
      <c r="AH698" s="460" t="s">
        <v>2671</v>
      </c>
      <c r="AI698" s="460" t="s">
        <v>1214</v>
      </c>
      <c r="AJ698" s="460" t="s">
        <v>2549</v>
      </c>
      <c r="AK698" s="460" t="s">
        <v>2672</v>
      </c>
      <c r="AL698" s="560" t="s">
        <v>2681</v>
      </c>
      <c r="AM698" s="460" t="s">
        <v>2674</v>
      </c>
    </row>
    <row r="699" spans="1:39" ht="22.8">
      <c r="A699" s="460" t="s">
        <v>1810</v>
      </c>
      <c r="B699" s="460"/>
      <c r="C699" s="460" t="s">
        <v>1465</v>
      </c>
      <c r="D699" s="460" t="s">
        <v>2380</v>
      </c>
      <c r="E699" s="460" t="s">
        <v>1814</v>
      </c>
      <c r="F699" s="460" t="s">
        <v>1812</v>
      </c>
      <c r="G699" s="461" t="s">
        <v>1218</v>
      </c>
      <c r="H699" s="461" t="s">
        <v>212</v>
      </c>
      <c r="I699" s="460" t="s">
        <v>2379</v>
      </c>
      <c r="J699" s="460" t="s">
        <v>1983</v>
      </c>
      <c r="K699" s="460" t="s">
        <v>2669</v>
      </c>
      <c r="L699" s="460" t="s">
        <v>2703</v>
      </c>
      <c r="M699" s="460" t="s">
        <v>1982</v>
      </c>
      <c r="N699" s="460" t="s">
        <v>1981</v>
      </c>
      <c r="O699" s="460" t="s">
        <v>1980</v>
      </c>
      <c r="P699" s="460" t="s">
        <v>1979</v>
      </c>
      <c r="Q699" s="460" t="s">
        <v>95</v>
      </c>
      <c r="R699" s="460" t="s">
        <v>1977</v>
      </c>
      <c r="S699" s="460" t="s">
        <v>1842</v>
      </c>
      <c r="T699" s="460" t="s">
        <v>1827</v>
      </c>
      <c r="U699" s="461" t="s">
        <v>1976</v>
      </c>
      <c r="V699" s="460" t="s">
        <v>1843</v>
      </c>
      <c r="W699" s="560"/>
      <c r="X699" s="461" t="s">
        <v>1824</v>
      </c>
      <c r="Y699" s="461" t="s">
        <v>1824</v>
      </c>
      <c r="Z699" s="461" t="s">
        <v>170</v>
      </c>
      <c r="AA699" s="460" t="s">
        <v>1218</v>
      </c>
      <c r="AB699" s="561">
        <f>ROUND(30.41,2)</f>
        <v>30.41</v>
      </c>
      <c r="AC699" s="460" t="s">
        <v>308</v>
      </c>
      <c r="AD699" s="460"/>
      <c r="AE699" s="561">
        <f>ROUND(70.29,2)</f>
        <v>70.290000000000006</v>
      </c>
      <c r="AF699" s="460" t="s">
        <v>308</v>
      </c>
      <c r="AG699" s="561">
        <f t="shared" si="10"/>
        <v>0</v>
      </c>
      <c r="AH699" s="460" t="s">
        <v>2671</v>
      </c>
      <c r="AI699" s="460" t="s">
        <v>1214</v>
      </c>
      <c r="AJ699" s="460" t="s">
        <v>2548</v>
      </c>
      <c r="AK699" s="460" t="s">
        <v>2672</v>
      </c>
      <c r="AL699" s="560" t="s">
        <v>2673</v>
      </c>
      <c r="AM699" s="460" t="s">
        <v>2674</v>
      </c>
    </row>
    <row r="700" spans="1:39" ht="34.200000000000003">
      <c r="A700" s="460" t="s">
        <v>1810</v>
      </c>
      <c r="B700" s="460"/>
      <c r="C700" s="460" t="s">
        <v>1630</v>
      </c>
      <c r="D700" s="460" t="s">
        <v>2046</v>
      </c>
      <c r="E700" s="460" t="s">
        <v>1835</v>
      </c>
      <c r="F700" s="460" t="s">
        <v>1812</v>
      </c>
      <c r="G700" s="461" t="s">
        <v>1218</v>
      </c>
      <c r="H700" s="461" t="s">
        <v>1037</v>
      </c>
      <c r="I700" s="460" t="s">
        <v>2045</v>
      </c>
      <c r="J700" s="460" t="s">
        <v>1990</v>
      </c>
      <c r="K700" s="460" t="s">
        <v>2669</v>
      </c>
      <c r="L700" s="460" t="s">
        <v>2769</v>
      </c>
      <c r="M700" s="460" t="s">
        <v>2002</v>
      </c>
      <c r="N700" s="460" t="s">
        <v>1986</v>
      </c>
      <c r="O700" s="460" t="s">
        <v>1980</v>
      </c>
      <c r="P700" s="460" t="s">
        <v>1979</v>
      </c>
      <c r="Q700" s="460" t="s">
        <v>95</v>
      </c>
      <c r="R700" s="460" t="s">
        <v>1977</v>
      </c>
      <c r="S700" s="460" t="s">
        <v>1842</v>
      </c>
      <c r="T700" s="460" t="s">
        <v>1827</v>
      </c>
      <c r="U700" s="461" t="s">
        <v>1976</v>
      </c>
      <c r="V700" s="460" t="s">
        <v>1843</v>
      </c>
      <c r="W700" s="560"/>
      <c r="X700" s="461" t="s">
        <v>1824</v>
      </c>
      <c r="Y700" s="461" t="s">
        <v>1824</v>
      </c>
      <c r="Z700" s="461" t="s">
        <v>170</v>
      </c>
      <c r="AA700" s="460" t="s">
        <v>1218</v>
      </c>
      <c r="AB700" s="561">
        <f>ROUND(30.41,2)</f>
        <v>30.41</v>
      </c>
      <c r="AC700" s="460" t="s">
        <v>308</v>
      </c>
      <c r="AD700" s="460"/>
      <c r="AE700" s="561">
        <f>ROUND(70.29,2)</f>
        <v>70.290000000000006</v>
      </c>
      <c r="AF700" s="460" t="s">
        <v>308</v>
      </c>
      <c r="AG700" s="561">
        <f t="shared" si="10"/>
        <v>0</v>
      </c>
      <c r="AH700" s="460" t="s">
        <v>2671</v>
      </c>
      <c r="AI700" s="460" t="s">
        <v>1214</v>
      </c>
      <c r="AJ700" s="460" t="s">
        <v>2548</v>
      </c>
      <c r="AK700" s="460" t="s">
        <v>2672</v>
      </c>
      <c r="AL700" s="560" t="s">
        <v>2673</v>
      </c>
      <c r="AM700" s="460" t="s">
        <v>2674</v>
      </c>
    </row>
    <row r="701" spans="1:39" ht="34.200000000000003">
      <c r="A701" s="460" t="s">
        <v>1810</v>
      </c>
      <c r="B701" s="460"/>
      <c r="C701" s="460" t="s">
        <v>1630</v>
      </c>
      <c r="D701" s="460" t="s">
        <v>2046</v>
      </c>
      <c r="E701" s="460" t="s">
        <v>1835</v>
      </c>
      <c r="F701" s="460" t="s">
        <v>1812</v>
      </c>
      <c r="G701" s="461" t="s">
        <v>1218</v>
      </c>
      <c r="H701" s="461" t="s">
        <v>1037</v>
      </c>
      <c r="I701" s="460" t="s">
        <v>2045</v>
      </c>
      <c r="J701" s="460" t="s">
        <v>1990</v>
      </c>
      <c r="K701" s="460" t="s">
        <v>2669</v>
      </c>
      <c r="L701" s="460" t="s">
        <v>2769</v>
      </c>
      <c r="M701" s="460" t="s">
        <v>2002</v>
      </c>
      <c r="N701" s="460" t="s">
        <v>1986</v>
      </c>
      <c r="O701" s="460" t="s">
        <v>1980</v>
      </c>
      <c r="P701" s="460" t="s">
        <v>2675</v>
      </c>
      <c r="Q701" s="460" t="s">
        <v>2676</v>
      </c>
      <c r="R701" s="460" t="s">
        <v>2677</v>
      </c>
      <c r="S701" s="460" t="s">
        <v>2676</v>
      </c>
      <c r="T701" s="460" t="s">
        <v>1827</v>
      </c>
      <c r="U701" s="461" t="s">
        <v>1824</v>
      </c>
      <c r="V701" s="460" t="s">
        <v>1843</v>
      </c>
      <c r="W701" s="560"/>
      <c r="X701" s="461" t="s">
        <v>1824</v>
      </c>
      <c r="Y701" s="461" t="s">
        <v>2683</v>
      </c>
      <c r="Z701" s="461" t="s">
        <v>170</v>
      </c>
      <c r="AA701" s="460" t="s">
        <v>1218</v>
      </c>
      <c r="AB701" s="561">
        <f>ROUND(20,2)</f>
        <v>20</v>
      </c>
      <c r="AC701" s="460" t="s">
        <v>2678</v>
      </c>
      <c r="AD701" s="460"/>
      <c r="AE701" s="561">
        <f>ROUND(1000,2)</f>
        <v>1000</v>
      </c>
      <c r="AF701" s="460" t="s">
        <v>2679</v>
      </c>
      <c r="AG701" s="561">
        <f t="shared" si="10"/>
        <v>0</v>
      </c>
      <c r="AH701" s="460" t="s">
        <v>2671</v>
      </c>
      <c r="AI701" s="460" t="s">
        <v>1214</v>
      </c>
      <c r="AJ701" s="460" t="s">
        <v>2550</v>
      </c>
      <c r="AK701" s="460" t="s">
        <v>2672</v>
      </c>
      <c r="AL701" s="560" t="s">
        <v>2711</v>
      </c>
      <c r="AM701" s="460" t="s">
        <v>2674</v>
      </c>
    </row>
    <row r="702" spans="1:39" ht="34.200000000000003">
      <c r="A702" s="460" t="s">
        <v>1810</v>
      </c>
      <c r="B702" s="460"/>
      <c r="C702" s="460" t="s">
        <v>1630</v>
      </c>
      <c r="D702" s="460" t="s">
        <v>2046</v>
      </c>
      <c r="E702" s="460" t="s">
        <v>1835</v>
      </c>
      <c r="F702" s="460" t="s">
        <v>1812</v>
      </c>
      <c r="G702" s="461" t="s">
        <v>1218</v>
      </c>
      <c r="H702" s="461" t="s">
        <v>1037</v>
      </c>
      <c r="I702" s="460" t="s">
        <v>2045</v>
      </c>
      <c r="J702" s="460" t="s">
        <v>1990</v>
      </c>
      <c r="K702" s="460" t="s">
        <v>2669</v>
      </c>
      <c r="L702" s="460" t="s">
        <v>2769</v>
      </c>
      <c r="M702" s="460" t="s">
        <v>2002</v>
      </c>
      <c r="N702" s="460" t="s">
        <v>1986</v>
      </c>
      <c r="O702" s="460" t="s">
        <v>1980</v>
      </c>
      <c r="P702" s="460" t="s">
        <v>1979</v>
      </c>
      <c r="Q702" s="460" t="s">
        <v>1978</v>
      </c>
      <c r="R702" s="460" t="s">
        <v>1977</v>
      </c>
      <c r="S702" s="460" t="s">
        <v>1826</v>
      </c>
      <c r="T702" s="460" t="s">
        <v>1827</v>
      </c>
      <c r="U702" s="461" t="s">
        <v>1976</v>
      </c>
      <c r="V702" s="460" t="s">
        <v>1851</v>
      </c>
      <c r="W702" s="560"/>
      <c r="X702" s="461" t="s">
        <v>1824</v>
      </c>
      <c r="Y702" s="461" t="s">
        <v>1824</v>
      </c>
      <c r="Z702" s="461" t="s">
        <v>170</v>
      </c>
      <c r="AA702" s="460" t="s">
        <v>1218</v>
      </c>
      <c r="AB702" s="561">
        <f>ROUND(178.26,2)</f>
        <v>178.26</v>
      </c>
      <c r="AC702" s="460" t="s">
        <v>308</v>
      </c>
      <c r="AD702" s="460"/>
      <c r="AE702" s="561">
        <f>ROUND(1442.33,2)</f>
        <v>1442.33</v>
      </c>
      <c r="AF702" s="460" t="s">
        <v>308</v>
      </c>
      <c r="AG702" s="561">
        <f t="shared" si="10"/>
        <v>0</v>
      </c>
      <c r="AH702" s="460" t="s">
        <v>2671</v>
      </c>
      <c r="AI702" s="460" t="s">
        <v>1214</v>
      </c>
      <c r="AJ702" s="460" t="s">
        <v>2549</v>
      </c>
      <c r="AK702" s="460" t="s">
        <v>2672</v>
      </c>
      <c r="AL702" s="560" t="s">
        <v>2785</v>
      </c>
      <c r="AM702" s="460" t="s">
        <v>2674</v>
      </c>
    </row>
    <row r="703" spans="1:39" ht="34.200000000000003">
      <c r="A703" s="460" t="s">
        <v>1810</v>
      </c>
      <c r="B703" s="460"/>
      <c r="C703" s="460" t="s">
        <v>1660</v>
      </c>
      <c r="D703" s="460" t="s">
        <v>2044</v>
      </c>
      <c r="E703" s="460" t="s">
        <v>1819</v>
      </c>
      <c r="F703" s="460" t="s">
        <v>1812</v>
      </c>
      <c r="G703" s="461" t="s">
        <v>1218</v>
      </c>
      <c r="H703" s="461" t="s">
        <v>1027</v>
      </c>
      <c r="I703" s="460" t="s">
        <v>2043</v>
      </c>
      <c r="J703" s="460" t="s">
        <v>1983</v>
      </c>
      <c r="K703" s="460" t="s">
        <v>2669</v>
      </c>
      <c r="L703" s="460" t="s">
        <v>2728</v>
      </c>
      <c r="M703" s="460" t="s">
        <v>1987</v>
      </c>
      <c r="N703" s="460" t="s">
        <v>1981</v>
      </c>
      <c r="O703" s="460" t="s">
        <v>1980</v>
      </c>
      <c r="P703" s="460" t="s">
        <v>1979</v>
      </c>
      <c r="Q703" s="460" t="s">
        <v>95</v>
      </c>
      <c r="R703" s="460" t="s">
        <v>1977</v>
      </c>
      <c r="S703" s="460" t="s">
        <v>1842</v>
      </c>
      <c r="T703" s="460" t="s">
        <v>1827</v>
      </c>
      <c r="U703" s="461" t="s">
        <v>1976</v>
      </c>
      <c r="V703" s="460" t="s">
        <v>1119</v>
      </c>
      <c r="W703" s="560"/>
      <c r="X703" s="461" t="s">
        <v>1824</v>
      </c>
      <c r="Y703" s="461" t="s">
        <v>1824</v>
      </c>
      <c r="Z703" s="461" t="s">
        <v>170</v>
      </c>
      <c r="AA703" s="460" t="s">
        <v>1218</v>
      </c>
      <c r="AB703" s="561">
        <f>ROUND(0,2)</f>
        <v>0</v>
      </c>
      <c r="AC703" s="460" t="s">
        <v>308</v>
      </c>
      <c r="AD703" s="460"/>
      <c r="AE703" s="561">
        <f>ROUND(36.23,2)</f>
        <v>36.229999999999997</v>
      </c>
      <c r="AF703" s="460" t="s">
        <v>308</v>
      </c>
      <c r="AG703" s="561">
        <f t="shared" si="10"/>
        <v>0</v>
      </c>
      <c r="AH703" s="460" t="s">
        <v>2671</v>
      </c>
      <c r="AI703" s="460" t="s">
        <v>1214</v>
      </c>
      <c r="AJ703" s="460"/>
      <c r="AK703" s="460"/>
      <c r="AL703" s="560"/>
      <c r="AM703" s="460"/>
    </row>
    <row r="704" spans="1:39" ht="34.200000000000003">
      <c r="A704" s="460" t="s">
        <v>1810</v>
      </c>
      <c r="B704" s="460"/>
      <c r="C704" s="460" t="s">
        <v>1660</v>
      </c>
      <c r="D704" s="460" t="s">
        <v>2044</v>
      </c>
      <c r="E704" s="460" t="s">
        <v>1819</v>
      </c>
      <c r="F704" s="460" t="s">
        <v>1812</v>
      </c>
      <c r="G704" s="461" t="s">
        <v>1218</v>
      </c>
      <c r="H704" s="461" t="s">
        <v>1027</v>
      </c>
      <c r="I704" s="460" t="s">
        <v>2043</v>
      </c>
      <c r="J704" s="460" t="s">
        <v>1983</v>
      </c>
      <c r="K704" s="460" t="s">
        <v>2669</v>
      </c>
      <c r="L704" s="460" t="s">
        <v>2728</v>
      </c>
      <c r="M704" s="460" t="s">
        <v>1987</v>
      </c>
      <c r="N704" s="460" t="s">
        <v>1981</v>
      </c>
      <c r="O704" s="460" t="s">
        <v>1980</v>
      </c>
      <c r="P704" s="460" t="s">
        <v>2675</v>
      </c>
      <c r="Q704" s="460" t="s">
        <v>2676</v>
      </c>
      <c r="R704" s="460" t="s">
        <v>2677</v>
      </c>
      <c r="S704" s="460" t="s">
        <v>2676</v>
      </c>
      <c r="T704" s="460" t="s">
        <v>1827</v>
      </c>
      <c r="U704" s="461" t="s">
        <v>1824</v>
      </c>
      <c r="V704" s="460" t="s">
        <v>1119</v>
      </c>
      <c r="W704" s="560"/>
      <c r="X704" s="461" t="s">
        <v>1824</v>
      </c>
      <c r="Y704" s="461" t="s">
        <v>1824</v>
      </c>
      <c r="Z704" s="461" t="s">
        <v>170</v>
      </c>
      <c r="AA704" s="460" t="s">
        <v>1218</v>
      </c>
      <c r="AB704" s="561">
        <f>ROUND(0,2)</f>
        <v>0</v>
      </c>
      <c r="AC704" s="460" t="s">
        <v>2678</v>
      </c>
      <c r="AD704" s="460"/>
      <c r="AE704" s="561">
        <f>ROUND(500.05,2)</f>
        <v>500.05</v>
      </c>
      <c r="AF704" s="460" t="s">
        <v>2679</v>
      </c>
      <c r="AG704" s="561">
        <f t="shared" si="10"/>
        <v>0</v>
      </c>
      <c r="AH704" s="460" t="s">
        <v>2671</v>
      </c>
      <c r="AI704" s="460" t="s">
        <v>1214</v>
      </c>
      <c r="AJ704" s="460"/>
      <c r="AK704" s="460"/>
      <c r="AL704" s="560"/>
      <c r="AM704" s="460"/>
    </row>
    <row r="705" spans="1:39" ht="34.200000000000003">
      <c r="A705" s="460" t="s">
        <v>1810</v>
      </c>
      <c r="B705" s="460"/>
      <c r="C705" s="460" t="s">
        <v>1660</v>
      </c>
      <c r="D705" s="460" t="s">
        <v>2044</v>
      </c>
      <c r="E705" s="460" t="s">
        <v>1819</v>
      </c>
      <c r="F705" s="460" t="s">
        <v>1812</v>
      </c>
      <c r="G705" s="461" t="s">
        <v>1218</v>
      </c>
      <c r="H705" s="461" t="s">
        <v>1027</v>
      </c>
      <c r="I705" s="460" t="s">
        <v>2043</v>
      </c>
      <c r="J705" s="460" t="s">
        <v>1983</v>
      </c>
      <c r="K705" s="460" t="s">
        <v>2669</v>
      </c>
      <c r="L705" s="460" t="s">
        <v>2728</v>
      </c>
      <c r="M705" s="460" t="s">
        <v>1987</v>
      </c>
      <c r="N705" s="460" t="s">
        <v>1981</v>
      </c>
      <c r="O705" s="460" t="s">
        <v>1980</v>
      </c>
      <c r="P705" s="460" t="s">
        <v>1979</v>
      </c>
      <c r="Q705" s="460" t="s">
        <v>1978</v>
      </c>
      <c r="R705" s="460" t="s">
        <v>1977</v>
      </c>
      <c r="S705" s="460" t="s">
        <v>1826</v>
      </c>
      <c r="T705" s="460" t="s">
        <v>1827</v>
      </c>
      <c r="U705" s="461" t="s">
        <v>1976</v>
      </c>
      <c r="V705" s="460" t="s">
        <v>1119</v>
      </c>
      <c r="W705" s="560"/>
      <c r="X705" s="461" t="s">
        <v>1824</v>
      </c>
      <c r="Y705" s="461" t="s">
        <v>1824</v>
      </c>
      <c r="Z705" s="461" t="s">
        <v>170</v>
      </c>
      <c r="AA705" s="460" t="s">
        <v>1218</v>
      </c>
      <c r="AB705" s="561">
        <f>ROUND(25.63,2)</f>
        <v>25.63</v>
      </c>
      <c r="AC705" s="460" t="s">
        <v>308</v>
      </c>
      <c r="AD705" s="460"/>
      <c r="AE705" s="561">
        <f>ROUND(828.65,2)</f>
        <v>828.65</v>
      </c>
      <c r="AF705" s="460" t="s">
        <v>308</v>
      </c>
      <c r="AG705" s="561">
        <f t="shared" si="10"/>
        <v>0</v>
      </c>
      <c r="AH705" s="460" t="s">
        <v>2671</v>
      </c>
      <c r="AI705" s="460" t="s">
        <v>1214</v>
      </c>
      <c r="AJ705" s="460" t="s">
        <v>2549</v>
      </c>
      <c r="AK705" s="460" t="s">
        <v>2672</v>
      </c>
      <c r="AL705" s="560" t="s">
        <v>2685</v>
      </c>
      <c r="AM705" s="460" t="s">
        <v>2674</v>
      </c>
    </row>
    <row r="706" spans="1:39" ht="34.200000000000003">
      <c r="A706" s="460" t="s">
        <v>1810</v>
      </c>
      <c r="B706" s="460"/>
      <c r="C706" s="460" t="s">
        <v>2434</v>
      </c>
      <c r="D706" s="460" t="s">
        <v>2871</v>
      </c>
      <c r="E706" s="460" t="s">
        <v>1819</v>
      </c>
      <c r="F706" s="460" t="s">
        <v>1812</v>
      </c>
      <c r="G706" s="461" t="s">
        <v>1218</v>
      </c>
      <c r="H706" s="461" t="s">
        <v>2872</v>
      </c>
      <c r="I706" s="460" t="s">
        <v>2873</v>
      </c>
      <c r="J706" s="460" t="s">
        <v>1983</v>
      </c>
      <c r="K706" s="460" t="s">
        <v>2669</v>
      </c>
      <c r="L706" s="460" t="s">
        <v>2728</v>
      </c>
      <c r="M706" s="460" t="s">
        <v>2002</v>
      </c>
      <c r="N706" s="460" t="s">
        <v>1981</v>
      </c>
      <c r="O706" s="460" t="s">
        <v>1980</v>
      </c>
      <c r="P706" s="460" t="s">
        <v>1979</v>
      </c>
      <c r="Q706" s="460" t="s">
        <v>95</v>
      </c>
      <c r="R706" s="460" t="s">
        <v>1977</v>
      </c>
      <c r="S706" s="460" t="s">
        <v>1842</v>
      </c>
      <c r="T706" s="460" t="s">
        <v>1827</v>
      </c>
      <c r="U706" s="461" t="s">
        <v>1976</v>
      </c>
      <c r="V706" s="460" t="s">
        <v>1843</v>
      </c>
      <c r="W706" s="560"/>
      <c r="X706" s="461" t="s">
        <v>2738</v>
      </c>
      <c r="Y706" s="461" t="s">
        <v>2738</v>
      </c>
      <c r="Z706" s="461" t="s">
        <v>170</v>
      </c>
      <c r="AA706" s="460" t="s">
        <v>1218</v>
      </c>
      <c r="AB706" s="561">
        <f>ROUND(30.41,2)</f>
        <v>30.41</v>
      </c>
      <c r="AC706" s="460" t="s">
        <v>308</v>
      </c>
      <c r="AD706" s="460"/>
      <c r="AE706" s="561">
        <f>ROUND(70.29,2)</f>
        <v>70.290000000000006</v>
      </c>
      <c r="AF706" s="460" t="s">
        <v>308</v>
      </c>
      <c r="AG706" s="561">
        <f t="shared" si="10"/>
        <v>0</v>
      </c>
      <c r="AH706" s="460" t="s">
        <v>2671</v>
      </c>
      <c r="AI706" s="460" t="s">
        <v>1214</v>
      </c>
      <c r="AJ706" s="460" t="s">
        <v>2548</v>
      </c>
      <c r="AK706" s="460" t="s">
        <v>2672</v>
      </c>
      <c r="AL706" s="560" t="s">
        <v>2673</v>
      </c>
      <c r="AM706" s="460" t="s">
        <v>2674</v>
      </c>
    </row>
    <row r="707" spans="1:39" ht="34.200000000000003">
      <c r="A707" s="460" t="s">
        <v>1810</v>
      </c>
      <c r="B707" s="460"/>
      <c r="C707" s="460" t="s">
        <v>2434</v>
      </c>
      <c r="D707" s="460" t="s">
        <v>2871</v>
      </c>
      <c r="E707" s="460" t="s">
        <v>1819</v>
      </c>
      <c r="F707" s="460" t="s">
        <v>1812</v>
      </c>
      <c r="G707" s="461" t="s">
        <v>1218</v>
      </c>
      <c r="H707" s="461" t="s">
        <v>2872</v>
      </c>
      <c r="I707" s="460" t="s">
        <v>2873</v>
      </c>
      <c r="J707" s="460" t="s">
        <v>1983</v>
      </c>
      <c r="K707" s="460" t="s">
        <v>2669</v>
      </c>
      <c r="L707" s="460" t="s">
        <v>2728</v>
      </c>
      <c r="M707" s="460" t="s">
        <v>2002</v>
      </c>
      <c r="N707" s="460" t="s">
        <v>1981</v>
      </c>
      <c r="O707" s="460" t="s">
        <v>1980</v>
      </c>
      <c r="P707" s="460" t="s">
        <v>2675</v>
      </c>
      <c r="Q707" s="460" t="s">
        <v>2676</v>
      </c>
      <c r="R707" s="460" t="s">
        <v>2677</v>
      </c>
      <c r="S707" s="460" t="s">
        <v>2676</v>
      </c>
      <c r="T707" s="460" t="s">
        <v>1827</v>
      </c>
      <c r="U707" s="461" t="s">
        <v>1824</v>
      </c>
      <c r="V707" s="460" t="s">
        <v>1843</v>
      </c>
      <c r="W707" s="560"/>
      <c r="X707" s="461" t="s">
        <v>2738</v>
      </c>
      <c r="Y707" s="461" t="s">
        <v>2738</v>
      </c>
      <c r="Z707" s="461" t="s">
        <v>170</v>
      </c>
      <c r="AA707" s="460" t="s">
        <v>1218</v>
      </c>
      <c r="AB707" s="561">
        <f>ROUND(150,2)</f>
        <v>150</v>
      </c>
      <c r="AC707" s="460" t="s">
        <v>2678</v>
      </c>
      <c r="AD707" s="460"/>
      <c r="AE707" s="561">
        <f>ROUND(1000,2)</f>
        <v>1000</v>
      </c>
      <c r="AF707" s="460" t="s">
        <v>2679</v>
      </c>
      <c r="AG707" s="561">
        <f t="shared" si="10"/>
        <v>0</v>
      </c>
      <c r="AH707" s="460" t="s">
        <v>2671</v>
      </c>
      <c r="AI707" s="460" t="s">
        <v>1214</v>
      </c>
      <c r="AJ707" s="460" t="s">
        <v>2550</v>
      </c>
      <c r="AK707" s="460" t="s">
        <v>2672</v>
      </c>
      <c r="AL707" s="560" t="s">
        <v>2741</v>
      </c>
      <c r="AM707" s="460" t="s">
        <v>2674</v>
      </c>
    </row>
    <row r="708" spans="1:39" ht="34.200000000000003">
      <c r="A708" s="460" t="s">
        <v>1810</v>
      </c>
      <c r="B708" s="460"/>
      <c r="C708" s="460" t="s">
        <v>2434</v>
      </c>
      <c r="D708" s="460" t="s">
        <v>2871</v>
      </c>
      <c r="E708" s="460" t="s">
        <v>1819</v>
      </c>
      <c r="F708" s="460" t="s">
        <v>1812</v>
      </c>
      <c r="G708" s="461" t="s">
        <v>1218</v>
      </c>
      <c r="H708" s="461" t="s">
        <v>2872</v>
      </c>
      <c r="I708" s="460" t="s">
        <v>2873</v>
      </c>
      <c r="J708" s="460" t="s">
        <v>1983</v>
      </c>
      <c r="K708" s="460" t="s">
        <v>2669</v>
      </c>
      <c r="L708" s="460" t="s">
        <v>2728</v>
      </c>
      <c r="M708" s="460" t="s">
        <v>2002</v>
      </c>
      <c r="N708" s="460" t="s">
        <v>1981</v>
      </c>
      <c r="O708" s="460" t="s">
        <v>1980</v>
      </c>
      <c r="P708" s="460" t="s">
        <v>1979</v>
      </c>
      <c r="Q708" s="460" t="s">
        <v>1978</v>
      </c>
      <c r="R708" s="460" t="s">
        <v>1977</v>
      </c>
      <c r="S708" s="460" t="s">
        <v>1826</v>
      </c>
      <c r="T708" s="460" t="s">
        <v>1827</v>
      </c>
      <c r="U708" s="461" t="s">
        <v>1976</v>
      </c>
      <c r="V708" s="460" t="s">
        <v>1967</v>
      </c>
      <c r="W708" s="560"/>
      <c r="X708" s="461" t="s">
        <v>2738</v>
      </c>
      <c r="Y708" s="461" t="s">
        <v>2738</v>
      </c>
      <c r="Z708" s="461" t="s">
        <v>170</v>
      </c>
      <c r="AA708" s="460" t="s">
        <v>1218</v>
      </c>
      <c r="AB708" s="561">
        <f>ROUND(315.48,2)</f>
        <v>315.48</v>
      </c>
      <c r="AC708" s="460" t="s">
        <v>308</v>
      </c>
      <c r="AD708" s="460"/>
      <c r="AE708" s="561">
        <f>ROUND(1466.88,2)</f>
        <v>1466.88</v>
      </c>
      <c r="AF708" s="460" t="s">
        <v>308</v>
      </c>
      <c r="AG708" s="561">
        <f t="shared" si="10"/>
        <v>0</v>
      </c>
      <c r="AH708" s="460" t="s">
        <v>2671</v>
      </c>
      <c r="AI708" s="460" t="s">
        <v>1214</v>
      </c>
      <c r="AJ708" s="460" t="s">
        <v>2549</v>
      </c>
      <c r="AK708" s="460" t="s">
        <v>2672</v>
      </c>
      <c r="AL708" s="560" t="s">
        <v>2761</v>
      </c>
      <c r="AM708" s="460" t="s">
        <v>2674</v>
      </c>
    </row>
    <row r="709" spans="1:39" ht="22.8">
      <c r="A709" s="460" t="s">
        <v>1810</v>
      </c>
      <c r="B709" s="460"/>
      <c r="C709" s="460" t="s">
        <v>1468</v>
      </c>
      <c r="D709" s="460" t="s">
        <v>2378</v>
      </c>
      <c r="E709" s="460" t="s">
        <v>1821</v>
      </c>
      <c r="F709" s="460" t="s">
        <v>1812</v>
      </c>
      <c r="G709" s="461" t="s">
        <v>1218</v>
      </c>
      <c r="H709" s="461" t="s">
        <v>248</v>
      </c>
      <c r="I709" s="460" t="s">
        <v>2377</v>
      </c>
      <c r="J709" s="460" t="s">
        <v>1983</v>
      </c>
      <c r="K709" s="460" t="s">
        <v>2669</v>
      </c>
      <c r="L709" s="460" t="s">
        <v>2714</v>
      </c>
      <c r="M709" s="460" t="s">
        <v>1994</v>
      </c>
      <c r="N709" s="460" t="s">
        <v>1981</v>
      </c>
      <c r="O709" s="460" t="s">
        <v>1980</v>
      </c>
      <c r="P709" s="460" t="s">
        <v>1979</v>
      </c>
      <c r="Q709" s="460" t="s">
        <v>95</v>
      </c>
      <c r="R709" s="460" t="s">
        <v>1977</v>
      </c>
      <c r="S709" s="460" t="s">
        <v>1842</v>
      </c>
      <c r="T709" s="460" t="s">
        <v>1827</v>
      </c>
      <c r="U709" s="461" t="s">
        <v>1976</v>
      </c>
      <c r="V709" s="460" t="s">
        <v>1119</v>
      </c>
      <c r="W709" s="560"/>
      <c r="X709" s="461" t="s">
        <v>1824</v>
      </c>
      <c r="Y709" s="461" t="s">
        <v>1824</v>
      </c>
      <c r="Z709" s="461" t="s">
        <v>170</v>
      </c>
      <c r="AA709" s="460" t="s">
        <v>1218</v>
      </c>
      <c r="AB709" s="561">
        <f>ROUND(0,2)</f>
        <v>0</v>
      </c>
      <c r="AC709" s="460" t="s">
        <v>308</v>
      </c>
      <c r="AD709" s="460"/>
      <c r="AE709" s="561">
        <f>ROUND(36.23,2)</f>
        <v>36.229999999999997</v>
      </c>
      <c r="AF709" s="460" t="s">
        <v>308</v>
      </c>
      <c r="AG709" s="561">
        <f t="shared" si="10"/>
        <v>0</v>
      </c>
      <c r="AH709" s="460" t="s">
        <v>2671</v>
      </c>
      <c r="AI709" s="460" t="s">
        <v>1214</v>
      </c>
      <c r="AJ709" s="460"/>
      <c r="AK709" s="460"/>
      <c r="AL709" s="560"/>
      <c r="AM709" s="460"/>
    </row>
    <row r="710" spans="1:39" ht="22.8">
      <c r="A710" s="460" t="s">
        <v>1810</v>
      </c>
      <c r="B710" s="460"/>
      <c r="C710" s="460" t="s">
        <v>1600</v>
      </c>
      <c r="D710" s="460" t="s">
        <v>2042</v>
      </c>
      <c r="E710" s="460" t="s">
        <v>1814</v>
      </c>
      <c r="F710" s="460" t="s">
        <v>1812</v>
      </c>
      <c r="G710" s="461" t="s">
        <v>1218</v>
      </c>
      <c r="H710" s="461" t="s">
        <v>227</v>
      </c>
      <c r="I710" s="460" t="s">
        <v>2041</v>
      </c>
      <c r="J710" s="460" t="s">
        <v>1983</v>
      </c>
      <c r="K710" s="460" t="s">
        <v>2669</v>
      </c>
      <c r="L710" s="460" t="s">
        <v>2703</v>
      </c>
      <c r="M710" s="460" t="s">
        <v>1982</v>
      </c>
      <c r="N710" s="460" t="s">
        <v>1981</v>
      </c>
      <c r="O710" s="460" t="s">
        <v>1980</v>
      </c>
      <c r="P710" s="460" t="s">
        <v>1979</v>
      </c>
      <c r="Q710" s="460" t="s">
        <v>95</v>
      </c>
      <c r="R710" s="460" t="s">
        <v>1977</v>
      </c>
      <c r="S710" s="460" t="s">
        <v>1842</v>
      </c>
      <c r="T710" s="460" t="s">
        <v>1827</v>
      </c>
      <c r="U710" s="461" t="s">
        <v>1976</v>
      </c>
      <c r="V710" s="460" t="s">
        <v>1843</v>
      </c>
      <c r="W710" s="560"/>
      <c r="X710" s="461" t="s">
        <v>1824</v>
      </c>
      <c r="Y710" s="461" t="s">
        <v>1824</v>
      </c>
      <c r="Z710" s="461" t="s">
        <v>170</v>
      </c>
      <c r="AA710" s="460" t="s">
        <v>1218</v>
      </c>
      <c r="AB710" s="561">
        <f>ROUND(30.41,2)</f>
        <v>30.41</v>
      </c>
      <c r="AC710" s="460" t="s">
        <v>308</v>
      </c>
      <c r="AD710" s="460"/>
      <c r="AE710" s="561">
        <f>ROUND(70.29,2)</f>
        <v>70.290000000000006</v>
      </c>
      <c r="AF710" s="460" t="s">
        <v>308</v>
      </c>
      <c r="AG710" s="561">
        <f t="shared" si="10"/>
        <v>0</v>
      </c>
      <c r="AH710" s="460" t="s">
        <v>2671</v>
      </c>
      <c r="AI710" s="460" t="s">
        <v>1214</v>
      </c>
      <c r="AJ710" s="460" t="s">
        <v>2548</v>
      </c>
      <c r="AK710" s="460" t="s">
        <v>2672</v>
      </c>
      <c r="AL710" s="560" t="s">
        <v>2673</v>
      </c>
      <c r="AM710" s="460" t="s">
        <v>2674</v>
      </c>
    </row>
    <row r="711" spans="1:39" ht="22.8">
      <c r="A711" s="460" t="s">
        <v>1810</v>
      </c>
      <c r="B711" s="460"/>
      <c r="C711" s="460" t="s">
        <v>1600</v>
      </c>
      <c r="D711" s="460" t="s">
        <v>2042</v>
      </c>
      <c r="E711" s="460" t="s">
        <v>1814</v>
      </c>
      <c r="F711" s="460" t="s">
        <v>1812</v>
      </c>
      <c r="G711" s="461" t="s">
        <v>1218</v>
      </c>
      <c r="H711" s="461" t="s">
        <v>227</v>
      </c>
      <c r="I711" s="460" t="s">
        <v>2041</v>
      </c>
      <c r="J711" s="460" t="s">
        <v>1983</v>
      </c>
      <c r="K711" s="460" t="s">
        <v>2669</v>
      </c>
      <c r="L711" s="460" t="s">
        <v>2703</v>
      </c>
      <c r="M711" s="460" t="s">
        <v>1982</v>
      </c>
      <c r="N711" s="460" t="s">
        <v>1981</v>
      </c>
      <c r="O711" s="460" t="s">
        <v>1980</v>
      </c>
      <c r="P711" s="460" t="s">
        <v>2675</v>
      </c>
      <c r="Q711" s="460" t="s">
        <v>2676</v>
      </c>
      <c r="R711" s="460" t="s">
        <v>2677</v>
      </c>
      <c r="S711" s="460" t="s">
        <v>2676</v>
      </c>
      <c r="T711" s="460" t="s">
        <v>1827</v>
      </c>
      <c r="U711" s="461" t="s">
        <v>1824</v>
      </c>
      <c r="V711" s="460" t="s">
        <v>1843</v>
      </c>
      <c r="W711" s="560"/>
      <c r="X711" s="461" t="s">
        <v>1824</v>
      </c>
      <c r="Y711" s="461" t="s">
        <v>1824</v>
      </c>
      <c r="Z711" s="461" t="s">
        <v>170</v>
      </c>
      <c r="AA711" s="460" t="s">
        <v>1218</v>
      </c>
      <c r="AB711" s="561">
        <f>ROUND(50,2)</f>
        <v>50</v>
      </c>
      <c r="AC711" s="460" t="s">
        <v>2678</v>
      </c>
      <c r="AD711" s="460"/>
      <c r="AE711" s="561">
        <f>ROUND(1000,2)</f>
        <v>1000</v>
      </c>
      <c r="AF711" s="460" t="s">
        <v>2679</v>
      </c>
      <c r="AG711" s="561">
        <f t="shared" si="10"/>
        <v>0</v>
      </c>
      <c r="AH711" s="460" t="s">
        <v>2671</v>
      </c>
      <c r="AI711" s="460" t="s">
        <v>1214</v>
      </c>
      <c r="AJ711" s="460" t="s">
        <v>2550</v>
      </c>
      <c r="AK711" s="460" t="s">
        <v>2672</v>
      </c>
      <c r="AL711" s="560" t="s">
        <v>2690</v>
      </c>
      <c r="AM711" s="460" t="s">
        <v>2674</v>
      </c>
    </row>
    <row r="712" spans="1:39" ht="22.8">
      <c r="A712" s="460" t="s">
        <v>1810</v>
      </c>
      <c r="B712" s="460"/>
      <c r="C712" s="460" t="s">
        <v>1600</v>
      </c>
      <c r="D712" s="460" t="s">
        <v>2042</v>
      </c>
      <c r="E712" s="460" t="s">
        <v>1814</v>
      </c>
      <c r="F712" s="460" t="s">
        <v>1812</v>
      </c>
      <c r="G712" s="461" t="s">
        <v>1218</v>
      </c>
      <c r="H712" s="461" t="s">
        <v>227</v>
      </c>
      <c r="I712" s="460" t="s">
        <v>2041</v>
      </c>
      <c r="J712" s="460" t="s">
        <v>1983</v>
      </c>
      <c r="K712" s="460" t="s">
        <v>2669</v>
      </c>
      <c r="L712" s="460" t="s">
        <v>2703</v>
      </c>
      <c r="M712" s="460" t="s">
        <v>1982</v>
      </c>
      <c r="N712" s="460" t="s">
        <v>1981</v>
      </c>
      <c r="O712" s="460" t="s">
        <v>1980</v>
      </c>
      <c r="P712" s="460" t="s">
        <v>1979</v>
      </c>
      <c r="Q712" s="460" t="s">
        <v>1978</v>
      </c>
      <c r="R712" s="460" t="s">
        <v>1977</v>
      </c>
      <c r="S712" s="460" t="s">
        <v>1826</v>
      </c>
      <c r="T712" s="460" t="s">
        <v>1827</v>
      </c>
      <c r="U712" s="461" t="s">
        <v>1976</v>
      </c>
      <c r="V712" s="460" t="s">
        <v>1843</v>
      </c>
      <c r="W712" s="560"/>
      <c r="X712" s="461" t="s">
        <v>1824</v>
      </c>
      <c r="Y712" s="461" t="s">
        <v>1824</v>
      </c>
      <c r="Z712" s="461" t="s">
        <v>170</v>
      </c>
      <c r="AA712" s="460" t="s">
        <v>1218</v>
      </c>
      <c r="AB712" s="561">
        <f>ROUND(383.66,2)</f>
        <v>383.66</v>
      </c>
      <c r="AC712" s="460" t="s">
        <v>308</v>
      </c>
      <c r="AD712" s="460"/>
      <c r="AE712" s="561">
        <f>ROUND(1747.8,2)</f>
        <v>1747.8</v>
      </c>
      <c r="AF712" s="460" t="s">
        <v>308</v>
      </c>
      <c r="AG712" s="561">
        <f t="shared" si="10"/>
        <v>0</v>
      </c>
      <c r="AH712" s="460" t="s">
        <v>2671</v>
      </c>
      <c r="AI712" s="460" t="s">
        <v>1214</v>
      </c>
      <c r="AJ712" s="460" t="s">
        <v>2549</v>
      </c>
      <c r="AK712" s="460" t="s">
        <v>2672</v>
      </c>
      <c r="AL712" s="560" t="s">
        <v>2696</v>
      </c>
      <c r="AM712" s="460" t="s">
        <v>2674</v>
      </c>
    </row>
    <row r="713" spans="1:39" ht="22.8">
      <c r="A713" s="460" t="s">
        <v>1810</v>
      </c>
      <c r="B713" s="460"/>
      <c r="C713" s="460" t="s">
        <v>1469</v>
      </c>
      <c r="D713" s="460" t="s">
        <v>2040</v>
      </c>
      <c r="E713" s="460" t="s">
        <v>1814</v>
      </c>
      <c r="F713" s="460" t="s">
        <v>1812</v>
      </c>
      <c r="G713" s="461" t="s">
        <v>1218</v>
      </c>
      <c r="H713" s="461" t="s">
        <v>222</v>
      </c>
      <c r="I713" s="460" t="s">
        <v>2039</v>
      </c>
      <c r="J713" s="460" t="s">
        <v>1990</v>
      </c>
      <c r="K713" s="460" t="s">
        <v>2669</v>
      </c>
      <c r="L713" s="460" t="s">
        <v>2715</v>
      </c>
      <c r="M713" s="460" t="s">
        <v>1982</v>
      </c>
      <c r="N713" s="460" t="s">
        <v>1981</v>
      </c>
      <c r="O713" s="460" t="s">
        <v>1980</v>
      </c>
      <c r="P713" s="460" t="s">
        <v>1979</v>
      </c>
      <c r="Q713" s="460" t="s">
        <v>95</v>
      </c>
      <c r="R713" s="460" t="s">
        <v>1977</v>
      </c>
      <c r="S713" s="460" t="s">
        <v>1842</v>
      </c>
      <c r="T713" s="460" t="s">
        <v>1827</v>
      </c>
      <c r="U713" s="461" t="s">
        <v>1976</v>
      </c>
      <c r="V713" s="460" t="s">
        <v>1119</v>
      </c>
      <c r="W713" s="560"/>
      <c r="X713" s="461" t="s">
        <v>1824</v>
      </c>
      <c r="Y713" s="461" t="s">
        <v>1824</v>
      </c>
      <c r="Z713" s="461" t="s">
        <v>170</v>
      </c>
      <c r="AA713" s="460" t="s">
        <v>1218</v>
      </c>
      <c r="AB713" s="561">
        <f>ROUND(0,2)</f>
        <v>0</v>
      </c>
      <c r="AC713" s="460" t="s">
        <v>308</v>
      </c>
      <c r="AD713" s="460"/>
      <c r="AE713" s="561">
        <f>ROUND(36.23,2)</f>
        <v>36.229999999999997</v>
      </c>
      <c r="AF713" s="460" t="s">
        <v>308</v>
      </c>
      <c r="AG713" s="561">
        <f t="shared" si="10"/>
        <v>0</v>
      </c>
      <c r="AH713" s="460" t="s">
        <v>2671</v>
      </c>
      <c r="AI713" s="460" t="s">
        <v>1214</v>
      </c>
      <c r="AJ713" s="460"/>
      <c r="AK713" s="460"/>
      <c r="AL713" s="560"/>
      <c r="AM713" s="460"/>
    </row>
    <row r="714" spans="1:39" ht="22.8">
      <c r="A714" s="460" t="s">
        <v>1810</v>
      </c>
      <c r="B714" s="460"/>
      <c r="C714" s="460" t="s">
        <v>1469</v>
      </c>
      <c r="D714" s="460" t="s">
        <v>2040</v>
      </c>
      <c r="E714" s="460" t="s">
        <v>1814</v>
      </c>
      <c r="F714" s="460" t="s">
        <v>1812</v>
      </c>
      <c r="G714" s="461" t="s">
        <v>1218</v>
      </c>
      <c r="H714" s="461" t="s">
        <v>222</v>
      </c>
      <c r="I714" s="460" t="s">
        <v>2039</v>
      </c>
      <c r="J714" s="460" t="s">
        <v>1990</v>
      </c>
      <c r="K714" s="460" t="s">
        <v>2669</v>
      </c>
      <c r="L714" s="460" t="s">
        <v>2715</v>
      </c>
      <c r="M714" s="460" t="s">
        <v>1982</v>
      </c>
      <c r="N714" s="460" t="s">
        <v>1981</v>
      </c>
      <c r="O714" s="460" t="s">
        <v>1980</v>
      </c>
      <c r="P714" s="460" t="s">
        <v>1979</v>
      </c>
      <c r="Q714" s="460" t="s">
        <v>1978</v>
      </c>
      <c r="R714" s="460" t="s">
        <v>1977</v>
      </c>
      <c r="S714" s="460" t="s">
        <v>1826</v>
      </c>
      <c r="T714" s="460" t="s">
        <v>1827</v>
      </c>
      <c r="U714" s="461" t="s">
        <v>1976</v>
      </c>
      <c r="V714" s="460" t="s">
        <v>1119</v>
      </c>
      <c r="W714" s="560"/>
      <c r="X714" s="461" t="s">
        <v>1824</v>
      </c>
      <c r="Y714" s="461" t="s">
        <v>1824</v>
      </c>
      <c r="Z714" s="461" t="s">
        <v>170</v>
      </c>
      <c r="AA714" s="460" t="s">
        <v>1218</v>
      </c>
      <c r="AB714" s="561">
        <f>ROUND(29.05,2)</f>
        <v>29.05</v>
      </c>
      <c r="AC714" s="460" t="s">
        <v>308</v>
      </c>
      <c r="AD714" s="460"/>
      <c r="AE714" s="561">
        <f>ROUND(825.23,2)</f>
        <v>825.23</v>
      </c>
      <c r="AF714" s="460" t="s">
        <v>308</v>
      </c>
      <c r="AG714" s="561">
        <f t="shared" si="10"/>
        <v>0</v>
      </c>
      <c r="AH714" s="460" t="s">
        <v>2671</v>
      </c>
      <c r="AI714" s="460" t="s">
        <v>1214</v>
      </c>
      <c r="AJ714" s="460" t="s">
        <v>2549</v>
      </c>
      <c r="AK714" s="460" t="s">
        <v>2672</v>
      </c>
      <c r="AL714" s="560" t="s">
        <v>2692</v>
      </c>
      <c r="AM714" s="460" t="s">
        <v>2674</v>
      </c>
    </row>
    <row r="715" spans="1:39" ht="34.200000000000003">
      <c r="A715" s="460" t="s">
        <v>1810</v>
      </c>
      <c r="B715" s="460"/>
      <c r="C715" s="460" t="s">
        <v>1470</v>
      </c>
      <c r="D715" s="460" t="s">
        <v>2038</v>
      </c>
      <c r="E715" s="460" t="s">
        <v>1841</v>
      </c>
      <c r="F715" s="460" t="s">
        <v>2015</v>
      </c>
      <c r="G715" s="461" t="s">
        <v>1218</v>
      </c>
      <c r="H715" s="461" t="s">
        <v>278</v>
      </c>
      <c r="I715" s="460" t="s">
        <v>2037</v>
      </c>
      <c r="J715" s="460" t="s">
        <v>1983</v>
      </c>
      <c r="K715" s="460" t="s">
        <v>2669</v>
      </c>
      <c r="L715" s="460" t="s">
        <v>2802</v>
      </c>
      <c r="M715" s="460" t="s">
        <v>2002</v>
      </c>
      <c r="N715" s="460" t="s">
        <v>2018</v>
      </c>
      <c r="O715" s="460" t="s">
        <v>2001</v>
      </c>
      <c r="P715" s="460" t="s">
        <v>1979</v>
      </c>
      <c r="Q715" s="460" t="s">
        <v>95</v>
      </c>
      <c r="R715" s="460" t="s">
        <v>1977</v>
      </c>
      <c r="S715" s="460" t="s">
        <v>1842</v>
      </c>
      <c r="T715" s="460" t="s">
        <v>1827</v>
      </c>
      <c r="U715" s="461" t="s">
        <v>1976</v>
      </c>
      <c r="V715" s="460" t="s">
        <v>1119</v>
      </c>
      <c r="W715" s="560"/>
      <c r="X715" s="461" t="s">
        <v>1824</v>
      </c>
      <c r="Y715" s="461" t="s">
        <v>1824</v>
      </c>
      <c r="Z715" s="461" t="s">
        <v>170</v>
      </c>
      <c r="AA715" s="460" t="s">
        <v>1218</v>
      </c>
      <c r="AB715" s="561">
        <f>ROUND(0,2)</f>
        <v>0</v>
      </c>
      <c r="AC715" s="460" t="s">
        <v>308</v>
      </c>
      <c r="AD715" s="460"/>
      <c r="AE715" s="561">
        <f>ROUND(36.23,2)</f>
        <v>36.229999999999997</v>
      </c>
      <c r="AF715" s="460" t="s">
        <v>308</v>
      </c>
      <c r="AG715" s="561">
        <f t="shared" ref="AG715:AG778" si="11">ROUND(0,2)</f>
        <v>0</v>
      </c>
      <c r="AH715" s="460" t="s">
        <v>2671</v>
      </c>
      <c r="AI715" s="460" t="s">
        <v>1214</v>
      </c>
      <c r="AJ715" s="460"/>
      <c r="AK715" s="460"/>
      <c r="AL715" s="560"/>
      <c r="AM715" s="460"/>
    </row>
    <row r="716" spans="1:39" ht="34.200000000000003">
      <c r="A716" s="460" t="s">
        <v>1810</v>
      </c>
      <c r="B716" s="460"/>
      <c r="C716" s="460" t="s">
        <v>1470</v>
      </c>
      <c r="D716" s="460" t="s">
        <v>2038</v>
      </c>
      <c r="E716" s="460" t="s">
        <v>1841</v>
      </c>
      <c r="F716" s="460" t="s">
        <v>2015</v>
      </c>
      <c r="G716" s="461" t="s">
        <v>1218</v>
      </c>
      <c r="H716" s="461" t="s">
        <v>278</v>
      </c>
      <c r="I716" s="460" t="s">
        <v>2037</v>
      </c>
      <c r="J716" s="460" t="s">
        <v>1983</v>
      </c>
      <c r="K716" s="460" t="s">
        <v>2669</v>
      </c>
      <c r="L716" s="460" t="s">
        <v>2802</v>
      </c>
      <c r="M716" s="460" t="s">
        <v>2002</v>
      </c>
      <c r="N716" s="460" t="s">
        <v>2018</v>
      </c>
      <c r="O716" s="460" t="s">
        <v>2001</v>
      </c>
      <c r="P716" s="460" t="s">
        <v>2675</v>
      </c>
      <c r="Q716" s="460" t="s">
        <v>2676</v>
      </c>
      <c r="R716" s="460" t="s">
        <v>2677</v>
      </c>
      <c r="S716" s="460" t="s">
        <v>2676</v>
      </c>
      <c r="T716" s="460" t="s">
        <v>1827</v>
      </c>
      <c r="U716" s="461" t="s">
        <v>1824</v>
      </c>
      <c r="V716" s="460" t="s">
        <v>1119</v>
      </c>
      <c r="W716" s="560"/>
      <c r="X716" s="461" t="s">
        <v>1824</v>
      </c>
      <c r="Y716" s="461" t="s">
        <v>2683</v>
      </c>
      <c r="Z716" s="461" t="s">
        <v>170</v>
      </c>
      <c r="AA716" s="460" t="s">
        <v>1218</v>
      </c>
      <c r="AB716" s="561">
        <f>ROUND(139,2)</f>
        <v>139</v>
      </c>
      <c r="AC716" s="460" t="s">
        <v>2678</v>
      </c>
      <c r="AD716" s="460"/>
      <c r="AE716" s="561">
        <f>ROUND(500.05,2)</f>
        <v>500.05</v>
      </c>
      <c r="AF716" s="460" t="s">
        <v>2679</v>
      </c>
      <c r="AG716" s="561">
        <f t="shared" si="11"/>
        <v>0</v>
      </c>
      <c r="AH716" s="460" t="s">
        <v>2671</v>
      </c>
      <c r="AI716" s="460" t="s">
        <v>1214</v>
      </c>
      <c r="AJ716" s="460" t="s">
        <v>2550</v>
      </c>
      <c r="AK716" s="460" t="s">
        <v>2672</v>
      </c>
      <c r="AL716" s="560" t="s">
        <v>2874</v>
      </c>
      <c r="AM716" s="460" t="s">
        <v>2674</v>
      </c>
    </row>
    <row r="717" spans="1:39" ht="34.200000000000003">
      <c r="A717" s="460" t="s">
        <v>1810</v>
      </c>
      <c r="B717" s="460"/>
      <c r="C717" s="460" t="s">
        <v>1470</v>
      </c>
      <c r="D717" s="460" t="s">
        <v>2038</v>
      </c>
      <c r="E717" s="460" t="s">
        <v>1841</v>
      </c>
      <c r="F717" s="460" t="s">
        <v>2015</v>
      </c>
      <c r="G717" s="461" t="s">
        <v>1218</v>
      </c>
      <c r="H717" s="461" t="s">
        <v>278</v>
      </c>
      <c r="I717" s="460" t="s">
        <v>2037</v>
      </c>
      <c r="J717" s="460" t="s">
        <v>1983</v>
      </c>
      <c r="K717" s="460" t="s">
        <v>2669</v>
      </c>
      <c r="L717" s="460" t="s">
        <v>2802</v>
      </c>
      <c r="M717" s="460" t="s">
        <v>2002</v>
      </c>
      <c r="N717" s="460" t="s">
        <v>2018</v>
      </c>
      <c r="O717" s="460" t="s">
        <v>2001</v>
      </c>
      <c r="P717" s="460" t="s">
        <v>1979</v>
      </c>
      <c r="Q717" s="460" t="s">
        <v>1978</v>
      </c>
      <c r="R717" s="460" t="s">
        <v>1977</v>
      </c>
      <c r="S717" s="460" t="s">
        <v>1826</v>
      </c>
      <c r="T717" s="460" t="s">
        <v>1827</v>
      </c>
      <c r="U717" s="461" t="s">
        <v>1976</v>
      </c>
      <c r="V717" s="460" t="s">
        <v>1119</v>
      </c>
      <c r="W717" s="560"/>
      <c r="X717" s="461" t="s">
        <v>1824</v>
      </c>
      <c r="Y717" s="461" t="s">
        <v>1824</v>
      </c>
      <c r="Z717" s="461" t="s">
        <v>170</v>
      </c>
      <c r="AA717" s="460" t="s">
        <v>1218</v>
      </c>
      <c r="AB717" s="561">
        <f>ROUND(45.28,2)</f>
        <v>45.28</v>
      </c>
      <c r="AC717" s="460" t="s">
        <v>308</v>
      </c>
      <c r="AD717" s="460"/>
      <c r="AE717" s="561">
        <f>ROUND(809,2)</f>
        <v>809</v>
      </c>
      <c r="AF717" s="460" t="s">
        <v>308</v>
      </c>
      <c r="AG717" s="561">
        <f t="shared" si="11"/>
        <v>0</v>
      </c>
      <c r="AH717" s="460" t="s">
        <v>2671</v>
      </c>
      <c r="AI717" s="460" t="s">
        <v>1214</v>
      </c>
      <c r="AJ717" s="460" t="s">
        <v>2549</v>
      </c>
      <c r="AK717" s="460" t="s">
        <v>2672</v>
      </c>
      <c r="AL717" s="560" t="s">
        <v>2752</v>
      </c>
      <c r="AM717" s="460" t="s">
        <v>2674</v>
      </c>
    </row>
    <row r="718" spans="1:39" ht="22.8">
      <c r="A718" s="460" t="s">
        <v>1810</v>
      </c>
      <c r="B718" s="460"/>
      <c r="C718" s="460" t="s">
        <v>1336</v>
      </c>
      <c r="D718" s="460" t="s">
        <v>2036</v>
      </c>
      <c r="E718" s="460" t="s">
        <v>1814</v>
      </c>
      <c r="F718" s="460" t="s">
        <v>1812</v>
      </c>
      <c r="G718" s="461" t="s">
        <v>1218</v>
      </c>
      <c r="H718" s="461" t="s">
        <v>223</v>
      </c>
      <c r="I718" s="460" t="s">
        <v>2035</v>
      </c>
      <c r="J718" s="460" t="s">
        <v>1990</v>
      </c>
      <c r="K718" s="460" t="s">
        <v>2669</v>
      </c>
      <c r="L718" s="460" t="s">
        <v>2715</v>
      </c>
      <c r="M718" s="460" t="s">
        <v>1982</v>
      </c>
      <c r="N718" s="460" t="s">
        <v>1981</v>
      </c>
      <c r="O718" s="460" t="s">
        <v>1980</v>
      </c>
      <c r="P718" s="460" t="s">
        <v>1979</v>
      </c>
      <c r="Q718" s="460" t="s">
        <v>95</v>
      </c>
      <c r="R718" s="460" t="s">
        <v>1977</v>
      </c>
      <c r="S718" s="460" t="s">
        <v>1842</v>
      </c>
      <c r="T718" s="460" t="s">
        <v>1827</v>
      </c>
      <c r="U718" s="461" t="s">
        <v>1976</v>
      </c>
      <c r="V718" s="460" t="s">
        <v>1967</v>
      </c>
      <c r="W718" s="560"/>
      <c r="X718" s="461" t="s">
        <v>1824</v>
      </c>
      <c r="Y718" s="461" t="s">
        <v>2683</v>
      </c>
      <c r="Z718" s="461" t="s">
        <v>170</v>
      </c>
      <c r="AA718" s="460" t="s">
        <v>1218</v>
      </c>
      <c r="AB718" s="561">
        <f>ROUND(30.41,2)</f>
        <v>30.41</v>
      </c>
      <c r="AC718" s="460" t="s">
        <v>308</v>
      </c>
      <c r="AD718" s="460"/>
      <c r="AE718" s="561">
        <f>ROUND(70.29,2)</f>
        <v>70.290000000000006</v>
      </c>
      <c r="AF718" s="460" t="s">
        <v>308</v>
      </c>
      <c r="AG718" s="561">
        <f t="shared" si="11"/>
        <v>0</v>
      </c>
      <c r="AH718" s="460" t="s">
        <v>2671</v>
      </c>
      <c r="AI718" s="460" t="s">
        <v>1214</v>
      </c>
      <c r="AJ718" s="460" t="s">
        <v>2548</v>
      </c>
      <c r="AK718" s="460" t="s">
        <v>2672</v>
      </c>
      <c r="AL718" s="560" t="s">
        <v>2673</v>
      </c>
      <c r="AM718" s="460" t="s">
        <v>2674</v>
      </c>
    </row>
    <row r="719" spans="1:39" ht="22.8">
      <c r="A719" s="460" t="s">
        <v>1810</v>
      </c>
      <c r="B719" s="460"/>
      <c r="C719" s="460" t="s">
        <v>1336</v>
      </c>
      <c r="D719" s="460" t="s">
        <v>2036</v>
      </c>
      <c r="E719" s="460" t="s">
        <v>1814</v>
      </c>
      <c r="F719" s="460" t="s">
        <v>1812</v>
      </c>
      <c r="G719" s="461" t="s">
        <v>1218</v>
      </c>
      <c r="H719" s="461" t="s">
        <v>223</v>
      </c>
      <c r="I719" s="460" t="s">
        <v>2035</v>
      </c>
      <c r="J719" s="460" t="s">
        <v>1990</v>
      </c>
      <c r="K719" s="460" t="s">
        <v>2669</v>
      </c>
      <c r="L719" s="460" t="s">
        <v>2715</v>
      </c>
      <c r="M719" s="460" t="s">
        <v>1982</v>
      </c>
      <c r="N719" s="460" t="s">
        <v>1981</v>
      </c>
      <c r="O719" s="460" t="s">
        <v>1980</v>
      </c>
      <c r="P719" s="460" t="s">
        <v>2675</v>
      </c>
      <c r="Q719" s="460" t="s">
        <v>2676</v>
      </c>
      <c r="R719" s="460" t="s">
        <v>2677</v>
      </c>
      <c r="S719" s="460" t="s">
        <v>2676</v>
      </c>
      <c r="T719" s="460" t="s">
        <v>1827</v>
      </c>
      <c r="U719" s="461" t="s">
        <v>1824</v>
      </c>
      <c r="V719" s="460" t="s">
        <v>1119</v>
      </c>
      <c r="W719" s="560"/>
      <c r="X719" s="461" t="s">
        <v>1824</v>
      </c>
      <c r="Y719" s="461" t="s">
        <v>2683</v>
      </c>
      <c r="Z719" s="461" t="s">
        <v>170</v>
      </c>
      <c r="AA719" s="460" t="s">
        <v>1218</v>
      </c>
      <c r="AB719" s="561">
        <f>ROUND(4349.95,2)</f>
        <v>4349.95</v>
      </c>
      <c r="AC719" s="460" t="s">
        <v>2679</v>
      </c>
      <c r="AD719" s="460"/>
      <c r="AE719" s="561">
        <f>ROUND(500.05,2)</f>
        <v>500.05</v>
      </c>
      <c r="AF719" s="460" t="s">
        <v>2679</v>
      </c>
      <c r="AG719" s="561">
        <f t="shared" si="11"/>
        <v>0</v>
      </c>
      <c r="AH719" s="460" t="s">
        <v>2671</v>
      </c>
      <c r="AI719" s="460" t="s">
        <v>1214</v>
      </c>
      <c r="AJ719" s="460" t="s">
        <v>2550</v>
      </c>
      <c r="AK719" s="460" t="s">
        <v>2672</v>
      </c>
      <c r="AL719" s="560" t="s">
        <v>2875</v>
      </c>
      <c r="AM719" s="460" t="s">
        <v>2674</v>
      </c>
    </row>
    <row r="720" spans="1:39" ht="22.8">
      <c r="A720" s="460" t="s">
        <v>1810</v>
      </c>
      <c r="B720" s="460"/>
      <c r="C720" s="460" t="s">
        <v>1336</v>
      </c>
      <c r="D720" s="460" t="s">
        <v>2036</v>
      </c>
      <c r="E720" s="460" t="s">
        <v>1814</v>
      </c>
      <c r="F720" s="460" t="s">
        <v>1812</v>
      </c>
      <c r="G720" s="461" t="s">
        <v>1218</v>
      </c>
      <c r="H720" s="461" t="s">
        <v>223</v>
      </c>
      <c r="I720" s="460" t="s">
        <v>2035</v>
      </c>
      <c r="J720" s="460" t="s">
        <v>1990</v>
      </c>
      <c r="K720" s="460" t="s">
        <v>2669</v>
      </c>
      <c r="L720" s="460" t="s">
        <v>2715</v>
      </c>
      <c r="M720" s="460" t="s">
        <v>1982</v>
      </c>
      <c r="N720" s="460" t="s">
        <v>1981</v>
      </c>
      <c r="O720" s="460" t="s">
        <v>1980</v>
      </c>
      <c r="P720" s="460" t="s">
        <v>1979</v>
      </c>
      <c r="Q720" s="460" t="s">
        <v>1978</v>
      </c>
      <c r="R720" s="460" t="s">
        <v>1977</v>
      </c>
      <c r="S720" s="460" t="s">
        <v>1826</v>
      </c>
      <c r="T720" s="460" t="s">
        <v>1827</v>
      </c>
      <c r="U720" s="461" t="s">
        <v>1976</v>
      </c>
      <c r="V720" s="460" t="s">
        <v>1119</v>
      </c>
      <c r="W720" s="560"/>
      <c r="X720" s="461" t="s">
        <v>1824</v>
      </c>
      <c r="Y720" s="461" t="s">
        <v>1824</v>
      </c>
      <c r="Z720" s="461" t="s">
        <v>170</v>
      </c>
      <c r="AA720" s="460" t="s">
        <v>1218</v>
      </c>
      <c r="AB720" s="561">
        <f>ROUND(29.05,2)</f>
        <v>29.05</v>
      </c>
      <c r="AC720" s="460" t="s">
        <v>308</v>
      </c>
      <c r="AD720" s="460"/>
      <c r="AE720" s="561">
        <f>ROUND(825.23,2)</f>
        <v>825.23</v>
      </c>
      <c r="AF720" s="460" t="s">
        <v>308</v>
      </c>
      <c r="AG720" s="561">
        <f t="shared" si="11"/>
        <v>0</v>
      </c>
      <c r="AH720" s="460" t="s">
        <v>2671</v>
      </c>
      <c r="AI720" s="460" t="s">
        <v>1214</v>
      </c>
      <c r="AJ720" s="460" t="s">
        <v>2549</v>
      </c>
      <c r="AK720" s="460" t="s">
        <v>2672</v>
      </c>
      <c r="AL720" s="560" t="s">
        <v>2692</v>
      </c>
      <c r="AM720" s="460" t="s">
        <v>2674</v>
      </c>
    </row>
    <row r="721" spans="1:39" ht="34.200000000000003">
      <c r="A721" s="460" t="s">
        <v>1810</v>
      </c>
      <c r="B721" s="460"/>
      <c r="C721" s="460" t="s">
        <v>1494</v>
      </c>
      <c r="D721" s="460" t="s">
        <v>2034</v>
      </c>
      <c r="E721" s="460" t="s">
        <v>1835</v>
      </c>
      <c r="F721" s="460" t="s">
        <v>1812</v>
      </c>
      <c r="G721" s="461" t="s">
        <v>1218</v>
      </c>
      <c r="H721" s="461" t="s">
        <v>183</v>
      </c>
      <c r="I721" s="460" t="s">
        <v>2033</v>
      </c>
      <c r="J721" s="460" t="s">
        <v>1990</v>
      </c>
      <c r="K721" s="460" t="s">
        <v>2669</v>
      </c>
      <c r="L721" s="460" t="s">
        <v>2769</v>
      </c>
      <c r="M721" s="460" t="s">
        <v>2002</v>
      </c>
      <c r="N721" s="460" t="s">
        <v>1986</v>
      </c>
      <c r="O721" s="460" t="s">
        <v>2001</v>
      </c>
      <c r="P721" s="460" t="s">
        <v>1979</v>
      </c>
      <c r="Q721" s="460" t="s">
        <v>95</v>
      </c>
      <c r="R721" s="460" t="s">
        <v>1977</v>
      </c>
      <c r="S721" s="460" t="s">
        <v>1842</v>
      </c>
      <c r="T721" s="460" t="s">
        <v>1827</v>
      </c>
      <c r="U721" s="461" t="s">
        <v>1976</v>
      </c>
      <c r="V721" s="460" t="s">
        <v>1119</v>
      </c>
      <c r="W721" s="560"/>
      <c r="X721" s="461" t="s">
        <v>1824</v>
      </c>
      <c r="Y721" s="461" t="s">
        <v>1824</v>
      </c>
      <c r="Z721" s="461" t="s">
        <v>170</v>
      </c>
      <c r="AA721" s="460" t="s">
        <v>1218</v>
      </c>
      <c r="AB721" s="561">
        <f>ROUND(0,2)</f>
        <v>0</v>
      </c>
      <c r="AC721" s="460" t="s">
        <v>308</v>
      </c>
      <c r="AD721" s="460"/>
      <c r="AE721" s="561">
        <f>ROUND(36.23,2)</f>
        <v>36.229999999999997</v>
      </c>
      <c r="AF721" s="460" t="s">
        <v>308</v>
      </c>
      <c r="AG721" s="561">
        <f t="shared" si="11"/>
        <v>0</v>
      </c>
      <c r="AH721" s="460" t="s">
        <v>2671</v>
      </c>
      <c r="AI721" s="460" t="s">
        <v>1214</v>
      </c>
      <c r="AJ721" s="460"/>
      <c r="AK721" s="460"/>
      <c r="AL721" s="560"/>
      <c r="AM721" s="460"/>
    </row>
    <row r="722" spans="1:39" ht="34.200000000000003">
      <c r="A722" s="460" t="s">
        <v>1810</v>
      </c>
      <c r="B722" s="460"/>
      <c r="C722" s="460" t="s">
        <v>1494</v>
      </c>
      <c r="D722" s="460" t="s">
        <v>2034</v>
      </c>
      <c r="E722" s="460" t="s">
        <v>1835</v>
      </c>
      <c r="F722" s="460" t="s">
        <v>1812</v>
      </c>
      <c r="G722" s="461" t="s">
        <v>1218</v>
      </c>
      <c r="H722" s="461" t="s">
        <v>183</v>
      </c>
      <c r="I722" s="460" t="s">
        <v>2033</v>
      </c>
      <c r="J722" s="460" t="s">
        <v>1990</v>
      </c>
      <c r="K722" s="460" t="s">
        <v>2669</v>
      </c>
      <c r="L722" s="460" t="s">
        <v>2769</v>
      </c>
      <c r="M722" s="460" t="s">
        <v>2002</v>
      </c>
      <c r="N722" s="460" t="s">
        <v>1986</v>
      </c>
      <c r="O722" s="460" t="s">
        <v>2001</v>
      </c>
      <c r="P722" s="460" t="s">
        <v>2675</v>
      </c>
      <c r="Q722" s="460" t="s">
        <v>2676</v>
      </c>
      <c r="R722" s="460" t="s">
        <v>2677</v>
      </c>
      <c r="S722" s="460" t="s">
        <v>2676</v>
      </c>
      <c r="T722" s="460" t="s">
        <v>1827</v>
      </c>
      <c r="U722" s="461" t="s">
        <v>1824</v>
      </c>
      <c r="V722" s="460" t="s">
        <v>1119</v>
      </c>
      <c r="W722" s="560"/>
      <c r="X722" s="461" t="s">
        <v>1824</v>
      </c>
      <c r="Y722" s="461" t="s">
        <v>2876</v>
      </c>
      <c r="Z722" s="461" t="s">
        <v>170</v>
      </c>
      <c r="AA722" s="460" t="s">
        <v>1218</v>
      </c>
      <c r="AB722" s="561">
        <f>ROUND(75,2)</f>
        <v>75</v>
      </c>
      <c r="AC722" s="460" t="s">
        <v>2678</v>
      </c>
      <c r="AD722" s="460"/>
      <c r="AE722" s="561">
        <f>ROUND(500.05,2)</f>
        <v>500.05</v>
      </c>
      <c r="AF722" s="460" t="s">
        <v>2679</v>
      </c>
      <c r="AG722" s="561">
        <f t="shared" si="11"/>
        <v>0</v>
      </c>
      <c r="AH722" s="460" t="s">
        <v>2671</v>
      </c>
      <c r="AI722" s="460" t="s">
        <v>1214</v>
      </c>
      <c r="AJ722" s="460" t="s">
        <v>2550</v>
      </c>
      <c r="AK722" s="460" t="s">
        <v>2672</v>
      </c>
      <c r="AL722" s="560" t="s">
        <v>2797</v>
      </c>
      <c r="AM722" s="460" t="s">
        <v>2674</v>
      </c>
    </row>
    <row r="723" spans="1:39" ht="34.200000000000003">
      <c r="A723" s="460" t="s">
        <v>1810</v>
      </c>
      <c r="B723" s="460"/>
      <c r="C723" s="460" t="s">
        <v>1494</v>
      </c>
      <c r="D723" s="460" t="s">
        <v>2034</v>
      </c>
      <c r="E723" s="460" t="s">
        <v>1835</v>
      </c>
      <c r="F723" s="460" t="s">
        <v>1812</v>
      </c>
      <c r="G723" s="461" t="s">
        <v>1218</v>
      </c>
      <c r="H723" s="461" t="s">
        <v>183</v>
      </c>
      <c r="I723" s="460" t="s">
        <v>2033</v>
      </c>
      <c r="J723" s="460" t="s">
        <v>1990</v>
      </c>
      <c r="K723" s="460" t="s">
        <v>2669</v>
      </c>
      <c r="L723" s="460" t="s">
        <v>2769</v>
      </c>
      <c r="M723" s="460" t="s">
        <v>2002</v>
      </c>
      <c r="N723" s="460" t="s">
        <v>1986</v>
      </c>
      <c r="O723" s="460" t="s">
        <v>2001</v>
      </c>
      <c r="P723" s="460" t="s">
        <v>1979</v>
      </c>
      <c r="Q723" s="460" t="s">
        <v>1978</v>
      </c>
      <c r="R723" s="460" t="s">
        <v>1977</v>
      </c>
      <c r="S723" s="460" t="s">
        <v>1826</v>
      </c>
      <c r="T723" s="460" t="s">
        <v>1827</v>
      </c>
      <c r="U723" s="461" t="s">
        <v>1976</v>
      </c>
      <c r="V723" s="460" t="s">
        <v>1119</v>
      </c>
      <c r="W723" s="560"/>
      <c r="X723" s="461" t="s">
        <v>1824</v>
      </c>
      <c r="Y723" s="461" t="s">
        <v>1824</v>
      </c>
      <c r="Z723" s="461" t="s">
        <v>170</v>
      </c>
      <c r="AA723" s="460" t="s">
        <v>1218</v>
      </c>
      <c r="AB723" s="561">
        <f>ROUND(35.03,2)</f>
        <v>35.03</v>
      </c>
      <c r="AC723" s="460" t="s">
        <v>308</v>
      </c>
      <c r="AD723" s="460"/>
      <c r="AE723" s="561">
        <f>ROUND(819.25,2)</f>
        <v>819.25</v>
      </c>
      <c r="AF723" s="460" t="s">
        <v>308</v>
      </c>
      <c r="AG723" s="561">
        <f t="shared" si="11"/>
        <v>0</v>
      </c>
      <c r="AH723" s="460" t="s">
        <v>2671</v>
      </c>
      <c r="AI723" s="460" t="s">
        <v>1214</v>
      </c>
      <c r="AJ723" s="460" t="s">
        <v>2549</v>
      </c>
      <c r="AK723" s="460" t="s">
        <v>2672</v>
      </c>
      <c r="AL723" s="560" t="s">
        <v>2694</v>
      </c>
      <c r="AM723" s="460" t="s">
        <v>2674</v>
      </c>
    </row>
    <row r="724" spans="1:39" ht="34.200000000000003">
      <c r="A724" s="460" t="s">
        <v>1810</v>
      </c>
      <c r="B724" s="460"/>
      <c r="C724" s="460" t="s">
        <v>1641</v>
      </c>
      <c r="D724" s="460" t="s">
        <v>2032</v>
      </c>
      <c r="E724" s="460" t="s">
        <v>1828</v>
      </c>
      <c r="F724" s="460" t="s">
        <v>1812</v>
      </c>
      <c r="G724" s="461" t="s">
        <v>1218</v>
      </c>
      <c r="H724" s="461" t="s">
        <v>1023</v>
      </c>
      <c r="I724" s="460" t="s">
        <v>2031</v>
      </c>
      <c r="J724" s="460" t="s">
        <v>1990</v>
      </c>
      <c r="K724" s="460" t="s">
        <v>2669</v>
      </c>
      <c r="L724" s="460" t="s">
        <v>2815</v>
      </c>
      <c r="M724" s="460" t="s">
        <v>2002</v>
      </c>
      <c r="N724" s="460" t="s">
        <v>1981</v>
      </c>
      <c r="O724" s="460" t="s">
        <v>2001</v>
      </c>
      <c r="P724" s="460" t="s">
        <v>1979</v>
      </c>
      <c r="Q724" s="460" t="s">
        <v>95</v>
      </c>
      <c r="R724" s="460" t="s">
        <v>1977</v>
      </c>
      <c r="S724" s="460" t="s">
        <v>1842</v>
      </c>
      <c r="T724" s="460" t="s">
        <v>1827</v>
      </c>
      <c r="U724" s="461" t="s">
        <v>1976</v>
      </c>
      <c r="V724" s="460" t="s">
        <v>1119</v>
      </c>
      <c r="W724" s="560"/>
      <c r="X724" s="461" t="s">
        <v>1824</v>
      </c>
      <c r="Y724" s="461" t="s">
        <v>1824</v>
      </c>
      <c r="Z724" s="461" t="s">
        <v>170</v>
      </c>
      <c r="AA724" s="460" t="s">
        <v>1218</v>
      </c>
      <c r="AB724" s="561">
        <f>ROUND(0,2)</f>
        <v>0</v>
      </c>
      <c r="AC724" s="460" t="s">
        <v>308</v>
      </c>
      <c r="AD724" s="460"/>
      <c r="AE724" s="561">
        <f>ROUND(36.23,2)</f>
        <v>36.229999999999997</v>
      </c>
      <c r="AF724" s="460" t="s">
        <v>308</v>
      </c>
      <c r="AG724" s="561">
        <f t="shared" si="11"/>
        <v>0</v>
      </c>
      <c r="AH724" s="460" t="s">
        <v>2671</v>
      </c>
      <c r="AI724" s="460" t="s">
        <v>1214</v>
      </c>
      <c r="AJ724" s="460"/>
      <c r="AK724" s="460"/>
      <c r="AL724" s="560"/>
      <c r="AM724" s="460"/>
    </row>
    <row r="725" spans="1:39" ht="34.200000000000003">
      <c r="A725" s="460" t="s">
        <v>1810</v>
      </c>
      <c r="B725" s="460"/>
      <c r="C725" s="460" t="s">
        <v>1641</v>
      </c>
      <c r="D725" s="460" t="s">
        <v>2032</v>
      </c>
      <c r="E725" s="460" t="s">
        <v>1828</v>
      </c>
      <c r="F725" s="460" t="s">
        <v>1812</v>
      </c>
      <c r="G725" s="461" t="s">
        <v>1218</v>
      </c>
      <c r="H725" s="461" t="s">
        <v>1023</v>
      </c>
      <c r="I725" s="460" t="s">
        <v>2031</v>
      </c>
      <c r="J725" s="460" t="s">
        <v>1990</v>
      </c>
      <c r="K725" s="460" t="s">
        <v>2669</v>
      </c>
      <c r="L725" s="460" t="s">
        <v>2815</v>
      </c>
      <c r="M725" s="460" t="s">
        <v>2002</v>
      </c>
      <c r="N725" s="460" t="s">
        <v>1981</v>
      </c>
      <c r="O725" s="460" t="s">
        <v>2001</v>
      </c>
      <c r="P725" s="460" t="s">
        <v>2675</v>
      </c>
      <c r="Q725" s="460" t="s">
        <v>2676</v>
      </c>
      <c r="R725" s="460" t="s">
        <v>2677</v>
      </c>
      <c r="S725" s="460" t="s">
        <v>2676</v>
      </c>
      <c r="T725" s="460" t="s">
        <v>1827</v>
      </c>
      <c r="U725" s="461" t="s">
        <v>1824</v>
      </c>
      <c r="V725" s="460" t="s">
        <v>1119</v>
      </c>
      <c r="W725" s="560"/>
      <c r="X725" s="461" t="s">
        <v>1824</v>
      </c>
      <c r="Y725" s="461" t="s">
        <v>1824</v>
      </c>
      <c r="Z725" s="461" t="s">
        <v>170</v>
      </c>
      <c r="AA725" s="460" t="s">
        <v>1218</v>
      </c>
      <c r="AB725" s="561">
        <f>ROUND(25,2)</f>
        <v>25</v>
      </c>
      <c r="AC725" s="460" t="s">
        <v>2678</v>
      </c>
      <c r="AD725" s="460"/>
      <c r="AE725" s="561">
        <f>ROUND(500.05,2)</f>
        <v>500.05</v>
      </c>
      <c r="AF725" s="460" t="s">
        <v>2679</v>
      </c>
      <c r="AG725" s="561">
        <f t="shared" si="11"/>
        <v>0</v>
      </c>
      <c r="AH725" s="460" t="s">
        <v>2671</v>
      </c>
      <c r="AI725" s="460" t="s">
        <v>1214</v>
      </c>
      <c r="AJ725" s="460" t="s">
        <v>2550</v>
      </c>
      <c r="AK725" s="460" t="s">
        <v>2672</v>
      </c>
      <c r="AL725" s="560" t="s">
        <v>2680</v>
      </c>
      <c r="AM725" s="460" t="s">
        <v>2674</v>
      </c>
    </row>
    <row r="726" spans="1:39" ht="34.200000000000003">
      <c r="A726" s="460" t="s">
        <v>1810</v>
      </c>
      <c r="B726" s="460"/>
      <c r="C726" s="460" t="s">
        <v>1641</v>
      </c>
      <c r="D726" s="460" t="s">
        <v>2032</v>
      </c>
      <c r="E726" s="460" t="s">
        <v>1828</v>
      </c>
      <c r="F726" s="460" t="s">
        <v>1812</v>
      </c>
      <c r="G726" s="461" t="s">
        <v>1218</v>
      </c>
      <c r="H726" s="461" t="s">
        <v>1023</v>
      </c>
      <c r="I726" s="460" t="s">
        <v>2031</v>
      </c>
      <c r="J726" s="460" t="s">
        <v>1990</v>
      </c>
      <c r="K726" s="460" t="s">
        <v>2669</v>
      </c>
      <c r="L726" s="460" t="s">
        <v>2815</v>
      </c>
      <c r="M726" s="460" t="s">
        <v>2002</v>
      </c>
      <c r="N726" s="460" t="s">
        <v>1981</v>
      </c>
      <c r="O726" s="460" t="s">
        <v>2001</v>
      </c>
      <c r="P726" s="460" t="s">
        <v>1979</v>
      </c>
      <c r="Q726" s="460" t="s">
        <v>1978</v>
      </c>
      <c r="R726" s="460" t="s">
        <v>1977</v>
      </c>
      <c r="S726" s="460" t="s">
        <v>1826</v>
      </c>
      <c r="T726" s="460" t="s">
        <v>1827</v>
      </c>
      <c r="U726" s="461" t="s">
        <v>1976</v>
      </c>
      <c r="V726" s="460" t="s">
        <v>1119</v>
      </c>
      <c r="W726" s="560"/>
      <c r="X726" s="461" t="s">
        <v>1824</v>
      </c>
      <c r="Y726" s="461" t="s">
        <v>1824</v>
      </c>
      <c r="Z726" s="461" t="s">
        <v>170</v>
      </c>
      <c r="AA726" s="460" t="s">
        <v>1218</v>
      </c>
      <c r="AB726" s="561">
        <f>ROUND(29.05,2)</f>
        <v>29.05</v>
      </c>
      <c r="AC726" s="460" t="s">
        <v>308</v>
      </c>
      <c r="AD726" s="460"/>
      <c r="AE726" s="561">
        <f>ROUND(825.23,2)</f>
        <v>825.23</v>
      </c>
      <c r="AF726" s="460" t="s">
        <v>308</v>
      </c>
      <c r="AG726" s="561">
        <f t="shared" si="11"/>
        <v>0</v>
      </c>
      <c r="AH726" s="460" t="s">
        <v>2671</v>
      </c>
      <c r="AI726" s="460" t="s">
        <v>1214</v>
      </c>
      <c r="AJ726" s="460" t="s">
        <v>2549</v>
      </c>
      <c r="AK726" s="460" t="s">
        <v>2672</v>
      </c>
      <c r="AL726" s="560" t="s">
        <v>2692</v>
      </c>
      <c r="AM726" s="460" t="s">
        <v>2674</v>
      </c>
    </row>
    <row r="727" spans="1:39" ht="22.8">
      <c r="A727" s="460" t="s">
        <v>1810</v>
      </c>
      <c r="B727" s="460"/>
      <c r="C727" s="460" t="s">
        <v>1546</v>
      </c>
      <c r="D727" s="460" t="s">
        <v>2030</v>
      </c>
      <c r="E727" s="460" t="s">
        <v>1813</v>
      </c>
      <c r="F727" s="460" t="s">
        <v>1812</v>
      </c>
      <c r="G727" s="461" t="s">
        <v>1218</v>
      </c>
      <c r="H727" s="461" t="s">
        <v>361</v>
      </c>
      <c r="I727" s="460" t="s">
        <v>2029</v>
      </c>
      <c r="J727" s="460" t="s">
        <v>1990</v>
      </c>
      <c r="K727" s="460" t="s">
        <v>2669</v>
      </c>
      <c r="L727" s="460" t="s">
        <v>2682</v>
      </c>
      <c r="M727" s="460" t="s">
        <v>2028</v>
      </c>
      <c r="N727" s="460" t="s">
        <v>1981</v>
      </c>
      <c r="O727" s="460" t="s">
        <v>2001</v>
      </c>
      <c r="P727" s="460" t="s">
        <v>1979</v>
      </c>
      <c r="Q727" s="460" t="s">
        <v>95</v>
      </c>
      <c r="R727" s="460" t="s">
        <v>1977</v>
      </c>
      <c r="S727" s="460" t="s">
        <v>1842</v>
      </c>
      <c r="T727" s="460" t="s">
        <v>1827</v>
      </c>
      <c r="U727" s="461" t="s">
        <v>1976</v>
      </c>
      <c r="V727" s="460" t="s">
        <v>1119</v>
      </c>
      <c r="W727" s="560"/>
      <c r="X727" s="461" t="s">
        <v>1824</v>
      </c>
      <c r="Y727" s="461" t="s">
        <v>1824</v>
      </c>
      <c r="Z727" s="461" t="s">
        <v>170</v>
      </c>
      <c r="AA727" s="460" t="s">
        <v>1218</v>
      </c>
      <c r="AB727" s="561">
        <f>ROUND(0,2)</f>
        <v>0</v>
      </c>
      <c r="AC727" s="460" t="s">
        <v>308</v>
      </c>
      <c r="AD727" s="460"/>
      <c r="AE727" s="561">
        <f>ROUND(36.23,2)</f>
        <v>36.229999999999997</v>
      </c>
      <c r="AF727" s="460" t="s">
        <v>308</v>
      </c>
      <c r="AG727" s="561">
        <f t="shared" si="11"/>
        <v>0</v>
      </c>
      <c r="AH727" s="460" t="s">
        <v>2671</v>
      </c>
      <c r="AI727" s="460" t="s">
        <v>1214</v>
      </c>
      <c r="AJ727" s="460"/>
      <c r="AK727" s="460"/>
      <c r="AL727" s="560"/>
      <c r="AM727" s="460"/>
    </row>
    <row r="728" spans="1:39" ht="22.8">
      <c r="A728" s="460" t="s">
        <v>1810</v>
      </c>
      <c r="B728" s="460"/>
      <c r="C728" s="460" t="s">
        <v>1546</v>
      </c>
      <c r="D728" s="460" t="s">
        <v>2030</v>
      </c>
      <c r="E728" s="460" t="s">
        <v>1813</v>
      </c>
      <c r="F728" s="460" t="s">
        <v>1812</v>
      </c>
      <c r="G728" s="461" t="s">
        <v>1218</v>
      </c>
      <c r="H728" s="461" t="s">
        <v>361</v>
      </c>
      <c r="I728" s="460" t="s">
        <v>2029</v>
      </c>
      <c r="J728" s="460" t="s">
        <v>1990</v>
      </c>
      <c r="K728" s="460" t="s">
        <v>2669</v>
      </c>
      <c r="L728" s="460" t="s">
        <v>2682</v>
      </c>
      <c r="M728" s="460" t="s">
        <v>2028</v>
      </c>
      <c r="N728" s="460" t="s">
        <v>1981</v>
      </c>
      <c r="O728" s="460" t="s">
        <v>2001</v>
      </c>
      <c r="P728" s="460" t="s">
        <v>2675</v>
      </c>
      <c r="Q728" s="460" t="s">
        <v>2676</v>
      </c>
      <c r="R728" s="460" t="s">
        <v>2677</v>
      </c>
      <c r="S728" s="460" t="s">
        <v>2676</v>
      </c>
      <c r="T728" s="460" t="s">
        <v>1827</v>
      </c>
      <c r="U728" s="461" t="s">
        <v>1824</v>
      </c>
      <c r="V728" s="460" t="s">
        <v>1119</v>
      </c>
      <c r="W728" s="560"/>
      <c r="X728" s="461" t="s">
        <v>1824</v>
      </c>
      <c r="Y728" s="461" t="s">
        <v>1824</v>
      </c>
      <c r="Z728" s="461" t="s">
        <v>170</v>
      </c>
      <c r="AA728" s="460" t="s">
        <v>1218</v>
      </c>
      <c r="AB728" s="561">
        <f>ROUND(10,2)</f>
        <v>10</v>
      </c>
      <c r="AC728" s="460" t="s">
        <v>2678</v>
      </c>
      <c r="AD728" s="460"/>
      <c r="AE728" s="561">
        <f>ROUND(500.05,2)</f>
        <v>500.05</v>
      </c>
      <c r="AF728" s="460" t="s">
        <v>2679</v>
      </c>
      <c r="AG728" s="561">
        <f t="shared" si="11"/>
        <v>0</v>
      </c>
      <c r="AH728" s="460" t="s">
        <v>2671</v>
      </c>
      <c r="AI728" s="460" t="s">
        <v>1214</v>
      </c>
      <c r="AJ728" s="460" t="s">
        <v>2550</v>
      </c>
      <c r="AK728" s="460" t="s">
        <v>2672</v>
      </c>
      <c r="AL728" s="560" t="s">
        <v>2725</v>
      </c>
      <c r="AM728" s="460" t="s">
        <v>2674</v>
      </c>
    </row>
    <row r="729" spans="1:39" ht="22.8">
      <c r="A729" s="460" t="s">
        <v>1810</v>
      </c>
      <c r="B729" s="460"/>
      <c r="C729" s="460" t="s">
        <v>1546</v>
      </c>
      <c r="D729" s="460" t="s">
        <v>2030</v>
      </c>
      <c r="E729" s="460" t="s">
        <v>1813</v>
      </c>
      <c r="F729" s="460" t="s">
        <v>1812</v>
      </c>
      <c r="G729" s="461" t="s">
        <v>1218</v>
      </c>
      <c r="H729" s="461" t="s">
        <v>361</v>
      </c>
      <c r="I729" s="460" t="s">
        <v>2029</v>
      </c>
      <c r="J729" s="460" t="s">
        <v>1990</v>
      </c>
      <c r="K729" s="460" t="s">
        <v>2669</v>
      </c>
      <c r="L729" s="460" t="s">
        <v>2682</v>
      </c>
      <c r="M729" s="460" t="s">
        <v>2028</v>
      </c>
      <c r="N729" s="460" t="s">
        <v>1981</v>
      </c>
      <c r="O729" s="460" t="s">
        <v>2001</v>
      </c>
      <c r="P729" s="460" t="s">
        <v>1979</v>
      </c>
      <c r="Q729" s="460" t="s">
        <v>1978</v>
      </c>
      <c r="R729" s="460" t="s">
        <v>1977</v>
      </c>
      <c r="S729" s="460" t="s">
        <v>1826</v>
      </c>
      <c r="T729" s="460" t="s">
        <v>1827</v>
      </c>
      <c r="U729" s="461" t="s">
        <v>1976</v>
      </c>
      <c r="V729" s="460" t="s">
        <v>1119</v>
      </c>
      <c r="W729" s="560"/>
      <c r="X729" s="461" t="s">
        <v>1824</v>
      </c>
      <c r="Y729" s="461" t="s">
        <v>1824</v>
      </c>
      <c r="Z729" s="461" t="s">
        <v>170</v>
      </c>
      <c r="AA729" s="460" t="s">
        <v>1218</v>
      </c>
      <c r="AB729" s="561">
        <f>ROUND(29.05,2)</f>
        <v>29.05</v>
      </c>
      <c r="AC729" s="460" t="s">
        <v>308</v>
      </c>
      <c r="AD729" s="460"/>
      <c r="AE729" s="561">
        <f>ROUND(825.23,2)</f>
        <v>825.23</v>
      </c>
      <c r="AF729" s="460" t="s">
        <v>308</v>
      </c>
      <c r="AG729" s="561">
        <f t="shared" si="11"/>
        <v>0</v>
      </c>
      <c r="AH729" s="460" t="s">
        <v>2671</v>
      </c>
      <c r="AI729" s="460" t="s">
        <v>1214</v>
      </c>
      <c r="AJ729" s="460" t="s">
        <v>2549</v>
      </c>
      <c r="AK729" s="460" t="s">
        <v>2672</v>
      </c>
      <c r="AL729" s="560" t="s">
        <v>2692</v>
      </c>
      <c r="AM729" s="460" t="s">
        <v>2674</v>
      </c>
    </row>
    <row r="730" spans="1:39" ht="34.200000000000003">
      <c r="A730" s="460" t="s">
        <v>1810</v>
      </c>
      <c r="B730" s="460"/>
      <c r="C730" s="460" t="s">
        <v>1474</v>
      </c>
      <c r="D730" s="460" t="s">
        <v>2027</v>
      </c>
      <c r="E730" s="460" t="s">
        <v>1844</v>
      </c>
      <c r="F730" s="460" t="s">
        <v>1812</v>
      </c>
      <c r="G730" s="461" t="s">
        <v>1218</v>
      </c>
      <c r="H730" s="461" t="s">
        <v>303</v>
      </c>
      <c r="I730" s="460" t="s">
        <v>2026</v>
      </c>
      <c r="J730" s="460" t="s">
        <v>1983</v>
      </c>
      <c r="K730" s="460" t="s">
        <v>2669</v>
      </c>
      <c r="L730" s="460" t="s">
        <v>2767</v>
      </c>
      <c r="M730" s="460" t="s">
        <v>2002</v>
      </c>
      <c r="N730" s="460" t="s">
        <v>2025</v>
      </c>
      <c r="O730" s="460" t="s">
        <v>1980</v>
      </c>
      <c r="P730" s="460" t="s">
        <v>1979</v>
      </c>
      <c r="Q730" s="460" t="s">
        <v>95</v>
      </c>
      <c r="R730" s="460" t="s">
        <v>1977</v>
      </c>
      <c r="S730" s="460" t="s">
        <v>1842</v>
      </c>
      <c r="T730" s="460" t="s">
        <v>1827</v>
      </c>
      <c r="U730" s="461" t="s">
        <v>1976</v>
      </c>
      <c r="V730" s="460" t="s">
        <v>1119</v>
      </c>
      <c r="W730" s="560"/>
      <c r="X730" s="461" t="s">
        <v>1824</v>
      </c>
      <c r="Y730" s="461" t="s">
        <v>1824</v>
      </c>
      <c r="Z730" s="461" t="s">
        <v>170</v>
      </c>
      <c r="AA730" s="460" t="s">
        <v>1218</v>
      </c>
      <c r="AB730" s="561">
        <f>ROUND(0,2)</f>
        <v>0</v>
      </c>
      <c r="AC730" s="460" t="s">
        <v>308</v>
      </c>
      <c r="AD730" s="460"/>
      <c r="AE730" s="561">
        <f>ROUND(36.23,2)</f>
        <v>36.229999999999997</v>
      </c>
      <c r="AF730" s="460" t="s">
        <v>308</v>
      </c>
      <c r="AG730" s="561">
        <f t="shared" si="11"/>
        <v>0</v>
      </c>
      <c r="AH730" s="460" t="s">
        <v>2671</v>
      </c>
      <c r="AI730" s="460" t="s">
        <v>1214</v>
      </c>
      <c r="AJ730" s="460"/>
      <c r="AK730" s="460"/>
      <c r="AL730" s="560"/>
      <c r="AM730" s="460"/>
    </row>
    <row r="731" spans="1:39" ht="34.200000000000003">
      <c r="A731" s="460" t="s">
        <v>1810</v>
      </c>
      <c r="B731" s="460"/>
      <c r="C731" s="460" t="s">
        <v>1474</v>
      </c>
      <c r="D731" s="460" t="s">
        <v>2027</v>
      </c>
      <c r="E731" s="460" t="s">
        <v>1844</v>
      </c>
      <c r="F731" s="460" t="s">
        <v>1812</v>
      </c>
      <c r="G731" s="461" t="s">
        <v>1218</v>
      </c>
      <c r="H731" s="461" t="s">
        <v>303</v>
      </c>
      <c r="I731" s="460" t="s">
        <v>2026</v>
      </c>
      <c r="J731" s="460" t="s">
        <v>1983</v>
      </c>
      <c r="K731" s="460" t="s">
        <v>2669</v>
      </c>
      <c r="L731" s="460" t="s">
        <v>2767</v>
      </c>
      <c r="M731" s="460" t="s">
        <v>2002</v>
      </c>
      <c r="N731" s="460" t="s">
        <v>2025</v>
      </c>
      <c r="O731" s="460" t="s">
        <v>1980</v>
      </c>
      <c r="P731" s="460" t="s">
        <v>2675</v>
      </c>
      <c r="Q731" s="460" t="s">
        <v>2676</v>
      </c>
      <c r="R731" s="460" t="s">
        <v>2677</v>
      </c>
      <c r="S731" s="460" t="s">
        <v>2676</v>
      </c>
      <c r="T731" s="460" t="s">
        <v>1827</v>
      </c>
      <c r="U731" s="461" t="s">
        <v>1824</v>
      </c>
      <c r="V731" s="460" t="s">
        <v>1119</v>
      </c>
      <c r="W731" s="560"/>
      <c r="X731" s="461" t="s">
        <v>1824</v>
      </c>
      <c r="Y731" s="461" t="s">
        <v>1824</v>
      </c>
      <c r="Z731" s="461" t="s">
        <v>170</v>
      </c>
      <c r="AA731" s="460" t="s">
        <v>1218</v>
      </c>
      <c r="AB731" s="561">
        <f>ROUND(25,2)</f>
        <v>25</v>
      </c>
      <c r="AC731" s="460" t="s">
        <v>2678</v>
      </c>
      <c r="AD731" s="460"/>
      <c r="AE731" s="561">
        <f>ROUND(500.05,2)</f>
        <v>500.05</v>
      </c>
      <c r="AF731" s="460" t="s">
        <v>2679</v>
      </c>
      <c r="AG731" s="561">
        <f t="shared" si="11"/>
        <v>0</v>
      </c>
      <c r="AH731" s="460" t="s">
        <v>2671</v>
      </c>
      <c r="AI731" s="460" t="s">
        <v>1214</v>
      </c>
      <c r="AJ731" s="460" t="s">
        <v>2550</v>
      </c>
      <c r="AK731" s="460" t="s">
        <v>2672</v>
      </c>
      <c r="AL731" s="560" t="s">
        <v>2680</v>
      </c>
      <c r="AM731" s="460" t="s">
        <v>2674</v>
      </c>
    </row>
    <row r="732" spans="1:39" ht="34.200000000000003">
      <c r="A732" s="460" t="s">
        <v>1810</v>
      </c>
      <c r="B732" s="460"/>
      <c r="C732" s="460" t="s">
        <v>1474</v>
      </c>
      <c r="D732" s="460" t="s">
        <v>2027</v>
      </c>
      <c r="E732" s="460" t="s">
        <v>1844</v>
      </c>
      <c r="F732" s="460" t="s">
        <v>1812</v>
      </c>
      <c r="G732" s="461" t="s">
        <v>1218</v>
      </c>
      <c r="H732" s="461" t="s">
        <v>303</v>
      </c>
      <c r="I732" s="460" t="s">
        <v>2026</v>
      </c>
      <c r="J732" s="460" t="s">
        <v>1983</v>
      </c>
      <c r="K732" s="460" t="s">
        <v>2669</v>
      </c>
      <c r="L732" s="460" t="s">
        <v>2767</v>
      </c>
      <c r="M732" s="460" t="s">
        <v>2002</v>
      </c>
      <c r="N732" s="460" t="s">
        <v>2025</v>
      </c>
      <c r="O732" s="460" t="s">
        <v>1980</v>
      </c>
      <c r="P732" s="460" t="s">
        <v>1979</v>
      </c>
      <c r="Q732" s="460" t="s">
        <v>1978</v>
      </c>
      <c r="R732" s="460" t="s">
        <v>1977</v>
      </c>
      <c r="S732" s="460" t="s">
        <v>1826</v>
      </c>
      <c r="T732" s="460" t="s">
        <v>1827</v>
      </c>
      <c r="U732" s="461" t="s">
        <v>1976</v>
      </c>
      <c r="V732" s="460" t="s">
        <v>1119</v>
      </c>
      <c r="W732" s="560"/>
      <c r="X732" s="461" t="s">
        <v>1824</v>
      </c>
      <c r="Y732" s="461" t="s">
        <v>1824</v>
      </c>
      <c r="Z732" s="461" t="s">
        <v>170</v>
      </c>
      <c r="AA732" s="460" t="s">
        <v>1218</v>
      </c>
      <c r="AB732" s="561">
        <f>ROUND(29.05,2)</f>
        <v>29.05</v>
      </c>
      <c r="AC732" s="460" t="s">
        <v>308</v>
      </c>
      <c r="AD732" s="460"/>
      <c r="AE732" s="561">
        <f>ROUND(825.23,2)</f>
        <v>825.23</v>
      </c>
      <c r="AF732" s="460" t="s">
        <v>308</v>
      </c>
      <c r="AG732" s="561">
        <f t="shared" si="11"/>
        <v>0</v>
      </c>
      <c r="AH732" s="460" t="s">
        <v>2671</v>
      </c>
      <c r="AI732" s="460" t="s">
        <v>1214</v>
      </c>
      <c r="AJ732" s="460" t="s">
        <v>2549</v>
      </c>
      <c r="AK732" s="460" t="s">
        <v>2672</v>
      </c>
      <c r="AL732" s="560" t="s">
        <v>2692</v>
      </c>
      <c r="AM732" s="460" t="s">
        <v>2674</v>
      </c>
    </row>
    <row r="733" spans="1:39" ht="22.8">
      <c r="A733" s="460" t="s">
        <v>1810</v>
      </c>
      <c r="B733" s="460"/>
      <c r="C733" s="460" t="s">
        <v>1649</v>
      </c>
      <c r="D733" s="460" t="s">
        <v>2024</v>
      </c>
      <c r="E733" s="460" t="s">
        <v>1816</v>
      </c>
      <c r="F733" s="460" t="s">
        <v>1812</v>
      </c>
      <c r="G733" s="461" t="s">
        <v>1218</v>
      </c>
      <c r="H733" s="461" t="s">
        <v>1023</v>
      </c>
      <c r="I733" s="460" t="s">
        <v>2023</v>
      </c>
      <c r="J733" s="460" t="s">
        <v>1990</v>
      </c>
      <c r="K733" s="460" t="s">
        <v>2669</v>
      </c>
      <c r="L733" s="460" t="s">
        <v>2716</v>
      </c>
      <c r="M733" s="460" t="s">
        <v>2022</v>
      </c>
      <c r="N733" s="460" t="s">
        <v>2021</v>
      </c>
      <c r="O733" s="460" t="s">
        <v>2001</v>
      </c>
      <c r="P733" s="460" t="s">
        <v>1979</v>
      </c>
      <c r="Q733" s="460" t="s">
        <v>95</v>
      </c>
      <c r="R733" s="460" t="s">
        <v>1977</v>
      </c>
      <c r="S733" s="460" t="s">
        <v>1842</v>
      </c>
      <c r="T733" s="460" t="s">
        <v>1827</v>
      </c>
      <c r="U733" s="461" t="s">
        <v>1976</v>
      </c>
      <c r="V733" s="460" t="s">
        <v>1119</v>
      </c>
      <c r="W733" s="560"/>
      <c r="X733" s="461" t="s">
        <v>1824</v>
      </c>
      <c r="Y733" s="461" t="s">
        <v>1824</v>
      </c>
      <c r="Z733" s="461" t="s">
        <v>170</v>
      </c>
      <c r="AA733" s="460" t="s">
        <v>1218</v>
      </c>
      <c r="AB733" s="561">
        <f>ROUND(0,2)</f>
        <v>0</v>
      </c>
      <c r="AC733" s="460" t="s">
        <v>308</v>
      </c>
      <c r="AD733" s="460"/>
      <c r="AE733" s="561">
        <f>ROUND(36.23,2)</f>
        <v>36.229999999999997</v>
      </c>
      <c r="AF733" s="460" t="s">
        <v>308</v>
      </c>
      <c r="AG733" s="561">
        <f t="shared" si="11"/>
        <v>0</v>
      </c>
      <c r="AH733" s="460" t="s">
        <v>2671</v>
      </c>
      <c r="AI733" s="460" t="s">
        <v>1214</v>
      </c>
      <c r="AJ733" s="460"/>
      <c r="AK733" s="460"/>
      <c r="AL733" s="560"/>
      <c r="AM733" s="460"/>
    </row>
    <row r="734" spans="1:39" ht="22.8">
      <c r="A734" s="460" t="s">
        <v>1810</v>
      </c>
      <c r="B734" s="460"/>
      <c r="C734" s="460" t="s">
        <v>1649</v>
      </c>
      <c r="D734" s="460" t="s">
        <v>2024</v>
      </c>
      <c r="E734" s="460" t="s">
        <v>1816</v>
      </c>
      <c r="F734" s="460" t="s">
        <v>1812</v>
      </c>
      <c r="G734" s="461" t="s">
        <v>1218</v>
      </c>
      <c r="H734" s="461" t="s">
        <v>1023</v>
      </c>
      <c r="I734" s="460" t="s">
        <v>2023</v>
      </c>
      <c r="J734" s="460" t="s">
        <v>1990</v>
      </c>
      <c r="K734" s="460" t="s">
        <v>2669</v>
      </c>
      <c r="L734" s="460" t="s">
        <v>2716</v>
      </c>
      <c r="M734" s="460" t="s">
        <v>2022</v>
      </c>
      <c r="N734" s="460" t="s">
        <v>2021</v>
      </c>
      <c r="O734" s="460" t="s">
        <v>2001</v>
      </c>
      <c r="P734" s="460" t="s">
        <v>2675</v>
      </c>
      <c r="Q734" s="460" t="s">
        <v>2676</v>
      </c>
      <c r="R734" s="460" t="s">
        <v>2677</v>
      </c>
      <c r="S734" s="460" t="s">
        <v>2676</v>
      </c>
      <c r="T734" s="460" t="s">
        <v>1827</v>
      </c>
      <c r="U734" s="461" t="s">
        <v>1824</v>
      </c>
      <c r="V734" s="460" t="s">
        <v>1119</v>
      </c>
      <c r="W734" s="560"/>
      <c r="X734" s="461" t="s">
        <v>1824</v>
      </c>
      <c r="Y734" s="461" t="s">
        <v>2683</v>
      </c>
      <c r="Z734" s="461" t="s">
        <v>170</v>
      </c>
      <c r="AA734" s="460" t="s">
        <v>1218</v>
      </c>
      <c r="AB734" s="561">
        <f>ROUND(150,2)</f>
        <v>150</v>
      </c>
      <c r="AC734" s="460" t="s">
        <v>2678</v>
      </c>
      <c r="AD734" s="460"/>
      <c r="AE734" s="561">
        <f>ROUND(500.05,2)</f>
        <v>500.05</v>
      </c>
      <c r="AF734" s="460" t="s">
        <v>2679</v>
      </c>
      <c r="AG734" s="561">
        <f t="shared" si="11"/>
        <v>0</v>
      </c>
      <c r="AH734" s="460" t="s">
        <v>2671</v>
      </c>
      <c r="AI734" s="460" t="s">
        <v>1214</v>
      </c>
      <c r="AJ734" s="460" t="s">
        <v>2550</v>
      </c>
      <c r="AK734" s="460" t="s">
        <v>2672</v>
      </c>
      <c r="AL734" s="560" t="s">
        <v>2741</v>
      </c>
      <c r="AM734" s="460" t="s">
        <v>2674</v>
      </c>
    </row>
    <row r="735" spans="1:39" ht="22.8">
      <c r="A735" s="460" t="s">
        <v>1810</v>
      </c>
      <c r="B735" s="460"/>
      <c r="C735" s="460" t="s">
        <v>1649</v>
      </c>
      <c r="D735" s="460" t="s">
        <v>2024</v>
      </c>
      <c r="E735" s="460" t="s">
        <v>1816</v>
      </c>
      <c r="F735" s="460" t="s">
        <v>1812</v>
      </c>
      <c r="G735" s="461" t="s">
        <v>1218</v>
      </c>
      <c r="H735" s="461" t="s">
        <v>1023</v>
      </c>
      <c r="I735" s="460" t="s">
        <v>2023</v>
      </c>
      <c r="J735" s="460" t="s">
        <v>1990</v>
      </c>
      <c r="K735" s="460" t="s">
        <v>2669</v>
      </c>
      <c r="L735" s="460" t="s">
        <v>2716</v>
      </c>
      <c r="M735" s="460" t="s">
        <v>2022</v>
      </c>
      <c r="N735" s="460" t="s">
        <v>2021</v>
      </c>
      <c r="O735" s="460" t="s">
        <v>2001</v>
      </c>
      <c r="P735" s="460" t="s">
        <v>1979</v>
      </c>
      <c r="Q735" s="460" t="s">
        <v>1978</v>
      </c>
      <c r="R735" s="460" t="s">
        <v>1977</v>
      </c>
      <c r="S735" s="460" t="s">
        <v>1826</v>
      </c>
      <c r="T735" s="460" t="s">
        <v>1827</v>
      </c>
      <c r="U735" s="461" t="s">
        <v>1976</v>
      </c>
      <c r="V735" s="460" t="s">
        <v>1119</v>
      </c>
      <c r="W735" s="560"/>
      <c r="X735" s="461" t="s">
        <v>1824</v>
      </c>
      <c r="Y735" s="461" t="s">
        <v>1824</v>
      </c>
      <c r="Z735" s="461" t="s">
        <v>170</v>
      </c>
      <c r="AA735" s="460" t="s">
        <v>1218</v>
      </c>
      <c r="AB735" s="561">
        <f>ROUND(29.05,2)</f>
        <v>29.05</v>
      </c>
      <c r="AC735" s="460" t="s">
        <v>308</v>
      </c>
      <c r="AD735" s="460"/>
      <c r="AE735" s="561">
        <f>ROUND(825.23,2)</f>
        <v>825.23</v>
      </c>
      <c r="AF735" s="460" t="s">
        <v>308</v>
      </c>
      <c r="AG735" s="561">
        <f t="shared" si="11"/>
        <v>0</v>
      </c>
      <c r="AH735" s="460" t="s">
        <v>2671</v>
      </c>
      <c r="AI735" s="460" t="s">
        <v>1214</v>
      </c>
      <c r="AJ735" s="460" t="s">
        <v>2549</v>
      </c>
      <c r="AK735" s="460" t="s">
        <v>2672</v>
      </c>
      <c r="AL735" s="560" t="s">
        <v>2692</v>
      </c>
      <c r="AM735" s="460" t="s">
        <v>2674</v>
      </c>
    </row>
    <row r="736" spans="1:39" ht="22.8">
      <c r="A736" s="460" t="s">
        <v>1810</v>
      </c>
      <c r="B736" s="460"/>
      <c r="C736" s="460" t="s">
        <v>2461</v>
      </c>
      <c r="D736" s="460" t="s">
        <v>2877</v>
      </c>
      <c r="E736" s="460"/>
      <c r="F736" s="460" t="s">
        <v>2879</v>
      </c>
      <c r="G736" s="461" t="s">
        <v>1218</v>
      </c>
      <c r="H736" s="461" t="s">
        <v>1993</v>
      </c>
      <c r="I736" s="460" t="s">
        <v>2878</v>
      </c>
      <c r="J736" s="460" t="s">
        <v>1983</v>
      </c>
      <c r="K736" s="460" t="s">
        <v>2669</v>
      </c>
      <c r="L736" s="460"/>
      <c r="M736" s="460"/>
      <c r="N736" s="460"/>
      <c r="O736" s="460" t="s">
        <v>170</v>
      </c>
      <c r="P736" s="460" t="s">
        <v>1979</v>
      </c>
      <c r="Q736" s="460" t="s">
        <v>95</v>
      </c>
      <c r="R736" s="460" t="s">
        <v>1977</v>
      </c>
      <c r="S736" s="460" t="s">
        <v>2880</v>
      </c>
      <c r="T736" s="460" t="s">
        <v>1827</v>
      </c>
      <c r="U736" s="461" t="s">
        <v>1824</v>
      </c>
      <c r="V736" s="460" t="s">
        <v>1119</v>
      </c>
      <c r="W736" s="560"/>
      <c r="X736" s="461" t="s">
        <v>1993</v>
      </c>
      <c r="Y736" s="461" t="s">
        <v>1993</v>
      </c>
      <c r="Z736" s="461" t="s">
        <v>170</v>
      </c>
      <c r="AA736" s="460" t="s">
        <v>1218</v>
      </c>
      <c r="AB736" s="561">
        <f>ROUND(36.95,2)</f>
        <v>36.950000000000003</v>
      </c>
      <c r="AC736" s="460" t="s">
        <v>308</v>
      </c>
      <c r="AD736" s="460"/>
      <c r="AE736" s="561">
        <f>ROUND(0,2)</f>
        <v>0</v>
      </c>
      <c r="AF736" s="460" t="s">
        <v>308</v>
      </c>
      <c r="AG736" s="561">
        <f t="shared" si="11"/>
        <v>0</v>
      </c>
      <c r="AH736" s="460" t="s">
        <v>2881</v>
      </c>
      <c r="AI736" s="460" t="s">
        <v>1214</v>
      </c>
      <c r="AJ736" s="460"/>
      <c r="AK736" s="460"/>
      <c r="AL736" s="560"/>
      <c r="AM736" s="460"/>
    </row>
    <row r="737" spans="1:39" ht="22.8">
      <c r="A737" s="460" t="s">
        <v>1810</v>
      </c>
      <c r="B737" s="460"/>
      <c r="C737" s="460" t="s">
        <v>1643</v>
      </c>
      <c r="D737" s="460" t="s">
        <v>2376</v>
      </c>
      <c r="E737" s="460" t="s">
        <v>1816</v>
      </c>
      <c r="F737" s="460" t="s">
        <v>1812</v>
      </c>
      <c r="G737" s="461" t="s">
        <v>1218</v>
      </c>
      <c r="H737" s="461" t="s">
        <v>282</v>
      </c>
      <c r="I737" s="460" t="s">
        <v>2291</v>
      </c>
      <c r="J737" s="460" t="s">
        <v>1983</v>
      </c>
      <c r="K737" s="460" t="s">
        <v>2669</v>
      </c>
      <c r="L737" s="460" t="s">
        <v>2882</v>
      </c>
      <c r="M737" s="460" t="s">
        <v>2022</v>
      </c>
      <c r="N737" s="460" t="s">
        <v>2021</v>
      </c>
      <c r="O737" s="460" t="s">
        <v>170</v>
      </c>
      <c r="P737" s="460" t="s">
        <v>1979</v>
      </c>
      <c r="Q737" s="460" t="s">
        <v>95</v>
      </c>
      <c r="R737" s="460" t="s">
        <v>1977</v>
      </c>
      <c r="S737" s="460" t="s">
        <v>1842</v>
      </c>
      <c r="T737" s="460" t="s">
        <v>1827</v>
      </c>
      <c r="U737" s="461" t="s">
        <v>1976</v>
      </c>
      <c r="V737" s="460" t="s">
        <v>1843</v>
      </c>
      <c r="W737" s="560"/>
      <c r="X737" s="461" t="s">
        <v>1824</v>
      </c>
      <c r="Y737" s="461" t="s">
        <v>1824</v>
      </c>
      <c r="Z737" s="461" t="s">
        <v>170</v>
      </c>
      <c r="AA737" s="460" t="s">
        <v>1218</v>
      </c>
      <c r="AB737" s="561">
        <f>ROUND(30.41,2)</f>
        <v>30.41</v>
      </c>
      <c r="AC737" s="460" t="s">
        <v>308</v>
      </c>
      <c r="AD737" s="460"/>
      <c r="AE737" s="561">
        <f>ROUND(70.29,2)</f>
        <v>70.290000000000006</v>
      </c>
      <c r="AF737" s="460" t="s">
        <v>308</v>
      </c>
      <c r="AG737" s="561">
        <f t="shared" si="11"/>
        <v>0</v>
      </c>
      <c r="AH737" s="460" t="s">
        <v>2671</v>
      </c>
      <c r="AI737" s="460" t="s">
        <v>1214</v>
      </c>
      <c r="AJ737" s="460" t="s">
        <v>2548</v>
      </c>
      <c r="AK737" s="460" t="s">
        <v>2672</v>
      </c>
      <c r="AL737" s="560" t="s">
        <v>2673</v>
      </c>
      <c r="AM737" s="460" t="s">
        <v>2674</v>
      </c>
    </row>
    <row r="738" spans="1:39" ht="34.200000000000003">
      <c r="A738" s="460" t="s">
        <v>1810</v>
      </c>
      <c r="B738" s="460"/>
      <c r="C738" s="460" t="s">
        <v>1530</v>
      </c>
      <c r="D738" s="460" t="s">
        <v>2020</v>
      </c>
      <c r="E738" s="460" t="s">
        <v>1841</v>
      </c>
      <c r="F738" s="460" t="s">
        <v>1812</v>
      </c>
      <c r="G738" s="461" t="s">
        <v>1218</v>
      </c>
      <c r="H738" s="461" t="s">
        <v>280</v>
      </c>
      <c r="I738" s="460" t="s">
        <v>2019</v>
      </c>
      <c r="J738" s="460" t="s">
        <v>1990</v>
      </c>
      <c r="K738" s="460" t="s">
        <v>2669</v>
      </c>
      <c r="L738" s="460" t="s">
        <v>2812</v>
      </c>
      <c r="M738" s="460" t="s">
        <v>2002</v>
      </c>
      <c r="N738" s="460" t="s">
        <v>2018</v>
      </c>
      <c r="O738" s="460" t="s">
        <v>1980</v>
      </c>
      <c r="P738" s="460" t="s">
        <v>1979</v>
      </c>
      <c r="Q738" s="460" t="s">
        <v>95</v>
      </c>
      <c r="R738" s="460" t="s">
        <v>1977</v>
      </c>
      <c r="S738" s="460" t="s">
        <v>1842</v>
      </c>
      <c r="T738" s="460" t="s">
        <v>1827</v>
      </c>
      <c r="U738" s="461" t="s">
        <v>1976</v>
      </c>
      <c r="V738" s="460" t="s">
        <v>1119</v>
      </c>
      <c r="W738" s="560"/>
      <c r="X738" s="461" t="s">
        <v>1824</v>
      </c>
      <c r="Y738" s="461" t="s">
        <v>1824</v>
      </c>
      <c r="Z738" s="461" t="s">
        <v>170</v>
      </c>
      <c r="AA738" s="460" t="s">
        <v>1218</v>
      </c>
      <c r="AB738" s="561">
        <f>ROUND(0,2)</f>
        <v>0</v>
      </c>
      <c r="AC738" s="460" t="s">
        <v>308</v>
      </c>
      <c r="AD738" s="460"/>
      <c r="AE738" s="561">
        <f>ROUND(36.23,2)</f>
        <v>36.229999999999997</v>
      </c>
      <c r="AF738" s="460" t="s">
        <v>308</v>
      </c>
      <c r="AG738" s="561">
        <f t="shared" si="11"/>
        <v>0</v>
      </c>
      <c r="AH738" s="460" t="s">
        <v>2671</v>
      </c>
      <c r="AI738" s="460" t="s">
        <v>1214</v>
      </c>
      <c r="AJ738" s="460"/>
      <c r="AK738" s="460"/>
      <c r="AL738" s="560"/>
      <c r="AM738" s="460"/>
    </row>
    <row r="739" spans="1:39" ht="34.200000000000003">
      <c r="A739" s="460" t="s">
        <v>1810</v>
      </c>
      <c r="B739" s="460"/>
      <c r="C739" s="460" t="s">
        <v>1530</v>
      </c>
      <c r="D739" s="460" t="s">
        <v>2020</v>
      </c>
      <c r="E739" s="460" t="s">
        <v>1841</v>
      </c>
      <c r="F739" s="460" t="s">
        <v>1812</v>
      </c>
      <c r="G739" s="461" t="s">
        <v>1218</v>
      </c>
      <c r="H739" s="461" t="s">
        <v>280</v>
      </c>
      <c r="I739" s="460" t="s">
        <v>2019</v>
      </c>
      <c r="J739" s="460" t="s">
        <v>1990</v>
      </c>
      <c r="K739" s="460" t="s">
        <v>2669</v>
      </c>
      <c r="L739" s="460" t="s">
        <v>2812</v>
      </c>
      <c r="M739" s="460" t="s">
        <v>2002</v>
      </c>
      <c r="N739" s="460" t="s">
        <v>2018</v>
      </c>
      <c r="O739" s="460" t="s">
        <v>1980</v>
      </c>
      <c r="P739" s="460" t="s">
        <v>2675</v>
      </c>
      <c r="Q739" s="460" t="s">
        <v>2676</v>
      </c>
      <c r="R739" s="460" t="s">
        <v>2677</v>
      </c>
      <c r="S739" s="460" t="s">
        <v>2676</v>
      </c>
      <c r="T739" s="460" t="s">
        <v>1827</v>
      </c>
      <c r="U739" s="461" t="s">
        <v>1824</v>
      </c>
      <c r="V739" s="460" t="s">
        <v>1119</v>
      </c>
      <c r="W739" s="560"/>
      <c r="X739" s="461" t="s">
        <v>1824</v>
      </c>
      <c r="Y739" s="461" t="s">
        <v>1824</v>
      </c>
      <c r="Z739" s="461" t="s">
        <v>170</v>
      </c>
      <c r="AA739" s="460" t="s">
        <v>1218</v>
      </c>
      <c r="AB739" s="561">
        <f>ROUND(0,2)</f>
        <v>0</v>
      </c>
      <c r="AC739" s="460" t="s">
        <v>2678</v>
      </c>
      <c r="AD739" s="460"/>
      <c r="AE739" s="561">
        <f>ROUND(500.05,2)</f>
        <v>500.05</v>
      </c>
      <c r="AF739" s="460" t="s">
        <v>2679</v>
      </c>
      <c r="AG739" s="561">
        <f t="shared" si="11"/>
        <v>0</v>
      </c>
      <c r="AH739" s="460" t="s">
        <v>2671</v>
      </c>
      <c r="AI739" s="460" t="s">
        <v>1214</v>
      </c>
      <c r="AJ739" s="460"/>
      <c r="AK739" s="460"/>
      <c r="AL739" s="560"/>
      <c r="AM739" s="460"/>
    </row>
    <row r="740" spans="1:39" ht="34.200000000000003">
      <c r="A740" s="460" t="s">
        <v>1810</v>
      </c>
      <c r="B740" s="460"/>
      <c r="C740" s="460" t="s">
        <v>1530</v>
      </c>
      <c r="D740" s="460" t="s">
        <v>2020</v>
      </c>
      <c r="E740" s="460" t="s">
        <v>1841</v>
      </c>
      <c r="F740" s="460" t="s">
        <v>1812</v>
      </c>
      <c r="G740" s="461" t="s">
        <v>1218</v>
      </c>
      <c r="H740" s="461" t="s">
        <v>280</v>
      </c>
      <c r="I740" s="460" t="s">
        <v>2019</v>
      </c>
      <c r="J740" s="460" t="s">
        <v>1990</v>
      </c>
      <c r="K740" s="460" t="s">
        <v>2669</v>
      </c>
      <c r="L740" s="460" t="s">
        <v>2812</v>
      </c>
      <c r="M740" s="460" t="s">
        <v>2002</v>
      </c>
      <c r="N740" s="460" t="s">
        <v>2018</v>
      </c>
      <c r="O740" s="460" t="s">
        <v>1980</v>
      </c>
      <c r="P740" s="460" t="s">
        <v>1979</v>
      </c>
      <c r="Q740" s="460" t="s">
        <v>1978</v>
      </c>
      <c r="R740" s="460" t="s">
        <v>1977</v>
      </c>
      <c r="S740" s="460" t="s">
        <v>1826</v>
      </c>
      <c r="T740" s="460" t="s">
        <v>1827</v>
      </c>
      <c r="U740" s="461" t="s">
        <v>1976</v>
      </c>
      <c r="V740" s="460" t="s">
        <v>1119</v>
      </c>
      <c r="W740" s="560"/>
      <c r="X740" s="461" t="s">
        <v>1824</v>
      </c>
      <c r="Y740" s="461" t="s">
        <v>1824</v>
      </c>
      <c r="Z740" s="461" t="s">
        <v>170</v>
      </c>
      <c r="AA740" s="460" t="s">
        <v>1218</v>
      </c>
      <c r="AB740" s="561">
        <f>ROUND(29.05,2)</f>
        <v>29.05</v>
      </c>
      <c r="AC740" s="460" t="s">
        <v>308</v>
      </c>
      <c r="AD740" s="460"/>
      <c r="AE740" s="561">
        <f>ROUND(825.23,2)</f>
        <v>825.23</v>
      </c>
      <c r="AF740" s="460" t="s">
        <v>308</v>
      </c>
      <c r="AG740" s="561">
        <f t="shared" si="11"/>
        <v>0</v>
      </c>
      <c r="AH740" s="460" t="s">
        <v>2671</v>
      </c>
      <c r="AI740" s="460" t="s">
        <v>1214</v>
      </c>
      <c r="AJ740" s="460" t="s">
        <v>2549</v>
      </c>
      <c r="AK740" s="460" t="s">
        <v>2672</v>
      </c>
      <c r="AL740" s="560" t="s">
        <v>2692</v>
      </c>
      <c r="AM740" s="460" t="s">
        <v>2674</v>
      </c>
    </row>
    <row r="741" spans="1:39" ht="34.200000000000003">
      <c r="A741" s="460" t="s">
        <v>1810</v>
      </c>
      <c r="B741" s="460"/>
      <c r="C741" s="460" t="s">
        <v>1498</v>
      </c>
      <c r="D741" s="460" t="s">
        <v>2017</v>
      </c>
      <c r="E741" s="460" t="s">
        <v>1828</v>
      </c>
      <c r="F741" s="460" t="s">
        <v>2015</v>
      </c>
      <c r="G741" s="461" t="s">
        <v>1218</v>
      </c>
      <c r="H741" s="461" t="s">
        <v>189</v>
      </c>
      <c r="I741" s="460" t="s">
        <v>2016</v>
      </c>
      <c r="J741" s="460" t="s">
        <v>1983</v>
      </c>
      <c r="K741" s="460" t="s">
        <v>2669</v>
      </c>
      <c r="L741" s="460" t="s">
        <v>2735</v>
      </c>
      <c r="M741" s="460" t="s">
        <v>2002</v>
      </c>
      <c r="N741" s="460" t="s">
        <v>1981</v>
      </c>
      <c r="O741" s="460" t="s">
        <v>2001</v>
      </c>
      <c r="P741" s="460" t="s">
        <v>1979</v>
      </c>
      <c r="Q741" s="460" t="s">
        <v>95</v>
      </c>
      <c r="R741" s="460" t="s">
        <v>1977</v>
      </c>
      <c r="S741" s="460" t="s">
        <v>1842</v>
      </c>
      <c r="T741" s="460" t="s">
        <v>1827</v>
      </c>
      <c r="U741" s="461" t="s">
        <v>1976</v>
      </c>
      <c r="V741" s="460" t="s">
        <v>1119</v>
      </c>
      <c r="W741" s="560"/>
      <c r="X741" s="461" t="s">
        <v>1824</v>
      </c>
      <c r="Y741" s="461" t="s">
        <v>1824</v>
      </c>
      <c r="Z741" s="461" t="s">
        <v>170</v>
      </c>
      <c r="AA741" s="460" t="s">
        <v>1218</v>
      </c>
      <c r="AB741" s="561">
        <f>ROUND(0,2)</f>
        <v>0</v>
      </c>
      <c r="AC741" s="460" t="s">
        <v>308</v>
      </c>
      <c r="AD741" s="460"/>
      <c r="AE741" s="561">
        <f>ROUND(36.23,2)</f>
        <v>36.229999999999997</v>
      </c>
      <c r="AF741" s="460" t="s">
        <v>308</v>
      </c>
      <c r="AG741" s="561">
        <f t="shared" si="11"/>
        <v>0</v>
      </c>
      <c r="AH741" s="460" t="s">
        <v>2671</v>
      </c>
      <c r="AI741" s="460" t="s">
        <v>1214</v>
      </c>
      <c r="AJ741" s="460"/>
      <c r="AK741" s="460"/>
      <c r="AL741" s="560"/>
      <c r="AM741" s="460"/>
    </row>
    <row r="742" spans="1:39" ht="34.200000000000003">
      <c r="A742" s="460" t="s">
        <v>1810</v>
      </c>
      <c r="B742" s="460"/>
      <c r="C742" s="460" t="s">
        <v>1498</v>
      </c>
      <c r="D742" s="460" t="s">
        <v>2017</v>
      </c>
      <c r="E742" s="460" t="s">
        <v>1828</v>
      </c>
      <c r="F742" s="460" t="s">
        <v>2015</v>
      </c>
      <c r="G742" s="461" t="s">
        <v>1218</v>
      </c>
      <c r="H742" s="461" t="s">
        <v>189</v>
      </c>
      <c r="I742" s="460" t="s">
        <v>2016</v>
      </c>
      <c r="J742" s="460" t="s">
        <v>1983</v>
      </c>
      <c r="K742" s="460" t="s">
        <v>2669</v>
      </c>
      <c r="L742" s="460" t="s">
        <v>2735</v>
      </c>
      <c r="M742" s="460" t="s">
        <v>2002</v>
      </c>
      <c r="N742" s="460" t="s">
        <v>1981</v>
      </c>
      <c r="O742" s="460" t="s">
        <v>2001</v>
      </c>
      <c r="P742" s="460" t="s">
        <v>2675</v>
      </c>
      <c r="Q742" s="460" t="s">
        <v>2676</v>
      </c>
      <c r="R742" s="460" t="s">
        <v>2677</v>
      </c>
      <c r="S742" s="460" t="s">
        <v>2676</v>
      </c>
      <c r="T742" s="460" t="s">
        <v>1827</v>
      </c>
      <c r="U742" s="461" t="s">
        <v>1824</v>
      </c>
      <c r="V742" s="460" t="s">
        <v>1119</v>
      </c>
      <c r="W742" s="560"/>
      <c r="X742" s="461" t="s">
        <v>1824</v>
      </c>
      <c r="Y742" s="461" t="s">
        <v>1824</v>
      </c>
      <c r="Z742" s="461" t="s">
        <v>170</v>
      </c>
      <c r="AA742" s="460" t="s">
        <v>1218</v>
      </c>
      <c r="AB742" s="561">
        <f>ROUND(10,2)</f>
        <v>10</v>
      </c>
      <c r="AC742" s="460" t="s">
        <v>2678</v>
      </c>
      <c r="AD742" s="460"/>
      <c r="AE742" s="561">
        <f>ROUND(500.05,2)</f>
        <v>500.05</v>
      </c>
      <c r="AF742" s="460" t="s">
        <v>2679</v>
      </c>
      <c r="AG742" s="561">
        <f t="shared" si="11"/>
        <v>0</v>
      </c>
      <c r="AH742" s="460" t="s">
        <v>2671</v>
      </c>
      <c r="AI742" s="460" t="s">
        <v>1214</v>
      </c>
      <c r="AJ742" s="460" t="s">
        <v>2550</v>
      </c>
      <c r="AK742" s="460" t="s">
        <v>2672</v>
      </c>
      <c r="AL742" s="560" t="s">
        <v>2725</v>
      </c>
      <c r="AM742" s="460" t="s">
        <v>2674</v>
      </c>
    </row>
    <row r="743" spans="1:39" ht="34.200000000000003">
      <c r="A743" s="460" t="s">
        <v>1810</v>
      </c>
      <c r="B743" s="460"/>
      <c r="C743" s="460" t="s">
        <v>1498</v>
      </c>
      <c r="D743" s="460" t="s">
        <v>2017</v>
      </c>
      <c r="E743" s="460" t="s">
        <v>1828</v>
      </c>
      <c r="F743" s="460" t="s">
        <v>2015</v>
      </c>
      <c r="G743" s="461" t="s">
        <v>1218</v>
      </c>
      <c r="H743" s="461" t="s">
        <v>189</v>
      </c>
      <c r="I743" s="460" t="s">
        <v>2016</v>
      </c>
      <c r="J743" s="460" t="s">
        <v>1983</v>
      </c>
      <c r="K743" s="460" t="s">
        <v>2669</v>
      </c>
      <c r="L743" s="460" t="s">
        <v>2735</v>
      </c>
      <c r="M743" s="460" t="s">
        <v>2002</v>
      </c>
      <c r="N743" s="460" t="s">
        <v>1981</v>
      </c>
      <c r="O743" s="460" t="s">
        <v>2001</v>
      </c>
      <c r="P743" s="460" t="s">
        <v>1979</v>
      </c>
      <c r="Q743" s="460" t="s">
        <v>1978</v>
      </c>
      <c r="R743" s="460" t="s">
        <v>1977</v>
      </c>
      <c r="S743" s="460" t="s">
        <v>1826</v>
      </c>
      <c r="T743" s="460" t="s">
        <v>1827</v>
      </c>
      <c r="U743" s="461" t="s">
        <v>1976</v>
      </c>
      <c r="V743" s="460" t="s">
        <v>1119</v>
      </c>
      <c r="W743" s="560"/>
      <c r="X743" s="461" t="s">
        <v>1824</v>
      </c>
      <c r="Y743" s="461" t="s">
        <v>1824</v>
      </c>
      <c r="Z743" s="461" t="s">
        <v>170</v>
      </c>
      <c r="AA743" s="460" t="s">
        <v>1218</v>
      </c>
      <c r="AB743" s="561">
        <f>ROUND(29.05,2)</f>
        <v>29.05</v>
      </c>
      <c r="AC743" s="460" t="s">
        <v>308</v>
      </c>
      <c r="AD743" s="460"/>
      <c r="AE743" s="561">
        <f>ROUND(825.23,2)</f>
        <v>825.23</v>
      </c>
      <c r="AF743" s="460" t="s">
        <v>308</v>
      </c>
      <c r="AG743" s="561">
        <f t="shared" si="11"/>
        <v>0</v>
      </c>
      <c r="AH743" s="460" t="s">
        <v>2671</v>
      </c>
      <c r="AI743" s="460" t="s">
        <v>1214</v>
      </c>
      <c r="AJ743" s="460" t="s">
        <v>2549</v>
      </c>
      <c r="AK743" s="460" t="s">
        <v>2672</v>
      </c>
      <c r="AL743" s="560" t="s">
        <v>2692</v>
      </c>
      <c r="AM743" s="460" t="s">
        <v>2674</v>
      </c>
    </row>
    <row r="744" spans="1:39" ht="22.8">
      <c r="A744" s="460" t="s">
        <v>1810</v>
      </c>
      <c r="B744" s="460"/>
      <c r="C744" s="460" t="s">
        <v>1609</v>
      </c>
      <c r="D744" s="460" t="s">
        <v>2014</v>
      </c>
      <c r="E744" s="460" t="s">
        <v>1821</v>
      </c>
      <c r="F744" s="460" t="s">
        <v>1812</v>
      </c>
      <c r="G744" s="461" t="s">
        <v>1218</v>
      </c>
      <c r="H744" s="461" t="s">
        <v>1029</v>
      </c>
      <c r="I744" s="460" t="s">
        <v>2013</v>
      </c>
      <c r="J744" s="460" t="s">
        <v>1983</v>
      </c>
      <c r="K744" s="460" t="s">
        <v>2669</v>
      </c>
      <c r="L744" s="460" t="s">
        <v>2714</v>
      </c>
      <c r="M744" s="460" t="s">
        <v>1994</v>
      </c>
      <c r="N744" s="460" t="s">
        <v>1981</v>
      </c>
      <c r="O744" s="460" t="s">
        <v>1980</v>
      </c>
      <c r="P744" s="460" t="s">
        <v>1979</v>
      </c>
      <c r="Q744" s="460" t="s">
        <v>95</v>
      </c>
      <c r="R744" s="460" t="s">
        <v>1977</v>
      </c>
      <c r="S744" s="460" t="s">
        <v>1842</v>
      </c>
      <c r="T744" s="460" t="s">
        <v>1827</v>
      </c>
      <c r="U744" s="461" t="s">
        <v>1976</v>
      </c>
      <c r="V744" s="460" t="s">
        <v>1119</v>
      </c>
      <c r="W744" s="560"/>
      <c r="X744" s="461" t="s">
        <v>2012</v>
      </c>
      <c r="Y744" s="461" t="s">
        <v>2012</v>
      </c>
      <c r="Z744" s="461" t="s">
        <v>170</v>
      </c>
      <c r="AA744" s="460" t="s">
        <v>1218</v>
      </c>
      <c r="AB744" s="561">
        <f>ROUND(0,2)</f>
        <v>0</v>
      </c>
      <c r="AC744" s="460" t="s">
        <v>308</v>
      </c>
      <c r="AD744" s="460"/>
      <c r="AE744" s="561">
        <f>ROUND(36.23,2)</f>
        <v>36.229999999999997</v>
      </c>
      <c r="AF744" s="460" t="s">
        <v>308</v>
      </c>
      <c r="AG744" s="561">
        <f t="shared" si="11"/>
        <v>0</v>
      </c>
      <c r="AH744" s="460" t="s">
        <v>2671</v>
      </c>
      <c r="AI744" s="460" t="s">
        <v>1214</v>
      </c>
      <c r="AJ744" s="460"/>
      <c r="AK744" s="460"/>
      <c r="AL744" s="560"/>
      <c r="AM744" s="460"/>
    </row>
    <row r="745" spans="1:39" ht="22.8">
      <c r="A745" s="460" t="s">
        <v>1810</v>
      </c>
      <c r="B745" s="460"/>
      <c r="C745" s="460" t="s">
        <v>1609</v>
      </c>
      <c r="D745" s="460" t="s">
        <v>2014</v>
      </c>
      <c r="E745" s="460" t="s">
        <v>1821</v>
      </c>
      <c r="F745" s="460" t="s">
        <v>1812</v>
      </c>
      <c r="G745" s="461" t="s">
        <v>1218</v>
      </c>
      <c r="H745" s="461" t="s">
        <v>1029</v>
      </c>
      <c r="I745" s="460" t="s">
        <v>2013</v>
      </c>
      <c r="J745" s="460" t="s">
        <v>1983</v>
      </c>
      <c r="K745" s="460" t="s">
        <v>2669</v>
      </c>
      <c r="L745" s="460" t="s">
        <v>2714</v>
      </c>
      <c r="M745" s="460" t="s">
        <v>1994</v>
      </c>
      <c r="N745" s="460" t="s">
        <v>1981</v>
      </c>
      <c r="O745" s="460" t="s">
        <v>1980</v>
      </c>
      <c r="P745" s="460" t="s">
        <v>2675</v>
      </c>
      <c r="Q745" s="460" t="s">
        <v>2676</v>
      </c>
      <c r="R745" s="460" t="s">
        <v>2677</v>
      </c>
      <c r="S745" s="460" t="s">
        <v>2676</v>
      </c>
      <c r="T745" s="460" t="s">
        <v>1827</v>
      </c>
      <c r="U745" s="461" t="s">
        <v>1824</v>
      </c>
      <c r="V745" s="460" t="s">
        <v>1119</v>
      </c>
      <c r="W745" s="560"/>
      <c r="X745" s="461" t="s">
        <v>1824</v>
      </c>
      <c r="Y745" s="461" t="s">
        <v>1824</v>
      </c>
      <c r="Z745" s="461" t="s">
        <v>170</v>
      </c>
      <c r="AA745" s="460" t="s">
        <v>1218</v>
      </c>
      <c r="AB745" s="561">
        <f>ROUND(20,2)</f>
        <v>20</v>
      </c>
      <c r="AC745" s="460" t="s">
        <v>2678</v>
      </c>
      <c r="AD745" s="460"/>
      <c r="AE745" s="561">
        <f>ROUND(500.05,2)</f>
        <v>500.05</v>
      </c>
      <c r="AF745" s="460" t="s">
        <v>2679</v>
      </c>
      <c r="AG745" s="561">
        <f t="shared" si="11"/>
        <v>0</v>
      </c>
      <c r="AH745" s="460" t="s">
        <v>2671</v>
      </c>
      <c r="AI745" s="460" t="s">
        <v>1214</v>
      </c>
      <c r="AJ745" s="460" t="s">
        <v>2550</v>
      </c>
      <c r="AK745" s="460" t="s">
        <v>2672</v>
      </c>
      <c r="AL745" s="560" t="s">
        <v>2711</v>
      </c>
      <c r="AM745" s="460" t="s">
        <v>2674</v>
      </c>
    </row>
    <row r="746" spans="1:39" ht="22.8">
      <c r="A746" s="460" t="s">
        <v>1810</v>
      </c>
      <c r="B746" s="460"/>
      <c r="C746" s="460" t="s">
        <v>1609</v>
      </c>
      <c r="D746" s="460" t="s">
        <v>2014</v>
      </c>
      <c r="E746" s="460" t="s">
        <v>1821</v>
      </c>
      <c r="F746" s="460" t="s">
        <v>1812</v>
      </c>
      <c r="G746" s="461" t="s">
        <v>1218</v>
      </c>
      <c r="H746" s="461" t="s">
        <v>1029</v>
      </c>
      <c r="I746" s="460" t="s">
        <v>2013</v>
      </c>
      <c r="J746" s="460" t="s">
        <v>1983</v>
      </c>
      <c r="K746" s="460" t="s">
        <v>2669</v>
      </c>
      <c r="L746" s="460" t="s">
        <v>2714</v>
      </c>
      <c r="M746" s="460" t="s">
        <v>1994</v>
      </c>
      <c r="N746" s="460" t="s">
        <v>1981</v>
      </c>
      <c r="O746" s="460" t="s">
        <v>1980</v>
      </c>
      <c r="P746" s="460" t="s">
        <v>1979</v>
      </c>
      <c r="Q746" s="460" t="s">
        <v>1978</v>
      </c>
      <c r="R746" s="460" t="s">
        <v>1977</v>
      </c>
      <c r="S746" s="460" t="s">
        <v>1826</v>
      </c>
      <c r="T746" s="460" t="s">
        <v>1827</v>
      </c>
      <c r="U746" s="461" t="s">
        <v>1976</v>
      </c>
      <c r="V746" s="460" t="s">
        <v>1119</v>
      </c>
      <c r="W746" s="560"/>
      <c r="X746" s="461" t="s">
        <v>2012</v>
      </c>
      <c r="Y746" s="461" t="s">
        <v>2012</v>
      </c>
      <c r="Z746" s="461" t="s">
        <v>170</v>
      </c>
      <c r="AA746" s="460" t="s">
        <v>1218</v>
      </c>
      <c r="AB746" s="561">
        <f>ROUND(29.05,2)</f>
        <v>29.05</v>
      </c>
      <c r="AC746" s="460" t="s">
        <v>308</v>
      </c>
      <c r="AD746" s="460"/>
      <c r="AE746" s="561">
        <f>ROUND(825.23,2)</f>
        <v>825.23</v>
      </c>
      <c r="AF746" s="460" t="s">
        <v>308</v>
      </c>
      <c r="AG746" s="561">
        <f t="shared" si="11"/>
        <v>0</v>
      </c>
      <c r="AH746" s="460" t="s">
        <v>2671</v>
      </c>
      <c r="AI746" s="460" t="s">
        <v>1214</v>
      </c>
      <c r="AJ746" s="460" t="s">
        <v>2549</v>
      </c>
      <c r="AK746" s="460" t="s">
        <v>2672</v>
      </c>
      <c r="AL746" s="560" t="s">
        <v>2692</v>
      </c>
      <c r="AM746" s="460" t="s">
        <v>2674</v>
      </c>
    </row>
    <row r="747" spans="1:39" ht="22.8">
      <c r="A747" s="460" t="s">
        <v>1810</v>
      </c>
      <c r="B747" s="460"/>
      <c r="C747" s="460" t="s">
        <v>2494</v>
      </c>
      <c r="D747" s="460" t="s">
        <v>2883</v>
      </c>
      <c r="E747" s="460" t="s">
        <v>1814</v>
      </c>
      <c r="F747" s="460" t="s">
        <v>1812</v>
      </c>
      <c r="G747" s="461" t="s">
        <v>1218</v>
      </c>
      <c r="H747" s="461" t="s">
        <v>2776</v>
      </c>
      <c r="I747" s="460" t="s">
        <v>2128</v>
      </c>
      <c r="J747" s="460" t="s">
        <v>1983</v>
      </c>
      <c r="K747" s="460" t="s">
        <v>2669</v>
      </c>
      <c r="L747" s="460" t="s">
        <v>2703</v>
      </c>
      <c r="M747" s="460" t="s">
        <v>1982</v>
      </c>
      <c r="N747" s="460" t="s">
        <v>1981</v>
      </c>
      <c r="O747" s="460" t="s">
        <v>1980</v>
      </c>
      <c r="P747" s="460" t="s">
        <v>1979</v>
      </c>
      <c r="Q747" s="460" t="s">
        <v>95</v>
      </c>
      <c r="R747" s="460" t="s">
        <v>1977</v>
      </c>
      <c r="S747" s="460" t="s">
        <v>1842</v>
      </c>
      <c r="T747" s="460" t="s">
        <v>1827</v>
      </c>
      <c r="U747" s="461" t="s">
        <v>1976</v>
      </c>
      <c r="V747" s="460" t="s">
        <v>1119</v>
      </c>
      <c r="W747" s="560"/>
      <c r="X747" s="461" t="s">
        <v>2747</v>
      </c>
      <c r="Y747" s="461" t="s">
        <v>2747</v>
      </c>
      <c r="Z747" s="461" t="s">
        <v>170</v>
      </c>
      <c r="AA747" s="460" t="s">
        <v>1218</v>
      </c>
      <c r="AB747" s="561">
        <f>ROUND(0,2)</f>
        <v>0</v>
      </c>
      <c r="AC747" s="460" t="s">
        <v>308</v>
      </c>
      <c r="AD747" s="460"/>
      <c r="AE747" s="561">
        <f>ROUND(36.23,2)</f>
        <v>36.229999999999997</v>
      </c>
      <c r="AF747" s="460" t="s">
        <v>308</v>
      </c>
      <c r="AG747" s="561">
        <f t="shared" si="11"/>
        <v>0</v>
      </c>
      <c r="AH747" s="460" t="s">
        <v>2671</v>
      </c>
      <c r="AI747" s="460" t="s">
        <v>1214</v>
      </c>
      <c r="AJ747" s="460"/>
      <c r="AK747" s="460"/>
      <c r="AL747" s="560"/>
      <c r="AM747" s="460"/>
    </row>
    <row r="748" spans="1:39" ht="22.8">
      <c r="A748" s="460" t="s">
        <v>1810</v>
      </c>
      <c r="B748" s="460"/>
      <c r="C748" s="460" t="s">
        <v>2494</v>
      </c>
      <c r="D748" s="460" t="s">
        <v>2883</v>
      </c>
      <c r="E748" s="460" t="s">
        <v>1814</v>
      </c>
      <c r="F748" s="460" t="s">
        <v>1812</v>
      </c>
      <c r="G748" s="461" t="s">
        <v>1218</v>
      </c>
      <c r="H748" s="461" t="s">
        <v>2776</v>
      </c>
      <c r="I748" s="460" t="s">
        <v>2128</v>
      </c>
      <c r="J748" s="460" t="s">
        <v>1983</v>
      </c>
      <c r="K748" s="460" t="s">
        <v>2669</v>
      </c>
      <c r="L748" s="460" t="s">
        <v>2703</v>
      </c>
      <c r="M748" s="460" t="s">
        <v>1982</v>
      </c>
      <c r="N748" s="460" t="s">
        <v>1981</v>
      </c>
      <c r="O748" s="460" t="s">
        <v>1980</v>
      </c>
      <c r="P748" s="460" t="s">
        <v>2675</v>
      </c>
      <c r="Q748" s="460" t="s">
        <v>2676</v>
      </c>
      <c r="R748" s="460" t="s">
        <v>2677</v>
      </c>
      <c r="S748" s="460" t="s">
        <v>2676</v>
      </c>
      <c r="T748" s="460" t="s">
        <v>1827</v>
      </c>
      <c r="U748" s="461" t="s">
        <v>1824</v>
      </c>
      <c r="V748" s="460" t="s">
        <v>1119</v>
      </c>
      <c r="W748" s="560"/>
      <c r="X748" s="461" t="s">
        <v>2747</v>
      </c>
      <c r="Y748" s="461" t="s">
        <v>2747</v>
      </c>
      <c r="Z748" s="461" t="s">
        <v>170</v>
      </c>
      <c r="AA748" s="460" t="s">
        <v>1218</v>
      </c>
      <c r="AB748" s="561">
        <f>ROUND(0,2)</f>
        <v>0</v>
      </c>
      <c r="AC748" s="460" t="s">
        <v>2678</v>
      </c>
      <c r="AD748" s="460"/>
      <c r="AE748" s="561">
        <f>ROUND(500.05,2)</f>
        <v>500.05</v>
      </c>
      <c r="AF748" s="460" t="s">
        <v>2679</v>
      </c>
      <c r="AG748" s="561">
        <f t="shared" si="11"/>
        <v>0</v>
      </c>
      <c r="AH748" s="460" t="s">
        <v>2671</v>
      </c>
      <c r="AI748" s="460" t="s">
        <v>1214</v>
      </c>
      <c r="AJ748" s="460"/>
      <c r="AK748" s="460"/>
      <c r="AL748" s="560"/>
      <c r="AM748" s="460"/>
    </row>
    <row r="749" spans="1:39" ht="22.8">
      <c r="A749" s="460" t="s">
        <v>1810</v>
      </c>
      <c r="B749" s="460"/>
      <c r="C749" s="460" t="s">
        <v>2494</v>
      </c>
      <c r="D749" s="460" t="s">
        <v>2883</v>
      </c>
      <c r="E749" s="460" t="s">
        <v>1814</v>
      </c>
      <c r="F749" s="460" t="s">
        <v>1812</v>
      </c>
      <c r="G749" s="461" t="s">
        <v>1218</v>
      </c>
      <c r="H749" s="461" t="s">
        <v>2776</v>
      </c>
      <c r="I749" s="460" t="s">
        <v>2128</v>
      </c>
      <c r="J749" s="460" t="s">
        <v>1983</v>
      </c>
      <c r="K749" s="460" t="s">
        <v>2669</v>
      </c>
      <c r="L749" s="460" t="s">
        <v>2703</v>
      </c>
      <c r="M749" s="460" t="s">
        <v>1982</v>
      </c>
      <c r="N749" s="460" t="s">
        <v>1981</v>
      </c>
      <c r="O749" s="460" t="s">
        <v>1980</v>
      </c>
      <c r="P749" s="460" t="s">
        <v>1979</v>
      </c>
      <c r="Q749" s="460" t="s">
        <v>1978</v>
      </c>
      <c r="R749" s="460" t="s">
        <v>1977</v>
      </c>
      <c r="S749" s="460" t="s">
        <v>1826</v>
      </c>
      <c r="T749" s="460" t="s">
        <v>1827</v>
      </c>
      <c r="U749" s="461" t="s">
        <v>1976</v>
      </c>
      <c r="V749" s="460" t="s">
        <v>1119</v>
      </c>
      <c r="W749" s="560"/>
      <c r="X749" s="461" t="s">
        <v>2747</v>
      </c>
      <c r="Y749" s="461" t="s">
        <v>2747</v>
      </c>
      <c r="Z749" s="461" t="s">
        <v>170</v>
      </c>
      <c r="AA749" s="460" t="s">
        <v>1218</v>
      </c>
      <c r="AB749" s="561">
        <f>ROUND(29.05,2)</f>
        <v>29.05</v>
      </c>
      <c r="AC749" s="460" t="s">
        <v>308</v>
      </c>
      <c r="AD749" s="460"/>
      <c r="AE749" s="561">
        <f>ROUND(825.23,2)</f>
        <v>825.23</v>
      </c>
      <c r="AF749" s="460" t="s">
        <v>308</v>
      </c>
      <c r="AG749" s="561">
        <f t="shared" si="11"/>
        <v>0</v>
      </c>
      <c r="AH749" s="460" t="s">
        <v>2671</v>
      </c>
      <c r="AI749" s="460" t="s">
        <v>1214</v>
      </c>
      <c r="AJ749" s="460" t="s">
        <v>2549</v>
      </c>
      <c r="AK749" s="460" t="s">
        <v>2672</v>
      </c>
      <c r="AL749" s="560" t="s">
        <v>2692</v>
      </c>
      <c r="AM749" s="460" t="s">
        <v>2674</v>
      </c>
    </row>
    <row r="750" spans="1:39" ht="22.8">
      <c r="A750" s="460" t="s">
        <v>1810</v>
      </c>
      <c r="B750" s="460"/>
      <c r="C750" s="460" t="s">
        <v>1475</v>
      </c>
      <c r="D750" s="460" t="s">
        <v>2011</v>
      </c>
      <c r="E750" s="460" t="s">
        <v>1838</v>
      </c>
      <c r="F750" s="460" t="s">
        <v>1812</v>
      </c>
      <c r="G750" s="461" t="s">
        <v>1218</v>
      </c>
      <c r="H750" s="461" t="s">
        <v>2985</v>
      </c>
      <c r="I750" s="460" t="s">
        <v>2010</v>
      </c>
      <c r="J750" s="460" t="s">
        <v>1990</v>
      </c>
      <c r="K750" s="460" t="s">
        <v>2669</v>
      </c>
      <c r="L750" s="460" t="s">
        <v>2780</v>
      </c>
      <c r="M750" s="460" t="s">
        <v>2002</v>
      </c>
      <c r="N750" s="460" t="s">
        <v>1981</v>
      </c>
      <c r="O750" s="460" t="s">
        <v>2001</v>
      </c>
      <c r="P750" s="460" t="s">
        <v>1979</v>
      </c>
      <c r="Q750" s="460" t="s">
        <v>95</v>
      </c>
      <c r="R750" s="460" t="s">
        <v>1977</v>
      </c>
      <c r="S750" s="460" t="s">
        <v>1842</v>
      </c>
      <c r="T750" s="460" t="s">
        <v>1827</v>
      </c>
      <c r="U750" s="461" t="s">
        <v>1976</v>
      </c>
      <c r="V750" s="460" t="s">
        <v>1843</v>
      </c>
      <c r="W750" s="560"/>
      <c r="X750" s="461" t="s">
        <v>1824</v>
      </c>
      <c r="Y750" s="461" t="s">
        <v>1824</v>
      </c>
      <c r="Z750" s="461" t="s">
        <v>170</v>
      </c>
      <c r="AA750" s="460" t="s">
        <v>1218</v>
      </c>
      <c r="AB750" s="561">
        <f>ROUND(30.41,2)</f>
        <v>30.41</v>
      </c>
      <c r="AC750" s="460" t="s">
        <v>308</v>
      </c>
      <c r="AD750" s="460"/>
      <c r="AE750" s="561">
        <f>ROUND(70.29,2)</f>
        <v>70.290000000000006</v>
      </c>
      <c r="AF750" s="460" t="s">
        <v>308</v>
      </c>
      <c r="AG750" s="561">
        <f t="shared" si="11"/>
        <v>0</v>
      </c>
      <c r="AH750" s="460" t="s">
        <v>2671</v>
      </c>
      <c r="AI750" s="460" t="s">
        <v>1214</v>
      </c>
      <c r="AJ750" s="460" t="s">
        <v>2548</v>
      </c>
      <c r="AK750" s="460" t="s">
        <v>2672</v>
      </c>
      <c r="AL750" s="560" t="s">
        <v>2673</v>
      </c>
      <c r="AM750" s="460" t="s">
        <v>2674</v>
      </c>
    </row>
    <row r="751" spans="1:39" ht="22.8">
      <c r="A751" s="460" t="s">
        <v>1810</v>
      </c>
      <c r="B751" s="460"/>
      <c r="C751" s="460" t="s">
        <v>1475</v>
      </c>
      <c r="D751" s="460" t="s">
        <v>2011</v>
      </c>
      <c r="E751" s="460" t="s">
        <v>1838</v>
      </c>
      <c r="F751" s="460" t="s">
        <v>1812</v>
      </c>
      <c r="G751" s="461" t="s">
        <v>1218</v>
      </c>
      <c r="H751" s="461" t="s">
        <v>2985</v>
      </c>
      <c r="I751" s="460" t="s">
        <v>2010</v>
      </c>
      <c r="J751" s="460" t="s">
        <v>1990</v>
      </c>
      <c r="K751" s="460" t="s">
        <v>2669</v>
      </c>
      <c r="L751" s="460" t="s">
        <v>2780</v>
      </c>
      <c r="M751" s="460" t="s">
        <v>2002</v>
      </c>
      <c r="N751" s="460" t="s">
        <v>1981</v>
      </c>
      <c r="O751" s="460" t="s">
        <v>2001</v>
      </c>
      <c r="P751" s="460" t="s">
        <v>2675</v>
      </c>
      <c r="Q751" s="460" t="s">
        <v>2676</v>
      </c>
      <c r="R751" s="460" t="s">
        <v>2677</v>
      </c>
      <c r="S751" s="460" t="s">
        <v>2676</v>
      </c>
      <c r="T751" s="460" t="s">
        <v>1827</v>
      </c>
      <c r="U751" s="461" t="s">
        <v>1824</v>
      </c>
      <c r="V751" s="460" t="s">
        <v>1843</v>
      </c>
      <c r="W751" s="560"/>
      <c r="X751" s="461" t="s">
        <v>1824</v>
      </c>
      <c r="Y751" s="461" t="s">
        <v>1824</v>
      </c>
      <c r="Z751" s="461" t="s">
        <v>170</v>
      </c>
      <c r="AA751" s="460" t="s">
        <v>1218</v>
      </c>
      <c r="AB751" s="561">
        <f>ROUND(50,2)</f>
        <v>50</v>
      </c>
      <c r="AC751" s="460" t="s">
        <v>2678</v>
      </c>
      <c r="AD751" s="460"/>
      <c r="AE751" s="561">
        <f>ROUND(1000,2)</f>
        <v>1000</v>
      </c>
      <c r="AF751" s="460" t="s">
        <v>2679</v>
      </c>
      <c r="AG751" s="561">
        <f t="shared" si="11"/>
        <v>0</v>
      </c>
      <c r="AH751" s="460" t="s">
        <v>2671</v>
      </c>
      <c r="AI751" s="460" t="s">
        <v>1214</v>
      </c>
      <c r="AJ751" s="460" t="s">
        <v>2550</v>
      </c>
      <c r="AK751" s="460" t="s">
        <v>2672</v>
      </c>
      <c r="AL751" s="560" t="s">
        <v>2690</v>
      </c>
      <c r="AM751" s="460" t="s">
        <v>2674</v>
      </c>
    </row>
    <row r="752" spans="1:39" ht="22.8">
      <c r="A752" s="460" t="s">
        <v>1810</v>
      </c>
      <c r="B752" s="460"/>
      <c r="C752" s="460" t="s">
        <v>1475</v>
      </c>
      <c r="D752" s="460" t="s">
        <v>2011</v>
      </c>
      <c r="E752" s="460" t="s">
        <v>1838</v>
      </c>
      <c r="F752" s="460" t="s">
        <v>1812</v>
      </c>
      <c r="G752" s="461" t="s">
        <v>1218</v>
      </c>
      <c r="H752" s="461" t="s">
        <v>2985</v>
      </c>
      <c r="I752" s="460" t="s">
        <v>2010</v>
      </c>
      <c r="J752" s="460" t="s">
        <v>1990</v>
      </c>
      <c r="K752" s="460" t="s">
        <v>2669</v>
      </c>
      <c r="L752" s="460" t="s">
        <v>2780</v>
      </c>
      <c r="M752" s="460" t="s">
        <v>2002</v>
      </c>
      <c r="N752" s="460" t="s">
        <v>1981</v>
      </c>
      <c r="O752" s="460" t="s">
        <v>2001</v>
      </c>
      <c r="P752" s="460" t="s">
        <v>1979</v>
      </c>
      <c r="Q752" s="460" t="s">
        <v>1978</v>
      </c>
      <c r="R752" s="460" t="s">
        <v>1977</v>
      </c>
      <c r="S752" s="460" t="s">
        <v>1826</v>
      </c>
      <c r="T752" s="460" t="s">
        <v>1827</v>
      </c>
      <c r="U752" s="461" t="s">
        <v>1976</v>
      </c>
      <c r="V752" s="460" t="s">
        <v>1967</v>
      </c>
      <c r="W752" s="560"/>
      <c r="X752" s="461" t="s">
        <v>1824</v>
      </c>
      <c r="Y752" s="461" t="s">
        <v>1824</v>
      </c>
      <c r="Z752" s="461" t="s">
        <v>170</v>
      </c>
      <c r="AA752" s="460" t="s">
        <v>1218</v>
      </c>
      <c r="AB752" s="561">
        <f>ROUND(315.48,2)</f>
        <v>315.48</v>
      </c>
      <c r="AC752" s="460" t="s">
        <v>308</v>
      </c>
      <c r="AD752" s="460"/>
      <c r="AE752" s="561">
        <f>ROUND(1466.88,2)</f>
        <v>1466.88</v>
      </c>
      <c r="AF752" s="460" t="s">
        <v>308</v>
      </c>
      <c r="AG752" s="561">
        <f t="shared" si="11"/>
        <v>0</v>
      </c>
      <c r="AH752" s="460" t="s">
        <v>2671</v>
      </c>
      <c r="AI752" s="460" t="s">
        <v>1214</v>
      </c>
      <c r="AJ752" s="460" t="s">
        <v>2549</v>
      </c>
      <c r="AK752" s="460" t="s">
        <v>2672</v>
      </c>
      <c r="AL752" s="560" t="s">
        <v>2761</v>
      </c>
      <c r="AM752" s="460" t="s">
        <v>2674</v>
      </c>
    </row>
    <row r="753" spans="1:39" ht="22.8">
      <c r="A753" s="460" t="s">
        <v>1810</v>
      </c>
      <c r="B753" s="460"/>
      <c r="C753" s="460" t="s">
        <v>1476</v>
      </c>
      <c r="D753" s="460" t="s">
        <v>2009</v>
      </c>
      <c r="E753" s="460" t="s">
        <v>1821</v>
      </c>
      <c r="F753" s="460" t="s">
        <v>1812</v>
      </c>
      <c r="G753" s="461" t="s">
        <v>1218</v>
      </c>
      <c r="H753" s="461" t="s">
        <v>256</v>
      </c>
      <c r="I753" s="460" t="s">
        <v>1995</v>
      </c>
      <c r="J753" s="460" t="s">
        <v>1983</v>
      </c>
      <c r="K753" s="460" t="s">
        <v>2669</v>
      </c>
      <c r="L753" s="460" t="s">
        <v>2714</v>
      </c>
      <c r="M753" s="460" t="s">
        <v>1994</v>
      </c>
      <c r="N753" s="460" t="s">
        <v>1981</v>
      </c>
      <c r="O753" s="460" t="s">
        <v>1980</v>
      </c>
      <c r="P753" s="460" t="s">
        <v>1979</v>
      </c>
      <c r="Q753" s="460" t="s">
        <v>95</v>
      </c>
      <c r="R753" s="460" t="s">
        <v>1977</v>
      </c>
      <c r="S753" s="460" t="s">
        <v>1842</v>
      </c>
      <c r="T753" s="460" t="s">
        <v>1827</v>
      </c>
      <c r="U753" s="461" t="s">
        <v>1976</v>
      </c>
      <c r="V753" s="460" t="s">
        <v>1843</v>
      </c>
      <c r="W753" s="560"/>
      <c r="X753" s="461" t="s">
        <v>1824</v>
      </c>
      <c r="Y753" s="461" t="s">
        <v>1824</v>
      </c>
      <c r="Z753" s="461" t="s">
        <v>170</v>
      </c>
      <c r="AA753" s="460" t="s">
        <v>1218</v>
      </c>
      <c r="AB753" s="561">
        <f>ROUND(30.41,2)</f>
        <v>30.41</v>
      </c>
      <c r="AC753" s="460" t="s">
        <v>308</v>
      </c>
      <c r="AD753" s="460"/>
      <c r="AE753" s="561">
        <f>ROUND(70.29,2)</f>
        <v>70.290000000000006</v>
      </c>
      <c r="AF753" s="460" t="s">
        <v>308</v>
      </c>
      <c r="AG753" s="561">
        <f t="shared" si="11"/>
        <v>0</v>
      </c>
      <c r="AH753" s="460" t="s">
        <v>2671</v>
      </c>
      <c r="AI753" s="460" t="s">
        <v>1214</v>
      </c>
      <c r="AJ753" s="460" t="s">
        <v>2548</v>
      </c>
      <c r="AK753" s="460" t="s">
        <v>2672</v>
      </c>
      <c r="AL753" s="560" t="s">
        <v>2673</v>
      </c>
      <c r="AM753" s="460" t="s">
        <v>2674</v>
      </c>
    </row>
    <row r="754" spans="1:39" ht="22.8">
      <c r="A754" s="460" t="s">
        <v>1810</v>
      </c>
      <c r="B754" s="460"/>
      <c r="C754" s="460" t="s">
        <v>1476</v>
      </c>
      <c r="D754" s="460" t="s">
        <v>2009</v>
      </c>
      <c r="E754" s="460" t="s">
        <v>1821</v>
      </c>
      <c r="F754" s="460" t="s">
        <v>1812</v>
      </c>
      <c r="G754" s="461" t="s">
        <v>1218</v>
      </c>
      <c r="H754" s="461" t="s">
        <v>256</v>
      </c>
      <c r="I754" s="460" t="s">
        <v>1995</v>
      </c>
      <c r="J754" s="460" t="s">
        <v>1983</v>
      </c>
      <c r="K754" s="460" t="s">
        <v>2669</v>
      </c>
      <c r="L754" s="460" t="s">
        <v>2714</v>
      </c>
      <c r="M754" s="460" t="s">
        <v>1994</v>
      </c>
      <c r="N754" s="460" t="s">
        <v>1981</v>
      </c>
      <c r="O754" s="460" t="s">
        <v>1980</v>
      </c>
      <c r="P754" s="460" t="s">
        <v>2675</v>
      </c>
      <c r="Q754" s="460" t="s">
        <v>2676</v>
      </c>
      <c r="R754" s="460" t="s">
        <v>2677</v>
      </c>
      <c r="S754" s="460" t="s">
        <v>2676</v>
      </c>
      <c r="T754" s="460" t="s">
        <v>1827</v>
      </c>
      <c r="U754" s="461" t="s">
        <v>1824</v>
      </c>
      <c r="V754" s="460" t="s">
        <v>1843</v>
      </c>
      <c r="W754" s="560"/>
      <c r="X754" s="461" t="s">
        <v>1824</v>
      </c>
      <c r="Y754" s="461" t="s">
        <v>2884</v>
      </c>
      <c r="Z754" s="461" t="s">
        <v>170</v>
      </c>
      <c r="AA754" s="460" t="s">
        <v>1218</v>
      </c>
      <c r="AB754" s="561">
        <f>ROUND(158.33,2)</f>
        <v>158.33000000000001</v>
      </c>
      <c r="AC754" s="460" t="s">
        <v>2678</v>
      </c>
      <c r="AD754" s="460"/>
      <c r="AE754" s="561">
        <f>ROUND(1000,2)</f>
        <v>1000</v>
      </c>
      <c r="AF754" s="460" t="s">
        <v>2679</v>
      </c>
      <c r="AG754" s="561">
        <f t="shared" si="11"/>
        <v>0</v>
      </c>
      <c r="AH754" s="460" t="s">
        <v>2671</v>
      </c>
      <c r="AI754" s="460" t="s">
        <v>1214</v>
      </c>
      <c r="AJ754" s="460" t="s">
        <v>2550</v>
      </c>
      <c r="AK754" s="460" t="s">
        <v>2672</v>
      </c>
      <c r="AL754" s="560" t="s">
        <v>2885</v>
      </c>
      <c r="AM754" s="460" t="s">
        <v>2674</v>
      </c>
    </row>
    <row r="755" spans="1:39" ht="22.8">
      <c r="A755" s="460" t="s">
        <v>1810</v>
      </c>
      <c r="B755" s="460"/>
      <c r="C755" s="460" t="s">
        <v>1476</v>
      </c>
      <c r="D755" s="460" t="s">
        <v>2009</v>
      </c>
      <c r="E755" s="460" t="s">
        <v>1821</v>
      </c>
      <c r="F755" s="460" t="s">
        <v>1812</v>
      </c>
      <c r="G755" s="461" t="s">
        <v>1218</v>
      </c>
      <c r="H755" s="461" t="s">
        <v>256</v>
      </c>
      <c r="I755" s="460" t="s">
        <v>1995</v>
      </c>
      <c r="J755" s="460" t="s">
        <v>1983</v>
      </c>
      <c r="K755" s="460" t="s">
        <v>2669</v>
      </c>
      <c r="L755" s="460" t="s">
        <v>2714</v>
      </c>
      <c r="M755" s="460" t="s">
        <v>1994</v>
      </c>
      <c r="N755" s="460" t="s">
        <v>1981</v>
      </c>
      <c r="O755" s="460" t="s">
        <v>1980</v>
      </c>
      <c r="P755" s="460" t="s">
        <v>1979</v>
      </c>
      <c r="Q755" s="460" t="s">
        <v>1978</v>
      </c>
      <c r="R755" s="460" t="s">
        <v>1977</v>
      </c>
      <c r="S755" s="460" t="s">
        <v>1826</v>
      </c>
      <c r="T755" s="460" t="s">
        <v>1827</v>
      </c>
      <c r="U755" s="461" t="s">
        <v>1976</v>
      </c>
      <c r="V755" s="460" t="s">
        <v>1843</v>
      </c>
      <c r="W755" s="560"/>
      <c r="X755" s="461" t="s">
        <v>1824</v>
      </c>
      <c r="Y755" s="461" t="s">
        <v>1824</v>
      </c>
      <c r="Z755" s="461" t="s">
        <v>170</v>
      </c>
      <c r="AA755" s="460" t="s">
        <v>1218</v>
      </c>
      <c r="AB755" s="561">
        <f>ROUND(475.32,2)</f>
        <v>475.32</v>
      </c>
      <c r="AC755" s="460" t="s">
        <v>308</v>
      </c>
      <c r="AD755" s="460"/>
      <c r="AE755" s="561">
        <f>ROUND(1656.14,2)</f>
        <v>1656.14</v>
      </c>
      <c r="AF755" s="460" t="s">
        <v>308</v>
      </c>
      <c r="AG755" s="561">
        <f t="shared" si="11"/>
        <v>0</v>
      </c>
      <c r="AH755" s="460" t="s">
        <v>2671</v>
      </c>
      <c r="AI755" s="460" t="s">
        <v>1214</v>
      </c>
      <c r="AJ755" s="460" t="s">
        <v>2549</v>
      </c>
      <c r="AK755" s="460" t="s">
        <v>2672</v>
      </c>
      <c r="AL755" s="560" t="s">
        <v>2718</v>
      </c>
      <c r="AM755" s="460" t="s">
        <v>2674</v>
      </c>
    </row>
    <row r="756" spans="1:39" ht="22.8">
      <c r="A756" s="460" t="s">
        <v>1810</v>
      </c>
      <c r="B756" s="460"/>
      <c r="C756" s="460" t="s">
        <v>1604</v>
      </c>
      <c r="D756" s="460" t="s">
        <v>2008</v>
      </c>
      <c r="E756" s="460" t="s">
        <v>1814</v>
      </c>
      <c r="F756" s="460" t="s">
        <v>1812</v>
      </c>
      <c r="G756" s="461" t="s">
        <v>1218</v>
      </c>
      <c r="H756" s="461" t="s">
        <v>1031</v>
      </c>
      <c r="I756" s="460" t="s">
        <v>2007</v>
      </c>
      <c r="J756" s="460" t="s">
        <v>1983</v>
      </c>
      <c r="K756" s="460" t="s">
        <v>2669</v>
      </c>
      <c r="L756" s="460" t="s">
        <v>2816</v>
      </c>
      <c r="M756" s="460" t="s">
        <v>1982</v>
      </c>
      <c r="N756" s="460" t="s">
        <v>1981</v>
      </c>
      <c r="O756" s="460" t="s">
        <v>1980</v>
      </c>
      <c r="P756" s="460" t="s">
        <v>1979</v>
      </c>
      <c r="Q756" s="460" t="s">
        <v>95</v>
      </c>
      <c r="R756" s="460" t="s">
        <v>1977</v>
      </c>
      <c r="S756" s="460" t="s">
        <v>1842</v>
      </c>
      <c r="T756" s="460" t="s">
        <v>1827</v>
      </c>
      <c r="U756" s="461" t="s">
        <v>1976</v>
      </c>
      <c r="V756" s="460" t="s">
        <v>1119</v>
      </c>
      <c r="W756" s="560"/>
      <c r="X756" s="461" t="s">
        <v>1824</v>
      </c>
      <c r="Y756" s="461" t="s">
        <v>1824</v>
      </c>
      <c r="Z756" s="461" t="s">
        <v>170</v>
      </c>
      <c r="AA756" s="460" t="s">
        <v>1218</v>
      </c>
      <c r="AB756" s="561">
        <f>ROUND(0,2)</f>
        <v>0</v>
      </c>
      <c r="AC756" s="460" t="s">
        <v>308</v>
      </c>
      <c r="AD756" s="460"/>
      <c r="AE756" s="561">
        <f>ROUND(36.23,2)</f>
        <v>36.229999999999997</v>
      </c>
      <c r="AF756" s="460" t="s">
        <v>308</v>
      </c>
      <c r="AG756" s="561">
        <f t="shared" si="11"/>
        <v>0</v>
      </c>
      <c r="AH756" s="460" t="s">
        <v>2671</v>
      </c>
      <c r="AI756" s="460" t="s">
        <v>1214</v>
      </c>
      <c r="AJ756" s="460"/>
      <c r="AK756" s="460"/>
      <c r="AL756" s="560"/>
      <c r="AM756" s="460"/>
    </row>
    <row r="757" spans="1:39" ht="22.8">
      <c r="A757" s="460" t="s">
        <v>1810</v>
      </c>
      <c r="B757" s="460"/>
      <c r="C757" s="460" t="s">
        <v>1604</v>
      </c>
      <c r="D757" s="460" t="s">
        <v>2008</v>
      </c>
      <c r="E757" s="460" t="s">
        <v>1814</v>
      </c>
      <c r="F757" s="460" t="s">
        <v>1812</v>
      </c>
      <c r="G757" s="461" t="s">
        <v>1218</v>
      </c>
      <c r="H757" s="461" t="s">
        <v>1031</v>
      </c>
      <c r="I757" s="460" t="s">
        <v>2007</v>
      </c>
      <c r="J757" s="460" t="s">
        <v>1983</v>
      </c>
      <c r="K757" s="460" t="s">
        <v>2669</v>
      </c>
      <c r="L757" s="460" t="s">
        <v>2816</v>
      </c>
      <c r="M757" s="460" t="s">
        <v>1982</v>
      </c>
      <c r="N757" s="460" t="s">
        <v>1981</v>
      </c>
      <c r="O757" s="460" t="s">
        <v>1980</v>
      </c>
      <c r="P757" s="460" t="s">
        <v>2675</v>
      </c>
      <c r="Q757" s="460" t="s">
        <v>2676</v>
      </c>
      <c r="R757" s="460" t="s">
        <v>2677</v>
      </c>
      <c r="S757" s="460" t="s">
        <v>2676</v>
      </c>
      <c r="T757" s="460" t="s">
        <v>1827</v>
      </c>
      <c r="U757" s="461" t="s">
        <v>1824</v>
      </c>
      <c r="V757" s="460" t="s">
        <v>1119</v>
      </c>
      <c r="W757" s="560"/>
      <c r="X757" s="461" t="s">
        <v>1824</v>
      </c>
      <c r="Y757" s="461" t="s">
        <v>1824</v>
      </c>
      <c r="Z757" s="461" t="s">
        <v>170</v>
      </c>
      <c r="AA757" s="460" t="s">
        <v>1218</v>
      </c>
      <c r="AB757" s="561">
        <f>ROUND(0,2)</f>
        <v>0</v>
      </c>
      <c r="AC757" s="460" t="s">
        <v>2678</v>
      </c>
      <c r="AD757" s="460"/>
      <c r="AE757" s="561">
        <f>ROUND(500.05,2)</f>
        <v>500.05</v>
      </c>
      <c r="AF757" s="460" t="s">
        <v>2679</v>
      </c>
      <c r="AG757" s="561">
        <f t="shared" si="11"/>
        <v>0</v>
      </c>
      <c r="AH757" s="460" t="s">
        <v>2671</v>
      </c>
      <c r="AI757" s="460" t="s">
        <v>1214</v>
      </c>
      <c r="AJ757" s="460"/>
      <c r="AK757" s="460"/>
      <c r="AL757" s="560"/>
      <c r="AM757" s="460"/>
    </row>
    <row r="758" spans="1:39" ht="22.8">
      <c r="A758" s="460" t="s">
        <v>1810</v>
      </c>
      <c r="B758" s="460"/>
      <c r="C758" s="460" t="s">
        <v>1604</v>
      </c>
      <c r="D758" s="460" t="s">
        <v>2008</v>
      </c>
      <c r="E758" s="460" t="s">
        <v>1814</v>
      </c>
      <c r="F758" s="460" t="s">
        <v>1812</v>
      </c>
      <c r="G758" s="461" t="s">
        <v>1218</v>
      </c>
      <c r="H758" s="461" t="s">
        <v>1031</v>
      </c>
      <c r="I758" s="460" t="s">
        <v>2007</v>
      </c>
      <c r="J758" s="460" t="s">
        <v>1983</v>
      </c>
      <c r="K758" s="460" t="s">
        <v>2669</v>
      </c>
      <c r="L758" s="460" t="s">
        <v>2816</v>
      </c>
      <c r="M758" s="460" t="s">
        <v>1982</v>
      </c>
      <c r="N758" s="460" t="s">
        <v>1981</v>
      </c>
      <c r="O758" s="460" t="s">
        <v>1980</v>
      </c>
      <c r="P758" s="460" t="s">
        <v>1979</v>
      </c>
      <c r="Q758" s="460" t="s">
        <v>1978</v>
      </c>
      <c r="R758" s="460" t="s">
        <v>1977</v>
      </c>
      <c r="S758" s="460" t="s">
        <v>1826</v>
      </c>
      <c r="T758" s="460" t="s">
        <v>1827</v>
      </c>
      <c r="U758" s="461" t="s">
        <v>1976</v>
      </c>
      <c r="V758" s="460" t="s">
        <v>1119</v>
      </c>
      <c r="W758" s="560"/>
      <c r="X758" s="461" t="s">
        <v>1824</v>
      </c>
      <c r="Y758" s="461" t="s">
        <v>1824</v>
      </c>
      <c r="Z758" s="461" t="s">
        <v>170</v>
      </c>
      <c r="AA758" s="460" t="s">
        <v>1218</v>
      </c>
      <c r="AB758" s="561">
        <f>ROUND(25.63,2)</f>
        <v>25.63</v>
      </c>
      <c r="AC758" s="460" t="s">
        <v>308</v>
      </c>
      <c r="AD758" s="460"/>
      <c r="AE758" s="561">
        <f>ROUND(828.65,2)</f>
        <v>828.65</v>
      </c>
      <c r="AF758" s="460" t="s">
        <v>308</v>
      </c>
      <c r="AG758" s="561">
        <f t="shared" si="11"/>
        <v>0</v>
      </c>
      <c r="AH758" s="460" t="s">
        <v>2671</v>
      </c>
      <c r="AI758" s="460" t="s">
        <v>1214</v>
      </c>
      <c r="AJ758" s="460" t="s">
        <v>2549</v>
      </c>
      <c r="AK758" s="460" t="s">
        <v>2672</v>
      </c>
      <c r="AL758" s="560" t="s">
        <v>2685</v>
      </c>
      <c r="AM758" s="460" t="s">
        <v>2674</v>
      </c>
    </row>
    <row r="759" spans="1:39" ht="22.8">
      <c r="A759" s="460" t="s">
        <v>1810</v>
      </c>
      <c r="B759" s="460"/>
      <c r="C759" s="460" t="s">
        <v>1559</v>
      </c>
      <c r="D759" s="460" t="s">
        <v>2006</v>
      </c>
      <c r="E759" s="460" t="s">
        <v>1834</v>
      </c>
      <c r="F759" s="460" t="s">
        <v>1812</v>
      </c>
      <c r="G759" s="461" t="s">
        <v>1218</v>
      </c>
      <c r="H759" s="461" t="s">
        <v>375</v>
      </c>
      <c r="I759" s="460" t="s">
        <v>2005</v>
      </c>
      <c r="J759" s="460" t="s">
        <v>1990</v>
      </c>
      <c r="K759" s="460" t="s">
        <v>2669</v>
      </c>
      <c r="L759" s="460" t="s">
        <v>2749</v>
      </c>
      <c r="M759" s="460" t="s">
        <v>2002</v>
      </c>
      <c r="N759" s="460" t="s">
        <v>1981</v>
      </c>
      <c r="O759" s="460" t="s">
        <v>2001</v>
      </c>
      <c r="P759" s="460" t="s">
        <v>1979</v>
      </c>
      <c r="Q759" s="460" t="s">
        <v>95</v>
      </c>
      <c r="R759" s="460" t="s">
        <v>1977</v>
      </c>
      <c r="S759" s="460" t="s">
        <v>1842</v>
      </c>
      <c r="T759" s="460" t="s">
        <v>1827</v>
      </c>
      <c r="U759" s="461" t="s">
        <v>1976</v>
      </c>
      <c r="V759" s="460" t="s">
        <v>1119</v>
      </c>
      <c r="W759" s="560"/>
      <c r="X759" s="461" t="s">
        <v>1824</v>
      </c>
      <c r="Y759" s="461" t="s">
        <v>1824</v>
      </c>
      <c r="Z759" s="461" t="s">
        <v>170</v>
      </c>
      <c r="AA759" s="460" t="s">
        <v>1218</v>
      </c>
      <c r="AB759" s="561">
        <f>ROUND(0,2)</f>
        <v>0</v>
      </c>
      <c r="AC759" s="460" t="s">
        <v>308</v>
      </c>
      <c r="AD759" s="460"/>
      <c r="AE759" s="561">
        <f>ROUND(36.23,2)</f>
        <v>36.229999999999997</v>
      </c>
      <c r="AF759" s="460" t="s">
        <v>308</v>
      </c>
      <c r="AG759" s="561">
        <f t="shared" si="11"/>
        <v>0</v>
      </c>
      <c r="AH759" s="460" t="s">
        <v>2671</v>
      </c>
      <c r="AI759" s="460" t="s">
        <v>1214</v>
      </c>
      <c r="AJ759" s="460"/>
      <c r="AK759" s="460"/>
      <c r="AL759" s="560"/>
      <c r="AM759" s="460"/>
    </row>
    <row r="760" spans="1:39" ht="22.8">
      <c r="A760" s="460" t="s">
        <v>1810</v>
      </c>
      <c r="B760" s="460"/>
      <c r="C760" s="460" t="s">
        <v>1559</v>
      </c>
      <c r="D760" s="460" t="s">
        <v>2006</v>
      </c>
      <c r="E760" s="460" t="s">
        <v>1834</v>
      </c>
      <c r="F760" s="460" t="s">
        <v>1812</v>
      </c>
      <c r="G760" s="461" t="s">
        <v>1218</v>
      </c>
      <c r="H760" s="461" t="s">
        <v>375</v>
      </c>
      <c r="I760" s="460" t="s">
        <v>2005</v>
      </c>
      <c r="J760" s="460" t="s">
        <v>1990</v>
      </c>
      <c r="K760" s="460" t="s">
        <v>2669</v>
      </c>
      <c r="L760" s="460" t="s">
        <v>2749</v>
      </c>
      <c r="M760" s="460" t="s">
        <v>2002</v>
      </c>
      <c r="N760" s="460" t="s">
        <v>1981</v>
      </c>
      <c r="O760" s="460" t="s">
        <v>2001</v>
      </c>
      <c r="P760" s="460" t="s">
        <v>2675</v>
      </c>
      <c r="Q760" s="460" t="s">
        <v>2676</v>
      </c>
      <c r="R760" s="460" t="s">
        <v>2677</v>
      </c>
      <c r="S760" s="460" t="s">
        <v>2676</v>
      </c>
      <c r="T760" s="460" t="s">
        <v>1827</v>
      </c>
      <c r="U760" s="461" t="s">
        <v>1824</v>
      </c>
      <c r="V760" s="460" t="s">
        <v>1119</v>
      </c>
      <c r="W760" s="560"/>
      <c r="X760" s="461" t="s">
        <v>1824</v>
      </c>
      <c r="Y760" s="461" t="s">
        <v>1824</v>
      </c>
      <c r="Z760" s="461" t="s">
        <v>170</v>
      </c>
      <c r="AA760" s="460" t="s">
        <v>1218</v>
      </c>
      <c r="AB760" s="561">
        <f>ROUND(69.79,2)</f>
        <v>69.790000000000006</v>
      </c>
      <c r="AC760" s="460" t="s">
        <v>2678</v>
      </c>
      <c r="AD760" s="460"/>
      <c r="AE760" s="561">
        <f>ROUND(500.05,2)</f>
        <v>500.05</v>
      </c>
      <c r="AF760" s="460" t="s">
        <v>2679</v>
      </c>
      <c r="AG760" s="561">
        <f t="shared" si="11"/>
        <v>0</v>
      </c>
      <c r="AH760" s="460" t="s">
        <v>2671</v>
      </c>
      <c r="AI760" s="460" t="s">
        <v>1214</v>
      </c>
      <c r="AJ760" s="460" t="s">
        <v>2550</v>
      </c>
      <c r="AK760" s="460" t="s">
        <v>2672</v>
      </c>
      <c r="AL760" s="560" t="s">
        <v>2886</v>
      </c>
      <c r="AM760" s="460" t="s">
        <v>2674</v>
      </c>
    </row>
    <row r="761" spans="1:39" ht="22.8">
      <c r="A761" s="460" t="s">
        <v>1810</v>
      </c>
      <c r="B761" s="460"/>
      <c r="C761" s="460" t="s">
        <v>1559</v>
      </c>
      <c r="D761" s="460" t="s">
        <v>2006</v>
      </c>
      <c r="E761" s="460" t="s">
        <v>1834</v>
      </c>
      <c r="F761" s="460" t="s">
        <v>1812</v>
      </c>
      <c r="G761" s="461" t="s">
        <v>1218</v>
      </c>
      <c r="H761" s="461" t="s">
        <v>375</v>
      </c>
      <c r="I761" s="460" t="s">
        <v>2005</v>
      </c>
      <c r="J761" s="460" t="s">
        <v>1990</v>
      </c>
      <c r="K761" s="460" t="s">
        <v>2669</v>
      </c>
      <c r="L761" s="460" t="s">
        <v>2749</v>
      </c>
      <c r="M761" s="460" t="s">
        <v>2002</v>
      </c>
      <c r="N761" s="460" t="s">
        <v>1981</v>
      </c>
      <c r="O761" s="460" t="s">
        <v>2001</v>
      </c>
      <c r="P761" s="460" t="s">
        <v>1979</v>
      </c>
      <c r="Q761" s="460" t="s">
        <v>1978</v>
      </c>
      <c r="R761" s="460" t="s">
        <v>1977</v>
      </c>
      <c r="S761" s="460" t="s">
        <v>1826</v>
      </c>
      <c r="T761" s="460" t="s">
        <v>1827</v>
      </c>
      <c r="U761" s="461" t="s">
        <v>1976</v>
      </c>
      <c r="V761" s="460" t="s">
        <v>1119</v>
      </c>
      <c r="W761" s="560"/>
      <c r="X761" s="461" t="s">
        <v>1824</v>
      </c>
      <c r="Y761" s="461" t="s">
        <v>1824</v>
      </c>
      <c r="Z761" s="461" t="s">
        <v>170</v>
      </c>
      <c r="AA761" s="460" t="s">
        <v>1218</v>
      </c>
      <c r="AB761" s="561">
        <f>ROUND(29.05,2)</f>
        <v>29.05</v>
      </c>
      <c r="AC761" s="460" t="s">
        <v>308</v>
      </c>
      <c r="AD761" s="460"/>
      <c r="AE761" s="561">
        <f>ROUND(825.23,2)</f>
        <v>825.23</v>
      </c>
      <c r="AF761" s="460" t="s">
        <v>308</v>
      </c>
      <c r="AG761" s="561">
        <f t="shared" si="11"/>
        <v>0</v>
      </c>
      <c r="AH761" s="460" t="s">
        <v>2671</v>
      </c>
      <c r="AI761" s="460" t="s">
        <v>1214</v>
      </c>
      <c r="AJ761" s="460" t="s">
        <v>2549</v>
      </c>
      <c r="AK761" s="460" t="s">
        <v>2672</v>
      </c>
      <c r="AL761" s="560" t="s">
        <v>2692</v>
      </c>
      <c r="AM761" s="460" t="s">
        <v>2674</v>
      </c>
    </row>
    <row r="762" spans="1:39" ht="22.8">
      <c r="A762" s="460" t="s">
        <v>1810</v>
      </c>
      <c r="B762" s="460"/>
      <c r="C762" s="460" t="s">
        <v>1657</v>
      </c>
      <c r="D762" s="460" t="s">
        <v>2004</v>
      </c>
      <c r="E762" s="460" t="s">
        <v>1838</v>
      </c>
      <c r="F762" s="460" t="s">
        <v>1812</v>
      </c>
      <c r="G762" s="461" t="s">
        <v>1218</v>
      </c>
      <c r="H762" s="461" t="s">
        <v>1027</v>
      </c>
      <c r="I762" s="460" t="s">
        <v>2003</v>
      </c>
      <c r="J762" s="460" t="s">
        <v>1990</v>
      </c>
      <c r="K762" s="460" t="s">
        <v>2669</v>
      </c>
      <c r="L762" s="460" t="s">
        <v>2780</v>
      </c>
      <c r="M762" s="460" t="s">
        <v>2002</v>
      </c>
      <c r="N762" s="460" t="s">
        <v>1981</v>
      </c>
      <c r="O762" s="460" t="s">
        <v>2001</v>
      </c>
      <c r="P762" s="460" t="s">
        <v>1979</v>
      </c>
      <c r="Q762" s="460" t="s">
        <v>95</v>
      </c>
      <c r="R762" s="460" t="s">
        <v>1977</v>
      </c>
      <c r="S762" s="460" t="s">
        <v>1842</v>
      </c>
      <c r="T762" s="460" t="s">
        <v>1827</v>
      </c>
      <c r="U762" s="461" t="s">
        <v>1976</v>
      </c>
      <c r="V762" s="460" t="s">
        <v>1851</v>
      </c>
      <c r="W762" s="560"/>
      <c r="X762" s="461" t="s">
        <v>1824</v>
      </c>
      <c r="Y762" s="461" t="s">
        <v>2683</v>
      </c>
      <c r="Z762" s="461" t="s">
        <v>170</v>
      </c>
      <c r="AA762" s="460" t="s">
        <v>1218</v>
      </c>
      <c r="AB762" s="561">
        <f>ROUND(30.41,2)</f>
        <v>30.41</v>
      </c>
      <c r="AC762" s="460" t="s">
        <v>308</v>
      </c>
      <c r="AD762" s="460"/>
      <c r="AE762" s="561">
        <f>ROUND(70.29,2)</f>
        <v>70.290000000000006</v>
      </c>
      <c r="AF762" s="460" t="s">
        <v>308</v>
      </c>
      <c r="AG762" s="561">
        <f t="shared" si="11"/>
        <v>0</v>
      </c>
      <c r="AH762" s="460" t="s">
        <v>2671</v>
      </c>
      <c r="AI762" s="460" t="s">
        <v>1214</v>
      </c>
      <c r="AJ762" s="460" t="s">
        <v>2548</v>
      </c>
      <c r="AK762" s="460" t="s">
        <v>2672</v>
      </c>
      <c r="AL762" s="560" t="s">
        <v>2673</v>
      </c>
      <c r="AM762" s="460" t="s">
        <v>2674</v>
      </c>
    </row>
    <row r="763" spans="1:39" ht="22.8">
      <c r="A763" s="460" t="s">
        <v>1810</v>
      </c>
      <c r="B763" s="460"/>
      <c r="C763" s="460" t="s">
        <v>1657</v>
      </c>
      <c r="D763" s="460" t="s">
        <v>2004</v>
      </c>
      <c r="E763" s="460" t="s">
        <v>1838</v>
      </c>
      <c r="F763" s="460" t="s">
        <v>1812</v>
      </c>
      <c r="G763" s="461" t="s">
        <v>1218</v>
      </c>
      <c r="H763" s="461" t="s">
        <v>1027</v>
      </c>
      <c r="I763" s="460" t="s">
        <v>2003</v>
      </c>
      <c r="J763" s="460" t="s">
        <v>1990</v>
      </c>
      <c r="K763" s="460" t="s">
        <v>2669</v>
      </c>
      <c r="L763" s="460" t="s">
        <v>2780</v>
      </c>
      <c r="M763" s="460" t="s">
        <v>2002</v>
      </c>
      <c r="N763" s="460" t="s">
        <v>1981</v>
      </c>
      <c r="O763" s="460" t="s">
        <v>2001</v>
      </c>
      <c r="P763" s="460" t="s">
        <v>2675</v>
      </c>
      <c r="Q763" s="460" t="s">
        <v>2676</v>
      </c>
      <c r="R763" s="460" t="s">
        <v>2677</v>
      </c>
      <c r="S763" s="460" t="s">
        <v>2676</v>
      </c>
      <c r="T763" s="460" t="s">
        <v>1827</v>
      </c>
      <c r="U763" s="461" t="s">
        <v>1824</v>
      </c>
      <c r="V763" s="460" t="s">
        <v>1843</v>
      </c>
      <c r="W763" s="560"/>
      <c r="X763" s="461" t="s">
        <v>1824</v>
      </c>
      <c r="Y763" s="461" t="s">
        <v>1824</v>
      </c>
      <c r="Z763" s="461" t="s">
        <v>170</v>
      </c>
      <c r="AA763" s="460" t="s">
        <v>1218</v>
      </c>
      <c r="AB763" s="561">
        <f>ROUND(0,2)</f>
        <v>0</v>
      </c>
      <c r="AC763" s="460" t="s">
        <v>2678</v>
      </c>
      <c r="AD763" s="460"/>
      <c r="AE763" s="561">
        <f>ROUND(1000,2)</f>
        <v>1000</v>
      </c>
      <c r="AF763" s="460" t="s">
        <v>2679</v>
      </c>
      <c r="AG763" s="561">
        <f t="shared" si="11"/>
        <v>0</v>
      </c>
      <c r="AH763" s="460" t="s">
        <v>2671</v>
      </c>
      <c r="AI763" s="460" t="s">
        <v>1214</v>
      </c>
      <c r="AJ763" s="460"/>
      <c r="AK763" s="460"/>
      <c r="AL763" s="560"/>
      <c r="AM763" s="460"/>
    </row>
    <row r="764" spans="1:39" ht="22.8">
      <c r="A764" s="460" t="s">
        <v>1810</v>
      </c>
      <c r="B764" s="460"/>
      <c r="C764" s="460" t="s">
        <v>1657</v>
      </c>
      <c r="D764" s="460" t="s">
        <v>2004</v>
      </c>
      <c r="E764" s="460" t="s">
        <v>1838</v>
      </c>
      <c r="F764" s="460" t="s">
        <v>1812</v>
      </c>
      <c r="G764" s="461" t="s">
        <v>1218</v>
      </c>
      <c r="H764" s="461" t="s">
        <v>1027</v>
      </c>
      <c r="I764" s="460" t="s">
        <v>2003</v>
      </c>
      <c r="J764" s="460" t="s">
        <v>1990</v>
      </c>
      <c r="K764" s="460" t="s">
        <v>2669</v>
      </c>
      <c r="L764" s="460" t="s">
        <v>2780</v>
      </c>
      <c r="M764" s="460" t="s">
        <v>2002</v>
      </c>
      <c r="N764" s="460" t="s">
        <v>1981</v>
      </c>
      <c r="O764" s="460" t="s">
        <v>2001</v>
      </c>
      <c r="P764" s="460" t="s">
        <v>1979</v>
      </c>
      <c r="Q764" s="460" t="s">
        <v>1978</v>
      </c>
      <c r="R764" s="460" t="s">
        <v>1977</v>
      </c>
      <c r="S764" s="460" t="s">
        <v>1826</v>
      </c>
      <c r="T764" s="460" t="s">
        <v>1827</v>
      </c>
      <c r="U764" s="461" t="s">
        <v>1976</v>
      </c>
      <c r="V764" s="460" t="s">
        <v>1851</v>
      </c>
      <c r="W764" s="560"/>
      <c r="X764" s="461" t="s">
        <v>1824</v>
      </c>
      <c r="Y764" s="461" t="s">
        <v>1824</v>
      </c>
      <c r="Z764" s="461" t="s">
        <v>170</v>
      </c>
      <c r="AA764" s="460" t="s">
        <v>1218</v>
      </c>
      <c r="AB764" s="561">
        <f>ROUND(226.88,2)</f>
        <v>226.88</v>
      </c>
      <c r="AC764" s="460" t="s">
        <v>308</v>
      </c>
      <c r="AD764" s="460"/>
      <c r="AE764" s="561">
        <f>ROUND(1393.71,2)</f>
        <v>1393.71</v>
      </c>
      <c r="AF764" s="460" t="s">
        <v>308</v>
      </c>
      <c r="AG764" s="561">
        <f t="shared" si="11"/>
        <v>0</v>
      </c>
      <c r="AH764" s="460" t="s">
        <v>2671</v>
      </c>
      <c r="AI764" s="460" t="s">
        <v>1214</v>
      </c>
      <c r="AJ764" s="460" t="s">
        <v>2549</v>
      </c>
      <c r="AK764" s="460" t="s">
        <v>2672</v>
      </c>
      <c r="AL764" s="560" t="s">
        <v>2681</v>
      </c>
      <c r="AM764" s="460" t="s">
        <v>2674</v>
      </c>
    </row>
    <row r="765" spans="1:39" ht="22.8">
      <c r="A765" s="460" t="s">
        <v>1810</v>
      </c>
      <c r="B765" s="460"/>
      <c r="C765" s="460" t="s">
        <v>1479</v>
      </c>
      <c r="D765" s="460" t="s">
        <v>2000</v>
      </c>
      <c r="E765" s="460" t="s">
        <v>1817</v>
      </c>
      <c r="F765" s="460" t="s">
        <v>1812</v>
      </c>
      <c r="G765" s="461" t="s">
        <v>1218</v>
      </c>
      <c r="H765" s="461" t="s">
        <v>291</v>
      </c>
      <c r="I765" s="460" t="s">
        <v>1999</v>
      </c>
      <c r="J765" s="460" t="s">
        <v>1983</v>
      </c>
      <c r="K765" s="460" t="s">
        <v>2669</v>
      </c>
      <c r="L765" s="460" t="s">
        <v>2796</v>
      </c>
      <c r="M765" s="460" t="s">
        <v>1987</v>
      </c>
      <c r="N765" s="460" t="s">
        <v>1986</v>
      </c>
      <c r="O765" s="460" t="s">
        <v>1980</v>
      </c>
      <c r="P765" s="460" t="s">
        <v>1979</v>
      </c>
      <c r="Q765" s="460" t="s">
        <v>95</v>
      </c>
      <c r="R765" s="460" t="s">
        <v>1977</v>
      </c>
      <c r="S765" s="460" t="s">
        <v>1842</v>
      </c>
      <c r="T765" s="460" t="s">
        <v>1827</v>
      </c>
      <c r="U765" s="461" t="s">
        <v>1976</v>
      </c>
      <c r="V765" s="460" t="s">
        <v>1843</v>
      </c>
      <c r="W765" s="560"/>
      <c r="X765" s="461" t="s">
        <v>1824</v>
      </c>
      <c r="Y765" s="461" t="s">
        <v>1824</v>
      </c>
      <c r="Z765" s="461" t="s">
        <v>170</v>
      </c>
      <c r="AA765" s="460" t="s">
        <v>1218</v>
      </c>
      <c r="AB765" s="561">
        <f>ROUND(30.41,2)</f>
        <v>30.41</v>
      </c>
      <c r="AC765" s="460" t="s">
        <v>308</v>
      </c>
      <c r="AD765" s="460"/>
      <c r="AE765" s="561">
        <f>ROUND(70.29,2)</f>
        <v>70.290000000000006</v>
      </c>
      <c r="AF765" s="460" t="s">
        <v>308</v>
      </c>
      <c r="AG765" s="561">
        <f t="shared" si="11"/>
        <v>0</v>
      </c>
      <c r="AH765" s="460" t="s">
        <v>2671</v>
      </c>
      <c r="AI765" s="460" t="s">
        <v>1214</v>
      </c>
      <c r="AJ765" s="460" t="s">
        <v>2548</v>
      </c>
      <c r="AK765" s="460" t="s">
        <v>2672</v>
      </c>
      <c r="AL765" s="560" t="s">
        <v>2673</v>
      </c>
      <c r="AM765" s="460" t="s">
        <v>2674</v>
      </c>
    </row>
    <row r="766" spans="1:39" ht="22.8">
      <c r="A766" s="460" t="s">
        <v>1810</v>
      </c>
      <c r="B766" s="460"/>
      <c r="C766" s="460" t="s">
        <v>1479</v>
      </c>
      <c r="D766" s="460" t="s">
        <v>2000</v>
      </c>
      <c r="E766" s="460" t="s">
        <v>1817</v>
      </c>
      <c r="F766" s="460" t="s">
        <v>1812</v>
      </c>
      <c r="G766" s="461" t="s">
        <v>1218</v>
      </c>
      <c r="H766" s="461" t="s">
        <v>291</v>
      </c>
      <c r="I766" s="460" t="s">
        <v>1999</v>
      </c>
      <c r="J766" s="460" t="s">
        <v>1983</v>
      </c>
      <c r="K766" s="460" t="s">
        <v>2669</v>
      </c>
      <c r="L766" s="460" t="s">
        <v>2796</v>
      </c>
      <c r="M766" s="460" t="s">
        <v>1987</v>
      </c>
      <c r="N766" s="460" t="s">
        <v>1986</v>
      </c>
      <c r="O766" s="460" t="s">
        <v>1980</v>
      </c>
      <c r="P766" s="460" t="s">
        <v>2675</v>
      </c>
      <c r="Q766" s="460" t="s">
        <v>2676</v>
      </c>
      <c r="R766" s="460" t="s">
        <v>2677</v>
      </c>
      <c r="S766" s="460" t="s">
        <v>2676</v>
      </c>
      <c r="T766" s="460" t="s">
        <v>1827</v>
      </c>
      <c r="U766" s="461" t="s">
        <v>1824</v>
      </c>
      <c r="V766" s="460" t="s">
        <v>1843</v>
      </c>
      <c r="W766" s="560"/>
      <c r="X766" s="461" t="s">
        <v>1824</v>
      </c>
      <c r="Y766" s="461" t="s">
        <v>1824</v>
      </c>
      <c r="Z766" s="461" t="s">
        <v>170</v>
      </c>
      <c r="AA766" s="460" t="s">
        <v>1218</v>
      </c>
      <c r="AB766" s="561">
        <f>ROUND(50,2)</f>
        <v>50</v>
      </c>
      <c r="AC766" s="460" t="s">
        <v>2678</v>
      </c>
      <c r="AD766" s="460"/>
      <c r="AE766" s="561">
        <f>ROUND(1000,2)</f>
        <v>1000</v>
      </c>
      <c r="AF766" s="460" t="s">
        <v>2679</v>
      </c>
      <c r="AG766" s="561">
        <f t="shared" si="11"/>
        <v>0</v>
      </c>
      <c r="AH766" s="460" t="s">
        <v>2671</v>
      </c>
      <c r="AI766" s="460" t="s">
        <v>1214</v>
      </c>
      <c r="AJ766" s="460" t="s">
        <v>2550</v>
      </c>
      <c r="AK766" s="460" t="s">
        <v>2672</v>
      </c>
      <c r="AL766" s="560" t="s">
        <v>2690</v>
      </c>
      <c r="AM766" s="460" t="s">
        <v>2674</v>
      </c>
    </row>
    <row r="767" spans="1:39" ht="22.8">
      <c r="A767" s="460" t="s">
        <v>1810</v>
      </c>
      <c r="B767" s="460"/>
      <c r="C767" s="460" t="s">
        <v>1479</v>
      </c>
      <c r="D767" s="460" t="s">
        <v>2000</v>
      </c>
      <c r="E767" s="460" t="s">
        <v>1817</v>
      </c>
      <c r="F767" s="460" t="s">
        <v>1812</v>
      </c>
      <c r="G767" s="461" t="s">
        <v>1218</v>
      </c>
      <c r="H767" s="461" t="s">
        <v>291</v>
      </c>
      <c r="I767" s="460" t="s">
        <v>1999</v>
      </c>
      <c r="J767" s="460" t="s">
        <v>1983</v>
      </c>
      <c r="K767" s="460" t="s">
        <v>2669</v>
      </c>
      <c r="L767" s="460" t="s">
        <v>2796</v>
      </c>
      <c r="M767" s="460" t="s">
        <v>1987</v>
      </c>
      <c r="N767" s="460" t="s">
        <v>1986</v>
      </c>
      <c r="O767" s="460" t="s">
        <v>1980</v>
      </c>
      <c r="P767" s="460" t="s">
        <v>1979</v>
      </c>
      <c r="Q767" s="460" t="s">
        <v>1978</v>
      </c>
      <c r="R767" s="460" t="s">
        <v>1977</v>
      </c>
      <c r="S767" s="460" t="s">
        <v>1826</v>
      </c>
      <c r="T767" s="460" t="s">
        <v>1827</v>
      </c>
      <c r="U767" s="461" t="s">
        <v>1976</v>
      </c>
      <c r="V767" s="460" t="s">
        <v>1843</v>
      </c>
      <c r="W767" s="560"/>
      <c r="X767" s="461" t="s">
        <v>1824</v>
      </c>
      <c r="Y767" s="461" t="s">
        <v>1824</v>
      </c>
      <c r="Z767" s="461" t="s">
        <v>170</v>
      </c>
      <c r="AA767" s="460" t="s">
        <v>1218</v>
      </c>
      <c r="AB767" s="561">
        <f>ROUND(475.32,2)</f>
        <v>475.32</v>
      </c>
      <c r="AC767" s="460" t="s">
        <v>308</v>
      </c>
      <c r="AD767" s="460"/>
      <c r="AE767" s="561">
        <f>ROUND(1656.14,2)</f>
        <v>1656.14</v>
      </c>
      <c r="AF767" s="460" t="s">
        <v>308</v>
      </c>
      <c r="AG767" s="561">
        <f t="shared" si="11"/>
        <v>0</v>
      </c>
      <c r="AH767" s="460" t="s">
        <v>2671</v>
      </c>
      <c r="AI767" s="460" t="s">
        <v>1214</v>
      </c>
      <c r="AJ767" s="460" t="s">
        <v>2549</v>
      </c>
      <c r="AK767" s="460" t="s">
        <v>2672</v>
      </c>
      <c r="AL767" s="560" t="s">
        <v>2718</v>
      </c>
      <c r="AM767" s="460" t="s">
        <v>2674</v>
      </c>
    </row>
    <row r="768" spans="1:39" ht="22.8">
      <c r="A768" s="460" t="s">
        <v>1810</v>
      </c>
      <c r="B768" s="460"/>
      <c r="C768" s="460" t="s">
        <v>1534</v>
      </c>
      <c r="D768" s="460" t="s">
        <v>1998</v>
      </c>
      <c r="E768" s="460" t="s">
        <v>1814</v>
      </c>
      <c r="F768" s="460" t="s">
        <v>1812</v>
      </c>
      <c r="G768" s="461" t="s">
        <v>1218</v>
      </c>
      <c r="H768" s="461" t="s">
        <v>196</v>
      </c>
      <c r="I768" s="460" t="s">
        <v>1997</v>
      </c>
      <c r="J768" s="460" t="s">
        <v>1990</v>
      </c>
      <c r="K768" s="460" t="s">
        <v>2669</v>
      </c>
      <c r="L768" s="460" t="s">
        <v>2703</v>
      </c>
      <c r="M768" s="460" t="s">
        <v>1982</v>
      </c>
      <c r="N768" s="460" t="s">
        <v>1981</v>
      </c>
      <c r="O768" s="460" t="s">
        <v>1980</v>
      </c>
      <c r="P768" s="460" t="s">
        <v>1979</v>
      </c>
      <c r="Q768" s="460" t="s">
        <v>95</v>
      </c>
      <c r="R768" s="460" t="s">
        <v>1977</v>
      </c>
      <c r="S768" s="460" t="s">
        <v>1842</v>
      </c>
      <c r="T768" s="460" t="s">
        <v>1827</v>
      </c>
      <c r="U768" s="461" t="s">
        <v>1976</v>
      </c>
      <c r="V768" s="460" t="s">
        <v>1119</v>
      </c>
      <c r="W768" s="560"/>
      <c r="X768" s="461" t="s">
        <v>1824</v>
      </c>
      <c r="Y768" s="461" t="s">
        <v>1824</v>
      </c>
      <c r="Z768" s="461" t="s">
        <v>170</v>
      </c>
      <c r="AA768" s="460" t="s">
        <v>1218</v>
      </c>
      <c r="AB768" s="561">
        <f>ROUND(0,2)</f>
        <v>0</v>
      </c>
      <c r="AC768" s="460" t="s">
        <v>308</v>
      </c>
      <c r="AD768" s="460"/>
      <c r="AE768" s="561">
        <f>ROUND(36.23,2)</f>
        <v>36.229999999999997</v>
      </c>
      <c r="AF768" s="460" t="s">
        <v>308</v>
      </c>
      <c r="AG768" s="561">
        <f t="shared" si="11"/>
        <v>0</v>
      </c>
      <c r="AH768" s="460" t="s">
        <v>2671</v>
      </c>
      <c r="AI768" s="460" t="s">
        <v>1214</v>
      </c>
      <c r="AJ768" s="460"/>
      <c r="AK768" s="460"/>
      <c r="AL768" s="560"/>
      <c r="AM768" s="460"/>
    </row>
    <row r="769" spans="1:39" ht="22.8">
      <c r="A769" s="460" t="s">
        <v>1810</v>
      </c>
      <c r="B769" s="460"/>
      <c r="C769" s="460" t="s">
        <v>1534</v>
      </c>
      <c r="D769" s="460" t="s">
        <v>1998</v>
      </c>
      <c r="E769" s="460" t="s">
        <v>1814</v>
      </c>
      <c r="F769" s="460" t="s">
        <v>1812</v>
      </c>
      <c r="G769" s="461" t="s">
        <v>1218</v>
      </c>
      <c r="H769" s="461" t="s">
        <v>196</v>
      </c>
      <c r="I769" s="460" t="s">
        <v>1997</v>
      </c>
      <c r="J769" s="460" t="s">
        <v>1990</v>
      </c>
      <c r="K769" s="460" t="s">
        <v>2669</v>
      </c>
      <c r="L769" s="460" t="s">
        <v>2703</v>
      </c>
      <c r="M769" s="460" t="s">
        <v>1982</v>
      </c>
      <c r="N769" s="460" t="s">
        <v>1981</v>
      </c>
      <c r="O769" s="460" t="s">
        <v>1980</v>
      </c>
      <c r="P769" s="460" t="s">
        <v>2675</v>
      </c>
      <c r="Q769" s="460" t="s">
        <v>2676</v>
      </c>
      <c r="R769" s="460" t="s">
        <v>2677</v>
      </c>
      <c r="S769" s="460" t="s">
        <v>2676</v>
      </c>
      <c r="T769" s="460" t="s">
        <v>1827</v>
      </c>
      <c r="U769" s="461" t="s">
        <v>1824</v>
      </c>
      <c r="V769" s="460" t="s">
        <v>1119</v>
      </c>
      <c r="W769" s="560"/>
      <c r="X769" s="461" t="s">
        <v>1824</v>
      </c>
      <c r="Y769" s="461" t="s">
        <v>1824</v>
      </c>
      <c r="Z769" s="461" t="s">
        <v>170</v>
      </c>
      <c r="AA769" s="460" t="s">
        <v>1218</v>
      </c>
      <c r="AB769" s="561">
        <f>ROUND(10,2)</f>
        <v>10</v>
      </c>
      <c r="AC769" s="460" t="s">
        <v>2678</v>
      </c>
      <c r="AD769" s="460"/>
      <c r="AE769" s="561">
        <f>ROUND(500.05,2)</f>
        <v>500.05</v>
      </c>
      <c r="AF769" s="460" t="s">
        <v>2679</v>
      </c>
      <c r="AG769" s="561">
        <f t="shared" si="11"/>
        <v>0</v>
      </c>
      <c r="AH769" s="460" t="s">
        <v>2671</v>
      </c>
      <c r="AI769" s="460" t="s">
        <v>1214</v>
      </c>
      <c r="AJ769" s="460" t="s">
        <v>2550</v>
      </c>
      <c r="AK769" s="460" t="s">
        <v>2672</v>
      </c>
      <c r="AL769" s="560" t="s">
        <v>2725</v>
      </c>
      <c r="AM769" s="460" t="s">
        <v>2674</v>
      </c>
    </row>
    <row r="770" spans="1:39" ht="22.8">
      <c r="A770" s="460" t="s">
        <v>1810</v>
      </c>
      <c r="B770" s="460"/>
      <c r="C770" s="460" t="s">
        <v>1534</v>
      </c>
      <c r="D770" s="460" t="s">
        <v>1998</v>
      </c>
      <c r="E770" s="460" t="s">
        <v>1814</v>
      </c>
      <c r="F770" s="460" t="s">
        <v>1812</v>
      </c>
      <c r="G770" s="461" t="s">
        <v>1218</v>
      </c>
      <c r="H770" s="461" t="s">
        <v>196</v>
      </c>
      <c r="I770" s="460" t="s">
        <v>1997</v>
      </c>
      <c r="J770" s="460" t="s">
        <v>1990</v>
      </c>
      <c r="K770" s="460" t="s">
        <v>2669</v>
      </c>
      <c r="L770" s="460" t="s">
        <v>2703</v>
      </c>
      <c r="M770" s="460" t="s">
        <v>1982</v>
      </c>
      <c r="N770" s="460" t="s">
        <v>1981</v>
      </c>
      <c r="O770" s="460" t="s">
        <v>1980</v>
      </c>
      <c r="P770" s="460" t="s">
        <v>1979</v>
      </c>
      <c r="Q770" s="460" t="s">
        <v>1978</v>
      </c>
      <c r="R770" s="460" t="s">
        <v>1977</v>
      </c>
      <c r="S770" s="460" t="s">
        <v>1826</v>
      </c>
      <c r="T770" s="460" t="s">
        <v>1827</v>
      </c>
      <c r="U770" s="461" t="s">
        <v>1976</v>
      </c>
      <c r="V770" s="460" t="s">
        <v>1119</v>
      </c>
      <c r="W770" s="560"/>
      <c r="X770" s="461" t="s">
        <v>1824</v>
      </c>
      <c r="Y770" s="461" t="s">
        <v>1824</v>
      </c>
      <c r="Z770" s="461" t="s">
        <v>170</v>
      </c>
      <c r="AA770" s="460" t="s">
        <v>1218</v>
      </c>
      <c r="AB770" s="561">
        <f>ROUND(35.03,2)</f>
        <v>35.03</v>
      </c>
      <c r="AC770" s="460" t="s">
        <v>308</v>
      </c>
      <c r="AD770" s="460"/>
      <c r="AE770" s="561">
        <f>ROUND(819.25,2)</f>
        <v>819.25</v>
      </c>
      <c r="AF770" s="460" t="s">
        <v>308</v>
      </c>
      <c r="AG770" s="561">
        <f t="shared" si="11"/>
        <v>0</v>
      </c>
      <c r="AH770" s="460" t="s">
        <v>2671</v>
      </c>
      <c r="AI770" s="460" t="s">
        <v>1214</v>
      </c>
      <c r="AJ770" s="460" t="s">
        <v>2549</v>
      </c>
      <c r="AK770" s="460" t="s">
        <v>2672</v>
      </c>
      <c r="AL770" s="560" t="s">
        <v>2694</v>
      </c>
      <c r="AM770" s="460" t="s">
        <v>2674</v>
      </c>
    </row>
    <row r="771" spans="1:39" ht="22.8">
      <c r="A771" s="460" t="s">
        <v>1810</v>
      </c>
      <c r="B771" s="460"/>
      <c r="C771" s="460" t="s">
        <v>1477</v>
      </c>
      <c r="D771" s="460" t="s">
        <v>1996</v>
      </c>
      <c r="E771" s="460" t="s">
        <v>1821</v>
      </c>
      <c r="F771" s="460" t="s">
        <v>1812</v>
      </c>
      <c r="G771" s="461" t="s">
        <v>1218</v>
      </c>
      <c r="H771" s="461" t="s">
        <v>237</v>
      </c>
      <c r="I771" s="460" t="s">
        <v>1995</v>
      </c>
      <c r="J771" s="460" t="s">
        <v>1983</v>
      </c>
      <c r="K771" s="460" t="s">
        <v>2669</v>
      </c>
      <c r="L771" s="460" t="s">
        <v>2714</v>
      </c>
      <c r="M771" s="460" t="s">
        <v>1994</v>
      </c>
      <c r="N771" s="460" t="s">
        <v>1981</v>
      </c>
      <c r="O771" s="460" t="s">
        <v>1980</v>
      </c>
      <c r="P771" s="460" t="s">
        <v>1979</v>
      </c>
      <c r="Q771" s="460" t="s">
        <v>95</v>
      </c>
      <c r="R771" s="460" t="s">
        <v>1977</v>
      </c>
      <c r="S771" s="460" t="s">
        <v>1842</v>
      </c>
      <c r="T771" s="460" t="s">
        <v>1827</v>
      </c>
      <c r="U771" s="461" t="s">
        <v>1976</v>
      </c>
      <c r="V771" s="460" t="s">
        <v>1843</v>
      </c>
      <c r="W771" s="560"/>
      <c r="X771" s="461" t="s">
        <v>1993</v>
      </c>
      <c r="Y771" s="461" t="s">
        <v>2773</v>
      </c>
      <c r="Z771" s="461" t="s">
        <v>170</v>
      </c>
      <c r="AA771" s="460" t="s">
        <v>1218</v>
      </c>
      <c r="AB771" s="561">
        <f>ROUND(30.41,2)</f>
        <v>30.41</v>
      </c>
      <c r="AC771" s="460" t="s">
        <v>308</v>
      </c>
      <c r="AD771" s="460"/>
      <c r="AE771" s="561">
        <f>ROUND(70.29,2)</f>
        <v>70.290000000000006</v>
      </c>
      <c r="AF771" s="460" t="s">
        <v>308</v>
      </c>
      <c r="AG771" s="561">
        <f t="shared" si="11"/>
        <v>0</v>
      </c>
      <c r="AH771" s="460" t="s">
        <v>2671</v>
      </c>
      <c r="AI771" s="460" t="s">
        <v>1214</v>
      </c>
      <c r="AJ771" s="460" t="s">
        <v>2548</v>
      </c>
      <c r="AK771" s="460" t="s">
        <v>2672</v>
      </c>
      <c r="AL771" s="560" t="s">
        <v>2673</v>
      </c>
      <c r="AM771" s="460" t="s">
        <v>2674</v>
      </c>
    </row>
    <row r="772" spans="1:39" ht="22.8">
      <c r="A772" s="460" t="s">
        <v>1810</v>
      </c>
      <c r="B772" s="460"/>
      <c r="C772" s="460" t="s">
        <v>1477</v>
      </c>
      <c r="D772" s="460" t="s">
        <v>1996</v>
      </c>
      <c r="E772" s="460" t="s">
        <v>1821</v>
      </c>
      <c r="F772" s="460" t="s">
        <v>1812</v>
      </c>
      <c r="G772" s="461" t="s">
        <v>1218</v>
      </c>
      <c r="H772" s="461" t="s">
        <v>237</v>
      </c>
      <c r="I772" s="460" t="s">
        <v>1995</v>
      </c>
      <c r="J772" s="460" t="s">
        <v>1983</v>
      </c>
      <c r="K772" s="460" t="s">
        <v>2669</v>
      </c>
      <c r="L772" s="460" t="s">
        <v>2714</v>
      </c>
      <c r="M772" s="460" t="s">
        <v>1994</v>
      </c>
      <c r="N772" s="460" t="s">
        <v>1981</v>
      </c>
      <c r="O772" s="460" t="s">
        <v>1980</v>
      </c>
      <c r="P772" s="460" t="s">
        <v>2675</v>
      </c>
      <c r="Q772" s="460" t="s">
        <v>2676</v>
      </c>
      <c r="R772" s="460" t="s">
        <v>2677</v>
      </c>
      <c r="S772" s="460" t="s">
        <v>2676</v>
      </c>
      <c r="T772" s="460" t="s">
        <v>1827</v>
      </c>
      <c r="U772" s="461" t="s">
        <v>1824</v>
      </c>
      <c r="V772" s="460" t="s">
        <v>1843</v>
      </c>
      <c r="W772" s="560"/>
      <c r="X772" s="461" t="s">
        <v>1993</v>
      </c>
      <c r="Y772" s="461" t="s">
        <v>1993</v>
      </c>
      <c r="Z772" s="461" t="s">
        <v>170</v>
      </c>
      <c r="AA772" s="460" t="s">
        <v>1218</v>
      </c>
      <c r="AB772" s="561">
        <f>ROUND(281.25,2)</f>
        <v>281.25</v>
      </c>
      <c r="AC772" s="460" t="s">
        <v>2678</v>
      </c>
      <c r="AD772" s="460"/>
      <c r="AE772" s="561">
        <f>ROUND(1000,2)</f>
        <v>1000</v>
      </c>
      <c r="AF772" s="460" t="s">
        <v>2679</v>
      </c>
      <c r="AG772" s="561">
        <f t="shared" si="11"/>
        <v>0</v>
      </c>
      <c r="AH772" s="460" t="s">
        <v>2671</v>
      </c>
      <c r="AI772" s="460" t="s">
        <v>1214</v>
      </c>
      <c r="AJ772" s="460" t="s">
        <v>2550</v>
      </c>
      <c r="AK772" s="460" t="s">
        <v>2672</v>
      </c>
      <c r="AL772" s="560" t="s">
        <v>2756</v>
      </c>
      <c r="AM772" s="460" t="s">
        <v>2674</v>
      </c>
    </row>
    <row r="773" spans="1:39" ht="22.8">
      <c r="A773" s="460" t="s">
        <v>1810</v>
      </c>
      <c r="B773" s="460"/>
      <c r="C773" s="460" t="s">
        <v>1477</v>
      </c>
      <c r="D773" s="460" t="s">
        <v>1996</v>
      </c>
      <c r="E773" s="460" t="s">
        <v>1821</v>
      </c>
      <c r="F773" s="460" t="s">
        <v>1812</v>
      </c>
      <c r="G773" s="461" t="s">
        <v>1218</v>
      </c>
      <c r="H773" s="461" t="s">
        <v>237</v>
      </c>
      <c r="I773" s="460" t="s">
        <v>1995</v>
      </c>
      <c r="J773" s="460" t="s">
        <v>1983</v>
      </c>
      <c r="K773" s="460" t="s">
        <v>2669</v>
      </c>
      <c r="L773" s="460" t="s">
        <v>2714</v>
      </c>
      <c r="M773" s="460" t="s">
        <v>1994</v>
      </c>
      <c r="N773" s="460" t="s">
        <v>1981</v>
      </c>
      <c r="O773" s="460" t="s">
        <v>1980</v>
      </c>
      <c r="P773" s="460" t="s">
        <v>1979</v>
      </c>
      <c r="Q773" s="460" t="s">
        <v>1978</v>
      </c>
      <c r="R773" s="460" t="s">
        <v>1977</v>
      </c>
      <c r="S773" s="460" t="s">
        <v>1826</v>
      </c>
      <c r="T773" s="460" t="s">
        <v>1827</v>
      </c>
      <c r="U773" s="461" t="s">
        <v>1976</v>
      </c>
      <c r="V773" s="460" t="s">
        <v>1843</v>
      </c>
      <c r="W773" s="560"/>
      <c r="X773" s="461" t="s">
        <v>1993</v>
      </c>
      <c r="Y773" s="461" t="s">
        <v>2773</v>
      </c>
      <c r="Z773" s="461" t="s">
        <v>170</v>
      </c>
      <c r="AA773" s="460" t="s">
        <v>1218</v>
      </c>
      <c r="AB773" s="561">
        <f>ROUND(475.32,2)</f>
        <v>475.32</v>
      </c>
      <c r="AC773" s="460" t="s">
        <v>308</v>
      </c>
      <c r="AD773" s="460"/>
      <c r="AE773" s="561">
        <f>ROUND(1656.14,2)</f>
        <v>1656.14</v>
      </c>
      <c r="AF773" s="460" t="s">
        <v>308</v>
      </c>
      <c r="AG773" s="561">
        <f t="shared" si="11"/>
        <v>0</v>
      </c>
      <c r="AH773" s="460" t="s">
        <v>2671</v>
      </c>
      <c r="AI773" s="460" t="s">
        <v>1214</v>
      </c>
      <c r="AJ773" s="460" t="s">
        <v>2549</v>
      </c>
      <c r="AK773" s="460" t="s">
        <v>2672</v>
      </c>
      <c r="AL773" s="560" t="s">
        <v>2718</v>
      </c>
      <c r="AM773" s="460" t="s">
        <v>2674</v>
      </c>
    </row>
    <row r="774" spans="1:39" ht="22.8">
      <c r="A774" s="460" t="s">
        <v>1810</v>
      </c>
      <c r="B774" s="460"/>
      <c r="C774" s="460" t="s">
        <v>1529</v>
      </c>
      <c r="D774" s="460" t="s">
        <v>1992</v>
      </c>
      <c r="E774" s="460" t="s">
        <v>1814</v>
      </c>
      <c r="F774" s="460" t="s">
        <v>1812</v>
      </c>
      <c r="G774" s="461" t="s">
        <v>1218</v>
      </c>
      <c r="H774" s="461" t="s">
        <v>219</v>
      </c>
      <c r="I774" s="460" t="s">
        <v>1991</v>
      </c>
      <c r="J774" s="460" t="s">
        <v>1990</v>
      </c>
      <c r="K774" s="460" t="s">
        <v>2669</v>
      </c>
      <c r="L774" s="460" t="s">
        <v>2715</v>
      </c>
      <c r="M774" s="460" t="s">
        <v>1982</v>
      </c>
      <c r="N774" s="460" t="s">
        <v>1981</v>
      </c>
      <c r="O774" s="460" t="s">
        <v>1980</v>
      </c>
      <c r="P774" s="460" t="s">
        <v>1979</v>
      </c>
      <c r="Q774" s="460" t="s">
        <v>95</v>
      </c>
      <c r="R774" s="460" t="s">
        <v>1977</v>
      </c>
      <c r="S774" s="460" t="s">
        <v>1842</v>
      </c>
      <c r="T774" s="460" t="s">
        <v>1827</v>
      </c>
      <c r="U774" s="461" t="s">
        <v>1976</v>
      </c>
      <c r="V774" s="460" t="s">
        <v>1119</v>
      </c>
      <c r="W774" s="560"/>
      <c r="X774" s="461" t="s">
        <v>1824</v>
      </c>
      <c r="Y774" s="461" t="s">
        <v>1824</v>
      </c>
      <c r="Z774" s="461" t="s">
        <v>170</v>
      </c>
      <c r="AA774" s="460" t="s">
        <v>1218</v>
      </c>
      <c r="AB774" s="561">
        <f>ROUND(0,2)</f>
        <v>0</v>
      </c>
      <c r="AC774" s="460" t="s">
        <v>308</v>
      </c>
      <c r="AD774" s="460"/>
      <c r="AE774" s="561">
        <f>ROUND(36.23,2)</f>
        <v>36.229999999999997</v>
      </c>
      <c r="AF774" s="460" t="s">
        <v>308</v>
      </c>
      <c r="AG774" s="561">
        <f t="shared" si="11"/>
        <v>0</v>
      </c>
      <c r="AH774" s="460" t="s">
        <v>2671</v>
      </c>
      <c r="AI774" s="460" t="s">
        <v>1214</v>
      </c>
      <c r="AJ774" s="460"/>
      <c r="AK774" s="460"/>
      <c r="AL774" s="560"/>
      <c r="AM774" s="460"/>
    </row>
    <row r="775" spans="1:39" ht="22.8">
      <c r="A775" s="460" t="s">
        <v>1810</v>
      </c>
      <c r="B775" s="460"/>
      <c r="C775" s="460" t="s">
        <v>1529</v>
      </c>
      <c r="D775" s="460" t="s">
        <v>1992</v>
      </c>
      <c r="E775" s="460" t="s">
        <v>1814</v>
      </c>
      <c r="F775" s="460" t="s">
        <v>1812</v>
      </c>
      <c r="G775" s="461" t="s">
        <v>1218</v>
      </c>
      <c r="H775" s="461" t="s">
        <v>219</v>
      </c>
      <c r="I775" s="460" t="s">
        <v>1991</v>
      </c>
      <c r="J775" s="460" t="s">
        <v>1990</v>
      </c>
      <c r="K775" s="460" t="s">
        <v>2669</v>
      </c>
      <c r="L775" s="460" t="s">
        <v>2715</v>
      </c>
      <c r="M775" s="460" t="s">
        <v>1982</v>
      </c>
      <c r="N775" s="460" t="s">
        <v>1981</v>
      </c>
      <c r="O775" s="460" t="s">
        <v>1980</v>
      </c>
      <c r="P775" s="460" t="s">
        <v>2675</v>
      </c>
      <c r="Q775" s="460" t="s">
        <v>2676</v>
      </c>
      <c r="R775" s="460" t="s">
        <v>2677</v>
      </c>
      <c r="S775" s="460" t="s">
        <v>2676</v>
      </c>
      <c r="T775" s="460" t="s">
        <v>1827</v>
      </c>
      <c r="U775" s="461" t="s">
        <v>1824</v>
      </c>
      <c r="V775" s="460" t="s">
        <v>1119</v>
      </c>
      <c r="W775" s="560"/>
      <c r="X775" s="461" t="s">
        <v>1824</v>
      </c>
      <c r="Y775" s="461" t="s">
        <v>1824</v>
      </c>
      <c r="Z775" s="461" t="s">
        <v>170</v>
      </c>
      <c r="AA775" s="460" t="s">
        <v>1218</v>
      </c>
      <c r="AB775" s="561">
        <f>ROUND(0,2)</f>
        <v>0</v>
      </c>
      <c r="AC775" s="460" t="s">
        <v>2678</v>
      </c>
      <c r="AD775" s="460"/>
      <c r="AE775" s="561">
        <f>ROUND(500.05,2)</f>
        <v>500.05</v>
      </c>
      <c r="AF775" s="460" t="s">
        <v>2679</v>
      </c>
      <c r="AG775" s="561">
        <f t="shared" si="11"/>
        <v>0</v>
      </c>
      <c r="AH775" s="460" t="s">
        <v>2671</v>
      </c>
      <c r="AI775" s="460" t="s">
        <v>1214</v>
      </c>
      <c r="AJ775" s="460"/>
      <c r="AK775" s="460"/>
      <c r="AL775" s="560"/>
      <c r="AM775" s="460"/>
    </row>
    <row r="776" spans="1:39" ht="22.8">
      <c r="A776" s="460" t="s">
        <v>1810</v>
      </c>
      <c r="B776" s="460"/>
      <c r="C776" s="460" t="s">
        <v>1529</v>
      </c>
      <c r="D776" s="460" t="s">
        <v>1992</v>
      </c>
      <c r="E776" s="460" t="s">
        <v>1814</v>
      </c>
      <c r="F776" s="460" t="s">
        <v>1812</v>
      </c>
      <c r="G776" s="461" t="s">
        <v>1218</v>
      </c>
      <c r="H776" s="461" t="s">
        <v>219</v>
      </c>
      <c r="I776" s="460" t="s">
        <v>1991</v>
      </c>
      <c r="J776" s="460" t="s">
        <v>1990</v>
      </c>
      <c r="K776" s="460" t="s">
        <v>2669</v>
      </c>
      <c r="L776" s="460" t="s">
        <v>2715</v>
      </c>
      <c r="M776" s="460" t="s">
        <v>1982</v>
      </c>
      <c r="N776" s="460" t="s">
        <v>1981</v>
      </c>
      <c r="O776" s="460" t="s">
        <v>1980</v>
      </c>
      <c r="P776" s="460" t="s">
        <v>1979</v>
      </c>
      <c r="Q776" s="460" t="s">
        <v>1978</v>
      </c>
      <c r="R776" s="460" t="s">
        <v>1977</v>
      </c>
      <c r="S776" s="460" t="s">
        <v>1826</v>
      </c>
      <c r="T776" s="460" t="s">
        <v>1827</v>
      </c>
      <c r="U776" s="461" t="s">
        <v>1976</v>
      </c>
      <c r="V776" s="460" t="s">
        <v>1119</v>
      </c>
      <c r="W776" s="560"/>
      <c r="X776" s="461" t="s">
        <v>1824</v>
      </c>
      <c r="Y776" s="461" t="s">
        <v>1824</v>
      </c>
      <c r="Z776" s="461" t="s">
        <v>170</v>
      </c>
      <c r="AA776" s="460" t="s">
        <v>1218</v>
      </c>
      <c r="AB776" s="561">
        <f>ROUND(29.05,2)</f>
        <v>29.05</v>
      </c>
      <c r="AC776" s="460" t="s">
        <v>308</v>
      </c>
      <c r="AD776" s="460"/>
      <c r="AE776" s="561">
        <f>ROUND(825.23,2)</f>
        <v>825.23</v>
      </c>
      <c r="AF776" s="460" t="s">
        <v>308</v>
      </c>
      <c r="AG776" s="561">
        <f t="shared" si="11"/>
        <v>0</v>
      </c>
      <c r="AH776" s="460" t="s">
        <v>2671</v>
      </c>
      <c r="AI776" s="460" t="s">
        <v>1214</v>
      </c>
      <c r="AJ776" s="460" t="s">
        <v>2549</v>
      </c>
      <c r="AK776" s="460" t="s">
        <v>2672</v>
      </c>
      <c r="AL776" s="560" t="s">
        <v>2692</v>
      </c>
      <c r="AM776" s="460" t="s">
        <v>2674</v>
      </c>
    </row>
    <row r="777" spans="1:39" ht="34.200000000000003">
      <c r="A777" s="460" t="s">
        <v>1810</v>
      </c>
      <c r="B777" s="460"/>
      <c r="C777" s="460" t="s">
        <v>1481</v>
      </c>
      <c r="D777" s="460" t="s">
        <v>1989</v>
      </c>
      <c r="E777" s="460" t="s">
        <v>1840</v>
      </c>
      <c r="F777" s="460" t="s">
        <v>1812</v>
      </c>
      <c r="G777" s="461" t="s">
        <v>1218</v>
      </c>
      <c r="H777" s="461" t="s">
        <v>295</v>
      </c>
      <c r="I777" s="460" t="s">
        <v>1988</v>
      </c>
      <c r="J777" s="460" t="s">
        <v>1983</v>
      </c>
      <c r="K777" s="460" t="s">
        <v>2669</v>
      </c>
      <c r="L777" s="460" t="s">
        <v>2746</v>
      </c>
      <c r="M777" s="460" t="s">
        <v>1987</v>
      </c>
      <c r="N777" s="460" t="s">
        <v>1986</v>
      </c>
      <c r="O777" s="460" t="s">
        <v>1980</v>
      </c>
      <c r="P777" s="460" t="s">
        <v>1979</v>
      </c>
      <c r="Q777" s="460" t="s">
        <v>95</v>
      </c>
      <c r="R777" s="460" t="s">
        <v>1977</v>
      </c>
      <c r="S777" s="460" t="s">
        <v>1842</v>
      </c>
      <c r="T777" s="460" t="s">
        <v>1827</v>
      </c>
      <c r="U777" s="461" t="s">
        <v>1976</v>
      </c>
      <c r="V777" s="460" t="s">
        <v>1843</v>
      </c>
      <c r="W777" s="560"/>
      <c r="X777" s="461" t="s">
        <v>2887</v>
      </c>
      <c r="Y777" s="461" t="s">
        <v>2887</v>
      </c>
      <c r="Z777" s="461" t="s">
        <v>170</v>
      </c>
      <c r="AA777" s="460" t="s">
        <v>1218</v>
      </c>
      <c r="AB777" s="561">
        <f>ROUND(30.41,2)</f>
        <v>30.41</v>
      </c>
      <c r="AC777" s="460" t="s">
        <v>308</v>
      </c>
      <c r="AD777" s="460"/>
      <c r="AE777" s="561">
        <f>ROUND(70.29,2)</f>
        <v>70.290000000000006</v>
      </c>
      <c r="AF777" s="460" t="s">
        <v>308</v>
      </c>
      <c r="AG777" s="561">
        <f t="shared" si="11"/>
        <v>0</v>
      </c>
      <c r="AH777" s="460" t="s">
        <v>2671</v>
      </c>
      <c r="AI777" s="460" t="s">
        <v>1214</v>
      </c>
      <c r="AJ777" s="460" t="s">
        <v>2548</v>
      </c>
      <c r="AK777" s="460" t="s">
        <v>2672</v>
      </c>
      <c r="AL777" s="560" t="s">
        <v>2673</v>
      </c>
      <c r="AM777" s="460" t="s">
        <v>2674</v>
      </c>
    </row>
    <row r="778" spans="1:39" ht="34.200000000000003">
      <c r="A778" s="460" t="s">
        <v>1810</v>
      </c>
      <c r="B778" s="460"/>
      <c r="C778" s="460" t="s">
        <v>1481</v>
      </c>
      <c r="D778" s="460" t="s">
        <v>1989</v>
      </c>
      <c r="E778" s="460" t="s">
        <v>1840</v>
      </c>
      <c r="F778" s="460" t="s">
        <v>1812</v>
      </c>
      <c r="G778" s="461" t="s">
        <v>1218</v>
      </c>
      <c r="H778" s="461" t="s">
        <v>295</v>
      </c>
      <c r="I778" s="460" t="s">
        <v>1988</v>
      </c>
      <c r="J778" s="460" t="s">
        <v>1983</v>
      </c>
      <c r="K778" s="460" t="s">
        <v>2669</v>
      </c>
      <c r="L778" s="460" t="s">
        <v>2746</v>
      </c>
      <c r="M778" s="460" t="s">
        <v>1987</v>
      </c>
      <c r="N778" s="460" t="s">
        <v>1986</v>
      </c>
      <c r="O778" s="460" t="s">
        <v>1980</v>
      </c>
      <c r="P778" s="460" t="s">
        <v>2675</v>
      </c>
      <c r="Q778" s="460" t="s">
        <v>2676</v>
      </c>
      <c r="R778" s="460" t="s">
        <v>2677</v>
      </c>
      <c r="S778" s="460" t="s">
        <v>2676</v>
      </c>
      <c r="T778" s="460" t="s">
        <v>1827</v>
      </c>
      <c r="U778" s="461" t="s">
        <v>1824</v>
      </c>
      <c r="V778" s="460" t="s">
        <v>1843</v>
      </c>
      <c r="W778" s="560"/>
      <c r="X778" s="461" t="s">
        <v>2887</v>
      </c>
      <c r="Y778" s="461" t="s">
        <v>2887</v>
      </c>
      <c r="Z778" s="461" t="s">
        <v>170</v>
      </c>
      <c r="AA778" s="460" t="s">
        <v>1218</v>
      </c>
      <c r="AB778" s="561">
        <f>ROUND(37,2)</f>
        <v>37</v>
      </c>
      <c r="AC778" s="460" t="s">
        <v>2678</v>
      </c>
      <c r="AD778" s="460"/>
      <c r="AE778" s="561">
        <f>ROUND(1000,2)</f>
        <v>1000</v>
      </c>
      <c r="AF778" s="460" t="s">
        <v>2679</v>
      </c>
      <c r="AG778" s="561">
        <f t="shared" si="11"/>
        <v>0</v>
      </c>
      <c r="AH778" s="460" t="s">
        <v>2671</v>
      </c>
      <c r="AI778" s="460" t="s">
        <v>1214</v>
      </c>
      <c r="AJ778" s="460" t="s">
        <v>2550</v>
      </c>
      <c r="AK778" s="460" t="s">
        <v>2672</v>
      </c>
      <c r="AL778" s="560" t="s">
        <v>2888</v>
      </c>
      <c r="AM778" s="460" t="s">
        <v>2674</v>
      </c>
    </row>
    <row r="779" spans="1:39" ht="34.200000000000003">
      <c r="A779" s="460" t="s">
        <v>1810</v>
      </c>
      <c r="B779" s="460"/>
      <c r="C779" s="460" t="s">
        <v>1481</v>
      </c>
      <c r="D779" s="460" t="s">
        <v>1989</v>
      </c>
      <c r="E779" s="460" t="s">
        <v>1840</v>
      </c>
      <c r="F779" s="460" t="s">
        <v>1812</v>
      </c>
      <c r="G779" s="461" t="s">
        <v>1218</v>
      </c>
      <c r="H779" s="461" t="s">
        <v>295</v>
      </c>
      <c r="I779" s="460" t="s">
        <v>1988</v>
      </c>
      <c r="J779" s="460" t="s">
        <v>1983</v>
      </c>
      <c r="K779" s="460" t="s">
        <v>2669</v>
      </c>
      <c r="L779" s="460" t="s">
        <v>2746</v>
      </c>
      <c r="M779" s="460" t="s">
        <v>1987</v>
      </c>
      <c r="N779" s="460" t="s">
        <v>1986</v>
      </c>
      <c r="O779" s="460" t="s">
        <v>1980</v>
      </c>
      <c r="P779" s="460" t="s">
        <v>1979</v>
      </c>
      <c r="Q779" s="460" t="s">
        <v>1978</v>
      </c>
      <c r="R779" s="460" t="s">
        <v>1977</v>
      </c>
      <c r="S779" s="460" t="s">
        <v>1826</v>
      </c>
      <c r="T779" s="460" t="s">
        <v>1827</v>
      </c>
      <c r="U779" s="461" t="s">
        <v>1976</v>
      </c>
      <c r="V779" s="460" t="s">
        <v>1843</v>
      </c>
      <c r="W779" s="560"/>
      <c r="X779" s="461" t="s">
        <v>2887</v>
      </c>
      <c r="Y779" s="461" t="s">
        <v>2887</v>
      </c>
      <c r="Z779" s="461" t="s">
        <v>170</v>
      </c>
      <c r="AA779" s="460" t="s">
        <v>1218</v>
      </c>
      <c r="AB779" s="561">
        <f>ROUND(383.66,2)</f>
        <v>383.66</v>
      </c>
      <c r="AC779" s="460" t="s">
        <v>308</v>
      </c>
      <c r="AD779" s="460"/>
      <c r="AE779" s="561">
        <f>ROUND(1747.8,2)</f>
        <v>1747.8</v>
      </c>
      <c r="AF779" s="460" t="s">
        <v>308</v>
      </c>
      <c r="AG779" s="561">
        <f t="shared" ref="AG779:AG785" si="12">ROUND(0,2)</f>
        <v>0</v>
      </c>
      <c r="AH779" s="460" t="s">
        <v>2671</v>
      </c>
      <c r="AI779" s="460" t="s">
        <v>1214</v>
      </c>
      <c r="AJ779" s="460" t="s">
        <v>2549</v>
      </c>
      <c r="AK779" s="460" t="s">
        <v>2672</v>
      </c>
      <c r="AL779" s="560" t="s">
        <v>2696</v>
      </c>
      <c r="AM779" s="460" t="s">
        <v>2674</v>
      </c>
    </row>
    <row r="780" spans="1:39" ht="22.8">
      <c r="A780" s="460" t="s">
        <v>1810</v>
      </c>
      <c r="B780" s="460"/>
      <c r="C780" s="460" t="s">
        <v>1478</v>
      </c>
      <c r="D780" s="460" t="s">
        <v>1985</v>
      </c>
      <c r="E780" s="460" t="s">
        <v>1814</v>
      </c>
      <c r="F780" s="460" t="s">
        <v>1812</v>
      </c>
      <c r="G780" s="461" t="s">
        <v>1218</v>
      </c>
      <c r="H780" s="461" t="s">
        <v>205</v>
      </c>
      <c r="I780" s="460" t="s">
        <v>1984</v>
      </c>
      <c r="J780" s="460" t="s">
        <v>1983</v>
      </c>
      <c r="K780" s="460" t="s">
        <v>2669</v>
      </c>
      <c r="L780" s="460" t="s">
        <v>2703</v>
      </c>
      <c r="M780" s="460" t="s">
        <v>1982</v>
      </c>
      <c r="N780" s="460" t="s">
        <v>1981</v>
      </c>
      <c r="O780" s="460" t="s">
        <v>1980</v>
      </c>
      <c r="P780" s="460" t="s">
        <v>1979</v>
      </c>
      <c r="Q780" s="460" t="s">
        <v>95</v>
      </c>
      <c r="R780" s="460" t="s">
        <v>1977</v>
      </c>
      <c r="S780" s="460" t="s">
        <v>1842</v>
      </c>
      <c r="T780" s="460" t="s">
        <v>1827</v>
      </c>
      <c r="U780" s="461" t="s">
        <v>1976</v>
      </c>
      <c r="V780" s="460" t="s">
        <v>1119</v>
      </c>
      <c r="W780" s="560"/>
      <c r="X780" s="461" t="s">
        <v>1824</v>
      </c>
      <c r="Y780" s="461" t="s">
        <v>1824</v>
      </c>
      <c r="Z780" s="461" t="s">
        <v>170</v>
      </c>
      <c r="AA780" s="460" t="s">
        <v>1218</v>
      </c>
      <c r="AB780" s="561">
        <f>ROUND(0,2)</f>
        <v>0</v>
      </c>
      <c r="AC780" s="460" t="s">
        <v>308</v>
      </c>
      <c r="AD780" s="460"/>
      <c r="AE780" s="561">
        <f>ROUND(36.23,2)</f>
        <v>36.229999999999997</v>
      </c>
      <c r="AF780" s="460" t="s">
        <v>308</v>
      </c>
      <c r="AG780" s="561">
        <f t="shared" si="12"/>
        <v>0</v>
      </c>
      <c r="AH780" s="460" t="s">
        <v>2671</v>
      </c>
      <c r="AI780" s="460" t="s">
        <v>1214</v>
      </c>
      <c r="AJ780" s="460"/>
      <c r="AK780" s="460"/>
      <c r="AL780" s="560"/>
      <c r="AM780" s="460"/>
    </row>
    <row r="781" spans="1:39" ht="22.8">
      <c r="A781" s="460" t="s">
        <v>1810</v>
      </c>
      <c r="B781" s="460"/>
      <c r="C781" s="460" t="s">
        <v>1478</v>
      </c>
      <c r="D781" s="460" t="s">
        <v>1985</v>
      </c>
      <c r="E781" s="460" t="s">
        <v>1814</v>
      </c>
      <c r="F781" s="460" t="s">
        <v>1812</v>
      </c>
      <c r="G781" s="461" t="s">
        <v>1218</v>
      </c>
      <c r="H781" s="461" t="s">
        <v>205</v>
      </c>
      <c r="I781" s="460" t="s">
        <v>1984</v>
      </c>
      <c r="J781" s="460" t="s">
        <v>1983</v>
      </c>
      <c r="K781" s="460" t="s">
        <v>2669</v>
      </c>
      <c r="L781" s="460" t="s">
        <v>2703</v>
      </c>
      <c r="M781" s="460" t="s">
        <v>1982</v>
      </c>
      <c r="N781" s="460" t="s">
        <v>1981</v>
      </c>
      <c r="O781" s="460" t="s">
        <v>1980</v>
      </c>
      <c r="P781" s="460" t="s">
        <v>2675</v>
      </c>
      <c r="Q781" s="460" t="s">
        <v>2676</v>
      </c>
      <c r="R781" s="460" t="s">
        <v>2677</v>
      </c>
      <c r="S781" s="460" t="s">
        <v>2676</v>
      </c>
      <c r="T781" s="460" t="s">
        <v>1827</v>
      </c>
      <c r="U781" s="461" t="s">
        <v>1824</v>
      </c>
      <c r="V781" s="460" t="s">
        <v>1843</v>
      </c>
      <c r="W781" s="560"/>
      <c r="X781" s="461" t="s">
        <v>1824</v>
      </c>
      <c r="Y781" s="461" t="s">
        <v>1824</v>
      </c>
      <c r="Z781" s="461" t="s">
        <v>170</v>
      </c>
      <c r="AA781" s="460" t="s">
        <v>1218</v>
      </c>
      <c r="AB781" s="561">
        <f>ROUND(281.24,2)</f>
        <v>281.24</v>
      </c>
      <c r="AC781" s="460" t="s">
        <v>2678</v>
      </c>
      <c r="AD781" s="460"/>
      <c r="AE781" s="561">
        <f>ROUND(1000,2)</f>
        <v>1000</v>
      </c>
      <c r="AF781" s="460" t="s">
        <v>2679</v>
      </c>
      <c r="AG781" s="561">
        <f t="shared" si="12"/>
        <v>0</v>
      </c>
      <c r="AH781" s="460" t="s">
        <v>2671</v>
      </c>
      <c r="AI781" s="460" t="s">
        <v>1214</v>
      </c>
      <c r="AJ781" s="460" t="s">
        <v>2550</v>
      </c>
      <c r="AK781" s="460" t="s">
        <v>2672</v>
      </c>
      <c r="AL781" s="560" t="s">
        <v>2889</v>
      </c>
      <c r="AM781" s="460" t="s">
        <v>2674</v>
      </c>
    </row>
    <row r="782" spans="1:39" ht="22.8">
      <c r="A782" s="460" t="s">
        <v>1810</v>
      </c>
      <c r="B782" s="460"/>
      <c r="C782" s="460" t="s">
        <v>1478</v>
      </c>
      <c r="D782" s="460" t="s">
        <v>1985</v>
      </c>
      <c r="E782" s="460" t="s">
        <v>1814</v>
      </c>
      <c r="F782" s="460" t="s">
        <v>1812</v>
      </c>
      <c r="G782" s="461" t="s">
        <v>1218</v>
      </c>
      <c r="H782" s="461" t="s">
        <v>205</v>
      </c>
      <c r="I782" s="460" t="s">
        <v>1984</v>
      </c>
      <c r="J782" s="460" t="s">
        <v>1983</v>
      </c>
      <c r="K782" s="460" t="s">
        <v>2669</v>
      </c>
      <c r="L782" s="460" t="s">
        <v>2703</v>
      </c>
      <c r="M782" s="460" t="s">
        <v>1982</v>
      </c>
      <c r="N782" s="460" t="s">
        <v>1981</v>
      </c>
      <c r="O782" s="460" t="s">
        <v>1980</v>
      </c>
      <c r="P782" s="460" t="s">
        <v>1979</v>
      </c>
      <c r="Q782" s="460" t="s">
        <v>1978</v>
      </c>
      <c r="R782" s="460" t="s">
        <v>1977</v>
      </c>
      <c r="S782" s="460" t="s">
        <v>1826</v>
      </c>
      <c r="T782" s="460" t="s">
        <v>1827</v>
      </c>
      <c r="U782" s="461" t="s">
        <v>1976</v>
      </c>
      <c r="V782" s="460" t="s">
        <v>1843</v>
      </c>
      <c r="W782" s="560"/>
      <c r="X782" s="461" t="s">
        <v>1824</v>
      </c>
      <c r="Y782" s="461" t="s">
        <v>1824</v>
      </c>
      <c r="Z782" s="461" t="s">
        <v>170</v>
      </c>
      <c r="AA782" s="460" t="s">
        <v>1218</v>
      </c>
      <c r="AB782" s="561">
        <f>ROUND(603.2,2)</f>
        <v>603.20000000000005</v>
      </c>
      <c r="AC782" s="460" t="s">
        <v>308</v>
      </c>
      <c r="AD782" s="460"/>
      <c r="AE782" s="561">
        <f>ROUND(1528.26,2)</f>
        <v>1528.26</v>
      </c>
      <c r="AF782" s="460" t="s">
        <v>308</v>
      </c>
      <c r="AG782" s="561">
        <f t="shared" si="12"/>
        <v>0</v>
      </c>
      <c r="AH782" s="460" t="s">
        <v>2671</v>
      </c>
      <c r="AI782" s="460" t="s">
        <v>1214</v>
      </c>
      <c r="AJ782" s="460" t="s">
        <v>2549</v>
      </c>
      <c r="AK782" s="460" t="s">
        <v>2672</v>
      </c>
      <c r="AL782" s="560" t="s">
        <v>2702</v>
      </c>
      <c r="AM782" s="460" t="s">
        <v>2674</v>
      </c>
    </row>
    <row r="783" spans="1:39" ht="22.8">
      <c r="A783" s="460" t="s">
        <v>1810</v>
      </c>
      <c r="B783" s="460"/>
      <c r="C783" s="460" t="s">
        <v>2459</v>
      </c>
      <c r="D783" s="460" t="s">
        <v>2890</v>
      </c>
      <c r="E783" s="460" t="s">
        <v>1821</v>
      </c>
      <c r="F783" s="460" t="s">
        <v>1812</v>
      </c>
      <c r="G783" s="461" t="s">
        <v>1218</v>
      </c>
      <c r="H783" s="461" t="s">
        <v>2824</v>
      </c>
      <c r="I783" s="460" t="s">
        <v>2891</v>
      </c>
      <c r="J783" s="460" t="s">
        <v>1983</v>
      </c>
      <c r="K783" s="460" t="s">
        <v>2669</v>
      </c>
      <c r="L783" s="460" t="s">
        <v>2714</v>
      </c>
      <c r="M783" s="460" t="s">
        <v>1994</v>
      </c>
      <c r="N783" s="460" t="s">
        <v>1981</v>
      </c>
      <c r="O783" s="460" t="s">
        <v>1980</v>
      </c>
      <c r="P783" s="460" t="s">
        <v>1979</v>
      </c>
      <c r="Q783" s="460" t="s">
        <v>95</v>
      </c>
      <c r="R783" s="460" t="s">
        <v>1977</v>
      </c>
      <c r="S783" s="460" t="s">
        <v>1842</v>
      </c>
      <c r="T783" s="460" t="s">
        <v>1827</v>
      </c>
      <c r="U783" s="461" t="s">
        <v>1976</v>
      </c>
      <c r="V783" s="460" t="s">
        <v>1119</v>
      </c>
      <c r="W783" s="560"/>
      <c r="X783" s="461" t="s">
        <v>2789</v>
      </c>
      <c r="Y783" s="461" t="s">
        <v>2789</v>
      </c>
      <c r="Z783" s="461" t="s">
        <v>170</v>
      </c>
      <c r="AA783" s="460" t="s">
        <v>1218</v>
      </c>
      <c r="AB783" s="561">
        <f>ROUND(0,2)</f>
        <v>0</v>
      </c>
      <c r="AC783" s="460" t="s">
        <v>308</v>
      </c>
      <c r="AD783" s="460"/>
      <c r="AE783" s="561">
        <f>ROUND(36.23,2)</f>
        <v>36.229999999999997</v>
      </c>
      <c r="AF783" s="460" t="s">
        <v>308</v>
      </c>
      <c r="AG783" s="561">
        <f t="shared" si="12"/>
        <v>0</v>
      </c>
      <c r="AH783" s="460" t="s">
        <v>2671</v>
      </c>
      <c r="AI783" s="460" t="s">
        <v>1214</v>
      </c>
      <c r="AJ783" s="460"/>
      <c r="AK783" s="460"/>
      <c r="AL783" s="560"/>
      <c r="AM783" s="460"/>
    </row>
    <row r="784" spans="1:39" ht="22.8">
      <c r="A784" s="460" t="s">
        <v>1810</v>
      </c>
      <c r="B784" s="460"/>
      <c r="C784" s="460" t="s">
        <v>2459</v>
      </c>
      <c r="D784" s="460" t="s">
        <v>2890</v>
      </c>
      <c r="E784" s="460" t="s">
        <v>1821</v>
      </c>
      <c r="F784" s="460" t="s">
        <v>1812</v>
      </c>
      <c r="G784" s="461" t="s">
        <v>1218</v>
      </c>
      <c r="H784" s="461" t="s">
        <v>2824</v>
      </c>
      <c r="I784" s="460" t="s">
        <v>2891</v>
      </c>
      <c r="J784" s="460" t="s">
        <v>1983</v>
      </c>
      <c r="K784" s="460" t="s">
        <v>2669</v>
      </c>
      <c r="L784" s="460" t="s">
        <v>2714</v>
      </c>
      <c r="M784" s="460" t="s">
        <v>1994</v>
      </c>
      <c r="N784" s="460" t="s">
        <v>1981</v>
      </c>
      <c r="O784" s="460" t="s">
        <v>1980</v>
      </c>
      <c r="P784" s="460" t="s">
        <v>2675</v>
      </c>
      <c r="Q784" s="460" t="s">
        <v>2676</v>
      </c>
      <c r="R784" s="460" t="s">
        <v>2677</v>
      </c>
      <c r="S784" s="460" t="s">
        <v>2676</v>
      </c>
      <c r="T784" s="460" t="s">
        <v>1827</v>
      </c>
      <c r="U784" s="461" t="s">
        <v>1824</v>
      </c>
      <c r="V784" s="460" t="s">
        <v>1119</v>
      </c>
      <c r="W784" s="560"/>
      <c r="X784" s="461" t="s">
        <v>2789</v>
      </c>
      <c r="Y784" s="461" t="s">
        <v>2789</v>
      </c>
      <c r="Z784" s="461" t="s">
        <v>170</v>
      </c>
      <c r="AA784" s="460" t="s">
        <v>1218</v>
      </c>
      <c r="AB784" s="561">
        <f>ROUND(100,2)</f>
        <v>100</v>
      </c>
      <c r="AC784" s="460" t="s">
        <v>2678</v>
      </c>
      <c r="AD784" s="460"/>
      <c r="AE784" s="561">
        <f>ROUND(500.05,2)</f>
        <v>500.05</v>
      </c>
      <c r="AF784" s="460" t="s">
        <v>2679</v>
      </c>
      <c r="AG784" s="561">
        <f t="shared" si="12"/>
        <v>0</v>
      </c>
      <c r="AH784" s="460" t="s">
        <v>2671</v>
      </c>
      <c r="AI784" s="460" t="s">
        <v>1214</v>
      </c>
      <c r="AJ784" s="460" t="s">
        <v>2550</v>
      </c>
      <c r="AK784" s="460" t="s">
        <v>2672</v>
      </c>
      <c r="AL784" s="560" t="s">
        <v>2691</v>
      </c>
      <c r="AM784" s="460" t="s">
        <v>2674</v>
      </c>
    </row>
    <row r="785" spans="1:39" ht="22.8">
      <c r="A785" s="460" t="s">
        <v>1810</v>
      </c>
      <c r="B785" s="460"/>
      <c r="C785" s="460" t="s">
        <v>2459</v>
      </c>
      <c r="D785" s="460" t="s">
        <v>2890</v>
      </c>
      <c r="E785" s="460" t="s">
        <v>1821</v>
      </c>
      <c r="F785" s="460" t="s">
        <v>1812</v>
      </c>
      <c r="G785" s="461" t="s">
        <v>1218</v>
      </c>
      <c r="H785" s="461" t="s">
        <v>2824</v>
      </c>
      <c r="I785" s="460" t="s">
        <v>2891</v>
      </c>
      <c r="J785" s="460" t="s">
        <v>1983</v>
      </c>
      <c r="K785" s="460" t="s">
        <v>2669</v>
      </c>
      <c r="L785" s="460" t="s">
        <v>2714</v>
      </c>
      <c r="M785" s="460" t="s">
        <v>1994</v>
      </c>
      <c r="N785" s="460" t="s">
        <v>1981</v>
      </c>
      <c r="O785" s="460" t="s">
        <v>1980</v>
      </c>
      <c r="P785" s="460" t="s">
        <v>1979</v>
      </c>
      <c r="Q785" s="460" t="s">
        <v>1978</v>
      </c>
      <c r="R785" s="460" t="s">
        <v>1977</v>
      </c>
      <c r="S785" s="460" t="s">
        <v>1826</v>
      </c>
      <c r="T785" s="460" t="s">
        <v>1827</v>
      </c>
      <c r="U785" s="461" t="s">
        <v>1976</v>
      </c>
      <c r="V785" s="460" t="s">
        <v>1119</v>
      </c>
      <c r="W785" s="560"/>
      <c r="X785" s="461" t="s">
        <v>2789</v>
      </c>
      <c r="Y785" s="461" t="s">
        <v>2789</v>
      </c>
      <c r="Z785" s="461" t="s">
        <v>170</v>
      </c>
      <c r="AA785" s="460" t="s">
        <v>1218</v>
      </c>
      <c r="AB785" s="561">
        <f>ROUND(29.05,2)</f>
        <v>29.05</v>
      </c>
      <c r="AC785" s="460" t="s">
        <v>308</v>
      </c>
      <c r="AD785" s="460"/>
      <c r="AE785" s="561">
        <f>ROUND(825.23,2)</f>
        <v>825.23</v>
      </c>
      <c r="AF785" s="460" t="s">
        <v>308</v>
      </c>
      <c r="AG785" s="561">
        <f t="shared" si="12"/>
        <v>0</v>
      </c>
      <c r="AH785" s="460" t="s">
        <v>2671</v>
      </c>
      <c r="AI785" s="460" t="s">
        <v>1214</v>
      </c>
      <c r="AJ785" s="460" t="s">
        <v>2549</v>
      </c>
      <c r="AK785" s="460" t="s">
        <v>2672</v>
      </c>
      <c r="AL785" s="560" t="s">
        <v>2692</v>
      </c>
      <c r="AM785" s="460" t="s">
        <v>2674</v>
      </c>
    </row>
    <row r="786" spans="1:39" ht="22.8">
      <c r="A786" s="549" t="s">
        <v>1810</v>
      </c>
      <c r="B786" s="549"/>
      <c r="C786" s="549" t="s">
        <v>1529</v>
      </c>
      <c r="D786" s="549" t="s">
        <v>1992</v>
      </c>
      <c r="E786" s="550" t="s">
        <v>1218</v>
      </c>
      <c r="F786" s="550" t="s">
        <v>219</v>
      </c>
      <c r="G786" s="549" t="s">
        <v>1991</v>
      </c>
      <c r="H786" s="549" t="s">
        <v>1990</v>
      </c>
      <c r="I786" s="549" t="s">
        <v>2669</v>
      </c>
      <c r="J786" s="549" t="s">
        <v>2715</v>
      </c>
      <c r="K786" s="549" t="s">
        <v>1814</v>
      </c>
      <c r="L786" s="549" t="s">
        <v>1982</v>
      </c>
      <c r="M786" s="549" t="s">
        <v>1981</v>
      </c>
      <c r="N786" s="549" t="s">
        <v>1812</v>
      </c>
      <c r="O786" s="549" t="s">
        <v>1980</v>
      </c>
      <c r="P786" s="549" t="s">
        <v>1979</v>
      </c>
      <c r="Q786" s="549" t="s">
        <v>95</v>
      </c>
      <c r="R786" s="549" t="s">
        <v>1977</v>
      </c>
      <c r="S786" s="549" t="s">
        <v>1842</v>
      </c>
      <c r="T786" s="549" t="s">
        <v>1827</v>
      </c>
      <c r="U786" s="550" t="s">
        <v>1976</v>
      </c>
      <c r="V786" s="549" t="s">
        <v>1119</v>
      </c>
      <c r="W786" s="551"/>
      <c r="X786" s="550" t="s">
        <v>1824</v>
      </c>
      <c r="Y786" s="550" t="s">
        <v>1824</v>
      </c>
      <c r="Z786" s="550" t="s">
        <v>170</v>
      </c>
      <c r="AA786" s="549" t="s">
        <v>1218</v>
      </c>
      <c r="AB786" s="552">
        <f>ROUND(0,2)</f>
        <v>0</v>
      </c>
      <c r="AC786" s="549" t="s">
        <v>308</v>
      </c>
      <c r="AD786" s="549"/>
      <c r="AE786" s="552">
        <f>ROUND(36.23,2)</f>
        <v>36.229999999999997</v>
      </c>
      <c r="AF786" s="549" t="s">
        <v>308</v>
      </c>
      <c r="AG786" s="552">
        <f t="shared" ref="AG786:AG797" si="13">ROUND(0,2)</f>
        <v>0</v>
      </c>
      <c r="AH786" s="549" t="s">
        <v>2671</v>
      </c>
      <c r="AI786" s="549" t="s">
        <v>1214</v>
      </c>
      <c r="AJ786" s="549"/>
      <c r="AK786" s="549"/>
      <c r="AL786" s="551"/>
      <c r="AM786" s="549"/>
    </row>
    <row r="787" spans="1:39" ht="22.8">
      <c r="A787" s="549" t="s">
        <v>1810</v>
      </c>
      <c r="B787" s="549"/>
      <c r="C787" s="549" t="s">
        <v>1529</v>
      </c>
      <c r="D787" s="549" t="s">
        <v>1992</v>
      </c>
      <c r="E787" s="550" t="s">
        <v>1218</v>
      </c>
      <c r="F787" s="550" t="s">
        <v>219</v>
      </c>
      <c r="G787" s="549" t="s">
        <v>1991</v>
      </c>
      <c r="H787" s="549" t="s">
        <v>1990</v>
      </c>
      <c r="I787" s="549" t="s">
        <v>2669</v>
      </c>
      <c r="J787" s="549" t="s">
        <v>2715</v>
      </c>
      <c r="K787" s="549" t="s">
        <v>1814</v>
      </c>
      <c r="L787" s="549" t="s">
        <v>1982</v>
      </c>
      <c r="M787" s="549" t="s">
        <v>1981</v>
      </c>
      <c r="N787" s="549" t="s">
        <v>1812</v>
      </c>
      <c r="O787" s="549" t="s">
        <v>1980</v>
      </c>
      <c r="P787" s="549" t="s">
        <v>2675</v>
      </c>
      <c r="Q787" s="549" t="s">
        <v>2676</v>
      </c>
      <c r="R787" s="549" t="s">
        <v>2677</v>
      </c>
      <c r="S787" s="549" t="s">
        <v>2676</v>
      </c>
      <c r="T787" s="549" t="s">
        <v>1827</v>
      </c>
      <c r="U787" s="550" t="s">
        <v>1824</v>
      </c>
      <c r="V787" s="549" t="s">
        <v>1119</v>
      </c>
      <c r="W787" s="551"/>
      <c r="X787" s="550" t="s">
        <v>1824</v>
      </c>
      <c r="Y787" s="550" t="s">
        <v>1824</v>
      </c>
      <c r="Z787" s="550" t="s">
        <v>170</v>
      </c>
      <c r="AA787" s="549" t="s">
        <v>1218</v>
      </c>
      <c r="AB787" s="552">
        <f>ROUND(0,2)</f>
        <v>0</v>
      </c>
      <c r="AC787" s="549" t="s">
        <v>2678</v>
      </c>
      <c r="AD787" s="549"/>
      <c r="AE787" s="552">
        <f>ROUND(500.05,2)</f>
        <v>500.05</v>
      </c>
      <c r="AF787" s="549" t="s">
        <v>2679</v>
      </c>
      <c r="AG787" s="552">
        <f t="shared" si="13"/>
        <v>0</v>
      </c>
      <c r="AH787" s="549" t="s">
        <v>2671</v>
      </c>
      <c r="AI787" s="549" t="s">
        <v>1214</v>
      </c>
      <c r="AJ787" s="549"/>
      <c r="AK787" s="549"/>
      <c r="AL787" s="551"/>
      <c r="AM787" s="549"/>
    </row>
    <row r="788" spans="1:39" ht="22.8">
      <c r="A788" s="549" t="s">
        <v>1810</v>
      </c>
      <c r="B788" s="549"/>
      <c r="C788" s="549" t="s">
        <v>1529</v>
      </c>
      <c r="D788" s="549" t="s">
        <v>1992</v>
      </c>
      <c r="E788" s="550" t="s">
        <v>1218</v>
      </c>
      <c r="F788" s="550" t="s">
        <v>219</v>
      </c>
      <c r="G788" s="549" t="s">
        <v>1991</v>
      </c>
      <c r="H788" s="549" t="s">
        <v>1990</v>
      </c>
      <c r="I788" s="549" t="s">
        <v>2669</v>
      </c>
      <c r="J788" s="549" t="s">
        <v>2715</v>
      </c>
      <c r="K788" s="549" t="s">
        <v>1814</v>
      </c>
      <c r="L788" s="549" t="s">
        <v>1982</v>
      </c>
      <c r="M788" s="549" t="s">
        <v>1981</v>
      </c>
      <c r="N788" s="549" t="s">
        <v>1812</v>
      </c>
      <c r="O788" s="549" t="s">
        <v>1980</v>
      </c>
      <c r="P788" s="549" t="s">
        <v>1979</v>
      </c>
      <c r="Q788" s="549" t="s">
        <v>1978</v>
      </c>
      <c r="R788" s="549" t="s">
        <v>1977</v>
      </c>
      <c r="S788" s="549" t="s">
        <v>1826</v>
      </c>
      <c r="T788" s="549" t="s">
        <v>1827</v>
      </c>
      <c r="U788" s="550" t="s">
        <v>1976</v>
      </c>
      <c r="V788" s="549" t="s">
        <v>1119</v>
      </c>
      <c r="W788" s="551"/>
      <c r="X788" s="550" t="s">
        <v>1824</v>
      </c>
      <c r="Y788" s="550" t="s">
        <v>1824</v>
      </c>
      <c r="Z788" s="550" t="s">
        <v>170</v>
      </c>
      <c r="AA788" s="549" t="s">
        <v>1218</v>
      </c>
      <c r="AB788" s="552">
        <f>ROUND(29.05,2)</f>
        <v>29.05</v>
      </c>
      <c r="AC788" s="549" t="s">
        <v>308</v>
      </c>
      <c r="AD788" s="549"/>
      <c r="AE788" s="552">
        <f>ROUND(825.23,2)</f>
        <v>825.23</v>
      </c>
      <c r="AF788" s="549" t="s">
        <v>308</v>
      </c>
      <c r="AG788" s="552">
        <f t="shared" si="13"/>
        <v>0</v>
      </c>
      <c r="AH788" s="549" t="s">
        <v>2671</v>
      </c>
      <c r="AI788" s="549" t="s">
        <v>1214</v>
      </c>
      <c r="AJ788" s="549" t="s">
        <v>2549</v>
      </c>
      <c r="AK788" s="549" t="s">
        <v>2672</v>
      </c>
      <c r="AL788" s="551" t="s">
        <v>2692</v>
      </c>
      <c r="AM788" s="549" t="s">
        <v>2674</v>
      </c>
    </row>
    <row r="789" spans="1:39" ht="22.8">
      <c r="A789" s="549" t="s">
        <v>1810</v>
      </c>
      <c r="B789" s="549"/>
      <c r="C789" s="549" t="s">
        <v>1481</v>
      </c>
      <c r="D789" s="549" t="s">
        <v>1989</v>
      </c>
      <c r="E789" s="550" t="s">
        <v>1218</v>
      </c>
      <c r="F789" s="550" t="s">
        <v>295</v>
      </c>
      <c r="G789" s="549" t="s">
        <v>1988</v>
      </c>
      <c r="H789" s="549" t="s">
        <v>1983</v>
      </c>
      <c r="I789" s="549" t="s">
        <v>2669</v>
      </c>
      <c r="J789" s="549" t="s">
        <v>2746</v>
      </c>
      <c r="K789" s="549" t="s">
        <v>1840</v>
      </c>
      <c r="L789" s="549" t="s">
        <v>1987</v>
      </c>
      <c r="M789" s="549" t="s">
        <v>1986</v>
      </c>
      <c r="N789" s="549" t="s">
        <v>1812</v>
      </c>
      <c r="O789" s="549" t="s">
        <v>1980</v>
      </c>
      <c r="P789" s="549" t="s">
        <v>1979</v>
      </c>
      <c r="Q789" s="549" t="s">
        <v>95</v>
      </c>
      <c r="R789" s="549" t="s">
        <v>1977</v>
      </c>
      <c r="S789" s="549" t="s">
        <v>1842</v>
      </c>
      <c r="T789" s="549" t="s">
        <v>1827</v>
      </c>
      <c r="U789" s="550" t="s">
        <v>1976</v>
      </c>
      <c r="V789" s="549" t="s">
        <v>1843</v>
      </c>
      <c r="W789" s="551"/>
      <c r="X789" s="550" t="s">
        <v>2887</v>
      </c>
      <c r="Y789" s="550" t="s">
        <v>2887</v>
      </c>
      <c r="Z789" s="550" t="s">
        <v>170</v>
      </c>
      <c r="AA789" s="549" t="s">
        <v>1218</v>
      </c>
      <c r="AB789" s="552">
        <f>ROUND(30.41,2)</f>
        <v>30.41</v>
      </c>
      <c r="AC789" s="549" t="s">
        <v>308</v>
      </c>
      <c r="AD789" s="549"/>
      <c r="AE789" s="552">
        <f>ROUND(70.29,2)</f>
        <v>70.290000000000006</v>
      </c>
      <c r="AF789" s="549" t="s">
        <v>308</v>
      </c>
      <c r="AG789" s="552">
        <f t="shared" si="13"/>
        <v>0</v>
      </c>
      <c r="AH789" s="549" t="s">
        <v>2671</v>
      </c>
      <c r="AI789" s="549" t="s">
        <v>1214</v>
      </c>
      <c r="AJ789" s="549" t="s">
        <v>2548</v>
      </c>
      <c r="AK789" s="549" t="s">
        <v>2672</v>
      </c>
      <c r="AL789" s="551" t="s">
        <v>2673</v>
      </c>
      <c r="AM789" s="549" t="s">
        <v>2674</v>
      </c>
    </row>
    <row r="790" spans="1:39" ht="22.8">
      <c r="A790" s="549" t="s">
        <v>1810</v>
      </c>
      <c r="B790" s="549"/>
      <c r="C790" s="549" t="s">
        <v>1481</v>
      </c>
      <c r="D790" s="549" t="s">
        <v>1989</v>
      </c>
      <c r="E790" s="550" t="s">
        <v>1218</v>
      </c>
      <c r="F790" s="550" t="s">
        <v>295</v>
      </c>
      <c r="G790" s="549" t="s">
        <v>1988</v>
      </c>
      <c r="H790" s="549" t="s">
        <v>1983</v>
      </c>
      <c r="I790" s="549" t="s">
        <v>2669</v>
      </c>
      <c r="J790" s="549" t="s">
        <v>2746</v>
      </c>
      <c r="K790" s="549" t="s">
        <v>1840</v>
      </c>
      <c r="L790" s="549" t="s">
        <v>1987</v>
      </c>
      <c r="M790" s="549" t="s">
        <v>1986</v>
      </c>
      <c r="N790" s="549" t="s">
        <v>1812</v>
      </c>
      <c r="O790" s="549" t="s">
        <v>1980</v>
      </c>
      <c r="P790" s="549" t="s">
        <v>2675</v>
      </c>
      <c r="Q790" s="549" t="s">
        <v>2676</v>
      </c>
      <c r="R790" s="549" t="s">
        <v>2677</v>
      </c>
      <c r="S790" s="549" t="s">
        <v>2676</v>
      </c>
      <c r="T790" s="549" t="s">
        <v>1827</v>
      </c>
      <c r="U790" s="550" t="s">
        <v>1824</v>
      </c>
      <c r="V790" s="549" t="s">
        <v>1843</v>
      </c>
      <c r="W790" s="551"/>
      <c r="X790" s="550" t="s">
        <v>2887</v>
      </c>
      <c r="Y790" s="550" t="s">
        <v>2887</v>
      </c>
      <c r="Z790" s="550" t="s">
        <v>170</v>
      </c>
      <c r="AA790" s="549" t="s">
        <v>1218</v>
      </c>
      <c r="AB790" s="552">
        <f>ROUND(37,2)</f>
        <v>37</v>
      </c>
      <c r="AC790" s="549" t="s">
        <v>2678</v>
      </c>
      <c r="AD790" s="549"/>
      <c r="AE790" s="552">
        <f>ROUND(1000,2)</f>
        <v>1000</v>
      </c>
      <c r="AF790" s="549" t="s">
        <v>2679</v>
      </c>
      <c r="AG790" s="552">
        <f t="shared" si="13"/>
        <v>0</v>
      </c>
      <c r="AH790" s="549" t="s">
        <v>2671</v>
      </c>
      <c r="AI790" s="549" t="s">
        <v>1214</v>
      </c>
      <c r="AJ790" s="549" t="s">
        <v>2550</v>
      </c>
      <c r="AK790" s="549" t="s">
        <v>2672</v>
      </c>
      <c r="AL790" s="551" t="s">
        <v>2888</v>
      </c>
      <c r="AM790" s="549" t="s">
        <v>2674</v>
      </c>
    </row>
    <row r="791" spans="1:39" ht="22.8">
      <c r="A791" s="549" t="s">
        <v>1810</v>
      </c>
      <c r="B791" s="549"/>
      <c r="C791" s="549" t="s">
        <v>1481</v>
      </c>
      <c r="D791" s="549" t="s">
        <v>1989</v>
      </c>
      <c r="E791" s="550" t="s">
        <v>1218</v>
      </c>
      <c r="F791" s="550" t="s">
        <v>295</v>
      </c>
      <c r="G791" s="549" t="s">
        <v>1988</v>
      </c>
      <c r="H791" s="549" t="s">
        <v>1983</v>
      </c>
      <c r="I791" s="549" t="s">
        <v>2669</v>
      </c>
      <c r="J791" s="549" t="s">
        <v>2746</v>
      </c>
      <c r="K791" s="549" t="s">
        <v>1840</v>
      </c>
      <c r="L791" s="549" t="s">
        <v>1987</v>
      </c>
      <c r="M791" s="549" t="s">
        <v>1986</v>
      </c>
      <c r="N791" s="549" t="s">
        <v>1812</v>
      </c>
      <c r="O791" s="549" t="s">
        <v>1980</v>
      </c>
      <c r="P791" s="549" t="s">
        <v>1979</v>
      </c>
      <c r="Q791" s="549" t="s">
        <v>1978</v>
      </c>
      <c r="R791" s="549" t="s">
        <v>1977</v>
      </c>
      <c r="S791" s="549" t="s">
        <v>1826</v>
      </c>
      <c r="T791" s="549" t="s">
        <v>1827</v>
      </c>
      <c r="U791" s="550" t="s">
        <v>1976</v>
      </c>
      <c r="V791" s="549" t="s">
        <v>1843</v>
      </c>
      <c r="W791" s="551"/>
      <c r="X791" s="550" t="s">
        <v>2887</v>
      </c>
      <c r="Y791" s="550" t="s">
        <v>2887</v>
      </c>
      <c r="Z791" s="550" t="s">
        <v>170</v>
      </c>
      <c r="AA791" s="549" t="s">
        <v>1218</v>
      </c>
      <c r="AB791" s="552">
        <f>ROUND(383.66,2)</f>
        <v>383.66</v>
      </c>
      <c r="AC791" s="549" t="s">
        <v>308</v>
      </c>
      <c r="AD791" s="549"/>
      <c r="AE791" s="552">
        <f>ROUND(1747.8,2)</f>
        <v>1747.8</v>
      </c>
      <c r="AF791" s="549" t="s">
        <v>308</v>
      </c>
      <c r="AG791" s="552">
        <f t="shared" si="13"/>
        <v>0</v>
      </c>
      <c r="AH791" s="549" t="s">
        <v>2671</v>
      </c>
      <c r="AI791" s="549" t="s">
        <v>1214</v>
      </c>
      <c r="AJ791" s="549" t="s">
        <v>2549</v>
      </c>
      <c r="AK791" s="549" t="s">
        <v>2672</v>
      </c>
      <c r="AL791" s="551" t="s">
        <v>2696</v>
      </c>
      <c r="AM791" s="549" t="s">
        <v>2674</v>
      </c>
    </row>
    <row r="792" spans="1:39">
      <c r="A792" s="549" t="s">
        <v>1810</v>
      </c>
      <c r="B792" s="549"/>
      <c r="C792" s="549" t="s">
        <v>1478</v>
      </c>
      <c r="D792" s="549" t="s">
        <v>1985</v>
      </c>
      <c r="E792" s="550" t="s">
        <v>1218</v>
      </c>
      <c r="F792" s="550" t="s">
        <v>205</v>
      </c>
      <c r="G792" s="549" t="s">
        <v>1984</v>
      </c>
      <c r="H792" s="549" t="s">
        <v>1983</v>
      </c>
      <c r="I792" s="549" t="s">
        <v>2669</v>
      </c>
      <c r="J792" s="549" t="s">
        <v>2703</v>
      </c>
      <c r="K792" s="549" t="s">
        <v>1814</v>
      </c>
      <c r="L792" s="549" t="s">
        <v>1982</v>
      </c>
      <c r="M792" s="549" t="s">
        <v>1981</v>
      </c>
      <c r="N792" s="549" t="s">
        <v>1812</v>
      </c>
      <c r="O792" s="549" t="s">
        <v>1980</v>
      </c>
      <c r="P792" s="549" t="s">
        <v>1979</v>
      </c>
      <c r="Q792" s="549" t="s">
        <v>95</v>
      </c>
      <c r="R792" s="549" t="s">
        <v>1977</v>
      </c>
      <c r="S792" s="549" t="s">
        <v>1842</v>
      </c>
      <c r="T792" s="549" t="s">
        <v>1827</v>
      </c>
      <c r="U792" s="550" t="s">
        <v>1976</v>
      </c>
      <c r="V792" s="549" t="s">
        <v>1119</v>
      </c>
      <c r="W792" s="551"/>
      <c r="X792" s="550" t="s">
        <v>1824</v>
      </c>
      <c r="Y792" s="550" t="s">
        <v>1824</v>
      </c>
      <c r="Z792" s="550" t="s">
        <v>170</v>
      </c>
      <c r="AA792" s="549" t="s">
        <v>1218</v>
      </c>
      <c r="AB792" s="552">
        <f>ROUND(0,2)</f>
        <v>0</v>
      </c>
      <c r="AC792" s="549" t="s">
        <v>308</v>
      </c>
      <c r="AD792" s="549"/>
      <c r="AE792" s="552">
        <f>ROUND(36.23,2)</f>
        <v>36.229999999999997</v>
      </c>
      <c r="AF792" s="549" t="s">
        <v>308</v>
      </c>
      <c r="AG792" s="552">
        <f t="shared" si="13"/>
        <v>0</v>
      </c>
      <c r="AH792" s="549" t="s">
        <v>2671</v>
      </c>
      <c r="AI792" s="549" t="s">
        <v>1214</v>
      </c>
      <c r="AJ792" s="549"/>
      <c r="AK792" s="549"/>
      <c r="AL792" s="551"/>
      <c r="AM792" s="549"/>
    </row>
    <row r="793" spans="1:39" ht="22.8">
      <c r="A793" s="549" t="s">
        <v>1810</v>
      </c>
      <c r="B793" s="549"/>
      <c r="C793" s="549" t="s">
        <v>1478</v>
      </c>
      <c r="D793" s="549" t="s">
        <v>1985</v>
      </c>
      <c r="E793" s="550" t="s">
        <v>1218</v>
      </c>
      <c r="F793" s="550" t="s">
        <v>205</v>
      </c>
      <c r="G793" s="549" t="s">
        <v>1984</v>
      </c>
      <c r="H793" s="549" t="s">
        <v>1983</v>
      </c>
      <c r="I793" s="549" t="s">
        <v>2669</v>
      </c>
      <c r="J793" s="549" t="s">
        <v>2703</v>
      </c>
      <c r="K793" s="549" t="s">
        <v>1814</v>
      </c>
      <c r="L793" s="549" t="s">
        <v>1982</v>
      </c>
      <c r="M793" s="549" t="s">
        <v>1981</v>
      </c>
      <c r="N793" s="549" t="s">
        <v>1812</v>
      </c>
      <c r="O793" s="549" t="s">
        <v>1980</v>
      </c>
      <c r="P793" s="549" t="s">
        <v>2675</v>
      </c>
      <c r="Q793" s="549" t="s">
        <v>2676</v>
      </c>
      <c r="R793" s="549" t="s">
        <v>2677</v>
      </c>
      <c r="S793" s="549" t="s">
        <v>2676</v>
      </c>
      <c r="T793" s="549" t="s">
        <v>1827</v>
      </c>
      <c r="U793" s="550" t="s">
        <v>1824</v>
      </c>
      <c r="V793" s="549" t="s">
        <v>1843</v>
      </c>
      <c r="W793" s="551"/>
      <c r="X793" s="550" t="s">
        <v>1824</v>
      </c>
      <c r="Y793" s="550" t="s">
        <v>1824</v>
      </c>
      <c r="Z793" s="550" t="s">
        <v>170</v>
      </c>
      <c r="AA793" s="549" t="s">
        <v>1218</v>
      </c>
      <c r="AB793" s="552">
        <f>ROUND(281.24,2)</f>
        <v>281.24</v>
      </c>
      <c r="AC793" s="549" t="s">
        <v>2678</v>
      </c>
      <c r="AD793" s="549"/>
      <c r="AE793" s="552">
        <f>ROUND(1000,2)</f>
        <v>1000</v>
      </c>
      <c r="AF793" s="549" t="s">
        <v>2679</v>
      </c>
      <c r="AG793" s="552">
        <f t="shared" si="13"/>
        <v>0</v>
      </c>
      <c r="AH793" s="549" t="s">
        <v>2671</v>
      </c>
      <c r="AI793" s="549" t="s">
        <v>1214</v>
      </c>
      <c r="AJ793" s="549" t="s">
        <v>2550</v>
      </c>
      <c r="AK793" s="549" t="s">
        <v>2672</v>
      </c>
      <c r="AL793" s="551" t="s">
        <v>2889</v>
      </c>
      <c r="AM793" s="549" t="s">
        <v>2674</v>
      </c>
    </row>
    <row r="794" spans="1:39" ht="22.8">
      <c r="A794" s="549" t="s">
        <v>1810</v>
      </c>
      <c r="B794" s="549"/>
      <c r="C794" s="549" t="s">
        <v>1478</v>
      </c>
      <c r="D794" s="549" t="s">
        <v>1985</v>
      </c>
      <c r="E794" s="550" t="s">
        <v>1218</v>
      </c>
      <c r="F794" s="550" t="s">
        <v>205</v>
      </c>
      <c r="G794" s="549" t="s">
        <v>1984</v>
      </c>
      <c r="H794" s="549" t="s">
        <v>1983</v>
      </c>
      <c r="I794" s="549" t="s">
        <v>2669</v>
      </c>
      <c r="J794" s="549" t="s">
        <v>2703</v>
      </c>
      <c r="K794" s="549" t="s">
        <v>1814</v>
      </c>
      <c r="L794" s="549" t="s">
        <v>1982</v>
      </c>
      <c r="M794" s="549" t="s">
        <v>1981</v>
      </c>
      <c r="N794" s="549" t="s">
        <v>1812</v>
      </c>
      <c r="O794" s="549" t="s">
        <v>1980</v>
      </c>
      <c r="P794" s="549" t="s">
        <v>1979</v>
      </c>
      <c r="Q794" s="549" t="s">
        <v>1978</v>
      </c>
      <c r="R794" s="549" t="s">
        <v>1977</v>
      </c>
      <c r="S794" s="549" t="s">
        <v>1826</v>
      </c>
      <c r="T794" s="549" t="s">
        <v>1827</v>
      </c>
      <c r="U794" s="550" t="s">
        <v>1976</v>
      </c>
      <c r="V794" s="549" t="s">
        <v>1843</v>
      </c>
      <c r="W794" s="551"/>
      <c r="X794" s="550" t="s">
        <v>1824</v>
      </c>
      <c r="Y794" s="550" t="s">
        <v>1824</v>
      </c>
      <c r="Z794" s="550" t="s">
        <v>170</v>
      </c>
      <c r="AA794" s="549" t="s">
        <v>1218</v>
      </c>
      <c r="AB794" s="552">
        <f>ROUND(603.2,2)</f>
        <v>603.20000000000005</v>
      </c>
      <c r="AC794" s="549" t="s">
        <v>308</v>
      </c>
      <c r="AD794" s="549"/>
      <c r="AE794" s="552">
        <f>ROUND(1528.26,2)</f>
        <v>1528.26</v>
      </c>
      <c r="AF794" s="549" t="s">
        <v>308</v>
      </c>
      <c r="AG794" s="552">
        <f t="shared" si="13"/>
        <v>0</v>
      </c>
      <c r="AH794" s="549" t="s">
        <v>2671</v>
      </c>
      <c r="AI794" s="549" t="s">
        <v>1214</v>
      </c>
      <c r="AJ794" s="549" t="s">
        <v>2549</v>
      </c>
      <c r="AK794" s="549" t="s">
        <v>2672</v>
      </c>
      <c r="AL794" s="551" t="s">
        <v>2702</v>
      </c>
      <c r="AM794" s="549" t="s">
        <v>2674</v>
      </c>
    </row>
    <row r="795" spans="1:39">
      <c r="A795" s="549" t="s">
        <v>1810</v>
      </c>
      <c r="B795" s="549"/>
      <c r="C795" s="549" t="s">
        <v>2459</v>
      </c>
      <c r="D795" s="549" t="s">
        <v>2890</v>
      </c>
      <c r="E795" s="550" t="s">
        <v>1218</v>
      </c>
      <c r="F795" s="550" t="s">
        <v>2824</v>
      </c>
      <c r="G795" s="549" t="s">
        <v>2891</v>
      </c>
      <c r="H795" s="549" t="s">
        <v>1983</v>
      </c>
      <c r="I795" s="549" t="s">
        <v>2669</v>
      </c>
      <c r="J795" s="549" t="s">
        <v>2714</v>
      </c>
      <c r="K795" s="549" t="s">
        <v>1821</v>
      </c>
      <c r="L795" s="549" t="s">
        <v>1994</v>
      </c>
      <c r="M795" s="549" t="s">
        <v>1981</v>
      </c>
      <c r="N795" s="549" t="s">
        <v>1812</v>
      </c>
      <c r="O795" s="549" t="s">
        <v>1980</v>
      </c>
      <c r="P795" s="549" t="s">
        <v>1979</v>
      </c>
      <c r="Q795" s="549" t="s">
        <v>95</v>
      </c>
      <c r="R795" s="549" t="s">
        <v>1977</v>
      </c>
      <c r="S795" s="549" t="s">
        <v>1842</v>
      </c>
      <c r="T795" s="549" t="s">
        <v>1827</v>
      </c>
      <c r="U795" s="550" t="s">
        <v>1976</v>
      </c>
      <c r="V795" s="549" t="s">
        <v>1119</v>
      </c>
      <c r="W795" s="551"/>
      <c r="X795" s="550" t="s">
        <v>2789</v>
      </c>
      <c r="Y795" s="550" t="s">
        <v>2789</v>
      </c>
      <c r="Z795" s="550" t="s">
        <v>170</v>
      </c>
      <c r="AA795" s="549" t="s">
        <v>1218</v>
      </c>
      <c r="AB795" s="552">
        <f>ROUND(0,2)</f>
        <v>0</v>
      </c>
      <c r="AC795" s="549" t="s">
        <v>308</v>
      </c>
      <c r="AD795" s="549"/>
      <c r="AE795" s="552">
        <f>ROUND(36.23,2)</f>
        <v>36.229999999999997</v>
      </c>
      <c r="AF795" s="549" t="s">
        <v>308</v>
      </c>
      <c r="AG795" s="552">
        <f t="shared" si="13"/>
        <v>0</v>
      </c>
      <c r="AH795" s="549" t="s">
        <v>2671</v>
      </c>
      <c r="AI795" s="549" t="s">
        <v>1214</v>
      </c>
      <c r="AJ795" s="549"/>
      <c r="AK795" s="549"/>
      <c r="AL795" s="551"/>
      <c r="AM795" s="549"/>
    </row>
    <row r="796" spans="1:39" ht="22.8">
      <c r="A796" s="549" t="s">
        <v>1810</v>
      </c>
      <c r="B796" s="549"/>
      <c r="C796" s="549" t="s">
        <v>2459</v>
      </c>
      <c r="D796" s="549" t="s">
        <v>2890</v>
      </c>
      <c r="E796" s="550" t="s">
        <v>1218</v>
      </c>
      <c r="F796" s="550" t="s">
        <v>2824</v>
      </c>
      <c r="G796" s="549" t="s">
        <v>2891</v>
      </c>
      <c r="H796" s="549" t="s">
        <v>1983</v>
      </c>
      <c r="I796" s="549" t="s">
        <v>2669</v>
      </c>
      <c r="J796" s="549" t="s">
        <v>2714</v>
      </c>
      <c r="K796" s="549" t="s">
        <v>1821</v>
      </c>
      <c r="L796" s="549" t="s">
        <v>1994</v>
      </c>
      <c r="M796" s="549" t="s">
        <v>1981</v>
      </c>
      <c r="N796" s="549" t="s">
        <v>1812</v>
      </c>
      <c r="O796" s="549" t="s">
        <v>1980</v>
      </c>
      <c r="P796" s="549" t="s">
        <v>2675</v>
      </c>
      <c r="Q796" s="549" t="s">
        <v>2676</v>
      </c>
      <c r="R796" s="549" t="s">
        <v>2677</v>
      </c>
      <c r="S796" s="549" t="s">
        <v>2676</v>
      </c>
      <c r="T796" s="549" t="s">
        <v>1827</v>
      </c>
      <c r="U796" s="550" t="s">
        <v>1824</v>
      </c>
      <c r="V796" s="549" t="s">
        <v>1119</v>
      </c>
      <c r="W796" s="551"/>
      <c r="X796" s="550" t="s">
        <v>2789</v>
      </c>
      <c r="Y796" s="550" t="s">
        <v>2789</v>
      </c>
      <c r="Z796" s="550" t="s">
        <v>170</v>
      </c>
      <c r="AA796" s="549" t="s">
        <v>1218</v>
      </c>
      <c r="AB796" s="552">
        <f>ROUND(100,2)</f>
        <v>100</v>
      </c>
      <c r="AC796" s="549" t="s">
        <v>2678</v>
      </c>
      <c r="AD796" s="549"/>
      <c r="AE796" s="552">
        <f>ROUND(500.05,2)</f>
        <v>500.05</v>
      </c>
      <c r="AF796" s="549" t="s">
        <v>2679</v>
      </c>
      <c r="AG796" s="552">
        <f t="shared" si="13"/>
        <v>0</v>
      </c>
      <c r="AH796" s="549" t="s">
        <v>2671</v>
      </c>
      <c r="AI796" s="549" t="s">
        <v>1214</v>
      </c>
      <c r="AJ796" s="549" t="s">
        <v>2550</v>
      </c>
      <c r="AK796" s="549" t="s">
        <v>2672</v>
      </c>
      <c r="AL796" s="551" t="s">
        <v>2691</v>
      </c>
      <c r="AM796" s="549" t="s">
        <v>2674</v>
      </c>
    </row>
    <row r="797" spans="1:39" ht="22.8">
      <c r="A797" s="549" t="s">
        <v>1810</v>
      </c>
      <c r="B797" s="549"/>
      <c r="C797" s="549" t="s">
        <v>2459</v>
      </c>
      <c r="D797" s="549" t="s">
        <v>2890</v>
      </c>
      <c r="E797" s="550" t="s">
        <v>1218</v>
      </c>
      <c r="F797" s="550" t="s">
        <v>2824</v>
      </c>
      <c r="G797" s="549" t="s">
        <v>2891</v>
      </c>
      <c r="H797" s="549" t="s">
        <v>1983</v>
      </c>
      <c r="I797" s="549" t="s">
        <v>2669</v>
      </c>
      <c r="J797" s="549" t="s">
        <v>2714</v>
      </c>
      <c r="K797" s="549" t="s">
        <v>1821</v>
      </c>
      <c r="L797" s="549" t="s">
        <v>1994</v>
      </c>
      <c r="M797" s="549" t="s">
        <v>1981</v>
      </c>
      <c r="N797" s="549" t="s">
        <v>1812</v>
      </c>
      <c r="O797" s="549" t="s">
        <v>1980</v>
      </c>
      <c r="P797" s="549" t="s">
        <v>1979</v>
      </c>
      <c r="Q797" s="549" t="s">
        <v>1978</v>
      </c>
      <c r="R797" s="549" t="s">
        <v>1977</v>
      </c>
      <c r="S797" s="549" t="s">
        <v>1826</v>
      </c>
      <c r="T797" s="549" t="s">
        <v>1827</v>
      </c>
      <c r="U797" s="550" t="s">
        <v>1976</v>
      </c>
      <c r="V797" s="549" t="s">
        <v>1119</v>
      </c>
      <c r="W797" s="551"/>
      <c r="X797" s="550" t="s">
        <v>2789</v>
      </c>
      <c r="Y797" s="550" t="s">
        <v>2789</v>
      </c>
      <c r="Z797" s="550" t="s">
        <v>170</v>
      </c>
      <c r="AA797" s="549" t="s">
        <v>1218</v>
      </c>
      <c r="AB797" s="552">
        <f>ROUND(29.05,2)</f>
        <v>29.05</v>
      </c>
      <c r="AC797" s="549" t="s">
        <v>308</v>
      </c>
      <c r="AD797" s="549"/>
      <c r="AE797" s="552">
        <f>ROUND(825.23,2)</f>
        <v>825.23</v>
      </c>
      <c r="AF797" s="549" t="s">
        <v>308</v>
      </c>
      <c r="AG797" s="552">
        <f t="shared" si="13"/>
        <v>0</v>
      </c>
      <c r="AH797" s="549" t="s">
        <v>2671</v>
      </c>
      <c r="AI797" s="549" t="s">
        <v>1214</v>
      </c>
      <c r="AJ797" s="549" t="s">
        <v>2549</v>
      </c>
      <c r="AK797" s="549" t="s">
        <v>2672</v>
      </c>
      <c r="AL797" s="551" t="s">
        <v>2692</v>
      </c>
      <c r="AM797" s="549" t="s">
        <v>2674</v>
      </c>
    </row>
    <row r="798" spans="1:39">
      <c r="A798" s="553"/>
      <c r="B798" s="553"/>
      <c r="C798" s="553"/>
      <c r="D798" s="553"/>
      <c r="E798" s="554"/>
      <c r="F798" s="554"/>
      <c r="G798" s="553"/>
      <c r="H798" s="553"/>
      <c r="I798" s="553"/>
      <c r="J798" s="553"/>
      <c r="K798" s="553"/>
      <c r="L798" s="553"/>
      <c r="M798" s="553"/>
      <c r="N798" s="553"/>
      <c r="O798" s="553"/>
      <c r="P798" s="553"/>
      <c r="Q798" s="553"/>
      <c r="R798" s="553"/>
      <c r="S798" s="553"/>
      <c r="T798" s="553"/>
      <c r="U798" s="554"/>
      <c r="V798" s="553"/>
      <c r="W798" s="555"/>
      <c r="X798" s="554"/>
      <c r="Y798" s="554"/>
      <c r="Z798" s="554"/>
      <c r="AA798" s="553"/>
      <c r="AB798" s="555"/>
      <c r="AC798" s="553"/>
      <c r="AD798" s="553"/>
      <c r="AE798" s="555"/>
      <c r="AF798" s="553"/>
      <c r="AG798" s="555"/>
      <c r="AH798" s="553"/>
      <c r="AI798" s="553"/>
      <c r="AJ798" s="553"/>
      <c r="AK798" s="553"/>
      <c r="AL798" s="555"/>
      <c r="AM798" s="553"/>
    </row>
  </sheetData>
  <autoFilter ref="A1:AM797" xr:uid="{457356FF-6EF4-4DF1-AECE-B88F4C25A793}"/>
  <conditionalFormatting sqref="C164:C166">
    <cfRule type="cellIs" dxfId="2" priority="1" operator="equal">
      <formula>0</formula>
    </cfRule>
  </conditionalFormatting>
  <pageMargins left="0.25" right="0.25" top="0.75" bottom="0.75" header="0.25" footer="0.2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M3819"/>
  <sheetViews>
    <sheetView topLeftCell="A371" zoomScaleNormal="100" workbookViewId="0">
      <selection activeCell="C371" sqref="C1:C1048576"/>
    </sheetView>
  </sheetViews>
  <sheetFormatPr defaultColWidth="7.08984375" defaultRowHeight="15.6"/>
  <cols>
    <col min="1" max="2" width="16" customWidth="1"/>
    <col min="3" max="3" width="19.1796875" customWidth="1"/>
    <col min="4" max="5" width="21.36328125" customWidth="1"/>
    <col min="6" max="7" width="16" customWidth="1"/>
    <col min="8" max="8" width="10.6328125" customWidth="1"/>
    <col min="9" max="9" width="21.36328125" customWidth="1"/>
    <col min="10" max="11" width="16" customWidth="1"/>
    <col min="12" max="16384" width="7.08984375" style="370"/>
  </cols>
  <sheetData>
    <row r="1" spans="1:13" customFormat="1" ht="43.2" customHeight="1">
      <c r="A1" s="543" t="s">
        <v>1800</v>
      </c>
      <c r="B1" s="544" t="s">
        <v>1801</v>
      </c>
      <c r="C1" s="544"/>
      <c r="D1" s="544" t="s">
        <v>1804</v>
      </c>
      <c r="E1" s="544" t="s">
        <v>1805</v>
      </c>
      <c r="F1" s="544" t="s">
        <v>2605</v>
      </c>
      <c r="G1" s="544" t="s">
        <v>2606</v>
      </c>
      <c r="H1" s="545" t="s">
        <v>2607</v>
      </c>
      <c r="I1" s="544" t="s">
        <v>2608</v>
      </c>
      <c r="J1" s="544" t="s">
        <v>2609</v>
      </c>
      <c r="K1" s="546" t="s">
        <v>2610</v>
      </c>
      <c r="L1">
        <v>0</v>
      </c>
      <c r="M1" t="e">
        <f>AVERAGEIF($F:$F,"Dental ER 125",$G:$G)</f>
        <v>#DIV/0!</v>
      </c>
    </row>
    <row r="2" spans="1:13" customFormat="1">
      <c r="A2" s="460" t="s">
        <v>1810</v>
      </c>
      <c r="B2" s="460" t="s">
        <v>2431</v>
      </c>
      <c r="C2" s="460"/>
      <c r="D2" s="460" t="s">
        <v>1816</v>
      </c>
      <c r="E2" s="460" t="s">
        <v>2611</v>
      </c>
      <c r="F2" s="460" t="s">
        <v>2612</v>
      </c>
      <c r="G2" s="460"/>
      <c r="H2" s="461"/>
      <c r="I2" s="460"/>
      <c r="J2" s="460"/>
      <c r="K2" s="460" t="s">
        <v>2613</v>
      </c>
    </row>
    <row r="3" spans="1:13" customFormat="1">
      <c r="A3" s="460" t="s">
        <v>1810</v>
      </c>
      <c r="B3" s="460" t="s">
        <v>1232</v>
      </c>
      <c r="C3" s="460"/>
      <c r="D3" s="460" t="s">
        <v>1811</v>
      </c>
      <c r="E3" s="460" t="s">
        <v>1812</v>
      </c>
      <c r="F3" s="460" t="s">
        <v>2612</v>
      </c>
      <c r="G3" s="460"/>
      <c r="H3" s="461"/>
      <c r="I3" s="460"/>
      <c r="J3" s="460"/>
      <c r="K3" s="460" t="s">
        <v>2613</v>
      </c>
    </row>
    <row r="4" spans="1:13" customFormat="1">
      <c r="A4" s="460" t="s">
        <v>1810</v>
      </c>
      <c r="B4" s="460" t="s">
        <v>1232</v>
      </c>
      <c r="C4" s="460"/>
      <c r="D4" s="460" t="s">
        <v>1811</v>
      </c>
      <c r="E4" s="460" t="s">
        <v>1812</v>
      </c>
      <c r="F4" s="460" t="s">
        <v>2614</v>
      </c>
      <c r="G4" s="460"/>
      <c r="H4" s="461" t="s">
        <v>2615</v>
      </c>
      <c r="I4" s="547">
        <f>ROUND(7,2)</f>
        <v>7</v>
      </c>
      <c r="J4" s="460" t="s">
        <v>2615</v>
      </c>
      <c r="K4" s="460" t="s">
        <v>2613</v>
      </c>
    </row>
    <row r="5" spans="1:13" customFormat="1">
      <c r="A5" s="460" t="s">
        <v>1810</v>
      </c>
      <c r="B5" s="460" t="s">
        <v>1232</v>
      </c>
      <c r="C5" s="460"/>
      <c r="D5" s="460" t="s">
        <v>1811</v>
      </c>
      <c r="E5" s="460" t="s">
        <v>1812</v>
      </c>
      <c r="F5" s="460" t="s">
        <v>2616</v>
      </c>
      <c r="G5" s="460"/>
      <c r="H5" s="461"/>
      <c r="I5" s="460"/>
      <c r="J5" s="460"/>
      <c r="K5" s="460" t="s">
        <v>2613</v>
      </c>
    </row>
    <row r="6" spans="1:13" customFormat="1">
      <c r="A6" s="460" t="s">
        <v>1810</v>
      </c>
      <c r="B6" s="460" t="s">
        <v>1232</v>
      </c>
      <c r="C6" s="460"/>
      <c r="D6" s="460" t="s">
        <v>1811</v>
      </c>
      <c r="E6" s="460" t="s">
        <v>1812</v>
      </c>
      <c r="F6" s="460" t="s">
        <v>2617</v>
      </c>
      <c r="G6" s="547">
        <f>ROUND(75,2)</f>
        <v>75</v>
      </c>
      <c r="H6" s="461"/>
      <c r="I6" s="547">
        <f>ROUND(75,2)</f>
        <v>75</v>
      </c>
      <c r="J6" s="460"/>
      <c r="K6" s="460" t="s">
        <v>2613</v>
      </c>
    </row>
    <row r="7" spans="1:13" customFormat="1">
      <c r="A7" s="460" t="s">
        <v>1810</v>
      </c>
      <c r="B7" s="460" t="s">
        <v>1232</v>
      </c>
      <c r="C7" s="460"/>
      <c r="D7" s="460" t="s">
        <v>1811</v>
      </c>
      <c r="E7" s="460" t="s">
        <v>1812</v>
      </c>
      <c r="F7" s="460" t="s">
        <v>2618</v>
      </c>
      <c r="G7" s="547">
        <f>ROUND(22.5,2)</f>
        <v>22.5</v>
      </c>
      <c r="H7" s="461"/>
      <c r="I7" s="547">
        <f>ROUND(22.5,2)</f>
        <v>22.5</v>
      </c>
      <c r="J7" s="460"/>
      <c r="K7" s="460" t="s">
        <v>2613</v>
      </c>
    </row>
    <row r="8" spans="1:13" customFormat="1" ht="22.8">
      <c r="A8" s="460" t="s">
        <v>1810</v>
      </c>
      <c r="B8" s="460" t="s">
        <v>1774</v>
      </c>
      <c r="C8" s="460"/>
      <c r="D8" s="460" t="s">
        <v>1813</v>
      </c>
      <c r="E8" s="460" t="s">
        <v>1812</v>
      </c>
      <c r="F8" s="460" t="s">
        <v>2612</v>
      </c>
      <c r="G8" s="460"/>
      <c r="H8" s="461"/>
      <c r="I8" s="460"/>
      <c r="J8" s="460"/>
      <c r="K8" s="460" t="s">
        <v>2613</v>
      </c>
    </row>
    <row r="9" spans="1:13" customFormat="1" ht="22.8">
      <c r="A9" s="460" t="s">
        <v>1810</v>
      </c>
      <c r="B9" s="460" t="s">
        <v>1774</v>
      </c>
      <c r="C9" s="460"/>
      <c r="D9" s="460" t="s">
        <v>1813</v>
      </c>
      <c r="E9" s="460" t="s">
        <v>1812</v>
      </c>
      <c r="F9" s="460" t="s">
        <v>2619</v>
      </c>
      <c r="G9" s="547">
        <f>ROUND(100,2)</f>
        <v>100</v>
      </c>
      <c r="H9" s="461"/>
      <c r="I9" s="547">
        <f>ROUND(100,2)</f>
        <v>100</v>
      </c>
      <c r="J9" s="460"/>
      <c r="K9" s="460" t="s">
        <v>2613</v>
      </c>
    </row>
    <row r="10" spans="1:13" customFormat="1" ht="22.8">
      <c r="A10" s="460" t="s">
        <v>1810</v>
      </c>
      <c r="B10" s="460" t="s">
        <v>1774</v>
      </c>
      <c r="C10" s="460"/>
      <c r="D10" s="460" t="s">
        <v>1813</v>
      </c>
      <c r="E10" s="460" t="s">
        <v>1812</v>
      </c>
      <c r="F10" s="460" t="s">
        <v>2614</v>
      </c>
      <c r="G10" s="460"/>
      <c r="H10" s="461" t="s">
        <v>2615</v>
      </c>
      <c r="I10" s="547">
        <f>ROUND(7,2)</f>
        <v>7</v>
      </c>
      <c r="J10" s="460" t="s">
        <v>2615</v>
      </c>
      <c r="K10" s="460" t="s">
        <v>2613</v>
      </c>
    </row>
    <row r="11" spans="1:13" customFormat="1" ht="22.8">
      <c r="A11" s="460" t="s">
        <v>1810</v>
      </c>
      <c r="B11" s="460" t="s">
        <v>1774</v>
      </c>
      <c r="C11" s="460"/>
      <c r="D11" s="460" t="s">
        <v>1813</v>
      </c>
      <c r="E11" s="460" t="s">
        <v>1812</v>
      </c>
      <c r="F11" s="460" t="s">
        <v>2620</v>
      </c>
      <c r="G11" s="547">
        <f>ROUND(10.22,2)</f>
        <v>10.220000000000001</v>
      </c>
      <c r="H11" s="461"/>
      <c r="I11" s="547">
        <f>ROUND(10.22,2)</f>
        <v>10.220000000000001</v>
      </c>
      <c r="J11" s="460"/>
      <c r="K11" s="460" t="s">
        <v>2613</v>
      </c>
    </row>
    <row r="12" spans="1:13" customFormat="1" ht="22.8">
      <c r="A12" s="460" t="s">
        <v>1810</v>
      </c>
      <c r="B12" s="460" t="s">
        <v>1774</v>
      </c>
      <c r="C12" s="460"/>
      <c r="D12" s="460" t="s">
        <v>1813</v>
      </c>
      <c r="E12" s="460" t="s">
        <v>1812</v>
      </c>
      <c r="F12" s="460" t="s">
        <v>2616</v>
      </c>
      <c r="G12" s="460"/>
      <c r="H12" s="461"/>
      <c r="I12" s="460"/>
      <c r="J12" s="460"/>
      <c r="K12" s="460" t="s">
        <v>2613</v>
      </c>
    </row>
    <row r="13" spans="1:13" customFormat="1">
      <c r="A13" s="460" t="s">
        <v>1810</v>
      </c>
      <c r="B13" s="460" t="s">
        <v>2924</v>
      </c>
      <c r="C13" s="460"/>
      <c r="D13" s="460" t="s">
        <v>1814</v>
      </c>
      <c r="E13" s="460" t="s">
        <v>1812</v>
      </c>
      <c r="F13" s="460" t="s">
        <v>2612</v>
      </c>
      <c r="G13" s="460"/>
      <c r="H13" s="461"/>
      <c r="I13" s="460"/>
      <c r="J13" s="460"/>
      <c r="K13" s="460" t="s">
        <v>2613</v>
      </c>
    </row>
    <row r="14" spans="1:13" customFormat="1">
      <c r="A14" s="460" t="s">
        <v>1810</v>
      </c>
      <c r="B14" s="460" t="s">
        <v>2924</v>
      </c>
      <c r="C14" s="460"/>
      <c r="D14" s="460" t="s">
        <v>1814</v>
      </c>
      <c r="E14" s="460" t="s">
        <v>1812</v>
      </c>
      <c r="F14" s="460" t="s">
        <v>2632</v>
      </c>
      <c r="G14" s="547">
        <f>ROUND(166.67,2)</f>
        <v>166.67</v>
      </c>
      <c r="H14" s="461"/>
      <c r="I14" s="547">
        <f>ROUND(166.67,2)</f>
        <v>166.67</v>
      </c>
      <c r="J14" s="460"/>
      <c r="K14" s="460" t="s">
        <v>2613</v>
      </c>
    </row>
    <row r="15" spans="1:13" customFormat="1">
      <c r="A15" s="460" t="s">
        <v>1810</v>
      </c>
      <c r="B15" s="460" t="s">
        <v>2924</v>
      </c>
      <c r="C15" s="460"/>
      <c r="D15" s="460" t="s">
        <v>1814</v>
      </c>
      <c r="E15" s="460" t="s">
        <v>1812</v>
      </c>
      <c r="F15" s="460" t="s">
        <v>2614</v>
      </c>
      <c r="G15" s="460"/>
      <c r="H15" s="461" t="s">
        <v>2615</v>
      </c>
      <c r="I15" s="547">
        <f>ROUND(7,2)</f>
        <v>7</v>
      </c>
      <c r="J15" s="460" t="s">
        <v>2615</v>
      </c>
      <c r="K15" s="460" t="s">
        <v>2613</v>
      </c>
    </row>
    <row r="16" spans="1:13" customFormat="1">
      <c r="A16" s="460" t="s">
        <v>1810</v>
      </c>
      <c r="B16" s="460" t="s">
        <v>2932</v>
      </c>
      <c r="C16" s="460"/>
      <c r="D16" s="460" t="s">
        <v>1816</v>
      </c>
      <c r="E16" s="460" t="s">
        <v>2611</v>
      </c>
      <c r="F16" s="460" t="s">
        <v>2612</v>
      </c>
      <c r="G16" s="460"/>
      <c r="H16" s="461"/>
      <c r="I16" s="460"/>
      <c r="J16" s="460"/>
      <c r="K16" s="460" t="s">
        <v>2613</v>
      </c>
    </row>
    <row r="17" spans="1:11" customFormat="1" ht="22.8">
      <c r="A17" s="460" t="s">
        <v>1810</v>
      </c>
      <c r="B17" s="460" t="s">
        <v>1582</v>
      </c>
      <c r="C17" s="460"/>
      <c r="D17" s="460" t="s">
        <v>1813</v>
      </c>
      <c r="E17" s="460" t="s">
        <v>2611</v>
      </c>
      <c r="F17" s="460" t="s">
        <v>2612</v>
      </c>
      <c r="G17" s="460"/>
      <c r="H17" s="461"/>
      <c r="I17" s="460"/>
      <c r="J17" s="460"/>
      <c r="K17" s="460" t="s">
        <v>2613</v>
      </c>
    </row>
    <row r="18" spans="1:11" customFormat="1" ht="22.8">
      <c r="A18" s="460" t="s">
        <v>1810</v>
      </c>
      <c r="B18" s="460" t="s">
        <v>1663</v>
      </c>
      <c r="C18" s="460"/>
      <c r="D18" s="460" t="s">
        <v>1815</v>
      </c>
      <c r="E18" s="460" t="s">
        <v>1812</v>
      </c>
      <c r="F18" s="460" t="s">
        <v>2614</v>
      </c>
      <c r="G18" s="460"/>
      <c r="H18" s="461" t="s">
        <v>2615</v>
      </c>
      <c r="I18" s="547">
        <f>ROUND(7,2)</f>
        <v>7</v>
      </c>
      <c r="J18" s="460" t="s">
        <v>2615</v>
      </c>
      <c r="K18" s="460" t="s">
        <v>2613</v>
      </c>
    </row>
    <row r="19" spans="1:11" customFormat="1" ht="22.8">
      <c r="A19" s="460" t="s">
        <v>1810</v>
      </c>
      <c r="B19" s="460" t="s">
        <v>1663</v>
      </c>
      <c r="C19" s="460"/>
      <c r="D19" s="460" t="s">
        <v>1815</v>
      </c>
      <c r="E19" s="460" t="s">
        <v>1812</v>
      </c>
      <c r="F19" s="460" t="s">
        <v>2612</v>
      </c>
      <c r="G19" s="460"/>
      <c r="H19" s="461"/>
      <c r="I19" s="460"/>
      <c r="J19" s="460"/>
      <c r="K19" s="460" t="s">
        <v>2613</v>
      </c>
    </row>
    <row r="20" spans="1:11" customFormat="1" ht="22.8">
      <c r="A20" s="460" t="s">
        <v>1810</v>
      </c>
      <c r="B20" s="460" t="s">
        <v>1663</v>
      </c>
      <c r="C20" s="460"/>
      <c r="D20" s="460" t="s">
        <v>1815</v>
      </c>
      <c r="E20" s="460" t="s">
        <v>1812</v>
      </c>
      <c r="F20" s="460" t="s">
        <v>2621</v>
      </c>
      <c r="G20" s="460"/>
      <c r="H20" s="461" t="s">
        <v>2622</v>
      </c>
      <c r="I20" s="547">
        <f>ROUND(5,2)</f>
        <v>5</v>
      </c>
      <c r="J20" s="460" t="s">
        <v>2622</v>
      </c>
      <c r="K20" s="460" t="s">
        <v>2613</v>
      </c>
    </row>
    <row r="21" spans="1:11" customFormat="1" ht="22.8">
      <c r="A21" s="460" t="s">
        <v>1810</v>
      </c>
      <c r="B21" s="460" t="s">
        <v>1663</v>
      </c>
      <c r="C21" s="460"/>
      <c r="D21" s="460" t="s">
        <v>1815</v>
      </c>
      <c r="E21" s="460" t="s">
        <v>1812</v>
      </c>
      <c r="F21" s="460" t="s">
        <v>2616</v>
      </c>
      <c r="G21" s="460"/>
      <c r="H21" s="461"/>
      <c r="I21" s="460"/>
      <c r="J21" s="460"/>
      <c r="K21" s="460" t="s">
        <v>2613</v>
      </c>
    </row>
    <row r="22" spans="1:11" customFormat="1">
      <c r="A22" s="460" t="s">
        <v>1810</v>
      </c>
      <c r="B22" s="460" t="s">
        <v>1680</v>
      </c>
      <c r="C22" s="460"/>
      <c r="D22" s="460" t="s">
        <v>1816</v>
      </c>
      <c r="E22" s="460" t="s">
        <v>2611</v>
      </c>
      <c r="F22" s="460" t="s">
        <v>2612</v>
      </c>
      <c r="G22" s="460"/>
      <c r="H22" s="461"/>
      <c r="I22" s="460"/>
      <c r="J22" s="460"/>
      <c r="K22" s="460" t="s">
        <v>2613</v>
      </c>
    </row>
    <row r="23" spans="1:11" customFormat="1">
      <c r="A23" s="460" t="s">
        <v>1810</v>
      </c>
      <c r="B23" s="460" t="s">
        <v>2567</v>
      </c>
      <c r="C23" s="460"/>
      <c r="D23" s="460" t="s">
        <v>1816</v>
      </c>
      <c r="E23" s="460" t="s">
        <v>2611</v>
      </c>
      <c r="F23" s="460" t="s">
        <v>2612</v>
      </c>
      <c r="G23" s="460"/>
      <c r="H23" s="461"/>
      <c r="I23" s="460"/>
      <c r="J23" s="460"/>
      <c r="K23" s="460" t="s">
        <v>2613</v>
      </c>
    </row>
    <row r="24" spans="1:11" customFormat="1">
      <c r="A24" s="460" t="s">
        <v>1810</v>
      </c>
      <c r="B24" s="460" t="s">
        <v>1777</v>
      </c>
      <c r="C24" s="460"/>
      <c r="D24" s="460" t="s">
        <v>1811</v>
      </c>
      <c r="E24" s="460" t="s">
        <v>1812</v>
      </c>
      <c r="F24" s="460" t="s">
        <v>2612</v>
      </c>
      <c r="G24" s="460"/>
      <c r="H24" s="461"/>
      <c r="I24" s="460"/>
      <c r="J24" s="460"/>
      <c r="K24" s="460" t="s">
        <v>2613</v>
      </c>
    </row>
    <row r="25" spans="1:11" customFormat="1">
      <c r="A25" s="460" t="s">
        <v>1810</v>
      </c>
      <c r="B25" s="460" t="s">
        <v>1777</v>
      </c>
      <c r="C25" s="460"/>
      <c r="D25" s="460" t="s">
        <v>1811</v>
      </c>
      <c r="E25" s="460" t="s">
        <v>1812</v>
      </c>
      <c r="F25" s="460" t="s">
        <v>2623</v>
      </c>
      <c r="G25" s="547">
        <f>ROUND(175,2)</f>
        <v>175</v>
      </c>
      <c r="H25" s="461"/>
      <c r="I25" s="547">
        <f>ROUND(175,2)</f>
        <v>175</v>
      </c>
      <c r="J25" s="460"/>
      <c r="K25" s="460" t="s">
        <v>2613</v>
      </c>
    </row>
    <row r="26" spans="1:11" customFormat="1">
      <c r="A26" s="460" t="s">
        <v>1810</v>
      </c>
      <c r="B26" s="460" t="s">
        <v>1777</v>
      </c>
      <c r="C26" s="460"/>
      <c r="D26" s="460" t="s">
        <v>1811</v>
      </c>
      <c r="E26" s="460" t="s">
        <v>1812</v>
      </c>
      <c r="F26" s="460" t="s">
        <v>2614</v>
      </c>
      <c r="G26" s="460"/>
      <c r="H26" s="461" t="s">
        <v>2615</v>
      </c>
      <c r="I26" s="547">
        <f>ROUND(7,2)</f>
        <v>7</v>
      </c>
      <c r="J26" s="460" t="s">
        <v>2615</v>
      </c>
      <c r="K26" s="460" t="s">
        <v>2613</v>
      </c>
    </row>
    <row r="27" spans="1:11" customFormat="1">
      <c r="A27" s="460" t="s">
        <v>1810</v>
      </c>
      <c r="B27" s="460" t="s">
        <v>1777</v>
      </c>
      <c r="C27" s="460"/>
      <c r="D27" s="460" t="s">
        <v>1811</v>
      </c>
      <c r="E27" s="460" t="s">
        <v>1812</v>
      </c>
      <c r="F27" s="460" t="s">
        <v>2616</v>
      </c>
      <c r="G27" s="460"/>
      <c r="H27" s="461"/>
      <c r="I27" s="460"/>
      <c r="J27" s="460"/>
      <c r="K27" s="460" t="s">
        <v>2613</v>
      </c>
    </row>
    <row r="28" spans="1:11" customFormat="1">
      <c r="A28" s="460" t="s">
        <v>1810</v>
      </c>
      <c r="B28" s="460" t="s">
        <v>1607</v>
      </c>
      <c r="C28" s="460"/>
      <c r="D28" s="460" t="s">
        <v>1816</v>
      </c>
      <c r="E28" s="460" t="s">
        <v>2611</v>
      </c>
      <c r="F28" s="460" t="s">
        <v>2612</v>
      </c>
      <c r="G28" s="460"/>
      <c r="H28" s="461"/>
      <c r="I28" s="460"/>
      <c r="J28" s="460"/>
      <c r="K28" s="460" t="s">
        <v>2613</v>
      </c>
    </row>
    <row r="29" spans="1:11" customFormat="1">
      <c r="A29" s="460" t="s">
        <v>1810</v>
      </c>
      <c r="B29" s="460" t="s">
        <v>2933</v>
      </c>
      <c r="C29" s="460"/>
      <c r="D29" s="460" t="s">
        <v>1816</v>
      </c>
      <c r="E29" s="460" t="s">
        <v>2611</v>
      </c>
      <c r="F29" s="460" t="s">
        <v>2619</v>
      </c>
      <c r="G29" s="460"/>
      <c r="H29" s="461"/>
      <c r="I29" s="460"/>
      <c r="J29" s="460"/>
      <c r="K29" s="460" t="s">
        <v>2613</v>
      </c>
    </row>
    <row r="30" spans="1:11" customFormat="1">
      <c r="A30" s="460" t="s">
        <v>1810</v>
      </c>
      <c r="B30" s="460" t="s">
        <v>1776</v>
      </c>
      <c r="C30" s="460"/>
      <c r="D30" s="460" t="s">
        <v>1811</v>
      </c>
      <c r="E30" s="460" t="s">
        <v>1812</v>
      </c>
      <c r="F30" s="460" t="s">
        <v>2612</v>
      </c>
      <c r="G30" s="460"/>
      <c r="H30" s="461"/>
      <c r="I30" s="460"/>
      <c r="J30" s="460"/>
      <c r="K30" s="460" t="s">
        <v>2613</v>
      </c>
    </row>
    <row r="31" spans="1:11" customFormat="1">
      <c r="A31" s="460" t="s">
        <v>1810</v>
      </c>
      <c r="B31" s="460" t="s">
        <v>1776</v>
      </c>
      <c r="C31" s="460"/>
      <c r="D31" s="460" t="s">
        <v>1811</v>
      </c>
      <c r="E31" s="460" t="s">
        <v>1812</v>
      </c>
      <c r="F31" s="460" t="s">
        <v>2614</v>
      </c>
      <c r="G31" s="460"/>
      <c r="H31" s="461" t="s">
        <v>2615</v>
      </c>
      <c r="I31" s="547">
        <f>ROUND(7,2)</f>
        <v>7</v>
      </c>
      <c r="J31" s="460" t="s">
        <v>2615</v>
      </c>
      <c r="K31" s="460" t="s">
        <v>2613</v>
      </c>
    </row>
    <row r="32" spans="1:11" customFormat="1">
      <c r="A32" s="460" t="s">
        <v>1810</v>
      </c>
      <c r="B32" s="460" t="s">
        <v>1776</v>
      </c>
      <c r="C32" s="460"/>
      <c r="D32" s="460" t="s">
        <v>1811</v>
      </c>
      <c r="E32" s="460" t="s">
        <v>1812</v>
      </c>
      <c r="F32" s="460" t="s">
        <v>2624</v>
      </c>
      <c r="G32" s="547">
        <f>ROUND(60,2)</f>
        <v>60</v>
      </c>
      <c r="H32" s="461"/>
      <c r="I32" s="547">
        <f>ROUND(60,2)</f>
        <v>60</v>
      </c>
      <c r="J32" s="460"/>
      <c r="K32" s="460" t="s">
        <v>2613</v>
      </c>
    </row>
    <row r="33" spans="1:11" customFormat="1">
      <c r="A33" s="460" t="s">
        <v>1810</v>
      </c>
      <c r="B33" s="460" t="s">
        <v>1776</v>
      </c>
      <c r="C33" s="460"/>
      <c r="D33" s="460" t="s">
        <v>1811</v>
      </c>
      <c r="E33" s="460" t="s">
        <v>1812</v>
      </c>
      <c r="F33" s="460" t="s">
        <v>2616</v>
      </c>
      <c r="G33" s="460"/>
      <c r="H33" s="461"/>
      <c r="I33" s="460"/>
      <c r="J33" s="460"/>
      <c r="K33" s="460" t="s">
        <v>2613</v>
      </c>
    </row>
    <row r="34" spans="1:11" customFormat="1">
      <c r="A34" s="460" t="s">
        <v>1810</v>
      </c>
      <c r="B34" s="460" t="s">
        <v>1776</v>
      </c>
      <c r="C34" s="460"/>
      <c r="D34" s="460" t="s">
        <v>1811</v>
      </c>
      <c r="E34" s="460" t="s">
        <v>1812</v>
      </c>
      <c r="F34" s="460" t="s">
        <v>2618</v>
      </c>
      <c r="G34" s="547">
        <f>ROUND(40,2)</f>
        <v>40</v>
      </c>
      <c r="H34" s="461"/>
      <c r="I34" s="547">
        <f>ROUND(40,2)</f>
        <v>40</v>
      </c>
      <c r="J34" s="460"/>
      <c r="K34" s="460" t="s">
        <v>2613</v>
      </c>
    </row>
    <row r="35" spans="1:11" customFormat="1">
      <c r="A35" s="460" t="s">
        <v>1810</v>
      </c>
      <c r="B35" s="460" t="s">
        <v>1776</v>
      </c>
      <c r="C35" s="460"/>
      <c r="D35" s="460" t="s">
        <v>1811</v>
      </c>
      <c r="E35" s="460" t="s">
        <v>1812</v>
      </c>
      <c r="F35" s="460" t="s">
        <v>2617</v>
      </c>
      <c r="G35" s="547">
        <f>ROUND(75,2)</f>
        <v>75</v>
      </c>
      <c r="H35" s="461"/>
      <c r="I35" s="547">
        <f>ROUND(75,2)</f>
        <v>75</v>
      </c>
      <c r="J35" s="460"/>
      <c r="K35" s="460" t="s">
        <v>2613</v>
      </c>
    </row>
    <row r="36" spans="1:11" customFormat="1">
      <c r="A36" s="460" t="s">
        <v>1810</v>
      </c>
      <c r="B36" s="460" t="s">
        <v>1775</v>
      </c>
      <c r="C36" s="460"/>
      <c r="D36" s="460" t="s">
        <v>1811</v>
      </c>
      <c r="E36" s="460" t="s">
        <v>1812</v>
      </c>
      <c r="F36" s="460" t="s">
        <v>2612</v>
      </c>
      <c r="G36" s="460"/>
      <c r="H36" s="461"/>
      <c r="I36" s="460"/>
      <c r="J36" s="460"/>
      <c r="K36" s="460" t="s">
        <v>2613</v>
      </c>
    </row>
    <row r="37" spans="1:11" customFormat="1">
      <c r="A37" s="460" t="s">
        <v>1810</v>
      </c>
      <c r="B37" s="460" t="s">
        <v>1775</v>
      </c>
      <c r="C37" s="460"/>
      <c r="D37" s="460" t="s">
        <v>1811</v>
      </c>
      <c r="E37" s="460" t="s">
        <v>1812</v>
      </c>
      <c r="F37" s="460" t="s">
        <v>2614</v>
      </c>
      <c r="G37" s="460"/>
      <c r="H37" s="461" t="s">
        <v>2615</v>
      </c>
      <c r="I37" s="547">
        <f>ROUND(7,2)</f>
        <v>7</v>
      </c>
      <c r="J37" s="460" t="s">
        <v>2615</v>
      </c>
      <c r="K37" s="460" t="s">
        <v>2613</v>
      </c>
    </row>
    <row r="38" spans="1:11" customFormat="1">
      <c r="A38" s="460" t="s">
        <v>1810</v>
      </c>
      <c r="B38" s="460" t="s">
        <v>1775</v>
      </c>
      <c r="C38" s="460"/>
      <c r="D38" s="460" t="s">
        <v>1811</v>
      </c>
      <c r="E38" s="460" t="s">
        <v>1812</v>
      </c>
      <c r="F38" s="460" t="s">
        <v>2616</v>
      </c>
      <c r="G38" s="460"/>
      <c r="H38" s="461"/>
      <c r="I38" s="460"/>
      <c r="J38" s="460"/>
      <c r="K38" s="460" t="s">
        <v>2613</v>
      </c>
    </row>
    <row r="39" spans="1:11" customFormat="1">
      <c r="A39" s="460" t="s">
        <v>1810</v>
      </c>
      <c r="B39" s="460" t="s">
        <v>1638</v>
      </c>
      <c r="C39" s="460"/>
      <c r="D39" s="460" t="s">
        <v>1816</v>
      </c>
      <c r="E39" s="460" t="s">
        <v>2611</v>
      </c>
      <c r="F39" s="460" t="s">
        <v>2612</v>
      </c>
      <c r="G39" s="460"/>
      <c r="H39" s="461"/>
      <c r="I39" s="460"/>
      <c r="J39" s="460"/>
      <c r="K39" s="460" t="s">
        <v>2613</v>
      </c>
    </row>
    <row r="40" spans="1:11" customFormat="1">
      <c r="A40" s="460" t="s">
        <v>1810</v>
      </c>
      <c r="B40" s="460" t="s">
        <v>2934</v>
      </c>
      <c r="C40" s="460"/>
      <c r="D40" s="460" t="s">
        <v>1816</v>
      </c>
      <c r="E40" s="460" t="s">
        <v>2611</v>
      </c>
      <c r="F40" s="460" t="s">
        <v>2612</v>
      </c>
      <c r="G40" s="460"/>
      <c r="H40" s="461"/>
      <c r="I40" s="460"/>
      <c r="J40" s="460"/>
      <c r="K40" s="460" t="s">
        <v>2613</v>
      </c>
    </row>
    <row r="41" spans="1:11" customFormat="1">
      <c r="A41" s="460" t="s">
        <v>1810</v>
      </c>
      <c r="B41" s="460" t="s">
        <v>2912</v>
      </c>
      <c r="C41" s="460"/>
      <c r="D41" s="460" t="s">
        <v>1816</v>
      </c>
      <c r="E41" s="460" t="s">
        <v>2611</v>
      </c>
      <c r="F41" s="460" t="s">
        <v>2612</v>
      </c>
      <c r="G41" s="460"/>
      <c r="H41" s="461"/>
      <c r="I41" s="460"/>
      <c r="J41" s="460"/>
      <c r="K41" s="460" t="s">
        <v>2613</v>
      </c>
    </row>
    <row r="42" spans="1:11" customFormat="1">
      <c r="A42" s="460" t="s">
        <v>1810</v>
      </c>
      <c r="B42" s="460" t="s">
        <v>1778</v>
      </c>
      <c r="C42" s="460"/>
      <c r="D42" s="460" t="s">
        <v>1811</v>
      </c>
      <c r="E42" s="460" t="s">
        <v>1812</v>
      </c>
      <c r="F42" s="460" t="s">
        <v>2612</v>
      </c>
      <c r="G42" s="460"/>
      <c r="H42" s="461"/>
      <c r="I42" s="460"/>
      <c r="J42" s="460"/>
      <c r="K42" s="460" t="s">
        <v>2613</v>
      </c>
    </row>
    <row r="43" spans="1:11" customFormat="1">
      <c r="A43" s="460" t="s">
        <v>1810</v>
      </c>
      <c r="B43" s="460" t="s">
        <v>1778</v>
      </c>
      <c r="C43" s="460"/>
      <c r="D43" s="460" t="s">
        <v>1811</v>
      </c>
      <c r="E43" s="460" t="s">
        <v>1812</v>
      </c>
      <c r="F43" s="460" t="s">
        <v>2619</v>
      </c>
      <c r="G43" s="547">
        <f>ROUND(1200,2)</f>
        <v>1200</v>
      </c>
      <c r="H43" s="461"/>
      <c r="I43" s="547">
        <f>ROUND(1200,2)</f>
        <v>1200</v>
      </c>
      <c r="J43" s="460"/>
      <c r="K43" s="460" t="s">
        <v>2613</v>
      </c>
    </row>
    <row r="44" spans="1:11" customFormat="1">
      <c r="A44" s="460" t="s">
        <v>1810</v>
      </c>
      <c r="B44" s="460" t="s">
        <v>1778</v>
      </c>
      <c r="C44" s="460"/>
      <c r="D44" s="460" t="s">
        <v>1811</v>
      </c>
      <c r="E44" s="460" t="s">
        <v>1812</v>
      </c>
      <c r="F44" s="460" t="s">
        <v>2614</v>
      </c>
      <c r="G44" s="460"/>
      <c r="H44" s="461" t="s">
        <v>2615</v>
      </c>
      <c r="I44" s="547">
        <f>ROUND(7,2)</f>
        <v>7</v>
      </c>
      <c r="J44" s="460" t="s">
        <v>2615</v>
      </c>
      <c r="K44" s="460" t="s">
        <v>2613</v>
      </c>
    </row>
    <row r="45" spans="1:11" customFormat="1">
      <c r="A45" s="460" t="s">
        <v>1810</v>
      </c>
      <c r="B45" s="460" t="s">
        <v>1778</v>
      </c>
      <c r="C45" s="460"/>
      <c r="D45" s="460" t="s">
        <v>1811</v>
      </c>
      <c r="E45" s="460" t="s">
        <v>1812</v>
      </c>
      <c r="F45" s="460" t="s">
        <v>2616</v>
      </c>
      <c r="G45" s="460"/>
      <c r="H45" s="461"/>
      <c r="I45" s="460"/>
      <c r="J45" s="460"/>
      <c r="K45" s="460" t="s">
        <v>2613</v>
      </c>
    </row>
    <row r="46" spans="1:11" customFormat="1">
      <c r="A46" s="460" t="s">
        <v>1810</v>
      </c>
      <c r="B46" s="460" t="s">
        <v>1778</v>
      </c>
      <c r="C46" s="460"/>
      <c r="D46" s="460" t="s">
        <v>1811</v>
      </c>
      <c r="E46" s="460" t="s">
        <v>1812</v>
      </c>
      <c r="F46" s="460" t="s">
        <v>2618</v>
      </c>
      <c r="G46" s="547">
        <f>ROUND(22.5,2)</f>
        <v>22.5</v>
      </c>
      <c r="H46" s="461"/>
      <c r="I46" s="547">
        <f>ROUND(22.5,2)</f>
        <v>22.5</v>
      </c>
      <c r="J46" s="460"/>
      <c r="K46" s="460" t="s">
        <v>2613</v>
      </c>
    </row>
    <row r="47" spans="1:11" customFormat="1">
      <c r="A47" s="460" t="s">
        <v>1810</v>
      </c>
      <c r="B47" s="460" t="s">
        <v>1778</v>
      </c>
      <c r="C47" s="460"/>
      <c r="D47" s="460" t="s">
        <v>1811</v>
      </c>
      <c r="E47" s="460" t="s">
        <v>1812</v>
      </c>
      <c r="F47" s="460" t="s">
        <v>2617</v>
      </c>
      <c r="G47" s="547">
        <f>ROUND(75,2)</f>
        <v>75</v>
      </c>
      <c r="H47" s="461"/>
      <c r="I47" s="547">
        <f>ROUND(75,2)</f>
        <v>75</v>
      </c>
      <c r="J47" s="460"/>
      <c r="K47" s="460" t="s">
        <v>2613</v>
      </c>
    </row>
    <row r="48" spans="1:11" customFormat="1">
      <c r="A48" s="460" t="s">
        <v>1810</v>
      </c>
      <c r="B48" s="460" t="s">
        <v>1581</v>
      </c>
      <c r="C48" s="460"/>
      <c r="D48" s="460" t="s">
        <v>1816</v>
      </c>
      <c r="E48" s="460" t="s">
        <v>2611</v>
      </c>
      <c r="F48" s="460" t="s">
        <v>2612</v>
      </c>
      <c r="G48" s="460"/>
      <c r="H48" s="461"/>
      <c r="I48" s="460"/>
      <c r="J48" s="460"/>
      <c r="K48" s="460" t="s">
        <v>2613</v>
      </c>
    </row>
    <row r="49" spans="1:11" customFormat="1">
      <c r="A49" s="460" t="s">
        <v>1810</v>
      </c>
      <c r="B49" s="460" t="s">
        <v>1927</v>
      </c>
      <c r="C49" s="460"/>
      <c r="D49" s="460" t="s">
        <v>1816</v>
      </c>
      <c r="E49" s="460" t="s">
        <v>2611</v>
      </c>
      <c r="F49" s="460" t="s">
        <v>2623</v>
      </c>
      <c r="G49" s="460"/>
      <c r="H49" s="461"/>
      <c r="I49" s="460"/>
      <c r="J49" s="460"/>
      <c r="K49" s="460" t="s">
        <v>2613</v>
      </c>
    </row>
    <row r="50" spans="1:11" customFormat="1">
      <c r="A50" s="460" t="s">
        <v>1810</v>
      </c>
      <c r="B50" s="460" t="s">
        <v>1576</v>
      </c>
      <c r="C50" s="460"/>
      <c r="D50" s="460" t="s">
        <v>1817</v>
      </c>
      <c r="E50" s="460" t="s">
        <v>1812</v>
      </c>
      <c r="F50" s="460" t="s">
        <v>2625</v>
      </c>
      <c r="G50" s="547">
        <f>ROUND(37.5,2)</f>
        <v>37.5</v>
      </c>
      <c r="H50" s="461"/>
      <c r="I50" s="547">
        <f>ROUND(37.5,2)</f>
        <v>37.5</v>
      </c>
      <c r="J50" s="460"/>
      <c r="K50" s="460" t="s">
        <v>2613</v>
      </c>
    </row>
    <row r="51" spans="1:11" customFormat="1">
      <c r="A51" s="460" t="s">
        <v>1810</v>
      </c>
      <c r="B51" s="460" t="s">
        <v>1576</v>
      </c>
      <c r="C51" s="460"/>
      <c r="D51" s="460" t="s">
        <v>1817</v>
      </c>
      <c r="E51" s="460" t="s">
        <v>1812</v>
      </c>
      <c r="F51" s="460" t="s">
        <v>2612</v>
      </c>
      <c r="G51" s="460"/>
      <c r="H51" s="461"/>
      <c r="I51" s="460"/>
      <c r="J51" s="460"/>
      <c r="K51" s="460" t="s">
        <v>2613</v>
      </c>
    </row>
    <row r="52" spans="1:11" customFormat="1">
      <c r="A52" s="460" t="s">
        <v>1810</v>
      </c>
      <c r="B52" s="460" t="s">
        <v>1576</v>
      </c>
      <c r="C52" s="460"/>
      <c r="D52" s="460" t="s">
        <v>1817</v>
      </c>
      <c r="E52" s="460" t="s">
        <v>1812</v>
      </c>
      <c r="F52" s="460" t="s">
        <v>2614</v>
      </c>
      <c r="G52" s="460"/>
      <c r="H52" s="461" t="s">
        <v>2615</v>
      </c>
      <c r="I52" s="547">
        <f>ROUND(7,2)</f>
        <v>7</v>
      </c>
      <c r="J52" s="460" t="s">
        <v>2615</v>
      </c>
      <c r="K52" s="460" t="s">
        <v>2613</v>
      </c>
    </row>
    <row r="53" spans="1:11" customFormat="1">
      <c r="A53" s="460" t="s">
        <v>1810</v>
      </c>
      <c r="B53" s="460" t="s">
        <v>1576</v>
      </c>
      <c r="C53" s="460"/>
      <c r="D53" s="460" t="s">
        <v>1817</v>
      </c>
      <c r="E53" s="460" t="s">
        <v>1812</v>
      </c>
      <c r="F53" s="460" t="s">
        <v>2620</v>
      </c>
      <c r="G53" s="547">
        <f>ROUND(10.22,2)</f>
        <v>10.220000000000001</v>
      </c>
      <c r="H53" s="461"/>
      <c r="I53" s="547">
        <f>ROUND(10.22,2)</f>
        <v>10.220000000000001</v>
      </c>
      <c r="J53" s="460"/>
      <c r="K53" s="460" t="s">
        <v>2613</v>
      </c>
    </row>
    <row r="54" spans="1:11" customFormat="1">
      <c r="A54" s="460" t="s">
        <v>1810</v>
      </c>
      <c r="B54" s="460" t="s">
        <v>1576</v>
      </c>
      <c r="C54" s="460"/>
      <c r="D54" s="460" t="s">
        <v>1817</v>
      </c>
      <c r="E54" s="460" t="s">
        <v>1812</v>
      </c>
      <c r="F54" s="460" t="s">
        <v>2616</v>
      </c>
      <c r="G54" s="460"/>
      <c r="H54" s="461"/>
      <c r="I54" s="460"/>
      <c r="J54" s="460"/>
      <c r="K54" s="460" t="s">
        <v>2613</v>
      </c>
    </row>
    <row r="55" spans="1:11" customFormat="1">
      <c r="A55" s="460" t="s">
        <v>1810</v>
      </c>
      <c r="B55" s="460" t="s">
        <v>1226</v>
      </c>
      <c r="C55" s="460"/>
      <c r="D55" s="460" t="s">
        <v>1964</v>
      </c>
      <c r="E55" s="460" t="s">
        <v>1812</v>
      </c>
      <c r="F55" s="460" t="s">
        <v>2612</v>
      </c>
      <c r="G55" s="460"/>
      <c r="H55" s="461"/>
      <c r="I55" s="460"/>
      <c r="J55" s="460"/>
      <c r="K55" s="460" t="s">
        <v>2613</v>
      </c>
    </row>
    <row r="56" spans="1:11" customFormat="1">
      <c r="A56" s="460" t="s">
        <v>1810</v>
      </c>
      <c r="B56" s="460" t="s">
        <v>1226</v>
      </c>
      <c r="C56" s="460"/>
      <c r="D56" s="460" t="s">
        <v>1964</v>
      </c>
      <c r="E56" s="460" t="s">
        <v>1812</v>
      </c>
      <c r="F56" s="460" t="s">
        <v>2623</v>
      </c>
      <c r="G56" s="547">
        <f>ROUND(250,2)</f>
        <v>250</v>
      </c>
      <c r="H56" s="461"/>
      <c r="I56" s="547">
        <f>ROUND(250,2)</f>
        <v>250</v>
      </c>
      <c r="J56" s="460"/>
      <c r="K56" s="460" t="s">
        <v>2613</v>
      </c>
    </row>
    <row r="57" spans="1:11" customFormat="1">
      <c r="A57" s="460" t="s">
        <v>1810</v>
      </c>
      <c r="B57" s="460" t="s">
        <v>1226</v>
      </c>
      <c r="C57" s="460"/>
      <c r="D57" s="460" t="s">
        <v>1964</v>
      </c>
      <c r="E57" s="460" t="s">
        <v>1812</v>
      </c>
      <c r="F57" s="460" t="s">
        <v>2626</v>
      </c>
      <c r="G57" s="547">
        <f>ROUND(10,2)</f>
        <v>10</v>
      </c>
      <c r="H57" s="461"/>
      <c r="I57" s="547">
        <f>ROUND(10,2)</f>
        <v>10</v>
      </c>
      <c r="J57" s="460"/>
      <c r="K57" s="460" t="s">
        <v>2613</v>
      </c>
    </row>
    <row r="58" spans="1:11" customFormat="1">
      <c r="A58" s="460" t="s">
        <v>1810</v>
      </c>
      <c r="B58" s="460" t="s">
        <v>1226</v>
      </c>
      <c r="C58" s="460"/>
      <c r="D58" s="460" t="s">
        <v>1964</v>
      </c>
      <c r="E58" s="460" t="s">
        <v>1812</v>
      </c>
      <c r="F58" s="460" t="s">
        <v>2614</v>
      </c>
      <c r="G58" s="460"/>
      <c r="H58" s="461" t="s">
        <v>2615</v>
      </c>
      <c r="I58" s="547">
        <f>ROUND(7,2)</f>
        <v>7</v>
      </c>
      <c r="J58" s="460" t="s">
        <v>2615</v>
      </c>
      <c r="K58" s="460" t="s">
        <v>2613</v>
      </c>
    </row>
    <row r="59" spans="1:11" customFormat="1">
      <c r="A59" s="460" t="s">
        <v>1810</v>
      </c>
      <c r="B59" s="460" t="s">
        <v>1226</v>
      </c>
      <c r="C59" s="460"/>
      <c r="D59" s="460" t="s">
        <v>1964</v>
      </c>
      <c r="E59" s="460" t="s">
        <v>1812</v>
      </c>
      <c r="F59" s="460" t="s">
        <v>2620</v>
      </c>
      <c r="G59" s="547">
        <f>ROUND(10.22,2)</f>
        <v>10.220000000000001</v>
      </c>
      <c r="H59" s="461"/>
      <c r="I59" s="547">
        <f>ROUND(10.22,2)</f>
        <v>10.220000000000001</v>
      </c>
      <c r="J59" s="460"/>
      <c r="K59" s="460" t="s">
        <v>2613</v>
      </c>
    </row>
    <row r="60" spans="1:11" customFormat="1">
      <c r="A60" s="460" t="s">
        <v>1810</v>
      </c>
      <c r="B60" s="460" t="s">
        <v>1226</v>
      </c>
      <c r="C60" s="460"/>
      <c r="D60" s="460" t="s">
        <v>1964</v>
      </c>
      <c r="E60" s="460" t="s">
        <v>1812</v>
      </c>
      <c r="F60" s="460" t="s">
        <v>2616</v>
      </c>
      <c r="G60" s="460"/>
      <c r="H60" s="461"/>
      <c r="I60" s="460"/>
      <c r="J60" s="460"/>
      <c r="K60" s="460" t="s">
        <v>2613</v>
      </c>
    </row>
    <row r="61" spans="1:11" customFormat="1">
      <c r="A61" s="460" t="s">
        <v>1810</v>
      </c>
      <c r="B61" s="460" t="s">
        <v>1226</v>
      </c>
      <c r="C61" s="460"/>
      <c r="D61" s="460" t="s">
        <v>1964</v>
      </c>
      <c r="E61" s="460" t="s">
        <v>1812</v>
      </c>
      <c r="F61" s="460" t="s">
        <v>2627</v>
      </c>
      <c r="G61" s="547">
        <f>ROUND(300,2)</f>
        <v>300</v>
      </c>
      <c r="H61" s="461"/>
      <c r="I61" s="547">
        <f>ROUND(300,2)</f>
        <v>300</v>
      </c>
      <c r="J61" s="460"/>
      <c r="K61" s="460" t="s">
        <v>2613</v>
      </c>
    </row>
    <row r="62" spans="1:11" customFormat="1">
      <c r="A62" s="460" t="s">
        <v>1810</v>
      </c>
      <c r="B62" s="460" t="s">
        <v>1243</v>
      </c>
      <c r="C62" s="460"/>
      <c r="D62" s="460" t="s">
        <v>1818</v>
      </c>
      <c r="E62" s="460" t="s">
        <v>2015</v>
      </c>
      <c r="F62" s="460" t="s">
        <v>2627</v>
      </c>
      <c r="G62" s="547">
        <f>ROUND(250,2)</f>
        <v>250</v>
      </c>
      <c r="H62" s="461"/>
      <c r="I62" s="547">
        <f>ROUND(250,2)</f>
        <v>250</v>
      </c>
      <c r="J62" s="460"/>
      <c r="K62" s="460" t="s">
        <v>2613</v>
      </c>
    </row>
    <row r="63" spans="1:11" customFormat="1">
      <c r="A63" s="460" t="s">
        <v>1810</v>
      </c>
      <c r="B63" s="460" t="s">
        <v>1243</v>
      </c>
      <c r="C63" s="460"/>
      <c r="D63" s="460" t="s">
        <v>1818</v>
      </c>
      <c r="E63" s="460" t="s">
        <v>2015</v>
      </c>
      <c r="F63" s="460" t="s">
        <v>2612</v>
      </c>
      <c r="G63" s="460"/>
      <c r="H63" s="461"/>
      <c r="I63" s="460"/>
      <c r="J63" s="460"/>
      <c r="K63" s="460" t="s">
        <v>2613</v>
      </c>
    </row>
    <row r="64" spans="1:11" customFormat="1">
      <c r="A64" s="460" t="s">
        <v>1810</v>
      </c>
      <c r="B64" s="460" t="s">
        <v>1243</v>
      </c>
      <c r="C64" s="460"/>
      <c r="D64" s="460" t="s">
        <v>1818</v>
      </c>
      <c r="E64" s="460" t="s">
        <v>2015</v>
      </c>
      <c r="F64" s="460" t="s">
        <v>2619</v>
      </c>
      <c r="G64" s="547">
        <f>ROUND(600,2)</f>
        <v>600</v>
      </c>
      <c r="H64" s="461"/>
      <c r="I64" s="547">
        <f>ROUND(600,2)</f>
        <v>600</v>
      </c>
      <c r="J64" s="460"/>
      <c r="K64" s="460" t="s">
        <v>2613</v>
      </c>
    </row>
    <row r="65" spans="1:11" customFormat="1">
      <c r="A65" s="460" t="s">
        <v>1810</v>
      </c>
      <c r="B65" s="460" t="s">
        <v>1243</v>
      </c>
      <c r="C65" s="460"/>
      <c r="D65" s="460" t="s">
        <v>1818</v>
      </c>
      <c r="E65" s="460" t="s">
        <v>2015</v>
      </c>
      <c r="F65" s="460" t="s">
        <v>2614</v>
      </c>
      <c r="G65" s="460"/>
      <c r="H65" s="461" t="s">
        <v>2615</v>
      </c>
      <c r="I65" s="547">
        <f>ROUND(7,2)</f>
        <v>7</v>
      </c>
      <c r="J65" s="460" t="s">
        <v>2615</v>
      </c>
      <c r="K65" s="460" t="s">
        <v>2613</v>
      </c>
    </row>
    <row r="66" spans="1:11" customFormat="1">
      <c r="A66" s="460" t="s">
        <v>1810</v>
      </c>
      <c r="B66" s="460" t="s">
        <v>1243</v>
      </c>
      <c r="C66" s="460"/>
      <c r="D66" s="460" t="s">
        <v>1818</v>
      </c>
      <c r="E66" s="460" t="s">
        <v>2015</v>
      </c>
      <c r="F66" s="460" t="s">
        <v>2628</v>
      </c>
      <c r="G66" s="547">
        <f>ROUND(400,2)</f>
        <v>400</v>
      </c>
      <c r="H66" s="461"/>
      <c r="I66" s="547">
        <f>ROUND(400,2)</f>
        <v>400</v>
      </c>
      <c r="J66" s="460"/>
      <c r="K66" s="460" t="s">
        <v>2613</v>
      </c>
    </row>
    <row r="67" spans="1:11" customFormat="1">
      <c r="A67" s="460" t="s">
        <v>1810</v>
      </c>
      <c r="B67" s="460" t="s">
        <v>1243</v>
      </c>
      <c r="C67" s="460"/>
      <c r="D67" s="460" t="s">
        <v>1818</v>
      </c>
      <c r="E67" s="460" t="s">
        <v>2015</v>
      </c>
      <c r="F67" s="460" t="s">
        <v>2620</v>
      </c>
      <c r="G67" s="547">
        <f>ROUND(10.22,2)</f>
        <v>10.220000000000001</v>
      </c>
      <c r="H67" s="461"/>
      <c r="I67" s="547">
        <f>ROUND(10.22,2)</f>
        <v>10.220000000000001</v>
      </c>
      <c r="J67" s="460"/>
      <c r="K67" s="460" t="s">
        <v>2613</v>
      </c>
    </row>
    <row r="68" spans="1:11" customFormat="1">
      <c r="A68" s="460" t="s">
        <v>1810</v>
      </c>
      <c r="B68" s="460" t="s">
        <v>1243</v>
      </c>
      <c r="C68" s="460"/>
      <c r="D68" s="460" t="s">
        <v>1818</v>
      </c>
      <c r="E68" s="460" t="s">
        <v>2015</v>
      </c>
      <c r="F68" s="460" t="s">
        <v>2616</v>
      </c>
      <c r="G68" s="460"/>
      <c r="H68" s="461"/>
      <c r="I68" s="460"/>
      <c r="J68" s="460"/>
      <c r="K68" s="460" t="s">
        <v>2613</v>
      </c>
    </row>
    <row r="69" spans="1:11" customFormat="1">
      <c r="A69" s="460" t="s">
        <v>1810</v>
      </c>
      <c r="B69" s="460" t="s">
        <v>1243</v>
      </c>
      <c r="C69" s="460"/>
      <c r="D69" s="460" t="s">
        <v>1818</v>
      </c>
      <c r="E69" s="460" t="s">
        <v>2015</v>
      </c>
      <c r="F69" s="460" t="s">
        <v>2617</v>
      </c>
      <c r="G69" s="547">
        <f>ROUND(75,2)</f>
        <v>75</v>
      </c>
      <c r="H69" s="461"/>
      <c r="I69" s="547">
        <f>ROUND(75,2)</f>
        <v>75</v>
      </c>
      <c r="J69" s="460"/>
      <c r="K69" s="460" t="s">
        <v>2613</v>
      </c>
    </row>
    <row r="70" spans="1:11" customFormat="1">
      <c r="A70" s="460" t="s">
        <v>1810</v>
      </c>
      <c r="B70" s="460" t="s">
        <v>1243</v>
      </c>
      <c r="C70" s="460"/>
      <c r="D70" s="460" t="s">
        <v>1818</v>
      </c>
      <c r="E70" s="460" t="s">
        <v>2015</v>
      </c>
      <c r="F70" s="460" t="s">
        <v>2618</v>
      </c>
      <c r="G70" s="547">
        <f>ROUND(40,2)</f>
        <v>40</v>
      </c>
      <c r="H70" s="461"/>
      <c r="I70" s="547">
        <f>ROUND(40,2)</f>
        <v>40</v>
      </c>
      <c r="J70" s="460"/>
      <c r="K70" s="460" t="s">
        <v>2613</v>
      </c>
    </row>
    <row r="71" spans="1:11" customFormat="1">
      <c r="A71" s="460" t="s">
        <v>1810</v>
      </c>
      <c r="B71" s="460" t="s">
        <v>2481</v>
      </c>
      <c r="C71" s="460"/>
      <c r="D71" s="460" t="s">
        <v>1816</v>
      </c>
      <c r="E71" s="460" t="s">
        <v>2611</v>
      </c>
      <c r="F71" s="460" t="s">
        <v>2612</v>
      </c>
      <c r="G71" s="460"/>
      <c r="H71" s="461"/>
      <c r="I71" s="460"/>
      <c r="J71" s="460"/>
      <c r="K71" s="460" t="s">
        <v>2613</v>
      </c>
    </row>
    <row r="72" spans="1:11" customFormat="1">
      <c r="A72" s="460" t="s">
        <v>1810</v>
      </c>
      <c r="B72" s="460" t="s">
        <v>1246</v>
      </c>
      <c r="C72" s="460"/>
      <c r="D72" s="460" t="s">
        <v>1814</v>
      </c>
      <c r="E72" s="460" t="s">
        <v>1812</v>
      </c>
      <c r="F72" s="460" t="s">
        <v>2629</v>
      </c>
      <c r="G72" s="547">
        <f>ROUND(136,2)</f>
        <v>136</v>
      </c>
      <c r="H72" s="461"/>
      <c r="I72" s="547">
        <f>ROUND(136,2)</f>
        <v>136</v>
      </c>
      <c r="J72" s="460"/>
      <c r="K72" s="460" t="s">
        <v>2613</v>
      </c>
    </row>
    <row r="73" spans="1:11" customFormat="1">
      <c r="A73" s="460" t="s">
        <v>1810</v>
      </c>
      <c r="B73" s="460" t="s">
        <v>1246</v>
      </c>
      <c r="C73" s="460"/>
      <c r="D73" s="460" t="s">
        <v>1814</v>
      </c>
      <c r="E73" s="460" t="s">
        <v>1812</v>
      </c>
      <c r="F73" s="460" t="s">
        <v>2625</v>
      </c>
      <c r="G73" s="547">
        <f>ROUND(50,2)</f>
        <v>50</v>
      </c>
      <c r="H73" s="461"/>
      <c r="I73" s="547">
        <f>ROUND(50,2)</f>
        <v>50</v>
      </c>
      <c r="J73" s="460"/>
      <c r="K73" s="460" t="s">
        <v>2613</v>
      </c>
    </row>
    <row r="74" spans="1:11" customFormat="1">
      <c r="A74" s="460" t="s">
        <v>1810</v>
      </c>
      <c r="B74" s="460" t="s">
        <v>1246</v>
      </c>
      <c r="C74" s="460"/>
      <c r="D74" s="460" t="s">
        <v>1814</v>
      </c>
      <c r="E74" s="460" t="s">
        <v>1812</v>
      </c>
      <c r="F74" s="460" t="s">
        <v>2612</v>
      </c>
      <c r="G74" s="460"/>
      <c r="H74" s="461"/>
      <c r="I74" s="460"/>
      <c r="J74" s="460"/>
      <c r="K74" s="460" t="s">
        <v>2613</v>
      </c>
    </row>
    <row r="75" spans="1:11" customFormat="1">
      <c r="A75" s="460" t="s">
        <v>1810</v>
      </c>
      <c r="B75" s="460" t="s">
        <v>1246</v>
      </c>
      <c r="C75" s="460"/>
      <c r="D75" s="460" t="s">
        <v>1814</v>
      </c>
      <c r="E75" s="460" t="s">
        <v>1812</v>
      </c>
      <c r="F75" s="460" t="s">
        <v>2630</v>
      </c>
      <c r="G75" s="460"/>
      <c r="H75" s="461" t="s">
        <v>2622</v>
      </c>
      <c r="I75" s="547">
        <f>ROUND(5,2)</f>
        <v>5</v>
      </c>
      <c r="J75" s="460" t="s">
        <v>2622</v>
      </c>
      <c r="K75" s="460" t="s">
        <v>2613</v>
      </c>
    </row>
    <row r="76" spans="1:11" customFormat="1">
      <c r="A76" s="460" t="s">
        <v>1810</v>
      </c>
      <c r="B76" s="460" t="s">
        <v>1246</v>
      </c>
      <c r="C76" s="460"/>
      <c r="D76" s="460" t="s">
        <v>1814</v>
      </c>
      <c r="E76" s="460" t="s">
        <v>1812</v>
      </c>
      <c r="F76" s="460" t="s">
        <v>2626</v>
      </c>
      <c r="G76" s="547">
        <f>ROUND(10,2)</f>
        <v>10</v>
      </c>
      <c r="H76" s="461"/>
      <c r="I76" s="547">
        <f>ROUND(10,2)</f>
        <v>10</v>
      </c>
      <c r="J76" s="460"/>
      <c r="K76" s="460" t="s">
        <v>2613</v>
      </c>
    </row>
    <row r="77" spans="1:11" customFormat="1">
      <c r="A77" s="460" t="s">
        <v>1810</v>
      </c>
      <c r="B77" s="460" t="s">
        <v>1246</v>
      </c>
      <c r="C77" s="460"/>
      <c r="D77" s="460" t="s">
        <v>1814</v>
      </c>
      <c r="E77" s="460" t="s">
        <v>1812</v>
      </c>
      <c r="F77" s="460" t="s">
        <v>2614</v>
      </c>
      <c r="G77" s="460"/>
      <c r="H77" s="461" t="s">
        <v>2615</v>
      </c>
      <c r="I77" s="547">
        <f>ROUND(7,2)</f>
        <v>7</v>
      </c>
      <c r="J77" s="460" t="s">
        <v>2615</v>
      </c>
      <c r="K77" s="460" t="s">
        <v>2613</v>
      </c>
    </row>
    <row r="78" spans="1:11" customFormat="1">
      <c r="A78" s="460" t="s">
        <v>1810</v>
      </c>
      <c r="B78" s="460" t="s">
        <v>1246</v>
      </c>
      <c r="C78" s="460"/>
      <c r="D78" s="460" t="s">
        <v>1814</v>
      </c>
      <c r="E78" s="460" t="s">
        <v>1812</v>
      </c>
      <c r="F78" s="460" t="s">
        <v>2623</v>
      </c>
      <c r="G78" s="547">
        <f>ROUND(200,2)</f>
        <v>200</v>
      </c>
      <c r="H78" s="461"/>
      <c r="I78" s="547">
        <f>ROUND(200,2)</f>
        <v>200</v>
      </c>
      <c r="J78" s="460"/>
      <c r="K78" s="460" t="s">
        <v>2613</v>
      </c>
    </row>
    <row r="79" spans="1:11" customFormat="1">
      <c r="A79" s="460" t="s">
        <v>1810</v>
      </c>
      <c r="B79" s="460" t="s">
        <v>1246</v>
      </c>
      <c r="C79" s="460"/>
      <c r="D79" s="460" t="s">
        <v>1814</v>
      </c>
      <c r="E79" s="460" t="s">
        <v>1812</v>
      </c>
      <c r="F79" s="460" t="s">
        <v>2620</v>
      </c>
      <c r="G79" s="547">
        <f>ROUND(10.22,2)</f>
        <v>10.220000000000001</v>
      </c>
      <c r="H79" s="461"/>
      <c r="I79" s="547">
        <f>ROUND(10.22,2)</f>
        <v>10.220000000000001</v>
      </c>
      <c r="J79" s="460"/>
      <c r="K79" s="460" t="s">
        <v>2613</v>
      </c>
    </row>
    <row r="80" spans="1:11" customFormat="1">
      <c r="A80" s="460" t="s">
        <v>1810</v>
      </c>
      <c r="B80" s="460" t="s">
        <v>1246</v>
      </c>
      <c r="C80" s="460"/>
      <c r="D80" s="460" t="s">
        <v>1814</v>
      </c>
      <c r="E80" s="460" t="s">
        <v>1812</v>
      </c>
      <c r="F80" s="460" t="s">
        <v>2616</v>
      </c>
      <c r="G80" s="460"/>
      <c r="H80" s="461"/>
      <c r="I80" s="460"/>
      <c r="J80" s="460"/>
      <c r="K80" s="460" t="s">
        <v>2613</v>
      </c>
    </row>
    <row r="81" spans="1:11" customFormat="1" ht="22.8">
      <c r="A81" s="460" t="s">
        <v>1810</v>
      </c>
      <c r="B81" s="460" t="s">
        <v>1237</v>
      </c>
      <c r="C81" s="460"/>
      <c r="D81" s="460" t="s">
        <v>1819</v>
      </c>
      <c r="E81" s="460" t="s">
        <v>2015</v>
      </c>
      <c r="F81" s="460" t="s">
        <v>2631</v>
      </c>
      <c r="G81" s="547">
        <f>ROUND(175,2)</f>
        <v>175</v>
      </c>
      <c r="H81" s="461"/>
      <c r="I81" s="547">
        <f>ROUND(175,2)</f>
        <v>175</v>
      </c>
      <c r="J81" s="460"/>
      <c r="K81" s="460" t="s">
        <v>2613</v>
      </c>
    </row>
    <row r="82" spans="1:11" customFormat="1" ht="22.8">
      <c r="A82" s="460" t="s">
        <v>1810</v>
      </c>
      <c r="B82" s="460" t="s">
        <v>1237</v>
      </c>
      <c r="C82" s="460"/>
      <c r="D82" s="460" t="s">
        <v>1819</v>
      </c>
      <c r="E82" s="460" t="s">
        <v>2015</v>
      </c>
      <c r="F82" s="460" t="s">
        <v>2612</v>
      </c>
      <c r="G82" s="460"/>
      <c r="H82" s="461"/>
      <c r="I82" s="460"/>
      <c r="J82" s="460"/>
      <c r="K82" s="460" t="s">
        <v>2613</v>
      </c>
    </row>
    <row r="83" spans="1:11" customFormat="1" ht="22.8">
      <c r="A83" s="460" t="s">
        <v>1810</v>
      </c>
      <c r="B83" s="460" t="s">
        <v>1237</v>
      </c>
      <c r="C83" s="460"/>
      <c r="D83" s="460" t="s">
        <v>1819</v>
      </c>
      <c r="E83" s="460" t="s">
        <v>2015</v>
      </c>
      <c r="F83" s="460" t="s">
        <v>2623</v>
      </c>
      <c r="G83" s="547">
        <f>ROUND(100,2)</f>
        <v>100</v>
      </c>
      <c r="H83" s="461"/>
      <c r="I83" s="547">
        <f>ROUND(100,2)</f>
        <v>100</v>
      </c>
      <c r="J83" s="460"/>
      <c r="K83" s="460" t="s">
        <v>2613</v>
      </c>
    </row>
    <row r="84" spans="1:11" customFormat="1" ht="22.8">
      <c r="A84" s="460" t="s">
        <v>1810</v>
      </c>
      <c r="B84" s="460" t="s">
        <v>1237</v>
      </c>
      <c r="C84" s="460"/>
      <c r="D84" s="460" t="s">
        <v>1819</v>
      </c>
      <c r="E84" s="460" t="s">
        <v>2015</v>
      </c>
      <c r="F84" s="460" t="s">
        <v>2614</v>
      </c>
      <c r="G84" s="460"/>
      <c r="H84" s="461" t="s">
        <v>2615</v>
      </c>
      <c r="I84" s="547">
        <f>ROUND(7,2)</f>
        <v>7</v>
      </c>
      <c r="J84" s="460" t="s">
        <v>2615</v>
      </c>
      <c r="K84" s="460" t="s">
        <v>2613</v>
      </c>
    </row>
    <row r="85" spans="1:11" customFormat="1" ht="22.8">
      <c r="A85" s="460" t="s">
        <v>1810</v>
      </c>
      <c r="B85" s="460" t="s">
        <v>1237</v>
      </c>
      <c r="C85" s="460"/>
      <c r="D85" s="460" t="s">
        <v>1819</v>
      </c>
      <c r="E85" s="460" t="s">
        <v>2015</v>
      </c>
      <c r="F85" s="460" t="s">
        <v>2616</v>
      </c>
      <c r="G85" s="460"/>
      <c r="H85" s="461"/>
      <c r="I85" s="460"/>
      <c r="J85" s="460"/>
      <c r="K85" s="460" t="s">
        <v>2613</v>
      </c>
    </row>
    <row r="86" spans="1:11" customFormat="1" ht="22.8">
      <c r="A86" s="460" t="s">
        <v>1810</v>
      </c>
      <c r="B86" s="460" t="s">
        <v>1237</v>
      </c>
      <c r="C86" s="460"/>
      <c r="D86" s="460" t="s">
        <v>1819</v>
      </c>
      <c r="E86" s="460" t="s">
        <v>2015</v>
      </c>
      <c r="F86" s="460" t="s">
        <v>2617</v>
      </c>
      <c r="G86" s="547">
        <f>ROUND(75,2)</f>
        <v>75</v>
      </c>
      <c r="H86" s="461"/>
      <c r="I86" s="547">
        <f>ROUND(75,2)</f>
        <v>75</v>
      </c>
      <c r="J86" s="460"/>
      <c r="K86" s="460" t="s">
        <v>2613</v>
      </c>
    </row>
    <row r="87" spans="1:11" customFormat="1" ht="22.8">
      <c r="A87" s="460" t="s">
        <v>1810</v>
      </c>
      <c r="B87" s="460" t="s">
        <v>1237</v>
      </c>
      <c r="C87" s="460"/>
      <c r="D87" s="460" t="s">
        <v>1819</v>
      </c>
      <c r="E87" s="460" t="s">
        <v>2015</v>
      </c>
      <c r="F87" s="460" t="s">
        <v>2618</v>
      </c>
      <c r="G87" s="547">
        <f>ROUND(40,2)</f>
        <v>40</v>
      </c>
      <c r="H87" s="461"/>
      <c r="I87" s="547">
        <f>ROUND(40,2)</f>
        <v>40</v>
      </c>
      <c r="J87" s="460"/>
      <c r="K87" s="460" t="s">
        <v>2613</v>
      </c>
    </row>
    <row r="88" spans="1:11" customFormat="1">
      <c r="A88" s="460" t="s">
        <v>1810</v>
      </c>
      <c r="B88" s="460" t="s">
        <v>2555</v>
      </c>
      <c r="C88" s="460"/>
      <c r="D88" s="460" t="s">
        <v>1816</v>
      </c>
      <c r="E88" s="460" t="s">
        <v>2611</v>
      </c>
      <c r="F88" s="460" t="s">
        <v>2612</v>
      </c>
      <c r="G88" s="460"/>
      <c r="H88" s="461"/>
      <c r="I88" s="460"/>
      <c r="J88" s="460"/>
      <c r="K88" s="460" t="s">
        <v>2613</v>
      </c>
    </row>
    <row r="89" spans="1:11" customFormat="1">
      <c r="A89" s="460" t="s">
        <v>1810</v>
      </c>
      <c r="B89" s="460" t="s">
        <v>2588</v>
      </c>
      <c r="C89" s="460"/>
      <c r="D89" s="460" t="s">
        <v>1816</v>
      </c>
      <c r="E89" s="460" t="s">
        <v>2611</v>
      </c>
      <c r="F89" s="460" t="s">
        <v>2612</v>
      </c>
      <c r="G89" s="460"/>
      <c r="H89" s="461"/>
      <c r="I89" s="460"/>
      <c r="J89" s="460"/>
      <c r="K89" s="460" t="s">
        <v>2613</v>
      </c>
    </row>
    <row r="90" spans="1:11" customFormat="1">
      <c r="A90" s="460" t="s">
        <v>1810</v>
      </c>
      <c r="B90" s="460" t="s">
        <v>1593</v>
      </c>
      <c r="C90" s="460"/>
      <c r="D90" s="460" t="s">
        <v>1814</v>
      </c>
      <c r="E90" s="460" t="s">
        <v>1812</v>
      </c>
      <c r="F90" s="460" t="s">
        <v>2632</v>
      </c>
      <c r="G90" s="547">
        <f>ROUND(166.67,2)</f>
        <v>166.67</v>
      </c>
      <c r="H90" s="461"/>
      <c r="I90" s="547">
        <f>ROUND(166.67,2)</f>
        <v>166.67</v>
      </c>
      <c r="J90" s="460"/>
      <c r="K90" s="460" t="s">
        <v>2613</v>
      </c>
    </row>
    <row r="91" spans="1:11" customFormat="1">
      <c r="A91" s="460" t="s">
        <v>1810</v>
      </c>
      <c r="B91" s="460" t="s">
        <v>1593</v>
      </c>
      <c r="C91" s="460"/>
      <c r="D91" s="460" t="s">
        <v>1814</v>
      </c>
      <c r="E91" s="460" t="s">
        <v>1812</v>
      </c>
      <c r="F91" s="460" t="s">
        <v>2612</v>
      </c>
      <c r="G91" s="460"/>
      <c r="H91" s="461"/>
      <c r="I91" s="460"/>
      <c r="J91" s="460"/>
      <c r="K91" s="460" t="s">
        <v>2613</v>
      </c>
    </row>
    <row r="92" spans="1:11" customFormat="1">
      <c r="A92" s="460" t="s">
        <v>1810</v>
      </c>
      <c r="B92" s="460" t="s">
        <v>1593</v>
      </c>
      <c r="C92" s="460"/>
      <c r="D92" s="460" t="s">
        <v>1814</v>
      </c>
      <c r="E92" s="460" t="s">
        <v>1812</v>
      </c>
      <c r="F92" s="460" t="s">
        <v>2614</v>
      </c>
      <c r="G92" s="460"/>
      <c r="H92" s="461" t="s">
        <v>2615</v>
      </c>
      <c r="I92" s="547">
        <f>ROUND(7,2)</f>
        <v>7</v>
      </c>
      <c r="J92" s="460" t="s">
        <v>2615</v>
      </c>
      <c r="K92" s="460" t="s">
        <v>2613</v>
      </c>
    </row>
    <row r="93" spans="1:11" customFormat="1">
      <c r="A93" s="460" t="s">
        <v>1810</v>
      </c>
      <c r="B93" s="460" t="s">
        <v>1593</v>
      </c>
      <c r="C93" s="460"/>
      <c r="D93" s="460" t="s">
        <v>1814</v>
      </c>
      <c r="E93" s="460" t="s">
        <v>1812</v>
      </c>
      <c r="F93" s="460" t="s">
        <v>2620</v>
      </c>
      <c r="G93" s="547">
        <f>ROUND(10.22,2)</f>
        <v>10.220000000000001</v>
      </c>
      <c r="H93" s="461"/>
      <c r="I93" s="547">
        <f>ROUND(10.22,2)</f>
        <v>10.220000000000001</v>
      </c>
      <c r="J93" s="460"/>
      <c r="K93" s="460" t="s">
        <v>2613</v>
      </c>
    </row>
    <row r="94" spans="1:11" customFormat="1">
      <c r="A94" s="460" t="s">
        <v>1810</v>
      </c>
      <c r="B94" s="460" t="s">
        <v>1593</v>
      </c>
      <c r="C94" s="460"/>
      <c r="D94" s="460" t="s">
        <v>1814</v>
      </c>
      <c r="E94" s="460" t="s">
        <v>1812</v>
      </c>
      <c r="F94" s="460" t="s">
        <v>2616</v>
      </c>
      <c r="G94" s="460"/>
      <c r="H94" s="461"/>
      <c r="I94" s="460"/>
      <c r="J94" s="460"/>
      <c r="K94" s="460" t="s">
        <v>2613</v>
      </c>
    </row>
    <row r="95" spans="1:11" customFormat="1">
      <c r="A95" s="460" t="s">
        <v>1810</v>
      </c>
      <c r="B95" s="460" t="s">
        <v>1736</v>
      </c>
      <c r="C95" s="460"/>
      <c r="D95" s="460" t="s">
        <v>1814</v>
      </c>
      <c r="E95" s="460" t="s">
        <v>1812</v>
      </c>
      <c r="F95" s="460" t="s">
        <v>2616</v>
      </c>
      <c r="G95" s="460"/>
      <c r="H95" s="461"/>
      <c r="I95" s="460"/>
      <c r="J95" s="460"/>
      <c r="K95" s="460" t="s">
        <v>2613</v>
      </c>
    </row>
    <row r="96" spans="1:11" customFormat="1">
      <c r="A96" s="460" t="s">
        <v>1810</v>
      </c>
      <c r="B96" s="460" t="s">
        <v>1736</v>
      </c>
      <c r="C96" s="460"/>
      <c r="D96" s="460" t="s">
        <v>1814</v>
      </c>
      <c r="E96" s="460" t="s">
        <v>1812</v>
      </c>
      <c r="F96" s="460" t="s">
        <v>2632</v>
      </c>
      <c r="G96" s="547">
        <f>ROUND(166.67,2)</f>
        <v>166.67</v>
      </c>
      <c r="H96" s="461"/>
      <c r="I96" s="547">
        <f>ROUND(166.67,2)</f>
        <v>166.67</v>
      </c>
      <c r="J96" s="460"/>
      <c r="K96" s="460" t="s">
        <v>2613</v>
      </c>
    </row>
    <row r="97" spans="1:11" customFormat="1">
      <c r="A97" s="460" t="s">
        <v>1810</v>
      </c>
      <c r="B97" s="460" t="s">
        <v>1736</v>
      </c>
      <c r="C97" s="460"/>
      <c r="D97" s="460" t="s">
        <v>1814</v>
      </c>
      <c r="E97" s="460" t="s">
        <v>1812</v>
      </c>
      <c r="F97" s="460" t="s">
        <v>2614</v>
      </c>
      <c r="G97" s="460"/>
      <c r="H97" s="461" t="s">
        <v>2615</v>
      </c>
      <c r="I97" s="547">
        <f>ROUND(7,2)</f>
        <v>7</v>
      </c>
      <c r="J97" s="460" t="s">
        <v>2615</v>
      </c>
      <c r="K97" s="460" t="s">
        <v>2613</v>
      </c>
    </row>
    <row r="98" spans="1:11" customFormat="1">
      <c r="A98" s="460" t="s">
        <v>1810</v>
      </c>
      <c r="B98" s="460" t="s">
        <v>1736</v>
      </c>
      <c r="C98" s="460"/>
      <c r="D98" s="460" t="s">
        <v>1814</v>
      </c>
      <c r="E98" s="460" t="s">
        <v>1812</v>
      </c>
      <c r="F98" s="460" t="s">
        <v>2612</v>
      </c>
      <c r="G98" s="460"/>
      <c r="H98" s="461"/>
      <c r="I98" s="460"/>
      <c r="J98" s="460"/>
      <c r="K98" s="460" t="s">
        <v>2613</v>
      </c>
    </row>
    <row r="99" spans="1:11" customFormat="1">
      <c r="A99" s="460" t="s">
        <v>1810</v>
      </c>
      <c r="B99" s="460" t="s">
        <v>1689</v>
      </c>
      <c r="C99" s="460"/>
      <c r="D99" s="460" t="s">
        <v>1821</v>
      </c>
      <c r="E99" s="460" t="s">
        <v>1812</v>
      </c>
      <c r="F99" s="460" t="s">
        <v>2619</v>
      </c>
      <c r="G99" s="460"/>
      <c r="H99" s="461"/>
      <c r="I99" s="460"/>
      <c r="J99" s="460"/>
      <c r="K99" s="460" t="s">
        <v>2613</v>
      </c>
    </row>
    <row r="100" spans="1:11" customFormat="1">
      <c r="A100" s="460" t="s">
        <v>1810</v>
      </c>
      <c r="B100" s="460" t="s">
        <v>1689</v>
      </c>
      <c r="C100" s="460"/>
      <c r="D100" s="460" t="s">
        <v>1821</v>
      </c>
      <c r="E100" s="460" t="s">
        <v>1812</v>
      </c>
      <c r="F100" s="460" t="s">
        <v>2614</v>
      </c>
      <c r="G100" s="460"/>
      <c r="H100" s="461" t="s">
        <v>2615</v>
      </c>
      <c r="I100" s="547">
        <f>ROUND(7,2)</f>
        <v>7</v>
      </c>
      <c r="J100" s="460" t="s">
        <v>2615</v>
      </c>
      <c r="K100" s="460" t="s">
        <v>2613</v>
      </c>
    </row>
    <row r="101" spans="1:11" customFormat="1">
      <c r="A101" s="460" t="s">
        <v>1810</v>
      </c>
      <c r="B101" s="460" t="s">
        <v>1689</v>
      </c>
      <c r="C101" s="460"/>
      <c r="D101" s="460" t="s">
        <v>1821</v>
      </c>
      <c r="E101" s="460" t="s">
        <v>1812</v>
      </c>
      <c r="F101" s="460" t="s">
        <v>2633</v>
      </c>
      <c r="G101" s="547">
        <f>ROUND(150,2)</f>
        <v>150</v>
      </c>
      <c r="H101" s="461"/>
      <c r="I101" s="547">
        <f>ROUND(150,2)</f>
        <v>150</v>
      </c>
      <c r="J101" s="460"/>
      <c r="K101" s="460" t="s">
        <v>2613</v>
      </c>
    </row>
    <row r="102" spans="1:11" customFormat="1">
      <c r="A102" s="460" t="s">
        <v>1810</v>
      </c>
      <c r="B102" s="460" t="s">
        <v>1689</v>
      </c>
      <c r="C102" s="460"/>
      <c r="D102" s="460" t="s">
        <v>1821</v>
      </c>
      <c r="E102" s="460" t="s">
        <v>1812</v>
      </c>
      <c r="F102" s="460" t="s">
        <v>2634</v>
      </c>
      <c r="G102" s="547">
        <f>ROUND(24,2)</f>
        <v>24</v>
      </c>
      <c r="H102" s="461"/>
      <c r="I102" s="547">
        <f>ROUND(24,2)</f>
        <v>24</v>
      </c>
      <c r="J102" s="460"/>
      <c r="K102" s="460" t="s">
        <v>2613</v>
      </c>
    </row>
    <row r="103" spans="1:11" customFormat="1">
      <c r="A103" s="460" t="s">
        <v>1810</v>
      </c>
      <c r="B103" s="460" t="s">
        <v>1689</v>
      </c>
      <c r="C103" s="460"/>
      <c r="D103" s="460" t="s">
        <v>1821</v>
      </c>
      <c r="E103" s="460" t="s">
        <v>1812</v>
      </c>
      <c r="F103" s="460" t="s">
        <v>2616</v>
      </c>
      <c r="G103" s="460"/>
      <c r="H103" s="461"/>
      <c r="I103" s="460"/>
      <c r="J103" s="460"/>
      <c r="K103" s="460" t="s">
        <v>2613</v>
      </c>
    </row>
    <row r="104" spans="1:11" customFormat="1">
      <c r="A104" s="460" t="s">
        <v>1810</v>
      </c>
      <c r="B104" s="460" t="s">
        <v>1293</v>
      </c>
      <c r="C104" s="460"/>
      <c r="D104" s="460" t="s">
        <v>1814</v>
      </c>
      <c r="E104" s="460" t="s">
        <v>1812</v>
      </c>
      <c r="F104" s="460" t="s">
        <v>2625</v>
      </c>
      <c r="G104" s="547">
        <f>ROUND(50,2)</f>
        <v>50</v>
      </c>
      <c r="H104" s="461"/>
      <c r="I104" s="547">
        <f>ROUND(50,2)</f>
        <v>50</v>
      </c>
      <c r="J104" s="460"/>
      <c r="K104" s="460" t="s">
        <v>2613</v>
      </c>
    </row>
    <row r="105" spans="1:11" customFormat="1">
      <c r="A105" s="460" t="s">
        <v>1810</v>
      </c>
      <c r="B105" s="460" t="s">
        <v>1293</v>
      </c>
      <c r="C105" s="460"/>
      <c r="D105" s="460" t="s">
        <v>1814</v>
      </c>
      <c r="E105" s="460" t="s">
        <v>1812</v>
      </c>
      <c r="F105" s="460" t="s">
        <v>2632</v>
      </c>
      <c r="G105" s="547">
        <f>ROUND(166.67,2)</f>
        <v>166.67</v>
      </c>
      <c r="H105" s="461"/>
      <c r="I105" s="547">
        <f>ROUND(166.67,2)</f>
        <v>166.67</v>
      </c>
      <c r="J105" s="460"/>
      <c r="K105" s="460" t="s">
        <v>2613</v>
      </c>
    </row>
    <row r="106" spans="1:11" customFormat="1">
      <c r="A106" s="460" t="s">
        <v>1810</v>
      </c>
      <c r="B106" s="460" t="s">
        <v>1293</v>
      </c>
      <c r="C106" s="460"/>
      <c r="D106" s="460" t="s">
        <v>1814</v>
      </c>
      <c r="E106" s="460" t="s">
        <v>1812</v>
      </c>
      <c r="F106" s="460" t="s">
        <v>2612</v>
      </c>
      <c r="G106" s="460"/>
      <c r="H106" s="461"/>
      <c r="I106" s="460"/>
      <c r="J106" s="460"/>
      <c r="K106" s="460" t="s">
        <v>2613</v>
      </c>
    </row>
    <row r="107" spans="1:11" customFormat="1">
      <c r="A107" s="460" t="s">
        <v>1810</v>
      </c>
      <c r="B107" s="460" t="s">
        <v>1293</v>
      </c>
      <c r="C107" s="460"/>
      <c r="D107" s="460" t="s">
        <v>1814</v>
      </c>
      <c r="E107" s="460" t="s">
        <v>1812</v>
      </c>
      <c r="F107" s="460" t="s">
        <v>2614</v>
      </c>
      <c r="G107" s="460"/>
      <c r="H107" s="461" t="s">
        <v>2615</v>
      </c>
      <c r="I107" s="547">
        <f>ROUND(7,2)</f>
        <v>7</v>
      </c>
      <c r="J107" s="460" t="s">
        <v>2615</v>
      </c>
      <c r="K107" s="460" t="s">
        <v>2613</v>
      </c>
    </row>
    <row r="108" spans="1:11" customFormat="1">
      <c r="A108" s="460" t="s">
        <v>1810</v>
      </c>
      <c r="B108" s="460" t="s">
        <v>1293</v>
      </c>
      <c r="C108" s="460"/>
      <c r="D108" s="460" t="s">
        <v>1814</v>
      </c>
      <c r="E108" s="460" t="s">
        <v>1812</v>
      </c>
      <c r="F108" s="460" t="s">
        <v>2627</v>
      </c>
      <c r="G108" s="547">
        <f>ROUND(50,2)</f>
        <v>50</v>
      </c>
      <c r="H108" s="461"/>
      <c r="I108" s="547">
        <f>ROUND(50,2)</f>
        <v>50</v>
      </c>
      <c r="J108" s="460"/>
      <c r="K108" s="460" t="s">
        <v>2613</v>
      </c>
    </row>
    <row r="109" spans="1:11" customFormat="1">
      <c r="A109" s="460" t="s">
        <v>1810</v>
      </c>
      <c r="B109" s="460" t="s">
        <v>1293</v>
      </c>
      <c r="C109" s="460"/>
      <c r="D109" s="460" t="s">
        <v>1814</v>
      </c>
      <c r="E109" s="460" t="s">
        <v>1812</v>
      </c>
      <c r="F109" s="460" t="s">
        <v>2620</v>
      </c>
      <c r="G109" s="547">
        <f>ROUND(10.22,2)</f>
        <v>10.220000000000001</v>
      </c>
      <c r="H109" s="461"/>
      <c r="I109" s="547">
        <f>ROUND(10.22,2)</f>
        <v>10.220000000000001</v>
      </c>
      <c r="J109" s="460"/>
      <c r="K109" s="460" t="s">
        <v>2613</v>
      </c>
    </row>
    <row r="110" spans="1:11" customFormat="1">
      <c r="A110" s="460" t="s">
        <v>1810</v>
      </c>
      <c r="B110" s="460" t="s">
        <v>1293</v>
      </c>
      <c r="C110" s="460"/>
      <c r="D110" s="460" t="s">
        <v>1814</v>
      </c>
      <c r="E110" s="460" t="s">
        <v>1812</v>
      </c>
      <c r="F110" s="460" t="s">
        <v>2616</v>
      </c>
      <c r="G110" s="460"/>
      <c r="H110" s="461"/>
      <c r="I110" s="460"/>
      <c r="J110" s="460"/>
      <c r="K110" s="460" t="s">
        <v>2613</v>
      </c>
    </row>
    <row r="111" spans="1:11" customFormat="1">
      <c r="A111" s="460" t="s">
        <v>1810</v>
      </c>
      <c r="B111" s="460" t="s">
        <v>1250</v>
      </c>
      <c r="C111" s="460"/>
      <c r="D111" s="460" t="s">
        <v>1816</v>
      </c>
      <c r="E111" s="460" t="s">
        <v>2015</v>
      </c>
      <c r="F111" s="460" t="s">
        <v>2612</v>
      </c>
      <c r="G111" s="460"/>
      <c r="H111" s="461"/>
      <c r="I111" s="460"/>
      <c r="J111" s="460"/>
      <c r="K111" s="460" t="s">
        <v>2613</v>
      </c>
    </row>
    <row r="112" spans="1:11" customFormat="1">
      <c r="A112" s="460" t="s">
        <v>1810</v>
      </c>
      <c r="B112" s="460" t="s">
        <v>1250</v>
      </c>
      <c r="C112" s="460"/>
      <c r="D112" s="460" t="s">
        <v>1816</v>
      </c>
      <c r="E112" s="460" t="s">
        <v>2015</v>
      </c>
      <c r="F112" s="460" t="s">
        <v>2614</v>
      </c>
      <c r="G112" s="460"/>
      <c r="H112" s="461" t="s">
        <v>2615</v>
      </c>
      <c r="I112" s="547">
        <f>ROUND(7,2)</f>
        <v>7</v>
      </c>
      <c r="J112" s="460" t="s">
        <v>2615</v>
      </c>
      <c r="K112" s="460" t="s">
        <v>2613</v>
      </c>
    </row>
    <row r="113" spans="1:11" customFormat="1">
      <c r="A113" s="460" t="s">
        <v>1810</v>
      </c>
      <c r="B113" s="460" t="s">
        <v>1250</v>
      </c>
      <c r="C113" s="460"/>
      <c r="D113" s="460" t="s">
        <v>1816</v>
      </c>
      <c r="E113" s="460" t="s">
        <v>2015</v>
      </c>
      <c r="F113" s="460" t="s">
        <v>2616</v>
      </c>
      <c r="G113" s="460"/>
      <c r="H113" s="461"/>
      <c r="I113" s="460"/>
      <c r="J113" s="460"/>
      <c r="K113" s="460" t="s">
        <v>2613</v>
      </c>
    </row>
    <row r="114" spans="1:11" customFormat="1">
      <c r="A114" s="460" t="s">
        <v>1810</v>
      </c>
      <c r="B114" s="460" t="s">
        <v>1250</v>
      </c>
      <c r="C114" s="460"/>
      <c r="D114" s="460" t="s">
        <v>1816</v>
      </c>
      <c r="E114" s="460" t="s">
        <v>2015</v>
      </c>
      <c r="F114" s="460" t="s">
        <v>2617</v>
      </c>
      <c r="G114" s="547">
        <f>ROUND(75,2)</f>
        <v>75</v>
      </c>
      <c r="H114" s="461"/>
      <c r="I114" s="547">
        <f>ROUND(75,2)</f>
        <v>75</v>
      </c>
      <c r="J114" s="460"/>
      <c r="K114" s="460" t="s">
        <v>2613</v>
      </c>
    </row>
    <row r="115" spans="1:11" customFormat="1">
      <c r="A115" s="460" t="s">
        <v>1810</v>
      </c>
      <c r="B115" s="460" t="s">
        <v>1250</v>
      </c>
      <c r="C115" s="460"/>
      <c r="D115" s="460" t="s">
        <v>1816</v>
      </c>
      <c r="E115" s="460" t="s">
        <v>2015</v>
      </c>
      <c r="F115" s="460" t="s">
        <v>2618</v>
      </c>
      <c r="G115" s="547">
        <f>ROUND(40,2)</f>
        <v>40</v>
      </c>
      <c r="H115" s="461"/>
      <c r="I115" s="547">
        <f>ROUND(40,2)</f>
        <v>40</v>
      </c>
      <c r="J115" s="460"/>
      <c r="K115" s="460" t="s">
        <v>2613</v>
      </c>
    </row>
    <row r="116" spans="1:11" customFormat="1">
      <c r="A116" s="460" t="s">
        <v>1810</v>
      </c>
      <c r="B116" s="460" t="s">
        <v>1213</v>
      </c>
      <c r="C116" s="460"/>
      <c r="D116" s="460" t="s">
        <v>1821</v>
      </c>
      <c r="E116" s="460" t="s">
        <v>1812</v>
      </c>
      <c r="F116" s="460" t="s">
        <v>2612</v>
      </c>
      <c r="G116" s="460"/>
      <c r="H116" s="461"/>
      <c r="I116" s="460"/>
      <c r="J116" s="460"/>
      <c r="K116" s="460" t="s">
        <v>2613</v>
      </c>
    </row>
    <row r="117" spans="1:11" customFormat="1">
      <c r="A117" s="460" t="s">
        <v>1810</v>
      </c>
      <c r="B117" s="460" t="s">
        <v>1213</v>
      </c>
      <c r="C117" s="460"/>
      <c r="D117" s="460" t="s">
        <v>1821</v>
      </c>
      <c r="E117" s="460" t="s">
        <v>1812</v>
      </c>
      <c r="F117" s="460" t="s">
        <v>2614</v>
      </c>
      <c r="G117" s="460"/>
      <c r="H117" s="461" t="s">
        <v>2615</v>
      </c>
      <c r="I117" s="547">
        <f>ROUND(7,2)</f>
        <v>7</v>
      </c>
      <c r="J117" s="460" t="s">
        <v>2615</v>
      </c>
      <c r="K117" s="460" t="s">
        <v>2613</v>
      </c>
    </row>
    <row r="118" spans="1:11" customFormat="1">
      <c r="A118" s="460" t="s">
        <v>1810</v>
      </c>
      <c r="B118" s="460" t="s">
        <v>1213</v>
      </c>
      <c r="C118" s="460"/>
      <c r="D118" s="460" t="s">
        <v>1821</v>
      </c>
      <c r="E118" s="460" t="s">
        <v>1812</v>
      </c>
      <c r="F118" s="460" t="s">
        <v>2627</v>
      </c>
      <c r="G118" s="547">
        <f>ROUND(600,2)</f>
        <v>600</v>
      </c>
      <c r="H118" s="461"/>
      <c r="I118" s="547">
        <f>ROUND(600,2)</f>
        <v>600</v>
      </c>
      <c r="J118" s="460"/>
      <c r="K118" s="460" t="s">
        <v>2613</v>
      </c>
    </row>
    <row r="119" spans="1:11" customFormat="1">
      <c r="A119" s="460" t="s">
        <v>1810</v>
      </c>
      <c r="B119" s="460" t="s">
        <v>1213</v>
      </c>
      <c r="C119" s="460"/>
      <c r="D119" s="460" t="s">
        <v>1821</v>
      </c>
      <c r="E119" s="460" t="s">
        <v>1812</v>
      </c>
      <c r="F119" s="460" t="s">
        <v>2634</v>
      </c>
      <c r="G119" s="547">
        <f>ROUND(36,2)</f>
        <v>36</v>
      </c>
      <c r="H119" s="461"/>
      <c r="I119" s="547">
        <f>ROUND(36,2)</f>
        <v>36</v>
      </c>
      <c r="J119" s="460"/>
      <c r="K119" s="460" t="s">
        <v>2613</v>
      </c>
    </row>
    <row r="120" spans="1:11" customFormat="1">
      <c r="A120" s="460" t="s">
        <v>1810</v>
      </c>
      <c r="B120" s="460" t="s">
        <v>1213</v>
      </c>
      <c r="C120" s="460"/>
      <c r="D120" s="460" t="s">
        <v>1821</v>
      </c>
      <c r="E120" s="460" t="s">
        <v>1812</v>
      </c>
      <c r="F120" s="460" t="s">
        <v>2625</v>
      </c>
      <c r="G120" s="547">
        <f>ROUND(50,2)</f>
        <v>50</v>
      </c>
      <c r="H120" s="461"/>
      <c r="I120" s="547">
        <f>ROUND(50,2)</f>
        <v>50</v>
      </c>
      <c r="J120" s="460"/>
      <c r="K120" s="460" t="s">
        <v>2613</v>
      </c>
    </row>
    <row r="121" spans="1:11" customFormat="1">
      <c r="A121" s="460" t="s">
        <v>1810</v>
      </c>
      <c r="B121" s="460" t="s">
        <v>1213</v>
      </c>
      <c r="C121" s="460"/>
      <c r="D121" s="460" t="s">
        <v>1821</v>
      </c>
      <c r="E121" s="460" t="s">
        <v>1812</v>
      </c>
      <c r="F121" s="460" t="s">
        <v>2620</v>
      </c>
      <c r="G121" s="547">
        <f>ROUND(10.22,2)</f>
        <v>10.220000000000001</v>
      </c>
      <c r="H121" s="461"/>
      <c r="I121" s="547">
        <f>ROUND(10.22,2)</f>
        <v>10.220000000000001</v>
      </c>
      <c r="J121" s="460"/>
      <c r="K121" s="460" t="s">
        <v>2613</v>
      </c>
    </row>
    <row r="122" spans="1:11" customFormat="1">
      <c r="A122" s="460" t="s">
        <v>1810</v>
      </c>
      <c r="B122" s="460" t="s">
        <v>1213</v>
      </c>
      <c r="C122" s="460"/>
      <c r="D122" s="460" t="s">
        <v>1821</v>
      </c>
      <c r="E122" s="460" t="s">
        <v>1812</v>
      </c>
      <c r="F122" s="460" t="s">
        <v>2616</v>
      </c>
      <c r="G122" s="460"/>
      <c r="H122" s="461"/>
      <c r="I122" s="460"/>
      <c r="J122" s="460"/>
      <c r="K122" s="460" t="s">
        <v>2613</v>
      </c>
    </row>
    <row r="123" spans="1:11" customFormat="1">
      <c r="A123" s="460" t="s">
        <v>1810</v>
      </c>
      <c r="B123" s="460" t="s">
        <v>1711</v>
      </c>
      <c r="C123" s="460"/>
      <c r="D123" s="460" t="s">
        <v>1814</v>
      </c>
      <c r="E123" s="460" t="s">
        <v>1812</v>
      </c>
      <c r="F123" s="460" t="s">
        <v>2632</v>
      </c>
      <c r="G123" s="547">
        <f>ROUND(166.67,2)</f>
        <v>166.67</v>
      </c>
      <c r="H123" s="461"/>
      <c r="I123" s="547">
        <f>ROUND(166.67,2)</f>
        <v>166.67</v>
      </c>
      <c r="J123" s="460"/>
      <c r="K123" s="460" t="s">
        <v>2613</v>
      </c>
    </row>
    <row r="124" spans="1:11" customFormat="1">
      <c r="A124" s="460" t="s">
        <v>1810</v>
      </c>
      <c r="B124" s="460" t="s">
        <v>1711</v>
      </c>
      <c r="C124" s="460"/>
      <c r="D124" s="460" t="s">
        <v>1814</v>
      </c>
      <c r="E124" s="460" t="s">
        <v>1812</v>
      </c>
      <c r="F124" s="460" t="s">
        <v>2612</v>
      </c>
      <c r="G124" s="460"/>
      <c r="H124" s="461"/>
      <c r="I124" s="460"/>
      <c r="J124" s="460"/>
      <c r="K124" s="460" t="s">
        <v>2613</v>
      </c>
    </row>
    <row r="125" spans="1:11" customFormat="1">
      <c r="A125" s="460" t="s">
        <v>1810</v>
      </c>
      <c r="B125" s="460" t="s">
        <v>1711</v>
      </c>
      <c r="C125" s="460"/>
      <c r="D125" s="460" t="s">
        <v>1814</v>
      </c>
      <c r="E125" s="460" t="s">
        <v>1812</v>
      </c>
      <c r="F125" s="460" t="s">
        <v>2614</v>
      </c>
      <c r="G125" s="460"/>
      <c r="H125" s="461" t="s">
        <v>2615</v>
      </c>
      <c r="I125" s="547">
        <f>ROUND(7,2)</f>
        <v>7</v>
      </c>
      <c r="J125" s="460" t="s">
        <v>2615</v>
      </c>
      <c r="K125" s="460" t="s">
        <v>2613</v>
      </c>
    </row>
    <row r="126" spans="1:11" customFormat="1">
      <c r="A126" s="460" t="s">
        <v>1810</v>
      </c>
      <c r="B126" s="460" t="s">
        <v>1711</v>
      </c>
      <c r="C126" s="460"/>
      <c r="D126" s="460" t="s">
        <v>1814</v>
      </c>
      <c r="E126" s="460" t="s">
        <v>1812</v>
      </c>
      <c r="F126" s="460" t="s">
        <v>2616</v>
      </c>
      <c r="G126" s="460"/>
      <c r="H126" s="461"/>
      <c r="I126" s="460"/>
      <c r="J126" s="460"/>
      <c r="K126" s="460" t="s">
        <v>2613</v>
      </c>
    </row>
    <row r="127" spans="1:11" customFormat="1">
      <c r="A127" s="460" t="s">
        <v>1810</v>
      </c>
      <c r="B127" s="460" t="s">
        <v>1221</v>
      </c>
      <c r="C127" s="460"/>
      <c r="D127" s="460" t="s">
        <v>1814</v>
      </c>
      <c r="E127" s="460" t="s">
        <v>1812</v>
      </c>
      <c r="F127" s="460" t="s">
        <v>2625</v>
      </c>
      <c r="G127" s="547">
        <f>ROUND(50,2)</f>
        <v>50</v>
      </c>
      <c r="H127" s="461"/>
      <c r="I127" s="547">
        <f>ROUND(50,2)</f>
        <v>50</v>
      </c>
      <c r="J127" s="460"/>
      <c r="K127" s="460" t="s">
        <v>2613</v>
      </c>
    </row>
    <row r="128" spans="1:11" customFormat="1">
      <c r="A128" s="460" t="s">
        <v>1810</v>
      </c>
      <c r="B128" s="460" t="s">
        <v>1221</v>
      </c>
      <c r="C128" s="460"/>
      <c r="D128" s="460" t="s">
        <v>1814</v>
      </c>
      <c r="E128" s="460" t="s">
        <v>1812</v>
      </c>
      <c r="F128" s="460" t="s">
        <v>2612</v>
      </c>
      <c r="G128" s="460"/>
      <c r="H128" s="461"/>
      <c r="I128" s="460"/>
      <c r="J128" s="460"/>
      <c r="K128" s="460" t="s">
        <v>2613</v>
      </c>
    </row>
    <row r="129" spans="1:11" customFormat="1">
      <c r="A129" s="460" t="s">
        <v>1810</v>
      </c>
      <c r="B129" s="460" t="s">
        <v>1221</v>
      </c>
      <c r="C129" s="460"/>
      <c r="D129" s="460" t="s">
        <v>1814</v>
      </c>
      <c r="E129" s="460" t="s">
        <v>1812</v>
      </c>
      <c r="F129" s="460" t="s">
        <v>2614</v>
      </c>
      <c r="G129" s="460"/>
      <c r="H129" s="461" t="s">
        <v>2615</v>
      </c>
      <c r="I129" s="547">
        <f>ROUND(7,2)</f>
        <v>7</v>
      </c>
      <c r="J129" s="460" t="s">
        <v>2615</v>
      </c>
      <c r="K129" s="460" t="s">
        <v>2613</v>
      </c>
    </row>
    <row r="130" spans="1:11" customFormat="1">
      <c r="A130" s="460" t="s">
        <v>1810</v>
      </c>
      <c r="B130" s="460" t="s">
        <v>1221</v>
      </c>
      <c r="C130" s="460"/>
      <c r="D130" s="460" t="s">
        <v>1814</v>
      </c>
      <c r="E130" s="460" t="s">
        <v>1812</v>
      </c>
      <c r="F130" s="460" t="s">
        <v>2616</v>
      </c>
      <c r="G130" s="460"/>
      <c r="H130" s="461"/>
      <c r="I130" s="460"/>
      <c r="J130" s="460"/>
      <c r="K130" s="460" t="s">
        <v>2613</v>
      </c>
    </row>
    <row r="131" spans="1:11" customFormat="1">
      <c r="A131" s="460" t="s">
        <v>1810</v>
      </c>
      <c r="B131" s="460" t="s">
        <v>1221</v>
      </c>
      <c r="C131" s="460"/>
      <c r="D131" s="460" t="s">
        <v>1814</v>
      </c>
      <c r="E131" s="460" t="s">
        <v>1812</v>
      </c>
      <c r="F131" s="460" t="s">
        <v>2618</v>
      </c>
      <c r="G131" s="547">
        <f>ROUND(40,2)</f>
        <v>40</v>
      </c>
      <c r="H131" s="461"/>
      <c r="I131" s="547">
        <f>ROUND(40,2)</f>
        <v>40</v>
      </c>
      <c r="J131" s="460"/>
      <c r="K131" s="460" t="s">
        <v>2613</v>
      </c>
    </row>
    <row r="132" spans="1:11" customFormat="1">
      <c r="A132" s="460" t="s">
        <v>1810</v>
      </c>
      <c r="B132" s="460" t="s">
        <v>1221</v>
      </c>
      <c r="C132" s="460"/>
      <c r="D132" s="460" t="s">
        <v>1814</v>
      </c>
      <c r="E132" s="460" t="s">
        <v>1812</v>
      </c>
      <c r="F132" s="460" t="s">
        <v>2617</v>
      </c>
      <c r="G132" s="547">
        <f>ROUND(75,2)</f>
        <v>75</v>
      </c>
      <c r="H132" s="461"/>
      <c r="I132" s="547">
        <f>ROUND(75,2)</f>
        <v>75</v>
      </c>
      <c r="J132" s="460"/>
      <c r="K132" s="460" t="s">
        <v>2613</v>
      </c>
    </row>
    <row r="133" spans="1:11" customFormat="1">
      <c r="A133" s="460" t="s">
        <v>1810</v>
      </c>
      <c r="B133" s="460" t="s">
        <v>1653</v>
      </c>
      <c r="C133" s="460"/>
      <c r="D133" s="460" t="s">
        <v>1816</v>
      </c>
      <c r="E133" s="460" t="s">
        <v>2611</v>
      </c>
      <c r="F133" s="460" t="s">
        <v>2623</v>
      </c>
      <c r="G133" s="460"/>
      <c r="H133" s="461"/>
      <c r="I133" s="460"/>
      <c r="J133" s="460"/>
      <c r="K133" s="460" t="s">
        <v>2613</v>
      </c>
    </row>
    <row r="134" spans="1:11" customFormat="1">
      <c r="A134" s="460" t="s">
        <v>1810</v>
      </c>
      <c r="B134" s="460" t="s">
        <v>2441</v>
      </c>
      <c r="C134" s="460"/>
      <c r="D134" s="460" t="s">
        <v>1816</v>
      </c>
      <c r="E134" s="460" t="s">
        <v>2611</v>
      </c>
      <c r="F134" s="460" t="s">
        <v>2623</v>
      </c>
      <c r="G134" s="460"/>
      <c r="H134" s="461"/>
      <c r="I134" s="460"/>
      <c r="J134" s="460"/>
      <c r="K134" s="460" t="s">
        <v>2613</v>
      </c>
    </row>
    <row r="135" spans="1:11" customFormat="1">
      <c r="A135" s="460" t="s">
        <v>1810</v>
      </c>
      <c r="B135" s="460" t="s">
        <v>2432</v>
      </c>
      <c r="C135" s="460"/>
      <c r="D135" s="460" t="s">
        <v>1816</v>
      </c>
      <c r="E135" s="460" t="s">
        <v>2611</v>
      </c>
      <c r="F135" s="460" t="s">
        <v>2612</v>
      </c>
      <c r="G135" s="460"/>
      <c r="H135" s="461"/>
      <c r="I135" s="460"/>
      <c r="J135" s="460"/>
      <c r="K135" s="460" t="s">
        <v>2613</v>
      </c>
    </row>
    <row r="136" spans="1:11" customFormat="1">
      <c r="A136" s="460" t="s">
        <v>1810</v>
      </c>
      <c r="B136" s="460" t="s">
        <v>1744</v>
      </c>
      <c r="C136" s="460"/>
      <c r="D136" s="460" t="s">
        <v>1816</v>
      </c>
      <c r="E136" s="460" t="s">
        <v>2611</v>
      </c>
      <c r="F136" s="460" t="s">
        <v>2612</v>
      </c>
      <c r="G136" s="460"/>
      <c r="H136" s="461"/>
      <c r="I136" s="460"/>
      <c r="J136" s="460"/>
      <c r="K136" s="460" t="s">
        <v>2613</v>
      </c>
    </row>
    <row r="137" spans="1:11" customFormat="1">
      <c r="A137" s="460" t="s">
        <v>1810</v>
      </c>
      <c r="B137" s="460" t="s">
        <v>2921</v>
      </c>
      <c r="C137" s="460"/>
      <c r="D137" s="460" t="s">
        <v>1821</v>
      </c>
      <c r="E137" s="460" t="s">
        <v>1812</v>
      </c>
      <c r="F137" s="460" t="s">
        <v>2612</v>
      </c>
      <c r="G137" s="460"/>
      <c r="H137" s="461"/>
      <c r="I137" s="460"/>
      <c r="J137" s="460"/>
      <c r="K137" s="460" t="s">
        <v>2613</v>
      </c>
    </row>
    <row r="138" spans="1:11" customFormat="1">
      <c r="A138" s="460" t="s">
        <v>1810</v>
      </c>
      <c r="B138" s="460" t="s">
        <v>2921</v>
      </c>
      <c r="C138" s="460"/>
      <c r="D138" s="460" t="s">
        <v>1821</v>
      </c>
      <c r="E138" s="460" t="s">
        <v>1812</v>
      </c>
      <c r="F138" s="460" t="s">
        <v>2627</v>
      </c>
      <c r="G138" s="547">
        <f>ROUND(15,2)</f>
        <v>15</v>
      </c>
      <c r="H138" s="461"/>
      <c r="I138" s="547">
        <f>ROUND(15,2)</f>
        <v>15</v>
      </c>
      <c r="J138" s="460"/>
      <c r="K138" s="460" t="s">
        <v>2613</v>
      </c>
    </row>
    <row r="139" spans="1:11" customFormat="1">
      <c r="A139" s="460" t="s">
        <v>1810</v>
      </c>
      <c r="B139" s="460" t="s">
        <v>2921</v>
      </c>
      <c r="C139" s="460"/>
      <c r="D139" s="460" t="s">
        <v>1821</v>
      </c>
      <c r="E139" s="460" t="s">
        <v>1812</v>
      </c>
      <c r="F139" s="460" t="s">
        <v>2616</v>
      </c>
      <c r="G139" s="460"/>
      <c r="H139" s="461"/>
      <c r="I139" s="460"/>
      <c r="J139" s="460"/>
      <c r="K139" s="460" t="s">
        <v>2613</v>
      </c>
    </row>
    <row r="140" spans="1:11" customFormat="1">
      <c r="A140" s="460" t="s">
        <v>1810</v>
      </c>
      <c r="B140" s="460" t="s">
        <v>2921</v>
      </c>
      <c r="C140" s="460"/>
      <c r="D140" s="460" t="s">
        <v>1821</v>
      </c>
      <c r="E140" s="460" t="s">
        <v>1812</v>
      </c>
      <c r="F140" s="460" t="s">
        <v>2614</v>
      </c>
      <c r="G140" s="460"/>
      <c r="H140" s="461" t="s">
        <v>2615</v>
      </c>
      <c r="I140" s="547">
        <f>ROUND(7,2)</f>
        <v>7</v>
      </c>
      <c r="J140" s="460" t="s">
        <v>2615</v>
      </c>
      <c r="K140" s="460" t="s">
        <v>2613</v>
      </c>
    </row>
    <row r="141" spans="1:11" customFormat="1">
      <c r="A141" s="460" t="s">
        <v>1810</v>
      </c>
      <c r="B141" s="460" t="s">
        <v>2569</v>
      </c>
      <c r="C141" s="460"/>
      <c r="D141" s="460" t="s">
        <v>1816</v>
      </c>
      <c r="E141" s="460" t="s">
        <v>2611</v>
      </c>
      <c r="F141" s="460" t="s">
        <v>2612</v>
      </c>
      <c r="G141" s="460"/>
      <c r="H141" s="461"/>
      <c r="I141" s="460"/>
      <c r="J141" s="460"/>
      <c r="K141" s="460" t="s">
        <v>2613</v>
      </c>
    </row>
    <row r="142" spans="1:11" customFormat="1" ht="22.8">
      <c r="A142" s="460" t="s">
        <v>1810</v>
      </c>
      <c r="B142" s="460" t="s">
        <v>1255</v>
      </c>
      <c r="C142" s="460"/>
      <c r="D142" s="460" t="s">
        <v>1823</v>
      </c>
      <c r="E142" s="460" t="s">
        <v>1812</v>
      </c>
      <c r="F142" s="460" t="s">
        <v>2612</v>
      </c>
      <c r="G142" s="460"/>
      <c r="H142" s="461"/>
      <c r="I142" s="460"/>
      <c r="J142" s="460"/>
      <c r="K142" s="460" t="s">
        <v>2613</v>
      </c>
    </row>
    <row r="143" spans="1:11" customFormat="1" ht="22.8">
      <c r="A143" s="460" t="s">
        <v>1810</v>
      </c>
      <c r="B143" s="460" t="s">
        <v>1255</v>
      </c>
      <c r="C143" s="460"/>
      <c r="D143" s="460" t="s">
        <v>1823</v>
      </c>
      <c r="E143" s="460" t="s">
        <v>1812</v>
      </c>
      <c r="F143" s="460" t="s">
        <v>2614</v>
      </c>
      <c r="G143" s="460"/>
      <c r="H143" s="461" t="s">
        <v>2615</v>
      </c>
      <c r="I143" s="547">
        <f>ROUND(7,2)</f>
        <v>7</v>
      </c>
      <c r="J143" s="460" t="s">
        <v>2615</v>
      </c>
      <c r="K143" s="460" t="s">
        <v>2613</v>
      </c>
    </row>
    <row r="144" spans="1:11" customFormat="1" ht="22.8">
      <c r="A144" s="460" t="s">
        <v>1810</v>
      </c>
      <c r="B144" s="460" t="s">
        <v>1255</v>
      </c>
      <c r="C144" s="460"/>
      <c r="D144" s="460" t="s">
        <v>1823</v>
      </c>
      <c r="E144" s="460" t="s">
        <v>1812</v>
      </c>
      <c r="F144" s="460" t="s">
        <v>2616</v>
      </c>
      <c r="G144" s="460"/>
      <c r="H144" s="461"/>
      <c r="I144" s="460"/>
      <c r="J144" s="460"/>
      <c r="K144" s="460" t="s">
        <v>2613</v>
      </c>
    </row>
    <row r="145" spans="1:11" customFormat="1" ht="22.8">
      <c r="A145" s="460" t="s">
        <v>1810</v>
      </c>
      <c r="B145" s="460" t="s">
        <v>1255</v>
      </c>
      <c r="C145" s="460"/>
      <c r="D145" s="460" t="s">
        <v>1823</v>
      </c>
      <c r="E145" s="460" t="s">
        <v>1812</v>
      </c>
      <c r="F145" s="460" t="s">
        <v>2617</v>
      </c>
      <c r="G145" s="547">
        <f>ROUND(75,2)</f>
        <v>75</v>
      </c>
      <c r="H145" s="461"/>
      <c r="I145" s="547">
        <f>ROUND(75,2)</f>
        <v>75</v>
      </c>
      <c r="J145" s="460"/>
      <c r="K145" s="460" t="s">
        <v>2613</v>
      </c>
    </row>
    <row r="146" spans="1:11" customFormat="1" ht="22.8">
      <c r="A146" s="460" t="s">
        <v>1810</v>
      </c>
      <c r="B146" s="460" t="s">
        <v>1255</v>
      </c>
      <c r="C146" s="460"/>
      <c r="D146" s="460" t="s">
        <v>1823</v>
      </c>
      <c r="E146" s="460" t="s">
        <v>1812</v>
      </c>
      <c r="F146" s="460" t="s">
        <v>2618</v>
      </c>
      <c r="G146" s="547">
        <f>ROUND(40,2)</f>
        <v>40</v>
      </c>
      <c r="H146" s="461"/>
      <c r="I146" s="547">
        <f>ROUND(40,2)</f>
        <v>40</v>
      </c>
      <c r="J146" s="460"/>
      <c r="K146" s="460" t="s">
        <v>2613</v>
      </c>
    </row>
    <row r="147" spans="1:11" customFormat="1">
      <c r="A147" s="460" t="s">
        <v>1810</v>
      </c>
      <c r="B147" s="460" t="s">
        <v>2935</v>
      </c>
      <c r="C147" s="460"/>
      <c r="D147" s="460" t="s">
        <v>1816</v>
      </c>
      <c r="E147" s="460" t="s">
        <v>2611</v>
      </c>
      <c r="F147" s="460" t="s">
        <v>2612</v>
      </c>
      <c r="G147" s="460"/>
      <c r="H147" s="461"/>
      <c r="I147" s="460"/>
      <c r="J147" s="460"/>
      <c r="K147" s="460" t="s">
        <v>2613</v>
      </c>
    </row>
    <row r="148" spans="1:11" customFormat="1">
      <c r="A148" s="460" t="s">
        <v>1810</v>
      </c>
      <c r="B148" s="460" t="s">
        <v>2514</v>
      </c>
      <c r="C148" s="460"/>
      <c r="D148" s="460" t="s">
        <v>1814</v>
      </c>
      <c r="E148" s="460" t="s">
        <v>1812</v>
      </c>
      <c r="F148" s="460" t="s">
        <v>2616</v>
      </c>
      <c r="G148" s="547">
        <f>ROUND(10,2)</f>
        <v>10</v>
      </c>
      <c r="H148" s="461"/>
      <c r="I148" s="547">
        <f>ROUND(10,2)</f>
        <v>10</v>
      </c>
      <c r="J148" s="460"/>
      <c r="K148" s="460" t="s">
        <v>2613</v>
      </c>
    </row>
    <row r="149" spans="1:11" customFormat="1">
      <c r="A149" s="460" t="s">
        <v>1810</v>
      </c>
      <c r="B149" s="460" t="s">
        <v>2514</v>
      </c>
      <c r="C149" s="460"/>
      <c r="D149" s="460" t="s">
        <v>1814</v>
      </c>
      <c r="E149" s="460" t="s">
        <v>1812</v>
      </c>
      <c r="F149" s="460" t="s">
        <v>2620</v>
      </c>
      <c r="G149" s="547">
        <f>ROUND(10.22,2)</f>
        <v>10.220000000000001</v>
      </c>
      <c r="H149" s="461"/>
      <c r="I149" s="547">
        <f>ROUND(10.22,2)</f>
        <v>10.220000000000001</v>
      </c>
      <c r="J149" s="460"/>
      <c r="K149" s="460" t="s">
        <v>2613</v>
      </c>
    </row>
    <row r="150" spans="1:11" customFormat="1">
      <c r="A150" s="460" t="s">
        <v>1810</v>
      </c>
      <c r="B150" s="460" t="s">
        <v>2514</v>
      </c>
      <c r="C150" s="460"/>
      <c r="D150" s="460" t="s">
        <v>1814</v>
      </c>
      <c r="E150" s="460" t="s">
        <v>1812</v>
      </c>
      <c r="F150" s="460" t="s">
        <v>2612</v>
      </c>
      <c r="G150" s="460"/>
      <c r="H150" s="461"/>
      <c r="I150" s="460"/>
      <c r="J150" s="460"/>
      <c r="K150" s="460" t="s">
        <v>2613</v>
      </c>
    </row>
    <row r="151" spans="1:11" customFormat="1">
      <c r="A151" s="460" t="s">
        <v>1810</v>
      </c>
      <c r="B151" s="460" t="s">
        <v>2514</v>
      </c>
      <c r="C151" s="460"/>
      <c r="D151" s="460" t="s">
        <v>1814</v>
      </c>
      <c r="E151" s="460" t="s">
        <v>1812</v>
      </c>
      <c r="F151" s="460" t="s">
        <v>2614</v>
      </c>
      <c r="G151" s="460"/>
      <c r="H151" s="461" t="s">
        <v>2615</v>
      </c>
      <c r="I151" s="547">
        <f>ROUND(7,2)</f>
        <v>7</v>
      </c>
      <c r="J151" s="460" t="s">
        <v>2615</v>
      </c>
      <c r="K151" s="460" t="s">
        <v>2613</v>
      </c>
    </row>
    <row r="152" spans="1:11" customFormat="1">
      <c r="A152" s="460" t="s">
        <v>1810</v>
      </c>
      <c r="B152" s="460" t="s">
        <v>2514</v>
      </c>
      <c r="C152" s="460"/>
      <c r="D152" s="460" t="s">
        <v>1814</v>
      </c>
      <c r="E152" s="460" t="s">
        <v>1812</v>
      </c>
      <c r="F152" s="460" t="s">
        <v>2632</v>
      </c>
      <c r="G152" s="547">
        <f>ROUND(166.67,2)</f>
        <v>166.67</v>
      </c>
      <c r="H152" s="461"/>
      <c r="I152" s="547">
        <f>ROUND(166.67,2)</f>
        <v>166.67</v>
      </c>
      <c r="J152" s="460"/>
      <c r="K152" s="460" t="s">
        <v>2613</v>
      </c>
    </row>
    <row r="153" spans="1:11" customFormat="1">
      <c r="A153" s="460" t="s">
        <v>1810</v>
      </c>
      <c r="B153" s="460" t="s">
        <v>1767</v>
      </c>
      <c r="C153" s="460"/>
      <c r="D153" s="460" t="s">
        <v>1816</v>
      </c>
      <c r="E153" s="460" t="s">
        <v>2611</v>
      </c>
      <c r="F153" s="460" t="s">
        <v>2612</v>
      </c>
      <c r="G153" s="460"/>
      <c r="H153" s="461"/>
      <c r="I153" s="460"/>
      <c r="J153" s="460"/>
      <c r="K153" s="460" t="s">
        <v>2613</v>
      </c>
    </row>
    <row r="154" spans="1:11" customFormat="1">
      <c r="A154" s="460" t="s">
        <v>1810</v>
      </c>
      <c r="B154" s="460" t="s">
        <v>2936</v>
      </c>
      <c r="C154" s="460"/>
      <c r="D154" s="460" t="s">
        <v>1816</v>
      </c>
      <c r="E154" s="460" t="s">
        <v>2611</v>
      </c>
      <c r="F154" s="460" t="s">
        <v>2612</v>
      </c>
      <c r="G154" s="460"/>
      <c r="H154" s="461"/>
      <c r="I154" s="460"/>
      <c r="J154" s="460"/>
      <c r="K154" s="460" t="s">
        <v>2613</v>
      </c>
    </row>
    <row r="155" spans="1:11" customFormat="1">
      <c r="A155" s="460" t="s">
        <v>1810</v>
      </c>
      <c r="B155" s="460" t="s">
        <v>1569</v>
      </c>
      <c r="C155" s="460"/>
      <c r="D155" s="460" t="s">
        <v>1816</v>
      </c>
      <c r="E155" s="460" t="s">
        <v>2611</v>
      </c>
      <c r="F155" s="460" t="s">
        <v>2612</v>
      </c>
      <c r="G155" s="460"/>
      <c r="H155" s="461"/>
      <c r="I155" s="460"/>
      <c r="J155" s="460"/>
      <c r="K155" s="460" t="s">
        <v>2613</v>
      </c>
    </row>
    <row r="156" spans="1:11" customFormat="1">
      <c r="A156" s="460" t="s">
        <v>1810</v>
      </c>
      <c r="B156" s="460" t="s">
        <v>2937</v>
      </c>
      <c r="C156" s="460"/>
      <c r="D156" s="460" t="s">
        <v>1816</v>
      </c>
      <c r="E156" s="460" t="s">
        <v>2611</v>
      </c>
      <c r="F156" s="460" t="s">
        <v>2612</v>
      </c>
      <c r="G156" s="460"/>
      <c r="H156" s="461"/>
      <c r="I156" s="460"/>
      <c r="J156" s="460"/>
      <c r="K156" s="460" t="s">
        <v>2613</v>
      </c>
    </row>
    <row r="157" spans="1:11" customFormat="1">
      <c r="A157" s="460" t="s">
        <v>1810</v>
      </c>
      <c r="B157" s="460" t="s">
        <v>1723</v>
      </c>
      <c r="C157" s="460"/>
      <c r="D157" s="460" t="s">
        <v>1817</v>
      </c>
      <c r="E157" s="460" t="s">
        <v>1812</v>
      </c>
      <c r="F157" s="460" t="s">
        <v>2614</v>
      </c>
      <c r="G157" s="460"/>
      <c r="H157" s="461" t="s">
        <v>2615</v>
      </c>
      <c r="I157" s="547">
        <f>ROUND(7,2)</f>
        <v>7</v>
      </c>
      <c r="J157" s="460" t="s">
        <v>2615</v>
      </c>
      <c r="K157" s="460" t="s">
        <v>2613</v>
      </c>
    </row>
    <row r="158" spans="1:11" customFormat="1">
      <c r="A158" s="460" t="s">
        <v>1810</v>
      </c>
      <c r="B158" s="460" t="s">
        <v>1723</v>
      </c>
      <c r="C158" s="460"/>
      <c r="D158" s="460" t="s">
        <v>1817</v>
      </c>
      <c r="E158" s="460" t="s">
        <v>1812</v>
      </c>
      <c r="F158" s="460" t="s">
        <v>2612</v>
      </c>
      <c r="G158" s="460"/>
      <c r="H158" s="461"/>
      <c r="I158" s="460"/>
      <c r="J158" s="460"/>
      <c r="K158" s="460" t="s">
        <v>2613</v>
      </c>
    </row>
    <row r="159" spans="1:11" customFormat="1">
      <c r="A159" s="460" t="s">
        <v>1810</v>
      </c>
      <c r="B159" s="460" t="s">
        <v>1723</v>
      </c>
      <c r="C159" s="460"/>
      <c r="D159" s="460" t="s">
        <v>1817</v>
      </c>
      <c r="E159" s="460" t="s">
        <v>1812</v>
      </c>
      <c r="F159" s="460" t="s">
        <v>2616</v>
      </c>
      <c r="G159" s="460"/>
      <c r="H159" s="461"/>
      <c r="I159" s="460"/>
      <c r="J159" s="460"/>
      <c r="K159" s="460" t="s">
        <v>2613</v>
      </c>
    </row>
    <row r="160" spans="1:11" customFormat="1">
      <c r="A160" s="460" t="s">
        <v>1810</v>
      </c>
      <c r="B160" s="460" t="s">
        <v>1935</v>
      </c>
      <c r="C160" s="460"/>
      <c r="D160" s="460" t="s">
        <v>1816</v>
      </c>
      <c r="E160" s="460" t="s">
        <v>2611</v>
      </c>
      <c r="F160" s="460" t="s">
        <v>2612</v>
      </c>
      <c r="G160" s="460"/>
      <c r="H160" s="461"/>
      <c r="I160" s="460"/>
      <c r="J160" s="460"/>
      <c r="K160" s="460" t="s">
        <v>2613</v>
      </c>
    </row>
    <row r="161" spans="1:11" customFormat="1" ht="22.8">
      <c r="A161" s="460" t="s">
        <v>1810</v>
      </c>
      <c r="B161" s="460" t="s">
        <v>2559</v>
      </c>
      <c r="C161" s="460"/>
      <c r="D161" s="460" t="s">
        <v>1819</v>
      </c>
      <c r="E161" s="460" t="s">
        <v>1812</v>
      </c>
      <c r="F161" s="460" t="s">
        <v>2616</v>
      </c>
      <c r="G161" s="460"/>
      <c r="H161" s="461"/>
      <c r="I161" s="460"/>
      <c r="J161" s="460"/>
      <c r="K161" s="460" t="s">
        <v>2613</v>
      </c>
    </row>
    <row r="162" spans="1:11" customFormat="1" ht="22.8">
      <c r="A162" s="460" t="s">
        <v>1810</v>
      </c>
      <c r="B162" s="460" t="s">
        <v>2559</v>
      </c>
      <c r="C162" s="460"/>
      <c r="D162" s="460" t="s">
        <v>1819</v>
      </c>
      <c r="E162" s="460" t="s">
        <v>1812</v>
      </c>
      <c r="F162" s="460" t="s">
        <v>2612</v>
      </c>
      <c r="G162" s="460"/>
      <c r="H162" s="461"/>
      <c r="I162" s="460"/>
      <c r="J162" s="460"/>
      <c r="K162" s="460" t="s">
        <v>2613</v>
      </c>
    </row>
    <row r="163" spans="1:11" customFormat="1" ht="22.8">
      <c r="A163" s="460" t="s">
        <v>1810</v>
      </c>
      <c r="B163" s="460" t="s">
        <v>2559</v>
      </c>
      <c r="C163" s="460"/>
      <c r="D163" s="460" t="s">
        <v>1819</v>
      </c>
      <c r="E163" s="460" t="s">
        <v>1812</v>
      </c>
      <c r="F163" s="460" t="s">
        <v>2614</v>
      </c>
      <c r="G163" s="460"/>
      <c r="H163" s="461" t="s">
        <v>2615</v>
      </c>
      <c r="I163" s="547">
        <f>ROUND(7,2)</f>
        <v>7</v>
      </c>
      <c r="J163" s="460" t="s">
        <v>2615</v>
      </c>
      <c r="K163" s="460" t="s">
        <v>2613</v>
      </c>
    </row>
    <row r="164" spans="1:11" customFormat="1" ht="22.8">
      <c r="A164" s="460" t="s">
        <v>1810</v>
      </c>
      <c r="B164" s="460" t="s">
        <v>2559</v>
      </c>
      <c r="C164" s="460"/>
      <c r="D164" s="460" t="s">
        <v>1819</v>
      </c>
      <c r="E164" s="460" t="s">
        <v>1812</v>
      </c>
      <c r="F164" s="460" t="s">
        <v>2620</v>
      </c>
      <c r="G164" s="547">
        <f>ROUND(10.22,2)</f>
        <v>10.220000000000001</v>
      </c>
      <c r="H164" s="461"/>
      <c r="I164" s="547">
        <f>ROUND(10.22,2)</f>
        <v>10.220000000000001</v>
      </c>
      <c r="J164" s="460"/>
      <c r="K164" s="460" t="s">
        <v>2613</v>
      </c>
    </row>
    <row r="165" spans="1:11" customFormat="1">
      <c r="A165" s="460" t="s">
        <v>1810</v>
      </c>
      <c r="B165" s="460" t="s">
        <v>2571</v>
      </c>
      <c r="C165" s="460"/>
      <c r="D165" s="460" t="s">
        <v>1816</v>
      </c>
      <c r="E165" s="460" t="s">
        <v>2611</v>
      </c>
      <c r="F165" s="460" t="s">
        <v>2612</v>
      </c>
      <c r="G165" s="460"/>
      <c r="H165" s="461" t="s">
        <v>2635</v>
      </c>
      <c r="I165" s="547">
        <f>ROUND(75,2)</f>
        <v>75</v>
      </c>
      <c r="J165" s="460" t="s">
        <v>2635</v>
      </c>
      <c r="K165" s="460" t="s">
        <v>2613</v>
      </c>
    </row>
    <row r="166" spans="1:11" customFormat="1">
      <c r="A166" s="460" t="s">
        <v>1810</v>
      </c>
      <c r="B166" s="460" t="s">
        <v>2571</v>
      </c>
      <c r="C166" s="460"/>
      <c r="D166" s="460" t="s">
        <v>1816</v>
      </c>
      <c r="E166" s="460" t="s">
        <v>2611</v>
      </c>
      <c r="F166" s="460" t="s">
        <v>2623</v>
      </c>
      <c r="G166" s="460"/>
      <c r="H166" s="461" t="s">
        <v>2636</v>
      </c>
      <c r="I166" s="547">
        <f>ROUND(25,2)</f>
        <v>25</v>
      </c>
      <c r="J166" s="460" t="s">
        <v>2636</v>
      </c>
      <c r="K166" s="460" t="s">
        <v>2613</v>
      </c>
    </row>
    <row r="167" spans="1:11" customFormat="1">
      <c r="A167" s="460" t="s">
        <v>1810</v>
      </c>
      <c r="B167" s="460" t="s">
        <v>2455</v>
      </c>
      <c r="C167" s="460"/>
      <c r="D167" s="460" t="s">
        <v>1816</v>
      </c>
      <c r="E167" s="460" t="s">
        <v>2611</v>
      </c>
      <c r="F167" s="460" t="s">
        <v>2612</v>
      </c>
      <c r="G167" s="460"/>
      <c r="H167" s="461"/>
      <c r="I167" s="460"/>
      <c r="J167" s="460"/>
      <c r="K167" s="460" t="s">
        <v>2613</v>
      </c>
    </row>
    <row r="168" spans="1:11" customFormat="1">
      <c r="A168" s="460" t="s">
        <v>1810</v>
      </c>
      <c r="B168" s="460" t="s">
        <v>1261</v>
      </c>
      <c r="C168" s="460"/>
      <c r="D168" s="460" t="s">
        <v>1814</v>
      </c>
      <c r="E168" s="460" t="s">
        <v>1812</v>
      </c>
      <c r="F168" s="460" t="s">
        <v>2629</v>
      </c>
      <c r="G168" s="547">
        <f>ROUND(88,2)</f>
        <v>88</v>
      </c>
      <c r="H168" s="461"/>
      <c r="I168" s="547">
        <f>ROUND(88,2)</f>
        <v>88</v>
      </c>
      <c r="J168" s="460"/>
      <c r="K168" s="460" t="s">
        <v>2613</v>
      </c>
    </row>
    <row r="169" spans="1:11" customFormat="1">
      <c r="A169" s="460" t="s">
        <v>1810</v>
      </c>
      <c r="B169" s="460" t="s">
        <v>1261</v>
      </c>
      <c r="C169" s="460"/>
      <c r="D169" s="460" t="s">
        <v>1814</v>
      </c>
      <c r="E169" s="460" t="s">
        <v>1812</v>
      </c>
      <c r="F169" s="460" t="s">
        <v>2625</v>
      </c>
      <c r="G169" s="547">
        <f>ROUND(25,2)</f>
        <v>25</v>
      </c>
      <c r="H169" s="461"/>
      <c r="I169" s="547">
        <f>ROUND(25,2)</f>
        <v>25</v>
      </c>
      <c r="J169" s="460"/>
      <c r="K169" s="460" t="s">
        <v>2613</v>
      </c>
    </row>
    <row r="170" spans="1:11" customFormat="1">
      <c r="A170" s="460" t="s">
        <v>1810</v>
      </c>
      <c r="B170" s="460" t="s">
        <v>1261</v>
      </c>
      <c r="C170" s="460"/>
      <c r="D170" s="460" t="s">
        <v>1814</v>
      </c>
      <c r="E170" s="460" t="s">
        <v>1812</v>
      </c>
      <c r="F170" s="460" t="s">
        <v>2612</v>
      </c>
      <c r="G170" s="460"/>
      <c r="H170" s="461"/>
      <c r="I170" s="460"/>
      <c r="J170" s="460"/>
      <c r="K170" s="460" t="s">
        <v>2613</v>
      </c>
    </row>
    <row r="171" spans="1:11" customFormat="1">
      <c r="A171" s="460" t="s">
        <v>1810</v>
      </c>
      <c r="B171" s="460" t="s">
        <v>1261</v>
      </c>
      <c r="C171" s="460"/>
      <c r="D171" s="460" t="s">
        <v>1814</v>
      </c>
      <c r="E171" s="460" t="s">
        <v>1812</v>
      </c>
      <c r="F171" s="460" t="s">
        <v>2614</v>
      </c>
      <c r="G171" s="460"/>
      <c r="H171" s="461" t="s">
        <v>2615</v>
      </c>
      <c r="I171" s="547">
        <f>ROUND(7,2)</f>
        <v>7</v>
      </c>
      <c r="J171" s="460" t="s">
        <v>2615</v>
      </c>
      <c r="K171" s="460" t="s">
        <v>2613</v>
      </c>
    </row>
    <row r="172" spans="1:11" customFormat="1">
      <c r="A172" s="460" t="s">
        <v>1810</v>
      </c>
      <c r="B172" s="460" t="s">
        <v>1261</v>
      </c>
      <c r="C172" s="460"/>
      <c r="D172" s="460" t="s">
        <v>1814</v>
      </c>
      <c r="E172" s="460" t="s">
        <v>1812</v>
      </c>
      <c r="F172" s="460" t="s">
        <v>2626</v>
      </c>
      <c r="G172" s="547">
        <f>ROUND(10,2)</f>
        <v>10</v>
      </c>
      <c r="H172" s="461"/>
      <c r="I172" s="547">
        <f>ROUND(10,2)</f>
        <v>10</v>
      </c>
      <c r="J172" s="460"/>
      <c r="K172" s="460" t="s">
        <v>2613</v>
      </c>
    </row>
    <row r="173" spans="1:11" customFormat="1">
      <c r="A173" s="460" t="s">
        <v>1810</v>
      </c>
      <c r="B173" s="460" t="s">
        <v>1261</v>
      </c>
      <c r="C173" s="460"/>
      <c r="D173" s="460" t="s">
        <v>1814</v>
      </c>
      <c r="E173" s="460" t="s">
        <v>1812</v>
      </c>
      <c r="F173" s="460" t="s">
        <v>2620</v>
      </c>
      <c r="G173" s="547">
        <f>ROUND(10.22,2)</f>
        <v>10.220000000000001</v>
      </c>
      <c r="H173" s="461"/>
      <c r="I173" s="547">
        <f>ROUND(10.22,2)</f>
        <v>10.220000000000001</v>
      </c>
      <c r="J173" s="460"/>
      <c r="K173" s="460" t="s">
        <v>2613</v>
      </c>
    </row>
    <row r="174" spans="1:11" customFormat="1">
      <c r="A174" s="460" t="s">
        <v>1810</v>
      </c>
      <c r="B174" s="460" t="s">
        <v>1261</v>
      </c>
      <c r="C174" s="460"/>
      <c r="D174" s="460" t="s">
        <v>1814</v>
      </c>
      <c r="E174" s="460" t="s">
        <v>1812</v>
      </c>
      <c r="F174" s="460" t="s">
        <v>2616</v>
      </c>
      <c r="G174" s="460"/>
      <c r="H174" s="461"/>
      <c r="I174" s="460"/>
      <c r="J174" s="460"/>
      <c r="K174" s="460" t="s">
        <v>2613</v>
      </c>
    </row>
    <row r="175" spans="1:11" customFormat="1">
      <c r="A175" s="460" t="s">
        <v>1810</v>
      </c>
      <c r="B175" s="460" t="s">
        <v>2482</v>
      </c>
      <c r="C175" s="460"/>
      <c r="D175" s="460" t="s">
        <v>1835</v>
      </c>
      <c r="E175" s="460" t="s">
        <v>1812</v>
      </c>
      <c r="F175" s="460" t="s">
        <v>2612</v>
      </c>
      <c r="G175" s="460"/>
      <c r="H175" s="461"/>
      <c r="I175" s="460"/>
      <c r="J175" s="460"/>
      <c r="K175" s="460" t="s">
        <v>2613</v>
      </c>
    </row>
    <row r="176" spans="1:11" customFormat="1">
      <c r="A176" s="460" t="s">
        <v>1810</v>
      </c>
      <c r="B176" s="460" t="s">
        <v>2482</v>
      </c>
      <c r="C176" s="460"/>
      <c r="D176" s="460" t="s">
        <v>1835</v>
      </c>
      <c r="E176" s="460" t="s">
        <v>1812</v>
      </c>
      <c r="F176" s="460" t="s">
        <v>2616</v>
      </c>
      <c r="G176" s="547">
        <f>ROUND(10,2)</f>
        <v>10</v>
      </c>
      <c r="H176" s="461"/>
      <c r="I176" s="547">
        <f>ROUND(10,2)</f>
        <v>10</v>
      </c>
      <c r="J176" s="460"/>
      <c r="K176" s="460" t="s">
        <v>2613</v>
      </c>
    </row>
    <row r="177" spans="1:11" customFormat="1">
      <c r="A177" s="460" t="s">
        <v>1810</v>
      </c>
      <c r="B177" s="460" t="s">
        <v>2482</v>
      </c>
      <c r="C177" s="460"/>
      <c r="D177" s="460" t="s">
        <v>1835</v>
      </c>
      <c r="E177" s="460" t="s">
        <v>1812</v>
      </c>
      <c r="F177" s="460" t="s">
        <v>2620</v>
      </c>
      <c r="G177" s="547">
        <f>ROUND(10.22,2)</f>
        <v>10.220000000000001</v>
      </c>
      <c r="H177" s="461"/>
      <c r="I177" s="547">
        <f>ROUND(10.22,2)</f>
        <v>10.220000000000001</v>
      </c>
      <c r="J177" s="460"/>
      <c r="K177" s="460" t="s">
        <v>2613</v>
      </c>
    </row>
    <row r="178" spans="1:11" customFormat="1">
      <c r="A178" s="460" t="s">
        <v>1810</v>
      </c>
      <c r="B178" s="460" t="s">
        <v>2482</v>
      </c>
      <c r="C178" s="460"/>
      <c r="D178" s="460" t="s">
        <v>1835</v>
      </c>
      <c r="E178" s="460" t="s">
        <v>1812</v>
      </c>
      <c r="F178" s="460" t="s">
        <v>2614</v>
      </c>
      <c r="G178" s="460"/>
      <c r="H178" s="461" t="s">
        <v>2615</v>
      </c>
      <c r="I178" s="547">
        <f>ROUND(7,2)</f>
        <v>7</v>
      </c>
      <c r="J178" s="460" t="s">
        <v>2615</v>
      </c>
      <c r="K178" s="460" t="s">
        <v>2613</v>
      </c>
    </row>
    <row r="179" spans="1:11" customFormat="1">
      <c r="A179" s="460" t="s">
        <v>1810</v>
      </c>
      <c r="B179" s="460" t="s">
        <v>1932</v>
      </c>
      <c r="C179" s="460"/>
      <c r="D179" s="460" t="s">
        <v>1811</v>
      </c>
      <c r="E179" s="460" t="s">
        <v>1812</v>
      </c>
      <c r="F179" s="460" t="s">
        <v>2616</v>
      </c>
      <c r="G179" s="460"/>
      <c r="H179" s="461"/>
      <c r="I179" s="460"/>
      <c r="J179" s="460"/>
      <c r="K179" s="460" t="s">
        <v>2613</v>
      </c>
    </row>
    <row r="180" spans="1:11" customFormat="1">
      <c r="A180" s="460" t="s">
        <v>1810</v>
      </c>
      <c r="B180" s="460" t="s">
        <v>1932</v>
      </c>
      <c r="C180" s="460"/>
      <c r="D180" s="460" t="s">
        <v>1811</v>
      </c>
      <c r="E180" s="460" t="s">
        <v>1812</v>
      </c>
      <c r="F180" s="460" t="s">
        <v>2612</v>
      </c>
      <c r="G180" s="460"/>
      <c r="H180" s="461"/>
      <c r="I180" s="460"/>
      <c r="J180" s="460"/>
      <c r="K180" s="460" t="s">
        <v>2613</v>
      </c>
    </row>
    <row r="181" spans="1:11" customFormat="1">
      <c r="A181" s="460" t="s">
        <v>1810</v>
      </c>
      <c r="B181" s="460" t="s">
        <v>1932</v>
      </c>
      <c r="C181" s="460"/>
      <c r="D181" s="460" t="s">
        <v>1811</v>
      </c>
      <c r="E181" s="460" t="s">
        <v>1812</v>
      </c>
      <c r="F181" s="460" t="s">
        <v>2614</v>
      </c>
      <c r="G181" s="460"/>
      <c r="H181" s="461" t="s">
        <v>2615</v>
      </c>
      <c r="I181" s="547">
        <f>ROUND(7,2)</f>
        <v>7</v>
      </c>
      <c r="J181" s="460" t="s">
        <v>2615</v>
      </c>
      <c r="K181" s="460" t="s">
        <v>2613</v>
      </c>
    </row>
    <row r="182" spans="1:11" customFormat="1" ht="22.8">
      <c r="A182" s="460" t="s">
        <v>1810</v>
      </c>
      <c r="B182" s="460" t="s">
        <v>1698</v>
      </c>
      <c r="C182" s="460"/>
      <c r="D182" s="460" t="s">
        <v>1828</v>
      </c>
      <c r="E182" s="460" t="s">
        <v>1812</v>
      </c>
      <c r="F182" s="460" t="s">
        <v>2612</v>
      </c>
      <c r="G182" s="460"/>
      <c r="H182" s="461"/>
      <c r="I182" s="460"/>
      <c r="J182" s="460"/>
      <c r="K182" s="460" t="s">
        <v>2613</v>
      </c>
    </row>
    <row r="183" spans="1:11" customFormat="1" ht="22.8">
      <c r="A183" s="460" t="s">
        <v>1810</v>
      </c>
      <c r="B183" s="460" t="s">
        <v>1698</v>
      </c>
      <c r="C183" s="460"/>
      <c r="D183" s="460" t="s">
        <v>1828</v>
      </c>
      <c r="E183" s="460" t="s">
        <v>1812</v>
      </c>
      <c r="F183" s="460" t="s">
        <v>2614</v>
      </c>
      <c r="G183" s="460"/>
      <c r="H183" s="461" t="s">
        <v>2615</v>
      </c>
      <c r="I183" s="547">
        <f>ROUND(7,2)</f>
        <v>7</v>
      </c>
      <c r="J183" s="460" t="s">
        <v>2615</v>
      </c>
      <c r="K183" s="460" t="s">
        <v>2613</v>
      </c>
    </row>
    <row r="184" spans="1:11" customFormat="1" ht="22.8">
      <c r="A184" s="460" t="s">
        <v>1810</v>
      </c>
      <c r="B184" s="460" t="s">
        <v>1698</v>
      </c>
      <c r="C184" s="460"/>
      <c r="D184" s="460" t="s">
        <v>1828</v>
      </c>
      <c r="E184" s="460" t="s">
        <v>1812</v>
      </c>
      <c r="F184" s="460" t="s">
        <v>2624</v>
      </c>
      <c r="G184" s="547">
        <f>ROUND(700,2)</f>
        <v>700</v>
      </c>
      <c r="H184" s="461"/>
      <c r="I184" s="547">
        <f>ROUND(700,2)</f>
        <v>700</v>
      </c>
      <c r="J184" s="460"/>
      <c r="K184" s="460" t="s">
        <v>2613</v>
      </c>
    </row>
    <row r="185" spans="1:11" customFormat="1" ht="22.8">
      <c r="A185" s="460" t="s">
        <v>1810</v>
      </c>
      <c r="B185" s="460" t="s">
        <v>2898</v>
      </c>
      <c r="C185" s="460"/>
      <c r="D185" s="460" t="s">
        <v>1840</v>
      </c>
      <c r="E185" s="460" t="s">
        <v>1812</v>
      </c>
      <c r="F185" s="460" t="s">
        <v>2620</v>
      </c>
      <c r="G185" s="547">
        <f>ROUND(10.22,2)</f>
        <v>10.220000000000001</v>
      </c>
      <c r="H185" s="461"/>
      <c r="I185" s="547">
        <f>ROUND(10.22,2)</f>
        <v>10.220000000000001</v>
      </c>
      <c r="J185" s="460"/>
      <c r="K185" s="460" t="s">
        <v>2613</v>
      </c>
    </row>
    <row r="186" spans="1:11" customFormat="1" ht="22.8">
      <c r="A186" s="460" t="s">
        <v>1810</v>
      </c>
      <c r="B186" s="460" t="s">
        <v>2898</v>
      </c>
      <c r="C186" s="460"/>
      <c r="D186" s="460" t="s">
        <v>1840</v>
      </c>
      <c r="E186" s="460" t="s">
        <v>1812</v>
      </c>
      <c r="F186" s="460" t="s">
        <v>2616</v>
      </c>
      <c r="G186" s="460"/>
      <c r="H186" s="461"/>
      <c r="I186" s="460"/>
      <c r="J186" s="460"/>
      <c r="K186" s="460" t="s">
        <v>2613</v>
      </c>
    </row>
    <row r="187" spans="1:11" customFormat="1" ht="22.8">
      <c r="A187" s="460" t="s">
        <v>1810</v>
      </c>
      <c r="B187" s="460" t="s">
        <v>2898</v>
      </c>
      <c r="C187" s="460"/>
      <c r="D187" s="460" t="s">
        <v>1840</v>
      </c>
      <c r="E187" s="460" t="s">
        <v>1812</v>
      </c>
      <c r="F187" s="460" t="s">
        <v>2614</v>
      </c>
      <c r="G187" s="460"/>
      <c r="H187" s="461" t="s">
        <v>2615</v>
      </c>
      <c r="I187" s="547">
        <f>ROUND(7,2)</f>
        <v>7</v>
      </c>
      <c r="J187" s="460" t="s">
        <v>2615</v>
      </c>
      <c r="K187" s="460" t="s">
        <v>2613</v>
      </c>
    </row>
    <row r="188" spans="1:11" customFormat="1" ht="22.8">
      <c r="A188" s="460" t="s">
        <v>1810</v>
      </c>
      <c r="B188" s="460" t="s">
        <v>2898</v>
      </c>
      <c r="C188" s="460"/>
      <c r="D188" s="460" t="s">
        <v>1840</v>
      </c>
      <c r="E188" s="460" t="s">
        <v>1812</v>
      </c>
      <c r="F188" s="460" t="s">
        <v>2612</v>
      </c>
      <c r="G188" s="460"/>
      <c r="H188" s="461"/>
      <c r="I188" s="460"/>
      <c r="J188" s="460"/>
      <c r="K188" s="460" t="s">
        <v>2613</v>
      </c>
    </row>
    <row r="189" spans="1:11" customFormat="1">
      <c r="A189" s="460" t="s">
        <v>1810</v>
      </c>
      <c r="B189" s="460" t="s">
        <v>2483</v>
      </c>
      <c r="C189" s="460"/>
      <c r="D189" s="460" t="s">
        <v>1816</v>
      </c>
      <c r="E189" s="460" t="s">
        <v>2611</v>
      </c>
      <c r="F189" s="460" t="s">
        <v>2612</v>
      </c>
      <c r="G189" s="460"/>
      <c r="H189" s="461"/>
      <c r="I189" s="460"/>
      <c r="J189" s="460"/>
      <c r="K189" s="460" t="s">
        <v>2613</v>
      </c>
    </row>
    <row r="190" spans="1:11" customFormat="1">
      <c r="A190" s="460" t="s">
        <v>1810</v>
      </c>
      <c r="B190" s="460" t="s">
        <v>1710</v>
      </c>
      <c r="C190" s="460"/>
      <c r="D190" s="460" t="s">
        <v>1816</v>
      </c>
      <c r="E190" s="460" t="s">
        <v>2611</v>
      </c>
      <c r="F190" s="460" t="s">
        <v>2612</v>
      </c>
      <c r="G190" s="460"/>
      <c r="H190" s="461"/>
      <c r="I190" s="460"/>
      <c r="J190" s="460"/>
      <c r="K190" s="460" t="s">
        <v>2613</v>
      </c>
    </row>
    <row r="191" spans="1:11" customFormat="1">
      <c r="A191" s="460" t="s">
        <v>1810</v>
      </c>
      <c r="B191" s="460" t="s">
        <v>2427</v>
      </c>
      <c r="C191" s="460"/>
      <c r="D191" s="460" t="s">
        <v>1816</v>
      </c>
      <c r="E191" s="460" t="s">
        <v>2611</v>
      </c>
      <c r="F191" s="460" t="s">
        <v>2612</v>
      </c>
      <c r="G191" s="460"/>
      <c r="H191" s="461"/>
      <c r="I191" s="460"/>
      <c r="J191" s="460"/>
      <c r="K191" s="460" t="s">
        <v>2613</v>
      </c>
    </row>
    <row r="192" spans="1:11" customFormat="1">
      <c r="A192" s="460" t="s">
        <v>1810</v>
      </c>
      <c r="B192" s="460" t="s">
        <v>2907</v>
      </c>
      <c r="C192" s="460"/>
      <c r="D192" s="460" t="s">
        <v>1816</v>
      </c>
      <c r="E192" s="460" t="s">
        <v>2611</v>
      </c>
      <c r="F192" s="460" t="s">
        <v>2612</v>
      </c>
      <c r="G192" s="460"/>
      <c r="H192" s="461"/>
      <c r="I192" s="460"/>
      <c r="J192" s="460"/>
      <c r="K192" s="460" t="s">
        <v>2613</v>
      </c>
    </row>
    <row r="193" spans="1:11" customFormat="1">
      <c r="A193" s="460" t="s">
        <v>1810</v>
      </c>
      <c r="B193" s="460" t="s">
        <v>2915</v>
      </c>
      <c r="C193" s="460"/>
      <c r="D193" s="460" t="s">
        <v>1811</v>
      </c>
      <c r="E193" s="460" t="s">
        <v>1812</v>
      </c>
      <c r="F193" s="460" t="s">
        <v>2612</v>
      </c>
      <c r="G193" s="460"/>
      <c r="H193" s="461"/>
      <c r="I193" s="460"/>
      <c r="J193" s="460"/>
      <c r="K193" s="460" t="s">
        <v>2613</v>
      </c>
    </row>
    <row r="194" spans="1:11" customFormat="1">
      <c r="A194" s="460" t="s">
        <v>1810</v>
      </c>
      <c r="B194" s="460" t="s">
        <v>2915</v>
      </c>
      <c r="C194" s="460"/>
      <c r="D194" s="460" t="s">
        <v>1811</v>
      </c>
      <c r="E194" s="460" t="s">
        <v>1812</v>
      </c>
      <c r="F194" s="460" t="s">
        <v>2614</v>
      </c>
      <c r="G194" s="460"/>
      <c r="H194" s="461" t="s">
        <v>2615</v>
      </c>
      <c r="I194" s="547">
        <f>ROUND(7,2)</f>
        <v>7</v>
      </c>
      <c r="J194" s="460" t="s">
        <v>2615</v>
      </c>
      <c r="K194" s="460" t="s">
        <v>2613</v>
      </c>
    </row>
    <row r="195" spans="1:11" customFormat="1">
      <c r="A195" s="460" t="s">
        <v>1810</v>
      </c>
      <c r="B195" s="460" t="s">
        <v>1561</v>
      </c>
      <c r="C195" s="460"/>
      <c r="D195" s="460" t="s">
        <v>1811</v>
      </c>
      <c r="E195" s="460" t="s">
        <v>1812</v>
      </c>
      <c r="F195" s="460" t="s">
        <v>2637</v>
      </c>
      <c r="G195" s="547">
        <f>ROUND(184.62,2)</f>
        <v>184.62</v>
      </c>
      <c r="H195" s="461"/>
      <c r="I195" s="547">
        <f>ROUND(184.62,2)</f>
        <v>184.62</v>
      </c>
      <c r="J195" s="460"/>
      <c r="K195" s="460" t="s">
        <v>2613</v>
      </c>
    </row>
    <row r="196" spans="1:11" customFormat="1">
      <c r="A196" s="460" t="s">
        <v>1810</v>
      </c>
      <c r="B196" s="460" t="s">
        <v>1561</v>
      </c>
      <c r="C196" s="460"/>
      <c r="D196" s="460" t="s">
        <v>1811</v>
      </c>
      <c r="E196" s="460" t="s">
        <v>1812</v>
      </c>
      <c r="F196" s="460" t="s">
        <v>2619</v>
      </c>
      <c r="G196" s="460"/>
      <c r="H196" s="461"/>
      <c r="I196" s="460"/>
      <c r="J196" s="460"/>
      <c r="K196" s="460" t="s">
        <v>2613</v>
      </c>
    </row>
    <row r="197" spans="1:11" customFormat="1">
      <c r="A197" s="460" t="s">
        <v>1810</v>
      </c>
      <c r="B197" s="460" t="s">
        <v>1561</v>
      </c>
      <c r="C197" s="460"/>
      <c r="D197" s="460" t="s">
        <v>1811</v>
      </c>
      <c r="E197" s="460" t="s">
        <v>1812</v>
      </c>
      <c r="F197" s="460" t="s">
        <v>2614</v>
      </c>
      <c r="G197" s="460"/>
      <c r="H197" s="461" t="s">
        <v>2615</v>
      </c>
      <c r="I197" s="547">
        <f>ROUND(7,2)</f>
        <v>7</v>
      </c>
      <c r="J197" s="460" t="s">
        <v>2615</v>
      </c>
      <c r="K197" s="460" t="s">
        <v>2613</v>
      </c>
    </row>
    <row r="198" spans="1:11" customFormat="1">
      <c r="A198" s="460" t="s">
        <v>1810</v>
      </c>
      <c r="B198" s="460" t="s">
        <v>1561</v>
      </c>
      <c r="C198" s="460"/>
      <c r="D198" s="460" t="s">
        <v>1811</v>
      </c>
      <c r="E198" s="460" t="s">
        <v>1812</v>
      </c>
      <c r="F198" s="460" t="s">
        <v>2616</v>
      </c>
      <c r="G198" s="460"/>
      <c r="H198" s="461"/>
      <c r="I198" s="460"/>
      <c r="J198" s="460"/>
      <c r="K198" s="460" t="s">
        <v>2613</v>
      </c>
    </row>
    <row r="199" spans="1:11" customFormat="1">
      <c r="A199" s="460" t="s">
        <v>1810</v>
      </c>
      <c r="B199" s="460" t="s">
        <v>2938</v>
      </c>
      <c r="C199" s="460"/>
      <c r="D199" s="460" t="s">
        <v>1816</v>
      </c>
      <c r="E199" s="460" t="s">
        <v>2611</v>
      </c>
      <c r="F199" s="460" t="s">
        <v>2612</v>
      </c>
      <c r="G199" s="460"/>
      <c r="H199" s="461"/>
      <c r="I199" s="460"/>
      <c r="J199" s="460"/>
      <c r="K199" s="460" t="s">
        <v>2613</v>
      </c>
    </row>
    <row r="200" spans="1:11" customFormat="1" ht="22.8">
      <c r="A200" s="460" t="s">
        <v>1810</v>
      </c>
      <c r="B200" s="460" t="s">
        <v>1262</v>
      </c>
      <c r="C200" s="460"/>
      <c r="D200" s="460" t="s">
        <v>1829</v>
      </c>
      <c r="E200" s="460" t="s">
        <v>1812</v>
      </c>
      <c r="F200" s="460" t="s">
        <v>2614</v>
      </c>
      <c r="G200" s="460"/>
      <c r="H200" s="461" t="s">
        <v>2615</v>
      </c>
      <c r="I200" s="547">
        <f>ROUND(7,2)</f>
        <v>7</v>
      </c>
      <c r="J200" s="460" t="s">
        <v>2615</v>
      </c>
      <c r="K200" s="460" t="s">
        <v>2613</v>
      </c>
    </row>
    <row r="201" spans="1:11" customFormat="1" ht="22.8">
      <c r="A201" s="460" t="s">
        <v>1810</v>
      </c>
      <c r="B201" s="460" t="s">
        <v>1262</v>
      </c>
      <c r="C201" s="460"/>
      <c r="D201" s="460" t="s">
        <v>1829</v>
      </c>
      <c r="E201" s="460" t="s">
        <v>1812</v>
      </c>
      <c r="F201" s="460" t="s">
        <v>2623</v>
      </c>
      <c r="G201" s="547">
        <f>ROUND(500,2)</f>
        <v>500</v>
      </c>
      <c r="H201" s="461"/>
      <c r="I201" s="547">
        <f>ROUND(500,2)</f>
        <v>500</v>
      </c>
      <c r="J201" s="460"/>
      <c r="K201" s="460" t="s">
        <v>2613</v>
      </c>
    </row>
    <row r="202" spans="1:11" customFormat="1" ht="22.8">
      <c r="A202" s="460" t="s">
        <v>1810</v>
      </c>
      <c r="B202" s="460" t="s">
        <v>1262</v>
      </c>
      <c r="C202" s="460"/>
      <c r="D202" s="460" t="s">
        <v>1829</v>
      </c>
      <c r="E202" s="460" t="s">
        <v>1812</v>
      </c>
      <c r="F202" s="460" t="s">
        <v>2612</v>
      </c>
      <c r="G202" s="547">
        <f>ROUND(250,2)</f>
        <v>250</v>
      </c>
      <c r="H202" s="461"/>
      <c r="I202" s="547">
        <f>ROUND(250,2)</f>
        <v>250</v>
      </c>
      <c r="J202" s="460"/>
      <c r="K202" s="460" t="s">
        <v>2613</v>
      </c>
    </row>
    <row r="203" spans="1:11" customFormat="1" ht="22.8">
      <c r="A203" s="460" t="s">
        <v>1810</v>
      </c>
      <c r="B203" s="460" t="s">
        <v>1262</v>
      </c>
      <c r="C203" s="460"/>
      <c r="D203" s="460" t="s">
        <v>1829</v>
      </c>
      <c r="E203" s="460" t="s">
        <v>1812</v>
      </c>
      <c r="F203" s="460" t="s">
        <v>2619</v>
      </c>
      <c r="G203" s="460"/>
      <c r="H203" s="461"/>
      <c r="I203" s="460"/>
      <c r="J203" s="460"/>
      <c r="K203" s="460" t="s">
        <v>2613</v>
      </c>
    </row>
    <row r="204" spans="1:11" customFormat="1" ht="22.8">
      <c r="A204" s="460" t="s">
        <v>1810</v>
      </c>
      <c r="B204" s="460" t="s">
        <v>1262</v>
      </c>
      <c r="C204" s="460"/>
      <c r="D204" s="460" t="s">
        <v>1829</v>
      </c>
      <c r="E204" s="460" t="s">
        <v>1812</v>
      </c>
      <c r="F204" s="460" t="s">
        <v>2624</v>
      </c>
      <c r="G204" s="547">
        <f>ROUND(500,2)</f>
        <v>500</v>
      </c>
      <c r="H204" s="461"/>
      <c r="I204" s="547">
        <f>ROUND(500,2)</f>
        <v>500</v>
      </c>
      <c r="J204" s="460"/>
      <c r="K204" s="460" t="s">
        <v>2613</v>
      </c>
    </row>
    <row r="205" spans="1:11" customFormat="1" ht="22.8">
      <c r="A205" s="460" t="s">
        <v>1810</v>
      </c>
      <c r="B205" s="460" t="s">
        <v>1262</v>
      </c>
      <c r="C205" s="460"/>
      <c r="D205" s="460" t="s">
        <v>1829</v>
      </c>
      <c r="E205" s="460" t="s">
        <v>1812</v>
      </c>
      <c r="F205" s="460" t="s">
        <v>2620</v>
      </c>
      <c r="G205" s="547">
        <f>ROUND(10.22,2)</f>
        <v>10.220000000000001</v>
      </c>
      <c r="H205" s="461"/>
      <c r="I205" s="547">
        <f>ROUND(10.22,2)</f>
        <v>10.220000000000001</v>
      </c>
      <c r="J205" s="460"/>
      <c r="K205" s="460" t="s">
        <v>2613</v>
      </c>
    </row>
    <row r="206" spans="1:11" customFormat="1" ht="22.8">
      <c r="A206" s="460" t="s">
        <v>1810</v>
      </c>
      <c r="B206" s="460" t="s">
        <v>1262</v>
      </c>
      <c r="C206" s="460"/>
      <c r="D206" s="460" t="s">
        <v>1829</v>
      </c>
      <c r="E206" s="460" t="s">
        <v>1812</v>
      </c>
      <c r="F206" s="460" t="s">
        <v>2616</v>
      </c>
      <c r="G206" s="460"/>
      <c r="H206" s="461"/>
      <c r="I206" s="460"/>
      <c r="J206" s="460"/>
      <c r="K206" s="460" t="s">
        <v>2613</v>
      </c>
    </row>
    <row r="207" spans="1:11" customFormat="1" ht="22.8">
      <c r="A207" s="460" t="s">
        <v>1810</v>
      </c>
      <c r="B207" s="460" t="s">
        <v>1262</v>
      </c>
      <c r="C207" s="460"/>
      <c r="D207" s="460" t="s">
        <v>1829</v>
      </c>
      <c r="E207" s="460" t="s">
        <v>1812</v>
      </c>
      <c r="F207" s="460" t="s">
        <v>2618</v>
      </c>
      <c r="G207" s="547">
        <f>ROUND(40,2)</f>
        <v>40</v>
      </c>
      <c r="H207" s="461"/>
      <c r="I207" s="547">
        <f>ROUND(40,2)</f>
        <v>40</v>
      </c>
      <c r="J207" s="460"/>
      <c r="K207" s="460" t="s">
        <v>2613</v>
      </c>
    </row>
    <row r="208" spans="1:11" customFormat="1" ht="22.8">
      <c r="A208" s="460" t="s">
        <v>1810</v>
      </c>
      <c r="B208" s="460" t="s">
        <v>1262</v>
      </c>
      <c r="C208" s="460"/>
      <c r="D208" s="460" t="s">
        <v>1829</v>
      </c>
      <c r="E208" s="460" t="s">
        <v>1812</v>
      </c>
      <c r="F208" s="460" t="s">
        <v>2617</v>
      </c>
      <c r="G208" s="547">
        <f>ROUND(75,2)</f>
        <v>75</v>
      </c>
      <c r="H208" s="461"/>
      <c r="I208" s="547">
        <f>ROUND(75,2)</f>
        <v>75</v>
      </c>
      <c r="J208" s="460"/>
      <c r="K208" s="460" t="s">
        <v>2613</v>
      </c>
    </row>
    <row r="209" spans="1:11" customFormat="1">
      <c r="A209" s="460" t="s">
        <v>1810</v>
      </c>
      <c r="B209" s="460" t="s">
        <v>1267</v>
      </c>
      <c r="C209" s="460"/>
      <c r="D209" s="460" t="s">
        <v>1821</v>
      </c>
      <c r="E209" s="460" t="s">
        <v>1812</v>
      </c>
      <c r="F209" s="460" t="s">
        <v>2637</v>
      </c>
      <c r="G209" s="547">
        <f>ROUND(507.69,2)</f>
        <v>507.69</v>
      </c>
      <c r="H209" s="461"/>
      <c r="I209" s="547">
        <f>ROUND(507.69,2)</f>
        <v>507.69</v>
      </c>
      <c r="J209" s="460"/>
      <c r="K209" s="460" t="s">
        <v>2613</v>
      </c>
    </row>
    <row r="210" spans="1:11" customFormat="1">
      <c r="A210" s="460" t="s">
        <v>1810</v>
      </c>
      <c r="B210" s="460" t="s">
        <v>1267</v>
      </c>
      <c r="C210" s="460"/>
      <c r="D210" s="460" t="s">
        <v>1821</v>
      </c>
      <c r="E210" s="460" t="s">
        <v>1812</v>
      </c>
      <c r="F210" s="460" t="s">
        <v>2625</v>
      </c>
      <c r="G210" s="547">
        <f>ROUND(25,2)</f>
        <v>25</v>
      </c>
      <c r="H210" s="461"/>
      <c r="I210" s="547">
        <f>ROUND(25,2)</f>
        <v>25</v>
      </c>
      <c r="J210" s="460"/>
      <c r="K210" s="460" t="s">
        <v>2613</v>
      </c>
    </row>
    <row r="211" spans="1:11" customFormat="1">
      <c r="A211" s="460" t="s">
        <v>1810</v>
      </c>
      <c r="B211" s="460" t="s">
        <v>1267</v>
      </c>
      <c r="C211" s="460"/>
      <c r="D211" s="460" t="s">
        <v>1821</v>
      </c>
      <c r="E211" s="460" t="s">
        <v>1812</v>
      </c>
      <c r="F211" s="460" t="s">
        <v>2612</v>
      </c>
      <c r="G211" s="460"/>
      <c r="H211" s="461"/>
      <c r="I211" s="460"/>
      <c r="J211" s="460"/>
      <c r="K211" s="460" t="s">
        <v>2613</v>
      </c>
    </row>
    <row r="212" spans="1:11" customFormat="1">
      <c r="A212" s="460" t="s">
        <v>1810</v>
      </c>
      <c r="B212" s="460" t="s">
        <v>1267</v>
      </c>
      <c r="C212" s="460"/>
      <c r="D212" s="460" t="s">
        <v>1821</v>
      </c>
      <c r="E212" s="460" t="s">
        <v>1812</v>
      </c>
      <c r="F212" s="460" t="s">
        <v>2614</v>
      </c>
      <c r="G212" s="460"/>
      <c r="H212" s="461" t="s">
        <v>2615</v>
      </c>
      <c r="I212" s="547">
        <f>ROUND(7,2)</f>
        <v>7</v>
      </c>
      <c r="J212" s="460" t="s">
        <v>2615</v>
      </c>
      <c r="K212" s="460" t="s">
        <v>2613</v>
      </c>
    </row>
    <row r="213" spans="1:11" customFormat="1">
      <c r="A213" s="460" t="s">
        <v>1810</v>
      </c>
      <c r="B213" s="460" t="s">
        <v>1267</v>
      </c>
      <c r="C213" s="460"/>
      <c r="D213" s="460" t="s">
        <v>1821</v>
      </c>
      <c r="E213" s="460" t="s">
        <v>1812</v>
      </c>
      <c r="F213" s="460" t="s">
        <v>2634</v>
      </c>
      <c r="G213" s="547">
        <f>ROUND(32,2)</f>
        <v>32</v>
      </c>
      <c r="H213" s="461"/>
      <c r="I213" s="547">
        <f>ROUND(32,2)</f>
        <v>32</v>
      </c>
      <c r="J213" s="460"/>
      <c r="K213" s="460" t="s">
        <v>2613</v>
      </c>
    </row>
    <row r="214" spans="1:11" customFormat="1">
      <c r="A214" s="460" t="s">
        <v>1810</v>
      </c>
      <c r="B214" s="460" t="s">
        <v>1267</v>
      </c>
      <c r="C214" s="460"/>
      <c r="D214" s="460" t="s">
        <v>1821</v>
      </c>
      <c r="E214" s="460" t="s">
        <v>1812</v>
      </c>
      <c r="F214" s="460" t="s">
        <v>2616</v>
      </c>
      <c r="G214" s="460"/>
      <c r="H214" s="461"/>
      <c r="I214" s="460"/>
      <c r="J214" s="460"/>
      <c r="K214" s="460" t="s">
        <v>2613</v>
      </c>
    </row>
    <row r="215" spans="1:11" customFormat="1" ht="22.8">
      <c r="A215" s="460" t="s">
        <v>1810</v>
      </c>
      <c r="B215" s="460" t="s">
        <v>1684</v>
      </c>
      <c r="C215" s="460"/>
      <c r="D215" s="460" t="s">
        <v>1813</v>
      </c>
      <c r="E215" s="460" t="s">
        <v>1812</v>
      </c>
      <c r="F215" s="460" t="s">
        <v>2612</v>
      </c>
      <c r="G215" s="460"/>
      <c r="H215" s="461"/>
      <c r="I215" s="460"/>
      <c r="J215" s="460"/>
      <c r="K215" s="460" t="s">
        <v>2613</v>
      </c>
    </row>
    <row r="216" spans="1:11" customFormat="1" ht="22.8">
      <c r="A216" s="460" t="s">
        <v>1810</v>
      </c>
      <c r="B216" s="460" t="s">
        <v>1684</v>
      </c>
      <c r="C216" s="460"/>
      <c r="D216" s="460" t="s">
        <v>1813</v>
      </c>
      <c r="E216" s="460" t="s">
        <v>1812</v>
      </c>
      <c r="F216" s="460" t="s">
        <v>2614</v>
      </c>
      <c r="G216" s="460"/>
      <c r="H216" s="461" t="s">
        <v>2615</v>
      </c>
      <c r="I216" s="547">
        <f>ROUND(7,2)</f>
        <v>7</v>
      </c>
      <c r="J216" s="460" t="s">
        <v>2615</v>
      </c>
      <c r="K216" s="460" t="s">
        <v>2613</v>
      </c>
    </row>
    <row r="217" spans="1:11" customFormat="1" ht="22.8">
      <c r="A217" s="460" t="s">
        <v>1810</v>
      </c>
      <c r="B217" s="460" t="s">
        <v>1684</v>
      </c>
      <c r="C217" s="460"/>
      <c r="D217" s="460" t="s">
        <v>1813</v>
      </c>
      <c r="E217" s="460" t="s">
        <v>1812</v>
      </c>
      <c r="F217" s="460" t="s">
        <v>2616</v>
      </c>
      <c r="G217" s="460"/>
      <c r="H217" s="461"/>
      <c r="I217" s="460"/>
      <c r="J217" s="460"/>
      <c r="K217" s="460" t="s">
        <v>2613</v>
      </c>
    </row>
    <row r="218" spans="1:11" customFormat="1">
      <c r="A218" s="460" t="s">
        <v>1810</v>
      </c>
      <c r="B218" s="460" t="s">
        <v>1933</v>
      </c>
      <c r="C218" s="460"/>
      <c r="D218" s="460" t="s">
        <v>1816</v>
      </c>
      <c r="E218" s="460" t="s">
        <v>2611</v>
      </c>
      <c r="F218" s="460" t="s">
        <v>2612</v>
      </c>
      <c r="G218" s="460"/>
      <c r="H218" s="461"/>
      <c r="I218" s="460"/>
      <c r="J218" s="460"/>
      <c r="K218" s="460" t="s">
        <v>2613</v>
      </c>
    </row>
    <row r="219" spans="1:11" customFormat="1" ht="22.8">
      <c r="A219" s="460" t="s">
        <v>1810</v>
      </c>
      <c r="B219" s="460" t="s">
        <v>1276</v>
      </c>
      <c r="C219" s="460"/>
      <c r="D219" s="460" t="s">
        <v>1823</v>
      </c>
      <c r="E219" s="460" t="s">
        <v>2015</v>
      </c>
      <c r="F219" s="460" t="s">
        <v>2612</v>
      </c>
      <c r="G219" s="460"/>
      <c r="H219" s="461"/>
      <c r="I219" s="460"/>
      <c r="J219" s="460"/>
      <c r="K219" s="460" t="s">
        <v>2613</v>
      </c>
    </row>
    <row r="220" spans="1:11" customFormat="1" ht="22.8">
      <c r="A220" s="460" t="s">
        <v>1810</v>
      </c>
      <c r="B220" s="460" t="s">
        <v>1276</v>
      </c>
      <c r="C220" s="460"/>
      <c r="D220" s="460" t="s">
        <v>1823</v>
      </c>
      <c r="E220" s="460" t="s">
        <v>2015</v>
      </c>
      <c r="F220" s="460" t="s">
        <v>2614</v>
      </c>
      <c r="G220" s="460"/>
      <c r="H220" s="461" t="s">
        <v>2615</v>
      </c>
      <c r="I220" s="547">
        <f>ROUND(7,2)</f>
        <v>7</v>
      </c>
      <c r="J220" s="460" t="s">
        <v>2615</v>
      </c>
      <c r="K220" s="460" t="s">
        <v>2613</v>
      </c>
    </row>
    <row r="221" spans="1:11" customFormat="1" ht="22.8">
      <c r="A221" s="460" t="s">
        <v>1810</v>
      </c>
      <c r="B221" s="460" t="s">
        <v>1276</v>
      </c>
      <c r="C221" s="460"/>
      <c r="D221" s="460" t="s">
        <v>1823</v>
      </c>
      <c r="E221" s="460" t="s">
        <v>2015</v>
      </c>
      <c r="F221" s="460" t="s">
        <v>2620</v>
      </c>
      <c r="G221" s="547">
        <f>ROUND(10.22,2)</f>
        <v>10.220000000000001</v>
      </c>
      <c r="H221" s="461"/>
      <c r="I221" s="547">
        <f>ROUND(10.22,2)</f>
        <v>10.220000000000001</v>
      </c>
      <c r="J221" s="460"/>
      <c r="K221" s="460" t="s">
        <v>2613</v>
      </c>
    </row>
    <row r="222" spans="1:11" customFormat="1" ht="22.8">
      <c r="A222" s="460" t="s">
        <v>1810</v>
      </c>
      <c r="B222" s="460" t="s">
        <v>1276</v>
      </c>
      <c r="C222" s="460"/>
      <c r="D222" s="460" t="s">
        <v>1823</v>
      </c>
      <c r="E222" s="460" t="s">
        <v>2015</v>
      </c>
      <c r="F222" s="460" t="s">
        <v>2616</v>
      </c>
      <c r="G222" s="460"/>
      <c r="H222" s="461"/>
      <c r="I222" s="460"/>
      <c r="J222" s="460"/>
      <c r="K222" s="460" t="s">
        <v>2613</v>
      </c>
    </row>
    <row r="223" spans="1:11" customFormat="1" ht="22.8">
      <c r="A223" s="460" t="s">
        <v>1810</v>
      </c>
      <c r="B223" s="460" t="s">
        <v>1276</v>
      </c>
      <c r="C223" s="460"/>
      <c r="D223" s="460" t="s">
        <v>1823</v>
      </c>
      <c r="E223" s="460" t="s">
        <v>2015</v>
      </c>
      <c r="F223" s="460" t="s">
        <v>2617</v>
      </c>
      <c r="G223" s="547">
        <f>ROUND(75,2)</f>
        <v>75</v>
      </c>
      <c r="H223" s="461"/>
      <c r="I223" s="547">
        <f>ROUND(75,2)</f>
        <v>75</v>
      </c>
      <c r="J223" s="460"/>
      <c r="K223" s="460" t="s">
        <v>2613</v>
      </c>
    </row>
    <row r="224" spans="1:11" customFormat="1" ht="22.8">
      <c r="A224" s="460" t="s">
        <v>1810</v>
      </c>
      <c r="B224" s="460" t="s">
        <v>1276</v>
      </c>
      <c r="C224" s="460"/>
      <c r="D224" s="460" t="s">
        <v>1823</v>
      </c>
      <c r="E224" s="460" t="s">
        <v>2015</v>
      </c>
      <c r="F224" s="460" t="s">
        <v>2618</v>
      </c>
      <c r="G224" s="547">
        <f>ROUND(40,2)</f>
        <v>40</v>
      </c>
      <c r="H224" s="461"/>
      <c r="I224" s="547">
        <f>ROUND(40,2)</f>
        <v>40</v>
      </c>
      <c r="J224" s="460"/>
      <c r="K224" s="460" t="s">
        <v>2613</v>
      </c>
    </row>
    <row r="225" spans="1:11" customFormat="1">
      <c r="A225" s="460" t="s">
        <v>1810</v>
      </c>
      <c r="B225" s="460" t="s">
        <v>1760</v>
      </c>
      <c r="C225" s="460"/>
      <c r="D225" s="460" t="s">
        <v>1814</v>
      </c>
      <c r="E225" s="460" t="s">
        <v>1812</v>
      </c>
      <c r="F225" s="460" t="s">
        <v>2616</v>
      </c>
      <c r="G225" s="460"/>
      <c r="H225" s="461"/>
      <c r="I225" s="460"/>
      <c r="J225" s="460"/>
      <c r="K225" s="460" t="s">
        <v>2613</v>
      </c>
    </row>
    <row r="226" spans="1:11" customFormat="1">
      <c r="A226" s="460" t="s">
        <v>1810</v>
      </c>
      <c r="B226" s="460" t="s">
        <v>1760</v>
      </c>
      <c r="C226" s="460"/>
      <c r="D226" s="460" t="s">
        <v>1814</v>
      </c>
      <c r="E226" s="460" t="s">
        <v>1812</v>
      </c>
      <c r="F226" s="460" t="s">
        <v>2629</v>
      </c>
      <c r="G226" s="547">
        <f>ROUND(32,2)</f>
        <v>32</v>
      </c>
      <c r="H226" s="461"/>
      <c r="I226" s="547">
        <f>ROUND(32,2)</f>
        <v>32</v>
      </c>
      <c r="J226" s="460"/>
      <c r="K226" s="460" t="s">
        <v>2613</v>
      </c>
    </row>
    <row r="227" spans="1:11" customFormat="1">
      <c r="A227" s="460" t="s">
        <v>1810</v>
      </c>
      <c r="B227" s="460" t="s">
        <v>1760</v>
      </c>
      <c r="C227" s="460"/>
      <c r="D227" s="460" t="s">
        <v>1814</v>
      </c>
      <c r="E227" s="460" t="s">
        <v>1812</v>
      </c>
      <c r="F227" s="460" t="s">
        <v>2633</v>
      </c>
      <c r="G227" s="547">
        <f>ROUND(55,2)</f>
        <v>55</v>
      </c>
      <c r="H227" s="461"/>
      <c r="I227" s="547">
        <f>ROUND(55,2)</f>
        <v>55</v>
      </c>
      <c r="J227" s="460"/>
      <c r="K227" s="460" t="s">
        <v>2613</v>
      </c>
    </row>
    <row r="228" spans="1:11" customFormat="1">
      <c r="A228" s="460" t="s">
        <v>1810</v>
      </c>
      <c r="B228" s="460" t="s">
        <v>1760</v>
      </c>
      <c r="C228" s="460"/>
      <c r="D228" s="460" t="s">
        <v>1814</v>
      </c>
      <c r="E228" s="460" t="s">
        <v>1812</v>
      </c>
      <c r="F228" s="460" t="s">
        <v>2614</v>
      </c>
      <c r="G228" s="460"/>
      <c r="H228" s="461" t="s">
        <v>2615</v>
      </c>
      <c r="I228" s="547">
        <f>ROUND(7,2)</f>
        <v>7</v>
      </c>
      <c r="J228" s="460" t="s">
        <v>2615</v>
      </c>
      <c r="K228" s="460" t="s">
        <v>2613</v>
      </c>
    </row>
    <row r="229" spans="1:11" customFormat="1">
      <c r="A229" s="460" t="s">
        <v>1810</v>
      </c>
      <c r="B229" s="460" t="s">
        <v>1760</v>
      </c>
      <c r="C229" s="460"/>
      <c r="D229" s="460" t="s">
        <v>1814</v>
      </c>
      <c r="E229" s="460" t="s">
        <v>1812</v>
      </c>
      <c r="F229" s="460" t="s">
        <v>2612</v>
      </c>
      <c r="G229" s="460"/>
      <c r="H229" s="461"/>
      <c r="I229" s="460"/>
      <c r="J229" s="460"/>
      <c r="K229" s="460" t="s">
        <v>2613</v>
      </c>
    </row>
    <row r="230" spans="1:11" customFormat="1">
      <c r="A230" s="460" t="s">
        <v>1810</v>
      </c>
      <c r="B230" s="460" t="s">
        <v>1761</v>
      </c>
      <c r="C230" s="460"/>
      <c r="D230" s="460" t="s">
        <v>1814</v>
      </c>
      <c r="E230" s="460" t="s">
        <v>1812</v>
      </c>
      <c r="F230" s="460" t="s">
        <v>2616</v>
      </c>
      <c r="G230" s="460"/>
      <c r="H230" s="461"/>
      <c r="I230" s="460"/>
      <c r="J230" s="460"/>
      <c r="K230" s="460" t="s">
        <v>2613</v>
      </c>
    </row>
    <row r="231" spans="1:11" customFormat="1">
      <c r="A231" s="460" t="s">
        <v>1810</v>
      </c>
      <c r="B231" s="460" t="s">
        <v>1761</v>
      </c>
      <c r="C231" s="460"/>
      <c r="D231" s="460" t="s">
        <v>1814</v>
      </c>
      <c r="E231" s="460" t="s">
        <v>1812</v>
      </c>
      <c r="F231" s="460" t="s">
        <v>2614</v>
      </c>
      <c r="G231" s="460"/>
      <c r="H231" s="461" t="s">
        <v>2615</v>
      </c>
      <c r="I231" s="547">
        <f>ROUND(7,2)</f>
        <v>7</v>
      </c>
      <c r="J231" s="460" t="s">
        <v>2615</v>
      </c>
      <c r="K231" s="460" t="s">
        <v>2613</v>
      </c>
    </row>
    <row r="232" spans="1:11" customFormat="1">
      <c r="A232" s="460" t="s">
        <v>1810</v>
      </c>
      <c r="B232" s="460" t="s">
        <v>1761</v>
      </c>
      <c r="C232" s="460"/>
      <c r="D232" s="460" t="s">
        <v>1814</v>
      </c>
      <c r="E232" s="460" t="s">
        <v>1812</v>
      </c>
      <c r="F232" s="460" t="s">
        <v>2612</v>
      </c>
      <c r="G232" s="460"/>
      <c r="H232" s="461"/>
      <c r="I232" s="460"/>
      <c r="J232" s="460"/>
      <c r="K232" s="460" t="s">
        <v>2613</v>
      </c>
    </row>
    <row r="233" spans="1:11" customFormat="1">
      <c r="A233" s="460" t="s">
        <v>1810</v>
      </c>
      <c r="B233" s="460" t="s">
        <v>1280</v>
      </c>
      <c r="C233" s="460"/>
      <c r="D233" s="460" t="s">
        <v>1814</v>
      </c>
      <c r="E233" s="460" t="s">
        <v>1812</v>
      </c>
      <c r="F233" s="460" t="s">
        <v>2625</v>
      </c>
      <c r="G233" s="547">
        <f>ROUND(50,2)</f>
        <v>50</v>
      </c>
      <c r="H233" s="461"/>
      <c r="I233" s="547">
        <f>ROUND(50,2)</f>
        <v>50</v>
      </c>
      <c r="J233" s="460"/>
      <c r="K233" s="460" t="s">
        <v>2613</v>
      </c>
    </row>
    <row r="234" spans="1:11" customFormat="1">
      <c r="A234" s="460" t="s">
        <v>1810</v>
      </c>
      <c r="B234" s="460" t="s">
        <v>1280</v>
      </c>
      <c r="C234" s="460"/>
      <c r="D234" s="460" t="s">
        <v>1814</v>
      </c>
      <c r="E234" s="460" t="s">
        <v>1812</v>
      </c>
      <c r="F234" s="460" t="s">
        <v>2612</v>
      </c>
      <c r="G234" s="460"/>
      <c r="H234" s="461"/>
      <c r="I234" s="460"/>
      <c r="J234" s="460"/>
      <c r="K234" s="460" t="s">
        <v>2613</v>
      </c>
    </row>
    <row r="235" spans="1:11" customFormat="1">
      <c r="A235" s="460" t="s">
        <v>1810</v>
      </c>
      <c r="B235" s="460" t="s">
        <v>1280</v>
      </c>
      <c r="C235" s="460"/>
      <c r="D235" s="460" t="s">
        <v>1814</v>
      </c>
      <c r="E235" s="460" t="s">
        <v>1812</v>
      </c>
      <c r="F235" s="460" t="s">
        <v>2614</v>
      </c>
      <c r="G235" s="460"/>
      <c r="H235" s="461" t="s">
        <v>2615</v>
      </c>
      <c r="I235" s="547">
        <f>ROUND(7,2)</f>
        <v>7</v>
      </c>
      <c r="J235" s="460" t="s">
        <v>2615</v>
      </c>
      <c r="K235" s="460" t="s">
        <v>2613</v>
      </c>
    </row>
    <row r="236" spans="1:11" customFormat="1">
      <c r="A236" s="460" t="s">
        <v>1810</v>
      </c>
      <c r="B236" s="460" t="s">
        <v>1280</v>
      </c>
      <c r="C236" s="460"/>
      <c r="D236" s="460" t="s">
        <v>1814</v>
      </c>
      <c r="E236" s="460" t="s">
        <v>1812</v>
      </c>
      <c r="F236" s="460" t="s">
        <v>2629</v>
      </c>
      <c r="G236" s="547">
        <f>ROUND(30,2)</f>
        <v>30</v>
      </c>
      <c r="H236" s="461"/>
      <c r="I236" s="547">
        <f>ROUND(30,2)</f>
        <v>30</v>
      </c>
      <c r="J236" s="460"/>
      <c r="K236" s="460" t="s">
        <v>2613</v>
      </c>
    </row>
    <row r="237" spans="1:11" customFormat="1">
      <c r="A237" s="460" t="s">
        <v>1810</v>
      </c>
      <c r="B237" s="460" t="s">
        <v>1280</v>
      </c>
      <c r="C237" s="460"/>
      <c r="D237" s="460" t="s">
        <v>1814</v>
      </c>
      <c r="E237" s="460" t="s">
        <v>1812</v>
      </c>
      <c r="F237" s="460" t="s">
        <v>2621</v>
      </c>
      <c r="G237" s="460"/>
      <c r="H237" s="461" t="s">
        <v>2638</v>
      </c>
      <c r="I237" s="547">
        <f>ROUND(11,2)</f>
        <v>11</v>
      </c>
      <c r="J237" s="460" t="s">
        <v>2638</v>
      </c>
      <c r="K237" s="460" t="s">
        <v>2613</v>
      </c>
    </row>
    <row r="238" spans="1:11" customFormat="1">
      <c r="A238" s="460" t="s">
        <v>1810</v>
      </c>
      <c r="B238" s="460" t="s">
        <v>1280</v>
      </c>
      <c r="C238" s="460"/>
      <c r="D238" s="460" t="s">
        <v>1814</v>
      </c>
      <c r="E238" s="460" t="s">
        <v>1812</v>
      </c>
      <c r="F238" s="460" t="s">
        <v>2620</v>
      </c>
      <c r="G238" s="547">
        <f>ROUND(10.22,2)</f>
        <v>10.220000000000001</v>
      </c>
      <c r="H238" s="461"/>
      <c r="I238" s="547">
        <f>ROUND(10.22,2)</f>
        <v>10.220000000000001</v>
      </c>
      <c r="J238" s="460"/>
      <c r="K238" s="460" t="s">
        <v>2613</v>
      </c>
    </row>
    <row r="239" spans="1:11" customFormat="1">
      <c r="A239" s="460" t="s">
        <v>1810</v>
      </c>
      <c r="B239" s="460" t="s">
        <v>1280</v>
      </c>
      <c r="C239" s="460"/>
      <c r="D239" s="460" t="s">
        <v>1814</v>
      </c>
      <c r="E239" s="460" t="s">
        <v>1812</v>
      </c>
      <c r="F239" s="460" t="s">
        <v>2616</v>
      </c>
      <c r="G239" s="460"/>
      <c r="H239" s="461"/>
      <c r="I239" s="460"/>
      <c r="J239" s="460"/>
      <c r="K239" s="460" t="s">
        <v>2613</v>
      </c>
    </row>
    <row r="240" spans="1:11" customFormat="1">
      <c r="A240" s="460" t="s">
        <v>1810</v>
      </c>
      <c r="B240" s="460" t="s">
        <v>1280</v>
      </c>
      <c r="C240" s="460"/>
      <c r="D240" s="460" t="s">
        <v>1814</v>
      </c>
      <c r="E240" s="460" t="s">
        <v>1812</v>
      </c>
      <c r="F240" s="460" t="s">
        <v>2619</v>
      </c>
      <c r="G240" s="460"/>
      <c r="H240" s="461" t="s">
        <v>2639</v>
      </c>
      <c r="I240" s="547">
        <f>ROUND(26,2)</f>
        <v>26</v>
      </c>
      <c r="J240" s="460" t="s">
        <v>2639</v>
      </c>
      <c r="K240" s="460" t="s">
        <v>2613</v>
      </c>
    </row>
    <row r="241" spans="1:11" customFormat="1">
      <c r="A241" s="460" t="s">
        <v>1810</v>
      </c>
      <c r="B241" s="460" t="s">
        <v>1287</v>
      </c>
      <c r="C241" s="460"/>
      <c r="D241" s="460" t="s">
        <v>1817</v>
      </c>
      <c r="E241" s="460" t="s">
        <v>1812</v>
      </c>
      <c r="F241" s="460" t="s">
        <v>2625</v>
      </c>
      <c r="G241" s="547">
        <f>ROUND(18.75,2)</f>
        <v>18.75</v>
      </c>
      <c r="H241" s="461"/>
      <c r="I241" s="547">
        <f>ROUND(18.75,2)</f>
        <v>18.75</v>
      </c>
      <c r="J241" s="460"/>
      <c r="K241" s="460" t="s">
        <v>2613</v>
      </c>
    </row>
    <row r="242" spans="1:11" customFormat="1">
      <c r="A242" s="460" t="s">
        <v>1810</v>
      </c>
      <c r="B242" s="460" t="s">
        <v>1287</v>
      </c>
      <c r="C242" s="460"/>
      <c r="D242" s="460" t="s">
        <v>1817</v>
      </c>
      <c r="E242" s="460" t="s">
        <v>1812</v>
      </c>
      <c r="F242" s="460" t="s">
        <v>2623</v>
      </c>
      <c r="G242" s="547">
        <f>ROUND(50,2)</f>
        <v>50</v>
      </c>
      <c r="H242" s="461"/>
      <c r="I242" s="547">
        <f>ROUND(50,2)</f>
        <v>50</v>
      </c>
      <c r="J242" s="460"/>
      <c r="K242" s="460" t="s">
        <v>2613</v>
      </c>
    </row>
    <row r="243" spans="1:11" customFormat="1">
      <c r="A243" s="460" t="s">
        <v>1810</v>
      </c>
      <c r="B243" s="460" t="s">
        <v>1287</v>
      </c>
      <c r="C243" s="460"/>
      <c r="D243" s="460" t="s">
        <v>1817</v>
      </c>
      <c r="E243" s="460" t="s">
        <v>1812</v>
      </c>
      <c r="F243" s="460" t="s">
        <v>2612</v>
      </c>
      <c r="G243" s="460"/>
      <c r="H243" s="461"/>
      <c r="I243" s="460"/>
      <c r="J243" s="460"/>
      <c r="K243" s="460" t="s">
        <v>2613</v>
      </c>
    </row>
    <row r="244" spans="1:11" customFormat="1">
      <c r="A244" s="460" t="s">
        <v>1810</v>
      </c>
      <c r="B244" s="460" t="s">
        <v>1287</v>
      </c>
      <c r="C244" s="460"/>
      <c r="D244" s="460" t="s">
        <v>1817</v>
      </c>
      <c r="E244" s="460" t="s">
        <v>1812</v>
      </c>
      <c r="F244" s="460" t="s">
        <v>2619</v>
      </c>
      <c r="G244" s="547">
        <f>ROUND(200,2)</f>
        <v>200</v>
      </c>
      <c r="H244" s="461"/>
      <c r="I244" s="547">
        <f>ROUND(200,2)</f>
        <v>200</v>
      </c>
      <c r="J244" s="460"/>
      <c r="K244" s="460" t="s">
        <v>2613</v>
      </c>
    </row>
    <row r="245" spans="1:11" customFormat="1">
      <c r="A245" s="460" t="s">
        <v>1810</v>
      </c>
      <c r="B245" s="460" t="s">
        <v>1287</v>
      </c>
      <c r="C245" s="460"/>
      <c r="D245" s="460" t="s">
        <v>1817</v>
      </c>
      <c r="E245" s="460" t="s">
        <v>1812</v>
      </c>
      <c r="F245" s="460" t="s">
        <v>2614</v>
      </c>
      <c r="G245" s="460"/>
      <c r="H245" s="461" t="s">
        <v>2615</v>
      </c>
      <c r="I245" s="547">
        <f>ROUND(7,2)</f>
        <v>7</v>
      </c>
      <c r="J245" s="460" t="s">
        <v>2615</v>
      </c>
      <c r="K245" s="460" t="s">
        <v>2613</v>
      </c>
    </row>
    <row r="246" spans="1:11" customFormat="1">
      <c r="A246" s="460" t="s">
        <v>1810</v>
      </c>
      <c r="B246" s="460" t="s">
        <v>1287</v>
      </c>
      <c r="C246" s="460"/>
      <c r="D246" s="460" t="s">
        <v>1817</v>
      </c>
      <c r="E246" s="460" t="s">
        <v>1812</v>
      </c>
      <c r="F246" s="460" t="s">
        <v>2616</v>
      </c>
      <c r="G246" s="460"/>
      <c r="H246" s="461"/>
      <c r="I246" s="460"/>
      <c r="J246" s="460"/>
      <c r="K246" s="460" t="s">
        <v>2613</v>
      </c>
    </row>
    <row r="247" spans="1:11" customFormat="1">
      <c r="A247" s="460" t="s">
        <v>1810</v>
      </c>
      <c r="B247" s="460" t="s">
        <v>1287</v>
      </c>
      <c r="C247" s="460"/>
      <c r="D247" s="460" t="s">
        <v>1817</v>
      </c>
      <c r="E247" s="460" t="s">
        <v>1812</v>
      </c>
      <c r="F247" s="460" t="s">
        <v>2618</v>
      </c>
      <c r="G247" s="547">
        <f>ROUND(40,2)</f>
        <v>40</v>
      </c>
      <c r="H247" s="461"/>
      <c r="I247" s="547">
        <f>ROUND(40,2)</f>
        <v>40</v>
      </c>
      <c r="J247" s="460"/>
      <c r="K247" s="460" t="s">
        <v>2613</v>
      </c>
    </row>
    <row r="248" spans="1:11" customFormat="1">
      <c r="A248" s="460" t="s">
        <v>1810</v>
      </c>
      <c r="B248" s="460" t="s">
        <v>1287</v>
      </c>
      <c r="C248" s="460"/>
      <c r="D248" s="460" t="s">
        <v>1817</v>
      </c>
      <c r="E248" s="460" t="s">
        <v>1812</v>
      </c>
      <c r="F248" s="460" t="s">
        <v>2617</v>
      </c>
      <c r="G248" s="547">
        <f>ROUND(75,2)</f>
        <v>75</v>
      </c>
      <c r="H248" s="461"/>
      <c r="I248" s="547">
        <f>ROUND(75,2)</f>
        <v>75</v>
      </c>
      <c r="J248" s="460"/>
      <c r="K248" s="460" t="s">
        <v>2613</v>
      </c>
    </row>
    <row r="249" spans="1:11" customFormat="1" ht="22.8">
      <c r="A249" s="460" t="s">
        <v>1810</v>
      </c>
      <c r="B249" s="460" t="s">
        <v>2923</v>
      </c>
      <c r="C249" s="460"/>
      <c r="D249" s="460" t="s">
        <v>1844</v>
      </c>
      <c r="E249" s="460" t="s">
        <v>1812</v>
      </c>
      <c r="F249" s="460" t="s">
        <v>2612</v>
      </c>
      <c r="G249" s="460"/>
      <c r="H249" s="461"/>
      <c r="I249" s="460"/>
      <c r="J249" s="460"/>
      <c r="K249" s="460" t="s">
        <v>2613</v>
      </c>
    </row>
    <row r="250" spans="1:11" customFormat="1" ht="22.8">
      <c r="A250" s="460" t="s">
        <v>1810</v>
      </c>
      <c r="B250" s="460" t="s">
        <v>2923</v>
      </c>
      <c r="C250" s="460"/>
      <c r="D250" s="460" t="s">
        <v>1844</v>
      </c>
      <c r="E250" s="460" t="s">
        <v>1812</v>
      </c>
      <c r="F250" s="460" t="s">
        <v>2614</v>
      </c>
      <c r="G250" s="460"/>
      <c r="H250" s="461" t="s">
        <v>2615</v>
      </c>
      <c r="I250" s="547">
        <f>ROUND(7,2)</f>
        <v>7</v>
      </c>
      <c r="J250" s="460" t="s">
        <v>2615</v>
      </c>
      <c r="K250" s="460" t="s">
        <v>2613</v>
      </c>
    </row>
    <row r="251" spans="1:11" customFormat="1" ht="22.8">
      <c r="A251" s="460" t="s">
        <v>1810</v>
      </c>
      <c r="B251" s="460" t="s">
        <v>2923</v>
      </c>
      <c r="C251" s="460"/>
      <c r="D251" s="460" t="s">
        <v>1844</v>
      </c>
      <c r="E251" s="460" t="s">
        <v>1812</v>
      </c>
      <c r="F251" s="460" t="s">
        <v>2620</v>
      </c>
      <c r="G251" s="547">
        <f>ROUND(10.22,2)</f>
        <v>10.220000000000001</v>
      </c>
      <c r="H251" s="461"/>
      <c r="I251" s="547">
        <f>ROUND(10.22,2)</f>
        <v>10.220000000000001</v>
      </c>
      <c r="J251" s="460"/>
      <c r="K251" s="460" t="s">
        <v>2613</v>
      </c>
    </row>
    <row r="252" spans="1:11" customFormat="1" ht="22.8">
      <c r="A252" s="460" t="s">
        <v>1810</v>
      </c>
      <c r="B252" s="460" t="s">
        <v>2923</v>
      </c>
      <c r="C252" s="460"/>
      <c r="D252" s="460" t="s">
        <v>1844</v>
      </c>
      <c r="E252" s="460" t="s">
        <v>1812</v>
      </c>
      <c r="F252" s="460" t="s">
        <v>2616</v>
      </c>
      <c r="G252" s="460"/>
      <c r="H252" s="461"/>
      <c r="I252" s="460"/>
      <c r="J252" s="460"/>
      <c r="K252" s="460" t="s">
        <v>2613</v>
      </c>
    </row>
    <row r="253" spans="1:11" customFormat="1">
      <c r="A253" s="460" t="s">
        <v>1810</v>
      </c>
      <c r="B253" s="460" t="s">
        <v>1284</v>
      </c>
      <c r="C253" s="460"/>
      <c r="D253" s="460" t="s">
        <v>1814</v>
      </c>
      <c r="E253" s="460" t="s">
        <v>1812</v>
      </c>
      <c r="F253" s="460" t="s">
        <v>2629</v>
      </c>
      <c r="G253" s="547">
        <f>ROUND(50,2)</f>
        <v>50</v>
      </c>
      <c r="H253" s="461"/>
      <c r="I253" s="547">
        <f>ROUND(50,2)</f>
        <v>50</v>
      </c>
      <c r="J253" s="460"/>
      <c r="K253" s="460" t="s">
        <v>2613</v>
      </c>
    </row>
    <row r="254" spans="1:11" customFormat="1">
      <c r="A254" s="460" t="s">
        <v>1810</v>
      </c>
      <c r="B254" s="460" t="s">
        <v>1284</v>
      </c>
      <c r="C254" s="460"/>
      <c r="D254" s="460" t="s">
        <v>1814</v>
      </c>
      <c r="E254" s="460" t="s">
        <v>1812</v>
      </c>
      <c r="F254" s="460" t="s">
        <v>2625</v>
      </c>
      <c r="G254" s="547">
        <f>ROUND(50,2)</f>
        <v>50</v>
      </c>
      <c r="H254" s="461"/>
      <c r="I254" s="547">
        <f>ROUND(50,2)</f>
        <v>50</v>
      </c>
      <c r="J254" s="460"/>
      <c r="K254" s="460" t="s">
        <v>2613</v>
      </c>
    </row>
    <row r="255" spans="1:11" customFormat="1">
      <c r="A255" s="460" t="s">
        <v>1810</v>
      </c>
      <c r="B255" s="460" t="s">
        <v>1284</v>
      </c>
      <c r="C255" s="460"/>
      <c r="D255" s="460" t="s">
        <v>1814</v>
      </c>
      <c r="E255" s="460" t="s">
        <v>1812</v>
      </c>
      <c r="F255" s="460" t="s">
        <v>2612</v>
      </c>
      <c r="G255" s="460"/>
      <c r="H255" s="461"/>
      <c r="I255" s="460"/>
      <c r="J255" s="460"/>
      <c r="K255" s="460" t="s">
        <v>2613</v>
      </c>
    </row>
    <row r="256" spans="1:11" customFormat="1">
      <c r="A256" s="460" t="s">
        <v>1810</v>
      </c>
      <c r="B256" s="460" t="s">
        <v>1284</v>
      </c>
      <c r="C256" s="460"/>
      <c r="D256" s="460" t="s">
        <v>1814</v>
      </c>
      <c r="E256" s="460" t="s">
        <v>1812</v>
      </c>
      <c r="F256" s="460" t="s">
        <v>2614</v>
      </c>
      <c r="G256" s="460"/>
      <c r="H256" s="461" t="s">
        <v>2615</v>
      </c>
      <c r="I256" s="547">
        <f>ROUND(7,2)</f>
        <v>7</v>
      </c>
      <c r="J256" s="460" t="s">
        <v>2615</v>
      </c>
      <c r="K256" s="460" t="s">
        <v>2613</v>
      </c>
    </row>
    <row r="257" spans="1:11" customFormat="1">
      <c r="A257" s="460" t="s">
        <v>1810</v>
      </c>
      <c r="B257" s="460" t="s">
        <v>1284</v>
      </c>
      <c r="C257" s="460"/>
      <c r="D257" s="460" t="s">
        <v>1814</v>
      </c>
      <c r="E257" s="460" t="s">
        <v>1812</v>
      </c>
      <c r="F257" s="460" t="s">
        <v>2626</v>
      </c>
      <c r="G257" s="547">
        <f>ROUND(10,2)</f>
        <v>10</v>
      </c>
      <c r="H257" s="461"/>
      <c r="I257" s="547">
        <f>ROUND(10,2)</f>
        <v>10</v>
      </c>
      <c r="J257" s="460"/>
      <c r="K257" s="460" t="s">
        <v>2613</v>
      </c>
    </row>
    <row r="258" spans="1:11" customFormat="1">
      <c r="A258" s="460" t="s">
        <v>1810</v>
      </c>
      <c r="B258" s="460" t="s">
        <v>1284</v>
      </c>
      <c r="C258" s="460"/>
      <c r="D258" s="460" t="s">
        <v>1814</v>
      </c>
      <c r="E258" s="460" t="s">
        <v>1812</v>
      </c>
      <c r="F258" s="460" t="s">
        <v>2620</v>
      </c>
      <c r="G258" s="547">
        <f>ROUND(10.22,2)</f>
        <v>10.220000000000001</v>
      </c>
      <c r="H258" s="461"/>
      <c r="I258" s="547">
        <f>ROUND(10.22,2)</f>
        <v>10.220000000000001</v>
      </c>
      <c r="J258" s="460"/>
      <c r="K258" s="460" t="s">
        <v>2613</v>
      </c>
    </row>
    <row r="259" spans="1:11" customFormat="1">
      <c r="A259" s="460" t="s">
        <v>1810</v>
      </c>
      <c r="B259" s="460" t="s">
        <v>1285</v>
      </c>
      <c r="C259" s="460"/>
      <c r="D259" s="460" t="s">
        <v>1821</v>
      </c>
      <c r="E259" s="460" t="s">
        <v>1812</v>
      </c>
      <c r="F259" s="460" t="s">
        <v>2619</v>
      </c>
      <c r="G259" s="547">
        <f>ROUND(200,2)</f>
        <v>200</v>
      </c>
      <c r="H259" s="461"/>
      <c r="I259" s="547">
        <f>ROUND(200,2)</f>
        <v>200</v>
      </c>
      <c r="J259" s="460"/>
      <c r="K259" s="460" t="s">
        <v>2613</v>
      </c>
    </row>
    <row r="260" spans="1:11" customFormat="1">
      <c r="A260" s="460" t="s">
        <v>1810</v>
      </c>
      <c r="B260" s="460" t="s">
        <v>1285</v>
      </c>
      <c r="C260" s="460"/>
      <c r="D260" s="460" t="s">
        <v>1821</v>
      </c>
      <c r="E260" s="460" t="s">
        <v>1812</v>
      </c>
      <c r="F260" s="460" t="s">
        <v>2625</v>
      </c>
      <c r="G260" s="547">
        <f>ROUND(37.5,2)</f>
        <v>37.5</v>
      </c>
      <c r="H260" s="461"/>
      <c r="I260" s="547">
        <f>ROUND(37.5,2)</f>
        <v>37.5</v>
      </c>
      <c r="J260" s="460"/>
      <c r="K260" s="460" t="s">
        <v>2613</v>
      </c>
    </row>
    <row r="261" spans="1:11" customFormat="1">
      <c r="A261" s="460" t="s">
        <v>1810</v>
      </c>
      <c r="B261" s="460" t="s">
        <v>1285</v>
      </c>
      <c r="C261" s="460"/>
      <c r="D261" s="460" t="s">
        <v>1821</v>
      </c>
      <c r="E261" s="460" t="s">
        <v>1812</v>
      </c>
      <c r="F261" s="460" t="s">
        <v>2612</v>
      </c>
      <c r="G261" s="460"/>
      <c r="H261" s="461"/>
      <c r="I261" s="460"/>
      <c r="J261" s="460"/>
      <c r="K261" s="460" t="s">
        <v>2613</v>
      </c>
    </row>
    <row r="262" spans="1:11" customFormat="1">
      <c r="A262" s="460" t="s">
        <v>1810</v>
      </c>
      <c r="B262" s="460" t="s">
        <v>1285</v>
      </c>
      <c r="C262" s="460"/>
      <c r="D262" s="460" t="s">
        <v>1821</v>
      </c>
      <c r="E262" s="460" t="s">
        <v>1812</v>
      </c>
      <c r="F262" s="460" t="s">
        <v>2614</v>
      </c>
      <c r="G262" s="460"/>
      <c r="H262" s="461" t="s">
        <v>2615</v>
      </c>
      <c r="I262" s="547">
        <f>ROUND(7,2)</f>
        <v>7</v>
      </c>
      <c r="J262" s="460" t="s">
        <v>2615</v>
      </c>
      <c r="K262" s="460" t="s">
        <v>2613</v>
      </c>
    </row>
    <row r="263" spans="1:11" customFormat="1">
      <c r="A263" s="460" t="s">
        <v>1810</v>
      </c>
      <c r="B263" s="460" t="s">
        <v>1285</v>
      </c>
      <c r="C263" s="460"/>
      <c r="D263" s="460" t="s">
        <v>1821</v>
      </c>
      <c r="E263" s="460" t="s">
        <v>1812</v>
      </c>
      <c r="F263" s="460" t="s">
        <v>2624</v>
      </c>
      <c r="G263" s="547">
        <f>ROUND(125,2)</f>
        <v>125</v>
      </c>
      <c r="H263" s="461"/>
      <c r="I263" s="547">
        <f>ROUND(125,2)</f>
        <v>125</v>
      </c>
      <c r="J263" s="460"/>
      <c r="K263" s="460" t="s">
        <v>2613</v>
      </c>
    </row>
    <row r="264" spans="1:11" customFormat="1">
      <c r="A264" s="460" t="s">
        <v>1810</v>
      </c>
      <c r="B264" s="460" t="s">
        <v>1285</v>
      </c>
      <c r="C264" s="460"/>
      <c r="D264" s="460" t="s">
        <v>1821</v>
      </c>
      <c r="E264" s="460" t="s">
        <v>1812</v>
      </c>
      <c r="F264" s="460" t="s">
        <v>2634</v>
      </c>
      <c r="G264" s="547">
        <f>ROUND(50,2)</f>
        <v>50</v>
      </c>
      <c r="H264" s="461"/>
      <c r="I264" s="547">
        <f>ROUND(50,2)</f>
        <v>50</v>
      </c>
      <c r="J264" s="460"/>
      <c r="K264" s="460" t="s">
        <v>2613</v>
      </c>
    </row>
    <row r="265" spans="1:11" customFormat="1">
      <c r="A265" s="460" t="s">
        <v>1810</v>
      </c>
      <c r="B265" s="460" t="s">
        <v>1285</v>
      </c>
      <c r="C265" s="460"/>
      <c r="D265" s="460" t="s">
        <v>1821</v>
      </c>
      <c r="E265" s="460" t="s">
        <v>1812</v>
      </c>
      <c r="F265" s="460" t="s">
        <v>2616</v>
      </c>
      <c r="G265" s="460"/>
      <c r="H265" s="461"/>
      <c r="I265" s="460"/>
      <c r="J265" s="460"/>
      <c r="K265" s="460" t="s">
        <v>2613</v>
      </c>
    </row>
    <row r="266" spans="1:11" customFormat="1">
      <c r="A266" s="460" t="s">
        <v>1810</v>
      </c>
      <c r="B266" s="460" t="s">
        <v>1273</v>
      </c>
      <c r="C266" s="460"/>
      <c r="D266" s="460" t="s">
        <v>1821</v>
      </c>
      <c r="E266" s="460" t="s">
        <v>1812</v>
      </c>
      <c r="F266" s="460" t="s">
        <v>2633</v>
      </c>
      <c r="G266" s="547">
        <f>ROUND(55,2)</f>
        <v>55</v>
      </c>
      <c r="H266" s="461"/>
      <c r="I266" s="547">
        <f>ROUND(55,2)</f>
        <v>55</v>
      </c>
      <c r="J266" s="460"/>
      <c r="K266" s="460" t="s">
        <v>2613</v>
      </c>
    </row>
    <row r="267" spans="1:11" customFormat="1">
      <c r="A267" s="460" t="s">
        <v>1810</v>
      </c>
      <c r="B267" s="460" t="s">
        <v>1273</v>
      </c>
      <c r="C267" s="460"/>
      <c r="D267" s="460" t="s">
        <v>1821</v>
      </c>
      <c r="E267" s="460" t="s">
        <v>1812</v>
      </c>
      <c r="F267" s="460" t="s">
        <v>2612</v>
      </c>
      <c r="G267" s="460"/>
      <c r="H267" s="461"/>
      <c r="I267" s="460"/>
      <c r="J267" s="460"/>
      <c r="K267" s="460" t="s">
        <v>2613</v>
      </c>
    </row>
    <row r="268" spans="1:11" customFormat="1">
      <c r="A268" s="460" t="s">
        <v>1810</v>
      </c>
      <c r="B268" s="460" t="s">
        <v>1273</v>
      </c>
      <c r="C268" s="460"/>
      <c r="D268" s="460" t="s">
        <v>1821</v>
      </c>
      <c r="E268" s="460" t="s">
        <v>1812</v>
      </c>
      <c r="F268" s="460" t="s">
        <v>2614</v>
      </c>
      <c r="G268" s="460"/>
      <c r="H268" s="461" t="s">
        <v>2615</v>
      </c>
      <c r="I268" s="547">
        <f>ROUND(7,2)</f>
        <v>7</v>
      </c>
      <c r="J268" s="460" t="s">
        <v>2615</v>
      </c>
      <c r="K268" s="460" t="s">
        <v>2613</v>
      </c>
    </row>
    <row r="269" spans="1:11" customFormat="1">
      <c r="A269" s="460" t="s">
        <v>1810</v>
      </c>
      <c r="B269" s="460" t="s">
        <v>1273</v>
      </c>
      <c r="C269" s="460"/>
      <c r="D269" s="460" t="s">
        <v>1821</v>
      </c>
      <c r="E269" s="460" t="s">
        <v>1812</v>
      </c>
      <c r="F269" s="460" t="s">
        <v>2634</v>
      </c>
      <c r="G269" s="547">
        <f>ROUND(34,2)</f>
        <v>34</v>
      </c>
      <c r="H269" s="461"/>
      <c r="I269" s="547">
        <f>ROUND(34,2)</f>
        <v>34</v>
      </c>
      <c r="J269" s="460"/>
      <c r="K269" s="460" t="s">
        <v>2613</v>
      </c>
    </row>
    <row r="270" spans="1:11" ht="14.4">
      <c r="A270" s="460" t="s">
        <v>1810</v>
      </c>
      <c r="B270" s="460" t="s">
        <v>1273</v>
      </c>
      <c r="C270" s="460"/>
      <c r="D270" s="460" t="s">
        <v>1821</v>
      </c>
      <c r="E270" s="460" t="s">
        <v>1812</v>
      </c>
      <c r="F270" s="460" t="s">
        <v>2625</v>
      </c>
      <c r="G270" s="547">
        <f>ROUND(37.5,2)</f>
        <v>37.5</v>
      </c>
      <c r="H270" s="461"/>
      <c r="I270" s="547">
        <f>ROUND(37.5,2)</f>
        <v>37.5</v>
      </c>
      <c r="J270" s="460"/>
      <c r="K270" s="460" t="s">
        <v>2613</v>
      </c>
    </row>
    <row r="271" spans="1:11" ht="14.4">
      <c r="A271" s="460" t="s">
        <v>1810</v>
      </c>
      <c r="B271" s="460" t="s">
        <v>1273</v>
      </c>
      <c r="C271" s="460"/>
      <c r="D271" s="460" t="s">
        <v>1821</v>
      </c>
      <c r="E271" s="460" t="s">
        <v>1812</v>
      </c>
      <c r="F271" s="460" t="s">
        <v>2620</v>
      </c>
      <c r="G271" s="547">
        <f>ROUND(10.22,2)</f>
        <v>10.220000000000001</v>
      </c>
      <c r="H271" s="461"/>
      <c r="I271" s="547">
        <f>ROUND(10.22,2)</f>
        <v>10.220000000000001</v>
      </c>
      <c r="J271" s="460"/>
      <c r="K271" s="460" t="s">
        <v>2613</v>
      </c>
    </row>
    <row r="272" spans="1:11" ht="14.4">
      <c r="A272" s="460" t="s">
        <v>1810</v>
      </c>
      <c r="B272" s="460" t="s">
        <v>1273</v>
      </c>
      <c r="C272" s="460"/>
      <c r="D272" s="460" t="s">
        <v>1821</v>
      </c>
      <c r="E272" s="460" t="s">
        <v>1812</v>
      </c>
      <c r="F272" s="460" t="s">
        <v>2616</v>
      </c>
      <c r="G272" s="460"/>
      <c r="H272" s="461"/>
      <c r="I272" s="460"/>
      <c r="J272" s="460"/>
      <c r="K272" s="460" t="s">
        <v>2613</v>
      </c>
    </row>
    <row r="273" spans="1:11" ht="22.8">
      <c r="A273" s="460" t="s">
        <v>1810</v>
      </c>
      <c r="B273" s="460" t="s">
        <v>1271</v>
      </c>
      <c r="C273" s="460"/>
      <c r="D273" s="460" t="s">
        <v>1828</v>
      </c>
      <c r="E273" s="460" t="s">
        <v>1812</v>
      </c>
      <c r="F273" s="460" t="s">
        <v>2612</v>
      </c>
      <c r="G273" s="460"/>
      <c r="H273" s="461"/>
      <c r="I273" s="460"/>
      <c r="J273" s="460"/>
      <c r="K273" s="460" t="s">
        <v>2613</v>
      </c>
    </row>
    <row r="274" spans="1:11" ht="22.8">
      <c r="A274" s="460" t="s">
        <v>1810</v>
      </c>
      <c r="B274" s="460" t="s">
        <v>1271</v>
      </c>
      <c r="C274" s="460"/>
      <c r="D274" s="460" t="s">
        <v>1828</v>
      </c>
      <c r="E274" s="460" t="s">
        <v>1812</v>
      </c>
      <c r="F274" s="460" t="s">
        <v>2614</v>
      </c>
      <c r="G274" s="460"/>
      <c r="H274" s="461" t="s">
        <v>2615</v>
      </c>
      <c r="I274" s="547">
        <f>ROUND(7,2)</f>
        <v>7</v>
      </c>
      <c r="J274" s="460" t="s">
        <v>2615</v>
      </c>
      <c r="K274" s="460" t="s">
        <v>2613</v>
      </c>
    </row>
    <row r="275" spans="1:11" ht="22.8">
      <c r="A275" s="460" t="s">
        <v>1810</v>
      </c>
      <c r="B275" s="460" t="s">
        <v>1271</v>
      </c>
      <c r="C275" s="460"/>
      <c r="D275" s="460" t="s">
        <v>1828</v>
      </c>
      <c r="E275" s="460" t="s">
        <v>1812</v>
      </c>
      <c r="F275" s="460" t="s">
        <v>2616</v>
      </c>
      <c r="G275" s="460"/>
      <c r="H275" s="461"/>
      <c r="I275" s="460"/>
      <c r="J275" s="460"/>
      <c r="K275" s="460" t="s">
        <v>2613</v>
      </c>
    </row>
    <row r="276" spans="1:11" ht="22.8">
      <c r="A276" s="460" t="s">
        <v>1810</v>
      </c>
      <c r="B276" s="460" t="s">
        <v>1271</v>
      </c>
      <c r="C276" s="460"/>
      <c r="D276" s="460" t="s">
        <v>1828</v>
      </c>
      <c r="E276" s="460" t="s">
        <v>1812</v>
      </c>
      <c r="F276" s="460" t="s">
        <v>2617</v>
      </c>
      <c r="G276" s="547">
        <f>ROUND(75,2)</f>
        <v>75</v>
      </c>
      <c r="H276" s="461"/>
      <c r="I276" s="547">
        <f>ROUND(75,2)</f>
        <v>75</v>
      </c>
      <c r="J276" s="460"/>
      <c r="K276" s="460" t="s">
        <v>2613</v>
      </c>
    </row>
    <row r="277" spans="1:11" ht="22.8">
      <c r="A277" s="460" t="s">
        <v>1810</v>
      </c>
      <c r="B277" s="460" t="s">
        <v>1271</v>
      </c>
      <c r="C277" s="460"/>
      <c r="D277" s="460" t="s">
        <v>1828</v>
      </c>
      <c r="E277" s="460" t="s">
        <v>1812</v>
      </c>
      <c r="F277" s="460" t="s">
        <v>2618</v>
      </c>
      <c r="G277" s="547">
        <f>ROUND(22.5,2)</f>
        <v>22.5</v>
      </c>
      <c r="H277" s="461"/>
      <c r="I277" s="547">
        <f>ROUND(22.5,2)</f>
        <v>22.5</v>
      </c>
      <c r="J277" s="460"/>
      <c r="K277" s="460" t="s">
        <v>2613</v>
      </c>
    </row>
    <row r="278" spans="1:11" ht="22.8">
      <c r="A278" s="460" t="s">
        <v>1810</v>
      </c>
      <c r="B278" s="460" t="s">
        <v>2498</v>
      </c>
      <c r="C278" s="460"/>
      <c r="D278" s="460" t="s">
        <v>1840</v>
      </c>
      <c r="E278" s="460" t="s">
        <v>1812</v>
      </c>
      <c r="F278" s="460" t="s">
        <v>2640</v>
      </c>
      <c r="G278" s="460"/>
      <c r="H278" s="461" t="s">
        <v>2641</v>
      </c>
      <c r="I278" s="547">
        <f>ROUND(4,2)</f>
        <v>4</v>
      </c>
      <c r="J278" s="460" t="s">
        <v>2641</v>
      </c>
      <c r="K278" s="460" t="s">
        <v>2613</v>
      </c>
    </row>
    <row r="279" spans="1:11" ht="22.8">
      <c r="A279" s="460" t="s">
        <v>1810</v>
      </c>
      <c r="B279" s="460" t="s">
        <v>2498</v>
      </c>
      <c r="C279" s="460"/>
      <c r="D279" s="460" t="s">
        <v>1840</v>
      </c>
      <c r="E279" s="460" t="s">
        <v>1812</v>
      </c>
      <c r="F279" s="460" t="s">
        <v>2614</v>
      </c>
      <c r="G279" s="460"/>
      <c r="H279" s="461" t="s">
        <v>2615</v>
      </c>
      <c r="I279" s="547">
        <f>ROUND(7,2)</f>
        <v>7</v>
      </c>
      <c r="J279" s="460" t="s">
        <v>2615</v>
      </c>
      <c r="K279" s="460" t="s">
        <v>2613</v>
      </c>
    </row>
    <row r="280" spans="1:11" ht="22.8">
      <c r="A280" s="460" t="s">
        <v>1810</v>
      </c>
      <c r="B280" s="460" t="s">
        <v>2498</v>
      </c>
      <c r="C280" s="460"/>
      <c r="D280" s="460" t="s">
        <v>1840</v>
      </c>
      <c r="E280" s="460" t="s">
        <v>1812</v>
      </c>
      <c r="F280" s="460" t="s">
        <v>2612</v>
      </c>
      <c r="G280" s="460"/>
      <c r="H280" s="461"/>
      <c r="I280" s="460"/>
      <c r="J280" s="460"/>
      <c r="K280" s="460" t="s">
        <v>2613</v>
      </c>
    </row>
    <row r="281" spans="1:11" ht="22.8">
      <c r="A281" s="460" t="s">
        <v>1810</v>
      </c>
      <c r="B281" s="460" t="s">
        <v>2498</v>
      </c>
      <c r="C281" s="460"/>
      <c r="D281" s="460" t="s">
        <v>1840</v>
      </c>
      <c r="E281" s="460" t="s">
        <v>1812</v>
      </c>
      <c r="F281" s="460" t="s">
        <v>2616</v>
      </c>
      <c r="G281" s="547">
        <f>ROUND(10,2)</f>
        <v>10</v>
      </c>
      <c r="H281" s="461"/>
      <c r="I281" s="547">
        <f>ROUND(10,2)</f>
        <v>10</v>
      </c>
      <c r="J281" s="460"/>
      <c r="K281" s="460" t="s">
        <v>2613</v>
      </c>
    </row>
    <row r="282" spans="1:11" ht="14.4">
      <c r="A282" s="460" t="s">
        <v>1810</v>
      </c>
      <c r="B282" s="460" t="s">
        <v>1697</v>
      </c>
      <c r="C282" s="460"/>
      <c r="D282" s="460" t="s">
        <v>1816</v>
      </c>
      <c r="E282" s="460" t="s">
        <v>2611</v>
      </c>
      <c r="F282" s="460" t="s">
        <v>2612</v>
      </c>
      <c r="G282" s="460"/>
      <c r="H282" s="461"/>
      <c r="I282" s="460"/>
      <c r="J282" s="460"/>
      <c r="K282" s="460" t="s">
        <v>2613</v>
      </c>
    </row>
    <row r="283" spans="1:11" ht="22.8">
      <c r="A283" s="460" t="s">
        <v>1810</v>
      </c>
      <c r="B283" s="460" t="s">
        <v>1681</v>
      </c>
      <c r="C283" s="460"/>
      <c r="D283" s="460" t="s">
        <v>1813</v>
      </c>
      <c r="E283" s="460" t="s">
        <v>2611</v>
      </c>
      <c r="F283" s="460" t="s">
        <v>2612</v>
      </c>
      <c r="G283" s="460"/>
      <c r="H283" s="461"/>
      <c r="I283" s="460"/>
      <c r="J283" s="460"/>
      <c r="K283" s="460" t="s">
        <v>2613</v>
      </c>
    </row>
    <row r="284" spans="1:11" ht="14.4">
      <c r="A284" s="460" t="s">
        <v>1810</v>
      </c>
      <c r="B284" s="460" t="s">
        <v>2918</v>
      </c>
      <c r="C284" s="460"/>
      <c r="D284" s="460" t="s">
        <v>1816</v>
      </c>
      <c r="E284" s="460" t="s">
        <v>2611</v>
      </c>
      <c r="F284" s="460" t="s">
        <v>2612</v>
      </c>
      <c r="G284" s="460"/>
      <c r="H284" s="461"/>
      <c r="I284" s="460"/>
      <c r="J284" s="460"/>
      <c r="K284" s="460" t="s">
        <v>2613</v>
      </c>
    </row>
    <row r="285" spans="1:11" ht="14.4">
      <c r="A285" s="460" t="s">
        <v>1810</v>
      </c>
      <c r="B285" s="460" t="s">
        <v>1542</v>
      </c>
      <c r="C285" s="460"/>
      <c r="D285" s="460" t="s">
        <v>1816</v>
      </c>
      <c r="E285" s="460" t="s">
        <v>2611</v>
      </c>
      <c r="F285" s="460" t="s">
        <v>2612</v>
      </c>
      <c r="G285" s="460"/>
      <c r="H285" s="461"/>
      <c r="I285" s="460"/>
      <c r="J285" s="460"/>
      <c r="K285" s="460" t="s">
        <v>2613</v>
      </c>
    </row>
    <row r="286" spans="1:11" ht="14.4">
      <c r="A286" s="460" t="s">
        <v>1810</v>
      </c>
      <c r="B286" s="460" t="s">
        <v>2939</v>
      </c>
      <c r="C286" s="460"/>
      <c r="D286" s="460" t="s">
        <v>1816</v>
      </c>
      <c r="E286" s="460" t="s">
        <v>2611</v>
      </c>
      <c r="F286" s="460" t="s">
        <v>2612</v>
      </c>
      <c r="G286" s="460"/>
      <c r="H286" s="461"/>
      <c r="I286" s="460"/>
      <c r="J286" s="460"/>
      <c r="K286" s="460" t="s">
        <v>2613</v>
      </c>
    </row>
    <row r="287" spans="1:11" ht="22.8">
      <c r="A287" s="460" t="s">
        <v>1810</v>
      </c>
      <c r="B287" s="460" t="s">
        <v>1583</v>
      </c>
      <c r="C287" s="460"/>
      <c r="D287" s="460" t="s">
        <v>1828</v>
      </c>
      <c r="E287" s="460" t="s">
        <v>1812</v>
      </c>
      <c r="F287" s="460" t="s">
        <v>2612</v>
      </c>
      <c r="G287" s="460"/>
      <c r="H287" s="461"/>
      <c r="I287" s="460"/>
      <c r="J287" s="460"/>
      <c r="K287" s="460" t="s">
        <v>2613</v>
      </c>
    </row>
    <row r="288" spans="1:11" ht="22.8">
      <c r="A288" s="460" t="s">
        <v>1810</v>
      </c>
      <c r="B288" s="460" t="s">
        <v>1583</v>
      </c>
      <c r="C288" s="460"/>
      <c r="D288" s="460" t="s">
        <v>1828</v>
      </c>
      <c r="E288" s="460" t="s">
        <v>1812</v>
      </c>
      <c r="F288" s="460" t="s">
        <v>2614</v>
      </c>
      <c r="G288" s="460"/>
      <c r="H288" s="461" t="s">
        <v>2615</v>
      </c>
      <c r="I288" s="547">
        <f>ROUND(7,2)</f>
        <v>7</v>
      </c>
      <c r="J288" s="460" t="s">
        <v>2615</v>
      </c>
      <c r="K288" s="460" t="s">
        <v>2613</v>
      </c>
    </row>
    <row r="289" spans="1:11" ht="22.8">
      <c r="A289" s="460" t="s">
        <v>1810</v>
      </c>
      <c r="B289" s="460" t="s">
        <v>1583</v>
      </c>
      <c r="C289" s="460"/>
      <c r="D289" s="460" t="s">
        <v>1828</v>
      </c>
      <c r="E289" s="460" t="s">
        <v>1812</v>
      </c>
      <c r="F289" s="460" t="s">
        <v>2620</v>
      </c>
      <c r="G289" s="547">
        <f>ROUND(10.22,2)</f>
        <v>10.220000000000001</v>
      </c>
      <c r="H289" s="461"/>
      <c r="I289" s="547">
        <f>ROUND(10.22,2)</f>
        <v>10.220000000000001</v>
      </c>
      <c r="J289" s="460"/>
      <c r="K289" s="460" t="s">
        <v>2613</v>
      </c>
    </row>
    <row r="290" spans="1:11" ht="22.8">
      <c r="A290" s="460" t="s">
        <v>1810</v>
      </c>
      <c r="B290" s="460" t="s">
        <v>1583</v>
      </c>
      <c r="C290" s="460"/>
      <c r="D290" s="460" t="s">
        <v>1828</v>
      </c>
      <c r="E290" s="460" t="s">
        <v>1812</v>
      </c>
      <c r="F290" s="460" t="s">
        <v>2616</v>
      </c>
      <c r="G290" s="460"/>
      <c r="H290" s="461"/>
      <c r="I290" s="460"/>
      <c r="J290" s="460"/>
      <c r="K290" s="460" t="s">
        <v>2613</v>
      </c>
    </row>
    <row r="291" spans="1:11" ht="22.8">
      <c r="A291" s="460" t="s">
        <v>1810</v>
      </c>
      <c r="B291" s="460" t="s">
        <v>1550</v>
      </c>
      <c r="C291" s="460"/>
      <c r="D291" s="460" t="s">
        <v>1834</v>
      </c>
      <c r="E291" s="460" t="s">
        <v>1812</v>
      </c>
      <c r="F291" s="460" t="s">
        <v>2612</v>
      </c>
      <c r="G291" s="460"/>
      <c r="H291" s="461"/>
      <c r="I291" s="460"/>
      <c r="J291" s="460"/>
      <c r="K291" s="460" t="s">
        <v>2613</v>
      </c>
    </row>
    <row r="292" spans="1:11" ht="22.8">
      <c r="A292" s="460" t="s">
        <v>1810</v>
      </c>
      <c r="B292" s="460" t="s">
        <v>1550</v>
      </c>
      <c r="C292" s="460"/>
      <c r="D292" s="460" t="s">
        <v>1834</v>
      </c>
      <c r="E292" s="460" t="s">
        <v>1812</v>
      </c>
      <c r="F292" s="460" t="s">
        <v>2614</v>
      </c>
      <c r="G292" s="460"/>
      <c r="H292" s="461" t="s">
        <v>2615</v>
      </c>
      <c r="I292" s="547">
        <f>ROUND(7,2)</f>
        <v>7</v>
      </c>
      <c r="J292" s="460" t="s">
        <v>2615</v>
      </c>
      <c r="K292" s="460" t="s">
        <v>2613</v>
      </c>
    </row>
    <row r="293" spans="1:11" ht="22.8">
      <c r="A293" s="460" t="s">
        <v>1810</v>
      </c>
      <c r="B293" s="460" t="s">
        <v>1550</v>
      </c>
      <c r="C293" s="460"/>
      <c r="D293" s="460" t="s">
        <v>1834</v>
      </c>
      <c r="E293" s="460" t="s">
        <v>1812</v>
      </c>
      <c r="F293" s="460" t="s">
        <v>2616</v>
      </c>
      <c r="G293" s="460"/>
      <c r="H293" s="461"/>
      <c r="I293" s="460"/>
      <c r="J293" s="460"/>
      <c r="K293" s="460" t="s">
        <v>2613</v>
      </c>
    </row>
    <row r="294" spans="1:11" ht="14.4">
      <c r="A294" s="460" t="s">
        <v>1810</v>
      </c>
      <c r="B294" s="460" t="s">
        <v>2508</v>
      </c>
      <c r="C294" s="460"/>
      <c r="D294" s="460" t="s">
        <v>1816</v>
      </c>
      <c r="E294" s="460" t="s">
        <v>2611</v>
      </c>
      <c r="F294" s="460" t="s">
        <v>2623</v>
      </c>
      <c r="G294" s="460"/>
      <c r="H294" s="461"/>
      <c r="I294" s="460"/>
      <c r="J294" s="460"/>
      <c r="K294" s="460" t="s">
        <v>2613</v>
      </c>
    </row>
    <row r="295" spans="1:11" ht="14.4">
      <c r="A295" s="460" t="s">
        <v>1810</v>
      </c>
      <c r="B295" s="460" t="s">
        <v>1716</v>
      </c>
      <c r="C295" s="460"/>
      <c r="D295" s="460" t="s">
        <v>1816</v>
      </c>
      <c r="E295" s="460" t="s">
        <v>2611</v>
      </c>
      <c r="F295" s="460" t="s">
        <v>2612</v>
      </c>
      <c r="G295" s="460"/>
      <c r="H295" s="461"/>
      <c r="I295" s="460"/>
      <c r="J295" s="460"/>
      <c r="K295" s="460" t="s">
        <v>2613</v>
      </c>
    </row>
    <row r="296" spans="1:11" ht="14.4">
      <c r="A296" s="460" t="s">
        <v>1810</v>
      </c>
      <c r="B296" s="460" t="s">
        <v>1688</v>
      </c>
      <c r="C296" s="460"/>
      <c r="D296" s="460" t="s">
        <v>1811</v>
      </c>
      <c r="E296" s="460" t="s">
        <v>1812</v>
      </c>
      <c r="F296" s="460" t="s">
        <v>2612</v>
      </c>
      <c r="G296" s="460"/>
      <c r="H296" s="461"/>
      <c r="I296" s="460"/>
      <c r="J296" s="460"/>
      <c r="K296" s="460" t="s">
        <v>2613</v>
      </c>
    </row>
    <row r="297" spans="1:11" ht="14.4">
      <c r="A297" s="460" t="s">
        <v>1810</v>
      </c>
      <c r="B297" s="460" t="s">
        <v>1688</v>
      </c>
      <c r="C297" s="460"/>
      <c r="D297" s="460" t="s">
        <v>1811</v>
      </c>
      <c r="E297" s="460" t="s">
        <v>1812</v>
      </c>
      <c r="F297" s="460" t="s">
        <v>2623</v>
      </c>
      <c r="G297" s="460"/>
      <c r="H297" s="461" t="s">
        <v>2642</v>
      </c>
      <c r="I297" s="547">
        <f>ROUND(3,2)</f>
        <v>3</v>
      </c>
      <c r="J297" s="460" t="s">
        <v>2642</v>
      </c>
      <c r="K297" s="460" t="s">
        <v>2613</v>
      </c>
    </row>
    <row r="298" spans="1:11" ht="14.4">
      <c r="A298" s="460" t="s">
        <v>1810</v>
      </c>
      <c r="B298" s="460" t="s">
        <v>1688</v>
      </c>
      <c r="C298" s="460"/>
      <c r="D298" s="460" t="s">
        <v>1811</v>
      </c>
      <c r="E298" s="460" t="s">
        <v>1812</v>
      </c>
      <c r="F298" s="460" t="s">
        <v>2614</v>
      </c>
      <c r="G298" s="460"/>
      <c r="H298" s="461" t="s">
        <v>2615</v>
      </c>
      <c r="I298" s="547">
        <f>ROUND(7,2)</f>
        <v>7</v>
      </c>
      <c r="J298" s="460" t="s">
        <v>2615</v>
      </c>
      <c r="K298" s="460" t="s">
        <v>2613</v>
      </c>
    </row>
    <row r="299" spans="1:11" ht="14.4">
      <c r="A299" s="460" t="s">
        <v>1810</v>
      </c>
      <c r="B299" s="460" t="s">
        <v>1292</v>
      </c>
      <c r="C299" s="460"/>
      <c r="D299" s="460" t="s">
        <v>1814</v>
      </c>
      <c r="E299" s="460" t="s">
        <v>1812</v>
      </c>
      <c r="F299" s="460" t="s">
        <v>2637</v>
      </c>
      <c r="G299" s="547">
        <f>ROUND(257.54,2)</f>
        <v>257.54000000000002</v>
      </c>
      <c r="H299" s="461"/>
      <c r="I299" s="547">
        <f>ROUND(257.54,2)</f>
        <v>257.54000000000002</v>
      </c>
      <c r="J299" s="460"/>
      <c r="K299" s="460" t="s">
        <v>2613</v>
      </c>
    </row>
    <row r="300" spans="1:11" ht="14.4">
      <c r="A300" s="460" t="s">
        <v>1810</v>
      </c>
      <c r="B300" s="460" t="s">
        <v>1292</v>
      </c>
      <c r="C300" s="460"/>
      <c r="D300" s="460" t="s">
        <v>1814</v>
      </c>
      <c r="E300" s="460" t="s">
        <v>1812</v>
      </c>
      <c r="F300" s="460" t="s">
        <v>2624</v>
      </c>
      <c r="G300" s="547">
        <f>ROUND(100,2)</f>
        <v>100</v>
      </c>
      <c r="H300" s="461"/>
      <c r="I300" s="547">
        <f>ROUND(100,2)</f>
        <v>100</v>
      </c>
      <c r="J300" s="460"/>
      <c r="K300" s="460" t="s">
        <v>2613</v>
      </c>
    </row>
    <row r="301" spans="1:11" ht="14.4">
      <c r="A301" s="460" t="s">
        <v>1810</v>
      </c>
      <c r="B301" s="460" t="s">
        <v>1292</v>
      </c>
      <c r="C301" s="460"/>
      <c r="D301" s="460" t="s">
        <v>1814</v>
      </c>
      <c r="E301" s="460" t="s">
        <v>1812</v>
      </c>
      <c r="F301" s="460" t="s">
        <v>2625</v>
      </c>
      <c r="G301" s="547">
        <f>ROUND(50,2)</f>
        <v>50</v>
      </c>
      <c r="H301" s="461"/>
      <c r="I301" s="547">
        <f>ROUND(50,2)</f>
        <v>50</v>
      </c>
      <c r="J301" s="460"/>
      <c r="K301" s="460" t="s">
        <v>2613</v>
      </c>
    </row>
    <row r="302" spans="1:11" ht="14.4">
      <c r="A302" s="460" t="s">
        <v>1810</v>
      </c>
      <c r="B302" s="460" t="s">
        <v>1292</v>
      </c>
      <c r="C302" s="460"/>
      <c r="D302" s="460" t="s">
        <v>1814</v>
      </c>
      <c r="E302" s="460" t="s">
        <v>1812</v>
      </c>
      <c r="F302" s="460" t="s">
        <v>2612</v>
      </c>
      <c r="G302" s="460"/>
      <c r="H302" s="461"/>
      <c r="I302" s="460"/>
      <c r="J302" s="460"/>
      <c r="K302" s="460" t="s">
        <v>2613</v>
      </c>
    </row>
    <row r="303" spans="1:11" ht="14.4">
      <c r="A303" s="460" t="s">
        <v>1810</v>
      </c>
      <c r="B303" s="460" t="s">
        <v>1292</v>
      </c>
      <c r="C303" s="460"/>
      <c r="D303" s="460" t="s">
        <v>1814</v>
      </c>
      <c r="E303" s="460" t="s">
        <v>1812</v>
      </c>
      <c r="F303" s="460" t="s">
        <v>2614</v>
      </c>
      <c r="G303" s="460"/>
      <c r="H303" s="461" t="s">
        <v>2615</v>
      </c>
      <c r="I303" s="547">
        <f>ROUND(7,2)</f>
        <v>7</v>
      </c>
      <c r="J303" s="460" t="s">
        <v>2615</v>
      </c>
      <c r="K303" s="460" t="s">
        <v>2613</v>
      </c>
    </row>
    <row r="304" spans="1:11" ht="14.4">
      <c r="A304" s="460" t="s">
        <v>1810</v>
      </c>
      <c r="B304" s="460" t="s">
        <v>1292</v>
      </c>
      <c r="C304" s="460"/>
      <c r="D304" s="460" t="s">
        <v>1814</v>
      </c>
      <c r="E304" s="460" t="s">
        <v>1812</v>
      </c>
      <c r="F304" s="460" t="s">
        <v>2626</v>
      </c>
      <c r="G304" s="547">
        <f>ROUND(10,2)</f>
        <v>10</v>
      </c>
      <c r="H304" s="461"/>
      <c r="I304" s="547">
        <f>ROUND(10,2)</f>
        <v>10</v>
      </c>
      <c r="J304" s="460"/>
      <c r="K304" s="460" t="s">
        <v>2613</v>
      </c>
    </row>
    <row r="305" spans="1:11" ht="14.4">
      <c r="A305" s="460" t="s">
        <v>1810</v>
      </c>
      <c r="B305" s="460" t="s">
        <v>1292</v>
      </c>
      <c r="C305" s="460"/>
      <c r="D305" s="460" t="s">
        <v>1814</v>
      </c>
      <c r="E305" s="460" t="s">
        <v>1812</v>
      </c>
      <c r="F305" s="460" t="s">
        <v>2629</v>
      </c>
      <c r="G305" s="547">
        <f>ROUND(143,2)</f>
        <v>143</v>
      </c>
      <c r="H305" s="461"/>
      <c r="I305" s="547">
        <f>ROUND(143,2)</f>
        <v>143</v>
      </c>
      <c r="J305" s="460"/>
      <c r="K305" s="460" t="s">
        <v>2613</v>
      </c>
    </row>
    <row r="306" spans="1:11" ht="14.4">
      <c r="A306" s="460" t="s">
        <v>1810</v>
      </c>
      <c r="B306" s="460" t="s">
        <v>1292</v>
      </c>
      <c r="C306" s="460"/>
      <c r="D306" s="460" t="s">
        <v>1814</v>
      </c>
      <c r="E306" s="460" t="s">
        <v>1812</v>
      </c>
      <c r="F306" s="460" t="s">
        <v>2620</v>
      </c>
      <c r="G306" s="547">
        <f>ROUND(10.22,2)</f>
        <v>10.220000000000001</v>
      </c>
      <c r="H306" s="461"/>
      <c r="I306" s="547">
        <f>ROUND(10.22,2)</f>
        <v>10.220000000000001</v>
      </c>
      <c r="J306" s="460"/>
      <c r="K306" s="460" t="s">
        <v>2613</v>
      </c>
    </row>
    <row r="307" spans="1:11" ht="14.4">
      <c r="A307" s="460" t="s">
        <v>1810</v>
      </c>
      <c r="B307" s="460" t="s">
        <v>1292</v>
      </c>
      <c r="C307" s="460"/>
      <c r="D307" s="460" t="s">
        <v>1814</v>
      </c>
      <c r="E307" s="460" t="s">
        <v>1812</v>
      </c>
      <c r="F307" s="460" t="s">
        <v>2616</v>
      </c>
      <c r="G307" s="460"/>
      <c r="H307" s="461"/>
      <c r="I307" s="460"/>
      <c r="J307" s="460"/>
      <c r="K307" s="460" t="s">
        <v>2613</v>
      </c>
    </row>
    <row r="308" spans="1:11" ht="14.4">
      <c r="A308" s="460" t="s">
        <v>1810</v>
      </c>
      <c r="B308" s="460" t="s">
        <v>2940</v>
      </c>
      <c r="C308" s="460"/>
      <c r="D308" s="460" t="s">
        <v>1816</v>
      </c>
      <c r="E308" s="460" t="s">
        <v>2611</v>
      </c>
      <c r="F308" s="460" t="s">
        <v>2612</v>
      </c>
      <c r="G308" s="460"/>
      <c r="H308" s="461"/>
      <c r="I308" s="460"/>
      <c r="J308" s="460"/>
      <c r="K308" s="460" t="s">
        <v>2613</v>
      </c>
    </row>
    <row r="309" spans="1:11" ht="14.4">
      <c r="A309" s="460" t="s">
        <v>1810</v>
      </c>
      <c r="B309" s="460" t="s">
        <v>2554</v>
      </c>
      <c r="C309" s="460"/>
      <c r="D309" s="460" t="s">
        <v>1814</v>
      </c>
      <c r="E309" s="460" t="s">
        <v>1812</v>
      </c>
      <c r="F309" s="460" t="s">
        <v>2617</v>
      </c>
      <c r="G309" s="547">
        <f>ROUND(75,2)</f>
        <v>75</v>
      </c>
      <c r="H309" s="461"/>
      <c r="I309" s="547">
        <f>ROUND(75,2)</f>
        <v>75</v>
      </c>
      <c r="J309" s="460"/>
      <c r="K309" s="460" t="s">
        <v>2613</v>
      </c>
    </row>
    <row r="310" spans="1:11" ht="14.4">
      <c r="A310" s="460" t="s">
        <v>1810</v>
      </c>
      <c r="B310" s="460" t="s">
        <v>2554</v>
      </c>
      <c r="C310" s="460"/>
      <c r="D310" s="460" t="s">
        <v>1814</v>
      </c>
      <c r="E310" s="460" t="s">
        <v>1812</v>
      </c>
      <c r="F310" s="460" t="s">
        <v>2614</v>
      </c>
      <c r="G310" s="460"/>
      <c r="H310" s="461" t="s">
        <v>2615</v>
      </c>
      <c r="I310" s="547">
        <f>ROUND(7,2)</f>
        <v>7</v>
      </c>
      <c r="J310" s="460" t="s">
        <v>2615</v>
      </c>
      <c r="K310" s="460" t="s">
        <v>2613</v>
      </c>
    </row>
    <row r="311" spans="1:11" ht="14.4">
      <c r="A311" s="460" t="s">
        <v>1810</v>
      </c>
      <c r="B311" s="460" t="s">
        <v>2554</v>
      </c>
      <c r="C311" s="460"/>
      <c r="D311" s="460" t="s">
        <v>1814</v>
      </c>
      <c r="E311" s="460" t="s">
        <v>1812</v>
      </c>
      <c r="F311" s="460" t="s">
        <v>2618</v>
      </c>
      <c r="G311" s="547">
        <f>ROUND(47.5,2)</f>
        <v>47.5</v>
      </c>
      <c r="H311" s="461"/>
      <c r="I311" s="547">
        <f>ROUND(47.5,2)</f>
        <v>47.5</v>
      </c>
      <c r="J311" s="460"/>
      <c r="K311" s="460" t="s">
        <v>2613</v>
      </c>
    </row>
    <row r="312" spans="1:11" ht="14.4">
      <c r="A312" s="460" t="s">
        <v>1810</v>
      </c>
      <c r="B312" s="460" t="s">
        <v>2554</v>
      </c>
      <c r="C312" s="460"/>
      <c r="D312" s="460" t="s">
        <v>1814</v>
      </c>
      <c r="E312" s="460" t="s">
        <v>1812</v>
      </c>
      <c r="F312" s="460" t="s">
        <v>2612</v>
      </c>
      <c r="G312" s="460"/>
      <c r="H312" s="461"/>
      <c r="I312" s="460"/>
      <c r="J312" s="460"/>
      <c r="K312" s="460" t="s">
        <v>2613</v>
      </c>
    </row>
    <row r="313" spans="1:11" ht="14.4">
      <c r="A313" s="460" t="s">
        <v>1810</v>
      </c>
      <c r="B313" s="460" t="s">
        <v>2554</v>
      </c>
      <c r="C313" s="460"/>
      <c r="D313" s="460" t="s">
        <v>1814</v>
      </c>
      <c r="E313" s="460" t="s">
        <v>1812</v>
      </c>
      <c r="F313" s="460" t="s">
        <v>2620</v>
      </c>
      <c r="G313" s="547">
        <f>ROUND(10.22,2)</f>
        <v>10.220000000000001</v>
      </c>
      <c r="H313" s="461"/>
      <c r="I313" s="547">
        <f>ROUND(10.22,2)</f>
        <v>10.220000000000001</v>
      </c>
      <c r="J313" s="460"/>
      <c r="K313" s="460" t="s">
        <v>2613</v>
      </c>
    </row>
    <row r="314" spans="1:11" ht="14.4">
      <c r="A314" s="460" t="s">
        <v>1810</v>
      </c>
      <c r="B314" s="460" t="s">
        <v>1936</v>
      </c>
      <c r="C314" s="460"/>
      <c r="D314" s="460" t="s">
        <v>1816</v>
      </c>
      <c r="E314" s="460" t="s">
        <v>2611</v>
      </c>
      <c r="F314" s="460" t="s">
        <v>2612</v>
      </c>
      <c r="G314" s="460"/>
      <c r="H314" s="461"/>
      <c r="I314" s="460"/>
      <c r="J314" s="460"/>
      <c r="K314" s="460" t="s">
        <v>2613</v>
      </c>
    </row>
    <row r="315" spans="1:11" ht="14.4">
      <c r="A315" s="460" t="s">
        <v>1810</v>
      </c>
      <c r="B315" s="460" t="s">
        <v>1598</v>
      </c>
      <c r="C315" s="460"/>
      <c r="D315" s="460" t="s">
        <v>1821</v>
      </c>
      <c r="E315" s="460" t="s">
        <v>1812</v>
      </c>
      <c r="F315" s="460" t="s">
        <v>2612</v>
      </c>
      <c r="G315" s="460"/>
      <c r="H315" s="461"/>
      <c r="I315" s="460"/>
      <c r="J315" s="460"/>
      <c r="K315" s="460" t="s">
        <v>2613</v>
      </c>
    </row>
    <row r="316" spans="1:11" ht="14.4">
      <c r="A316" s="460" t="s">
        <v>1810</v>
      </c>
      <c r="B316" s="460" t="s">
        <v>1598</v>
      </c>
      <c r="C316" s="460"/>
      <c r="D316" s="460" t="s">
        <v>1821</v>
      </c>
      <c r="E316" s="460" t="s">
        <v>1812</v>
      </c>
      <c r="F316" s="460" t="s">
        <v>2634</v>
      </c>
      <c r="G316" s="547">
        <f>ROUND(43,2)</f>
        <v>43</v>
      </c>
      <c r="H316" s="461"/>
      <c r="I316" s="547">
        <f>ROUND(43,2)</f>
        <v>43</v>
      </c>
      <c r="J316" s="460"/>
      <c r="K316" s="460" t="s">
        <v>2613</v>
      </c>
    </row>
    <row r="317" spans="1:11" ht="14.4">
      <c r="A317" s="460" t="s">
        <v>1810</v>
      </c>
      <c r="B317" s="460" t="s">
        <v>1598</v>
      </c>
      <c r="C317" s="460"/>
      <c r="D317" s="460" t="s">
        <v>1821</v>
      </c>
      <c r="E317" s="460" t="s">
        <v>1812</v>
      </c>
      <c r="F317" s="460" t="s">
        <v>2614</v>
      </c>
      <c r="G317" s="460"/>
      <c r="H317" s="461" t="s">
        <v>2615</v>
      </c>
      <c r="I317" s="547">
        <f>ROUND(7,2)</f>
        <v>7</v>
      </c>
      <c r="J317" s="460" t="s">
        <v>2615</v>
      </c>
      <c r="K317" s="460" t="s">
        <v>2613</v>
      </c>
    </row>
    <row r="318" spans="1:11" ht="14.4">
      <c r="A318" s="460" t="s">
        <v>1810</v>
      </c>
      <c r="B318" s="460" t="s">
        <v>1598</v>
      </c>
      <c r="C318" s="460"/>
      <c r="D318" s="460" t="s">
        <v>1821</v>
      </c>
      <c r="E318" s="460" t="s">
        <v>1812</v>
      </c>
      <c r="F318" s="460" t="s">
        <v>2616</v>
      </c>
      <c r="G318" s="460"/>
      <c r="H318" s="461"/>
      <c r="I318" s="460"/>
      <c r="J318" s="460"/>
      <c r="K318" s="460" t="s">
        <v>2613</v>
      </c>
    </row>
    <row r="319" spans="1:11" ht="14.4">
      <c r="A319" s="460" t="s">
        <v>1810</v>
      </c>
      <c r="B319" s="460" t="s">
        <v>2917</v>
      </c>
      <c r="C319" s="460"/>
      <c r="D319" s="460" t="s">
        <v>1816</v>
      </c>
      <c r="E319" s="460" t="s">
        <v>2611</v>
      </c>
      <c r="F319" s="460" t="s">
        <v>2612</v>
      </c>
      <c r="G319" s="460"/>
      <c r="H319" s="461"/>
      <c r="I319" s="460"/>
      <c r="J319" s="460"/>
      <c r="K319" s="460" t="s">
        <v>2613</v>
      </c>
    </row>
    <row r="320" spans="1:11" ht="14.4">
      <c r="A320" s="460" t="s">
        <v>1810</v>
      </c>
      <c r="B320" s="460" t="s">
        <v>2584</v>
      </c>
      <c r="C320" s="460"/>
      <c r="D320" s="460" t="s">
        <v>1816</v>
      </c>
      <c r="E320" s="460" t="s">
        <v>2611</v>
      </c>
      <c r="F320" s="460" t="s">
        <v>2612</v>
      </c>
      <c r="G320" s="460"/>
      <c r="H320" s="461"/>
      <c r="I320" s="460"/>
      <c r="J320" s="460"/>
      <c r="K320" s="460" t="s">
        <v>2613</v>
      </c>
    </row>
    <row r="321" spans="1:11" ht="14.4">
      <c r="A321" s="460" t="s">
        <v>1810</v>
      </c>
      <c r="B321" s="460" t="s">
        <v>1748</v>
      </c>
      <c r="C321" s="460"/>
      <c r="D321" s="460" t="s">
        <v>1816</v>
      </c>
      <c r="E321" s="460" t="s">
        <v>2611</v>
      </c>
      <c r="F321" s="460" t="s">
        <v>2612</v>
      </c>
      <c r="G321" s="460"/>
      <c r="H321" s="461"/>
      <c r="I321" s="460"/>
      <c r="J321" s="460"/>
      <c r="K321" s="460" t="s">
        <v>2613</v>
      </c>
    </row>
    <row r="322" spans="1:11" ht="14.4">
      <c r="A322" s="460" t="s">
        <v>1810</v>
      </c>
      <c r="B322" s="460" t="s">
        <v>1925</v>
      </c>
      <c r="C322" s="460"/>
      <c r="D322" s="460" t="s">
        <v>1821</v>
      </c>
      <c r="E322" s="460" t="s">
        <v>1812</v>
      </c>
      <c r="F322" s="460" t="s">
        <v>2640</v>
      </c>
      <c r="G322" s="460"/>
      <c r="H322" s="461" t="s">
        <v>2643</v>
      </c>
      <c r="I322" s="547">
        <f>ROUND(2,2)</f>
        <v>2</v>
      </c>
      <c r="J322" s="460" t="s">
        <v>2643</v>
      </c>
      <c r="K322" s="460" t="s">
        <v>2613</v>
      </c>
    </row>
    <row r="323" spans="1:11" ht="14.4">
      <c r="A323" s="460" t="s">
        <v>1810</v>
      </c>
      <c r="B323" s="460" t="s">
        <v>1925</v>
      </c>
      <c r="C323" s="460"/>
      <c r="D323" s="460" t="s">
        <v>1821</v>
      </c>
      <c r="E323" s="460" t="s">
        <v>1812</v>
      </c>
      <c r="F323" s="460" t="s">
        <v>2625</v>
      </c>
      <c r="G323" s="547">
        <f>ROUND(25,2)</f>
        <v>25</v>
      </c>
      <c r="H323" s="461"/>
      <c r="I323" s="547">
        <f>ROUND(25,2)</f>
        <v>25</v>
      </c>
      <c r="J323" s="460"/>
      <c r="K323" s="460" t="s">
        <v>2613</v>
      </c>
    </row>
    <row r="324" spans="1:11" ht="14.4">
      <c r="A324" s="460" t="s">
        <v>1810</v>
      </c>
      <c r="B324" s="460" t="s">
        <v>1925</v>
      </c>
      <c r="C324" s="460"/>
      <c r="D324" s="460" t="s">
        <v>1821</v>
      </c>
      <c r="E324" s="460" t="s">
        <v>1812</v>
      </c>
      <c r="F324" s="460" t="s">
        <v>2614</v>
      </c>
      <c r="G324" s="460"/>
      <c r="H324" s="461" t="s">
        <v>2615</v>
      </c>
      <c r="I324" s="547">
        <f>ROUND(7,2)</f>
        <v>7</v>
      </c>
      <c r="J324" s="460" t="s">
        <v>2615</v>
      </c>
      <c r="K324" s="460" t="s">
        <v>2613</v>
      </c>
    </row>
    <row r="325" spans="1:11" ht="14.4">
      <c r="A325" s="460" t="s">
        <v>1810</v>
      </c>
      <c r="B325" s="460" t="s">
        <v>1925</v>
      </c>
      <c r="C325" s="460"/>
      <c r="D325" s="460" t="s">
        <v>1821</v>
      </c>
      <c r="E325" s="460" t="s">
        <v>1812</v>
      </c>
      <c r="F325" s="460" t="s">
        <v>2634</v>
      </c>
      <c r="G325" s="547">
        <f>ROUND(44,2)</f>
        <v>44</v>
      </c>
      <c r="H325" s="461"/>
      <c r="I325" s="547">
        <f>ROUND(44,2)</f>
        <v>44</v>
      </c>
      <c r="J325" s="460"/>
      <c r="K325" s="460" t="s">
        <v>2613</v>
      </c>
    </row>
    <row r="326" spans="1:11" ht="14.4">
      <c r="A326" s="460" t="s">
        <v>1810</v>
      </c>
      <c r="B326" s="460" t="s">
        <v>1925</v>
      </c>
      <c r="C326" s="460"/>
      <c r="D326" s="460" t="s">
        <v>1821</v>
      </c>
      <c r="E326" s="460" t="s">
        <v>1812</v>
      </c>
      <c r="F326" s="460" t="s">
        <v>2612</v>
      </c>
      <c r="G326" s="460"/>
      <c r="H326" s="461"/>
      <c r="I326" s="460"/>
      <c r="J326" s="460"/>
      <c r="K326" s="460" t="s">
        <v>2613</v>
      </c>
    </row>
    <row r="327" spans="1:11" ht="14.4">
      <c r="A327" s="460" t="s">
        <v>1810</v>
      </c>
      <c r="B327" s="460" t="s">
        <v>1925</v>
      </c>
      <c r="C327" s="460"/>
      <c r="D327" s="460" t="s">
        <v>1821</v>
      </c>
      <c r="E327" s="460" t="s">
        <v>1812</v>
      </c>
      <c r="F327" s="460" t="s">
        <v>2616</v>
      </c>
      <c r="G327" s="460"/>
      <c r="H327" s="461"/>
      <c r="I327" s="460"/>
      <c r="J327" s="460"/>
      <c r="K327" s="460" t="s">
        <v>2613</v>
      </c>
    </row>
    <row r="328" spans="1:11" ht="14.4">
      <c r="A328" s="460" t="s">
        <v>1810</v>
      </c>
      <c r="B328" s="460" t="s">
        <v>1298</v>
      </c>
      <c r="C328" s="460"/>
      <c r="D328" s="460" t="s">
        <v>1814</v>
      </c>
      <c r="E328" s="460" t="s">
        <v>1812</v>
      </c>
      <c r="F328" s="460" t="s">
        <v>2629</v>
      </c>
      <c r="G328" s="547">
        <f>ROUND(110,2)</f>
        <v>110</v>
      </c>
      <c r="H328" s="461"/>
      <c r="I328" s="547">
        <f>ROUND(110,2)</f>
        <v>110</v>
      </c>
      <c r="J328" s="460"/>
      <c r="K328" s="460" t="s">
        <v>2613</v>
      </c>
    </row>
    <row r="329" spans="1:11" ht="14.4">
      <c r="A329" s="460" t="s">
        <v>1810</v>
      </c>
      <c r="B329" s="460" t="s">
        <v>1298</v>
      </c>
      <c r="C329" s="460"/>
      <c r="D329" s="460" t="s">
        <v>1814</v>
      </c>
      <c r="E329" s="460" t="s">
        <v>1812</v>
      </c>
      <c r="F329" s="460" t="s">
        <v>2612</v>
      </c>
      <c r="G329" s="547">
        <f>ROUND(1800,2)</f>
        <v>1800</v>
      </c>
      <c r="H329" s="461"/>
      <c r="I329" s="547">
        <f>ROUND(1800,2)</f>
        <v>1800</v>
      </c>
      <c r="J329" s="460"/>
      <c r="K329" s="460" t="s">
        <v>2613</v>
      </c>
    </row>
    <row r="330" spans="1:11" ht="14.4">
      <c r="A330" s="460" t="s">
        <v>1810</v>
      </c>
      <c r="B330" s="460" t="s">
        <v>1298</v>
      </c>
      <c r="C330" s="460"/>
      <c r="D330" s="460" t="s">
        <v>1814</v>
      </c>
      <c r="E330" s="460" t="s">
        <v>1812</v>
      </c>
      <c r="F330" s="460" t="s">
        <v>2623</v>
      </c>
      <c r="G330" s="460"/>
      <c r="H330" s="461"/>
      <c r="I330" s="460"/>
      <c r="J330" s="460"/>
      <c r="K330" s="460" t="s">
        <v>2613</v>
      </c>
    </row>
    <row r="331" spans="1:11" ht="14.4">
      <c r="A331" s="460" t="s">
        <v>1810</v>
      </c>
      <c r="B331" s="460" t="s">
        <v>1298</v>
      </c>
      <c r="C331" s="460"/>
      <c r="D331" s="460" t="s">
        <v>1814</v>
      </c>
      <c r="E331" s="460" t="s">
        <v>1812</v>
      </c>
      <c r="F331" s="460" t="s">
        <v>2614</v>
      </c>
      <c r="G331" s="460"/>
      <c r="H331" s="461" t="s">
        <v>2615</v>
      </c>
      <c r="I331" s="547">
        <f>ROUND(7,2)</f>
        <v>7</v>
      </c>
      <c r="J331" s="460" t="s">
        <v>2615</v>
      </c>
      <c r="K331" s="460" t="s">
        <v>2613</v>
      </c>
    </row>
    <row r="332" spans="1:11" ht="14.4">
      <c r="A332" s="460" t="s">
        <v>1810</v>
      </c>
      <c r="B332" s="460" t="s">
        <v>1298</v>
      </c>
      <c r="C332" s="460"/>
      <c r="D332" s="460" t="s">
        <v>1814</v>
      </c>
      <c r="E332" s="460" t="s">
        <v>1812</v>
      </c>
      <c r="F332" s="460" t="s">
        <v>2626</v>
      </c>
      <c r="G332" s="547">
        <f>ROUND(10,2)</f>
        <v>10</v>
      </c>
      <c r="H332" s="461"/>
      <c r="I332" s="547">
        <f>ROUND(10,2)</f>
        <v>10</v>
      </c>
      <c r="J332" s="460"/>
      <c r="K332" s="460" t="s">
        <v>2613</v>
      </c>
    </row>
    <row r="333" spans="1:11" ht="14.4">
      <c r="A333" s="460" t="s">
        <v>1810</v>
      </c>
      <c r="B333" s="460" t="s">
        <v>1298</v>
      </c>
      <c r="C333" s="460"/>
      <c r="D333" s="460" t="s">
        <v>1814</v>
      </c>
      <c r="E333" s="460" t="s">
        <v>1812</v>
      </c>
      <c r="F333" s="460" t="s">
        <v>2620</v>
      </c>
      <c r="G333" s="547">
        <f>ROUND(10.22,2)</f>
        <v>10.220000000000001</v>
      </c>
      <c r="H333" s="461"/>
      <c r="I333" s="547">
        <f>ROUND(10.22,2)</f>
        <v>10.220000000000001</v>
      </c>
      <c r="J333" s="460"/>
      <c r="K333" s="460" t="s">
        <v>2613</v>
      </c>
    </row>
    <row r="334" spans="1:11" ht="14.4">
      <c r="A334" s="460" t="s">
        <v>1810</v>
      </c>
      <c r="B334" s="460" t="s">
        <v>1298</v>
      </c>
      <c r="C334" s="460"/>
      <c r="D334" s="460" t="s">
        <v>1814</v>
      </c>
      <c r="E334" s="460" t="s">
        <v>1812</v>
      </c>
      <c r="F334" s="460" t="s">
        <v>2616</v>
      </c>
      <c r="G334" s="460"/>
      <c r="H334" s="461"/>
      <c r="I334" s="460"/>
      <c r="J334" s="460"/>
      <c r="K334" s="460" t="s">
        <v>2613</v>
      </c>
    </row>
    <row r="335" spans="1:11" ht="14.4">
      <c r="A335" s="460" t="s">
        <v>1810</v>
      </c>
      <c r="B335" s="460" t="s">
        <v>1466</v>
      </c>
      <c r="C335" s="460"/>
      <c r="D335" s="460" t="s">
        <v>1821</v>
      </c>
      <c r="E335" s="460" t="s">
        <v>1812</v>
      </c>
      <c r="F335" s="460" t="s">
        <v>2627</v>
      </c>
      <c r="G335" s="547">
        <f>ROUND(75,2)</f>
        <v>75</v>
      </c>
      <c r="H335" s="461"/>
      <c r="I335" s="547">
        <f>ROUND(75,2)</f>
        <v>75</v>
      </c>
      <c r="J335" s="460"/>
      <c r="K335" s="460" t="s">
        <v>2613</v>
      </c>
    </row>
    <row r="336" spans="1:11" ht="14.4">
      <c r="A336" s="460" t="s">
        <v>1810</v>
      </c>
      <c r="B336" s="460" t="s">
        <v>1466</v>
      </c>
      <c r="C336" s="460"/>
      <c r="D336" s="460" t="s">
        <v>1821</v>
      </c>
      <c r="E336" s="460" t="s">
        <v>1812</v>
      </c>
      <c r="F336" s="460" t="s">
        <v>2616</v>
      </c>
      <c r="G336" s="460"/>
      <c r="H336" s="461"/>
      <c r="I336" s="460"/>
      <c r="J336" s="460"/>
      <c r="K336" s="460" t="s">
        <v>2613</v>
      </c>
    </row>
    <row r="337" spans="1:11" ht="14.4">
      <c r="A337" s="460" t="s">
        <v>1810</v>
      </c>
      <c r="B337" s="460" t="s">
        <v>1466</v>
      </c>
      <c r="C337" s="460"/>
      <c r="D337" s="460" t="s">
        <v>1821</v>
      </c>
      <c r="E337" s="460" t="s">
        <v>1812</v>
      </c>
      <c r="F337" s="460" t="s">
        <v>2644</v>
      </c>
      <c r="G337" s="547">
        <f>ROUND(25,2)</f>
        <v>25</v>
      </c>
      <c r="H337" s="461"/>
      <c r="I337" s="547">
        <f>ROUND(25,2)</f>
        <v>25</v>
      </c>
      <c r="J337" s="460"/>
      <c r="K337" s="460" t="s">
        <v>2613</v>
      </c>
    </row>
    <row r="338" spans="1:11" ht="14.4">
      <c r="A338" s="460" t="s">
        <v>1810</v>
      </c>
      <c r="B338" s="460" t="s">
        <v>1466</v>
      </c>
      <c r="C338" s="460"/>
      <c r="D338" s="460" t="s">
        <v>1821</v>
      </c>
      <c r="E338" s="460" t="s">
        <v>1812</v>
      </c>
      <c r="F338" s="460" t="s">
        <v>2625</v>
      </c>
      <c r="G338" s="547">
        <f>ROUND(50,2)</f>
        <v>50</v>
      </c>
      <c r="H338" s="461"/>
      <c r="I338" s="547">
        <f>ROUND(50,2)</f>
        <v>50</v>
      </c>
      <c r="J338" s="460"/>
      <c r="K338" s="460" t="s">
        <v>2613</v>
      </c>
    </row>
    <row r="339" spans="1:11" ht="14.4">
      <c r="A339" s="460" t="s">
        <v>1810</v>
      </c>
      <c r="B339" s="460" t="s">
        <v>1466</v>
      </c>
      <c r="C339" s="460"/>
      <c r="D339" s="460" t="s">
        <v>1821</v>
      </c>
      <c r="E339" s="460" t="s">
        <v>1812</v>
      </c>
      <c r="F339" s="460" t="s">
        <v>2612</v>
      </c>
      <c r="G339" s="460"/>
      <c r="H339" s="461"/>
      <c r="I339" s="460"/>
      <c r="J339" s="460"/>
      <c r="K339" s="460" t="s">
        <v>2613</v>
      </c>
    </row>
    <row r="340" spans="1:11" ht="14.4">
      <c r="A340" s="460" t="s">
        <v>1810</v>
      </c>
      <c r="B340" s="460" t="s">
        <v>1466</v>
      </c>
      <c r="C340" s="460"/>
      <c r="D340" s="460" t="s">
        <v>1821</v>
      </c>
      <c r="E340" s="460" t="s">
        <v>1812</v>
      </c>
      <c r="F340" s="460" t="s">
        <v>2619</v>
      </c>
      <c r="G340" s="547">
        <f>ROUND(1180,2)</f>
        <v>1180</v>
      </c>
      <c r="H340" s="461"/>
      <c r="I340" s="547">
        <f>ROUND(1180,2)</f>
        <v>1180</v>
      </c>
      <c r="J340" s="460"/>
      <c r="K340" s="460" t="s">
        <v>2613</v>
      </c>
    </row>
    <row r="341" spans="1:11" ht="14.4">
      <c r="A341" s="460" t="s">
        <v>1810</v>
      </c>
      <c r="B341" s="460" t="s">
        <v>1466</v>
      </c>
      <c r="C341" s="460"/>
      <c r="D341" s="460" t="s">
        <v>1821</v>
      </c>
      <c r="E341" s="460" t="s">
        <v>1812</v>
      </c>
      <c r="F341" s="460" t="s">
        <v>2614</v>
      </c>
      <c r="G341" s="460"/>
      <c r="H341" s="461" t="s">
        <v>2615</v>
      </c>
      <c r="I341" s="547">
        <f>ROUND(7,2)</f>
        <v>7</v>
      </c>
      <c r="J341" s="460" t="s">
        <v>2615</v>
      </c>
      <c r="K341" s="460" t="s">
        <v>2613</v>
      </c>
    </row>
    <row r="342" spans="1:11" ht="14.4">
      <c r="A342" s="460" t="s">
        <v>1810</v>
      </c>
      <c r="B342" s="460" t="s">
        <v>1466</v>
      </c>
      <c r="C342" s="460"/>
      <c r="D342" s="460" t="s">
        <v>1821</v>
      </c>
      <c r="E342" s="460" t="s">
        <v>1812</v>
      </c>
      <c r="F342" s="460" t="s">
        <v>2634</v>
      </c>
      <c r="G342" s="547">
        <f>ROUND(34,2)</f>
        <v>34</v>
      </c>
      <c r="H342" s="461"/>
      <c r="I342" s="547">
        <f>ROUND(34,2)</f>
        <v>34</v>
      </c>
      <c r="J342" s="460"/>
      <c r="K342" s="460" t="s">
        <v>2613</v>
      </c>
    </row>
    <row r="343" spans="1:11" ht="14.4">
      <c r="A343" s="460" t="s">
        <v>1810</v>
      </c>
      <c r="B343" s="460" t="s">
        <v>1466</v>
      </c>
      <c r="C343" s="460"/>
      <c r="D343" s="460" t="s">
        <v>1821</v>
      </c>
      <c r="E343" s="460" t="s">
        <v>1812</v>
      </c>
      <c r="F343" s="460" t="s">
        <v>2618</v>
      </c>
      <c r="G343" s="547">
        <f>ROUND(40,2)</f>
        <v>40</v>
      </c>
      <c r="H343" s="461"/>
      <c r="I343" s="547">
        <f>ROUND(40,2)</f>
        <v>40</v>
      </c>
      <c r="J343" s="460"/>
      <c r="K343" s="460" t="s">
        <v>2613</v>
      </c>
    </row>
    <row r="344" spans="1:11" ht="14.4">
      <c r="A344" s="460" t="s">
        <v>1810</v>
      </c>
      <c r="B344" s="460" t="s">
        <v>1466</v>
      </c>
      <c r="C344" s="460"/>
      <c r="D344" s="460" t="s">
        <v>1821</v>
      </c>
      <c r="E344" s="460" t="s">
        <v>1812</v>
      </c>
      <c r="F344" s="460" t="s">
        <v>2617</v>
      </c>
      <c r="G344" s="547">
        <f>ROUND(75,2)</f>
        <v>75</v>
      </c>
      <c r="H344" s="461"/>
      <c r="I344" s="547">
        <f>ROUND(75,2)</f>
        <v>75</v>
      </c>
      <c r="J344" s="460"/>
      <c r="K344" s="460" t="s">
        <v>2613</v>
      </c>
    </row>
    <row r="345" spans="1:11" ht="14.4">
      <c r="A345" s="460" t="s">
        <v>1810</v>
      </c>
      <c r="B345" s="460" t="s">
        <v>2505</v>
      </c>
      <c r="C345" s="460"/>
      <c r="D345" s="460" t="s">
        <v>1816</v>
      </c>
      <c r="E345" s="460" t="s">
        <v>2611</v>
      </c>
      <c r="F345" s="460" t="s">
        <v>2612</v>
      </c>
      <c r="G345" s="460"/>
      <c r="H345" s="461"/>
      <c r="I345" s="460"/>
      <c r="J345" s="460"/>
      <c r="K345" s="460" t="s">
        <v>2613</v>
      </c>
    </row>
    <row r="346" spans="1:11" ht="14.4">
      <c r="A346" s="460" t="s">
        <v>1810</v>
      </c>
      <c r="B346" s="460" t="s">
        <v>1628</v>
      </c>
      <c r="C346" s="460"/>
      <c r="D346" s="460" t="s">
        <v>1814</v>
      </c>
      <c r="E346" s="460" t="s">
        <v>1812</v>
      </c>
      <c r="F346" s="460" t="s">
        <v>2612</v>
      </c>
      <c r="G346" s="460"/>
      <c r="H346" s="461"/>
      <c r="I346" s="460"/>
      <c r="J346" s="460"/>
      <c r="K346" s="460" t="s">
        <v>2613</v>
      </c>
    </row>
    <row r="347" spans="1:11" ht="14.4">
      <c r="A347" s="460" t="s">
        <v>1810</v>
      </c>
      <c r="B347" s="460" t="s">
        <v>1628</v>
      </c>
      <c r="C347" s="460"/>
      <c r="D347" s="460" t="s">
        <v>1814</v>
      </c>
      <c r="E347" s="460" t="s">
        <v>1812</v>
      </c>
      <c r="F347" s="460" t="s">
        <v>2614</v>
      </c>
      <c r="G347" s="460"/>
      <c r="H347" s="461" t="s">
        <v>2615</v>
      </c>
      <c r="I347" s="547">
        <f>ROUND(7,2)</f>
        <v>7</v>
      </c>
      <c r="J347" s="460" t="s">
        <v>2615</v>
      </c>
      <c r="K347" s="460" t="s">
        <v>2613</v>
      </c>
    </row>
    <row r="348" spans="1:11" ht="14.4">
      <c r="A348" s="460" t="s">
        <v>1810</v>
      </c>
      <c r="B348" s="460" t="s">
        <v>1628</v>
      </c>
      <c r="C348" s="460"/>
      <c r="D348" s="460" t="s">
        <v>1814</v>
      </c>
      <c r="E348" s="460" t="s">
        <v>1812</v>
      </c>
      <c r="F348" s="460" t="s">
        <v>2616</v>
      </c>
      <c r="G348" s="460"/>
      <c r="H348" s="461"/>
      <c r="I348" s="460"/>
      <c r="J348" s="460"/>
      <c r="K348" s="460" t="s">
        <v>2613</v>
      </c>
    </row>
    <row r="349" spans="1:11" ht="22.8">
      <c r="A349" s="460" t="s">
        <v>1810</v>
      </c>
      <c r="B349" s="460" t="s">
        <v>1538</v>
      </c>
      <c r="C349" s="460"/>
      <c r="D349" s="460" t="s">
        <v>1813</v>
      </c>
      <c r="E349" s="460" t="s">
        <v>1812</v>
      </c>
      <c r="F349" s="460" t="s">
        <v>2612</v>
      </c>
      <c r="G349" s="460"/>
      <c r="H349" s="461"/>
      <c r="I349" s="460"/>
      <c r="J349" s="460"/>
      <c r="K349" s="460" t="s">
        <v>2613</v>
      </c>
    </row>
    <row r="350" spans="1:11" ht="22.8">
      <c r="A350" s="460" t="s">
        <v>1810</v>
      </c>
      <c r="B350" s="460" t="s">
        <v>1538</v>
      </c>
      <c r="C350" s="460"/>
      <c r="D350" s="460" t="s">
        <v>1813</v>
      </c>
      <c r="E350" s="460" t="s">
        <v>1812</v>
      </c>
      <c r="F350" s="460" t="s">
        <v>2623</v>
      </c>
      <c r="G350" s="547">
        <f>ROUND(150,2)</f>
        <v>150</v>
      </c>
      <c r="H350" s="461"/>
      <c r="I350" s="547">
        <f>ROUND(150,2)</f>
        <v>150</v>
      </c>
      <c r="J350" s="460"/>
      <c r="K350" s="460" t="s">
        <v>2613</v>
      </c>
    </row>
    <row r="351" spans="1:11" ht="22.8">
      <c r="A351" s="460" t="s">
        <v>1810</v>
      </c>
      <c r="B351" s="460" t="s">
        <v>1538</v>
      </c>
      <c r="C351" s="460"/>
      <c r="D351" s="460" t="s">
        <v>1813</v>
      </c>
      <c r="E351" s="460" t="s">
        <v>1812</v>
      </c>
      <c r="F351" s="460" t="s">
        <v>2614</v>
      </c>
      <c r="G351" s="460"/>
      <c r="H351" s="461" t="s">
        <v>2615</v>
      </c>
      <c r="I351" s="547">
        <f>ROUND(7,2)</f>
        <v>7</v>
      </c>
      <c r="J351" s="460" t="s">
        <v>2615</v>
      </c>
      <c r="K351" s="460" t="s">
        <v>2613</v>
      </c>
    </row>
    <row r="352" spans="1:11" ht="22.8">
      <c r="A352" s="460" t="s">
        <v>1810</v>
      </c>
      <c r="B352" s="460" t="s">
        <v>1538</v>
      </c>
      <c r="C352" s="460"/>
      <c r="D352" s="460" t="s">
        <v>1813</v>
      </c>
      <c r="E352" s="460" t="s">
        <v>1812</v>
      </c>
      <c r="F352" s="460" t="s">
        <v>2616</v>
      </c>
      <c r="G352" s="460"/>
      <c r="H352" s="461"/>
      <c r="I352" s="460"/>
      <c r="J352" s="460"/>
      <c r="K352" s="460" t="s">
        <v>2613</v>
      </c>
    </row>
    <row r="353" spans="1:11" ht="14.4">
      <c r="A353" s="460" t="s">
        <v>1810</v>
      </c>
      <c r="B353" s="460" t="s">
        <v>1300</v>
      </c>
      <c r="C353" s="460"/>
      <c r="D353" s="460" t="s">
        <v>1814</v>
      </c>
      <c r="E353" s="460" t="s">
        <v>1812</v>
      </c>
      <c r="F353" s="460" t="s">
        <v>2617</v>
      </c>
      <c r="G353" s="547">
        <f>ROUND(75,2)</f>
        <v>75</v>
      </c>
      <c r="H353" s="461"/>
      <c r="I353" s="547">
        <f>ROUND(75,2)</f>
        <v>75</v>
      </c>
      <c r="J353" s="460"/>
      <c r="K353" s="460" t="s">
        <v>2613</v>
      </c>
    </row>
    <row r="354" spans="1:11" ht="14.4">
      <c r="A354" s="460" t="s">
        <v>1810</v>
      </c>
      <c r="B354" s="460" t="s">
        <v>1300</v>
      </c>
      <c r="C354" s="460"/>
      <c r="D354" s="460" t="s">
        <v>1814</v>
      </c>
      <c r="E354" s="460" t="s">
        <v>1812</v>
      </c>
      <c r="F354" s="460" t="s">
        <v>2618</v>
      </c>
      <c r="G354" s="547">
        <f>ROUND(40,2)</f>
        <v>40</v>
      </c>
      <c r="H354" s="461"/>
      <c r="I354" s="547">
        <f>ROUND(40,2)</f>
        <v>40</v>
      </c>
      <c r="J354" s="460"/>
      <c r="K354" s="460" t="s">
        <v>2613</v>
      </c>
    </row>
    <row r="355" spans="1:11" ht="14.4">
      <c r="A355" s="460" t="s">
        <v>1810</v>
      </c>
      <c r="B355" s="460" t="s">
        <v>1300</v>
      </c>
      <c r="C355" s="460"/>
      <c r="D355" s="460" t="s">
        <v>1814</v>
      </c>
      <c r="E355" s="460" t="s">
        <v>1812</v>
      </c>
      <c r="F355" s="460" t="s">
        <v>2625</v>
      </c>
      <c r="G355" s="547">
        <f>ROUND(50,2)</f>
        <v>50</v>
      </c>
      <c r="H355" s="461"/>
      <c r="I355" s="547">
        <f>ROUND(50,2)</f>
        <v>50</v>
      </c>
      <c r="J355" s="460"/>
      <c r="K355" s="460" t="s">
        <v>2613</v>
      </c>
    </row>
    <row r="356" spans="1:11" ht="14.4">
      <c r="A356" s="460" t="s">
        <v>1810</v>
      </c>
      <c r="B356" s="460" t="s">
        <v>1300</v>
      </c>
      <c r="C356" s="460"/>
      <c r="D356" s="460" t="s">
        <v>1814</v>
      </c>
      <c r="E356" s="460" t="s">
        <v>1812</v>
      </c>
      <c r="F356" s="460" t="s">
        <v>2612</v>
      </c>
      <c r="G356" s="460"/>
      <c r="H356" s="461"/>
      <c r="I356" s="460"/>
      <c r="J356" s="460"/>
      <c r="K356" s="460" t="s">
        <v>2613</v>
      </c>
    </row>
    <row r="357" spans="1:11" ht="14.4">
      <c r="A357" s="460" t="s">
        <v>1810</v>
      </c>
      <c r="B357" s="460" t="s">
        <v>1300</v>
      </c>
      <c r="C357" s="460"/>
      <c r="D357" s="460" t="s">
        <v>1814</v>
      </c>
      <c r="E357" s="460" t="s">
        <v>1812</v>
      </c>
      <c r="F357" s="460" t="s">
        <v>2614</v>
      </c>
      <c r="G357" s="460"/>
      <c r="H357" s="461" t="s">
        <v>2615</v>
      </c>
      <c r="I357" s="547">
        <f>ROUND(7,2)</f>
        <v>7</v>
      </c>
      <c r="J357" s="460" t="s">
        <v>2615</v>
      </c>
      <c r="K357" s="460" t="s">
        <v>2613</v>
      </c>
    </row>
    <row r="358" spans="1:11" ht="14.4">
      <c r="A358" s="460" t="s">
        <v>1810</v>
      </c>
      <c r="B358" s="460" t="s">
        <v>1300</v>
      </c>
      <c r="C358" s="460"/>
      <c r="D358" s="460" t="s">
        <v>1814</v>
      </c>
      <c r="E358" s="460" t="s">
        <v>1812</v>
      </c>
      <c r="F358" s="460" t="s">
        <v>2627</v>
      </c>
      <c r="G358" s="547">
        <f>ROUND(80,2)</f>
        <v>80</v>
      </c>
      <c r="H358" s="461"/>
      <c r="I358" s="547">
        <f>ROUND(80,2)</f>
        <v>80</v>
      </c>
      <c r="J358" s="460"/>
      <c r="K358" s="460" t="s">
        <v>2613</v>
      </c>
    </row>
    <row r="359" spans="1:11" ht="14.4">
      <c r="A359" s="460" t="s">
        <v>1810</v>
      </c>
      <c r="B359" s="460" t="s">
        <v>1300</v>
      </c>
      <c r="C359" s="460"/>
      <c r="D359" s="460" t="s">
        <v>1814</v>
      </c>
      <c r="E359" s="460" t="s">
        <v>1812</v>
      </c>
      <c r="F359" s="460" t="s">
        <v>2633</v>
      </c>
      <c r="G359" s="547">
        <f>ROUND(80,2)</f>
        <v>80</v>
      </c>
      <c r="H359" s="461"/>
      <c r="I359" s="547">
        <f>ROUND(80,2)</f>
        <v>80</v>
      </c>
      <c r="J359" s="460"/>
      <c r="K359" s="460" t="s">
        <v>2613</v>
      </c>
    </row>
    <row r="360" spans="1:11" ht="14.4">
      <c r="A360" s="460" t="s">
        <v>1810</v>
      </c>
      <c r="B360" s="460" t="s">
        <v>1300</v>
      </c>
      <c r="C360" s="460"/>
      <c r="D360" s="460" t="s">
        <v>1814</v>
      </c>
      <c r="E360" s="460" t="s">
        <v>1812</v>
      </c>
      <c r="F360" s="460" t="s">
        <v>2620</v>
      </c>
      <c r="G360" s="547">
        <f>ROUND(10.22,2)</f>
        <v>10.220000000000001</v>
      </c>
      <c r="H360" s="461"/>
      <c r="I360" s="547">
        <f>ROUND(10.22,2)</f>
        <v>10.220000000000001</v>
      </c>
      <c r="J360" s="460"/>
      <c r="K360" s="460" t="s">
        <v>2613</v>
      </c>
    </row>
    <row r="361" spans="1:11" ht="14.4">
      <c r="A361" s="460" t="s">
        <v>1810</v>
      </c>
      <c r="B361" s="460" t="s">
        <v>1300</v>
      </c>
      <c r="C361" s="460"/>
      <c r="D361" s="460" t="s">
        <v>1814</v>
      </c>
      <c r="E361" s="460" t="s">
        <v>1812</v>
      </c>
      <c r="F361" s="460" t="s">
        <v>2616</v>
      </c>
      <c r="G361" s="460"/>
      <c r="H361" s="461"/>
      <c r="I361" s="460"/>
      <c r="J361" s="460"/>
      <c r="K361" s="460" t="s">
        <v>2613</v>
      </c>
    </row>
    <row r="362" spans="1:11" ht="22.8">
      <c r="A362" s="460" t="s">
        <v>1810</v>
      </c>
      <c r="B362" s="460" t="s">
        <v>1301</v>
      </c>
      <c r="C362" s="460"/>
      <c r="D362" s="460" t="s">
        <v>1813</v>
      </c>
      <c r="E362" s="460" t="s">
        <v>2611</v>
      </c>
      <c r="F362" s="460" t="s">
        <v>2612</v>
      </c>
      <c r="G362" s="460"/>
      <c r="H362" s="461"/>
      <c r="I362" s="460"/>
      <c r="J362" s="460"/>
      <c r="K362" s="460" t="s">
        <v>2613</v>
      </c>
    </row>
    <row r="363" spans="1:11" ht="22.8">
      <c r="A363" s="460" t="s">
        <v>1810</v>
      </c>
      <c r="B363" s="460" t="s">
        <v>1690</v>
      </c>
      <c r="C363" s="460"/>
      <c r="D363" s="460" t="s">
        <v>1846</v>
      </c>
      <c r="E363" s="460" t="s">
        <v>2015</v>
      </c>
      <c r="F363" s="460" t="s">
        <v>2656</v>
      </c>
      <c r="G363" s="547">
        <f>ROUND(250,2)</f>
        <v>250</v>
      </c>
      <c r="H363" s="461"/>
      <c r="I363" s="547">
        <f>ROUND(250,2)</f>
        <v>250</v>
      </c>
      <c r="J363" s="460"/>
      <c r="K363" s="460" t="s">
        <v>2613</v>
      </c>
    </row>
    <row r="364" spans="1:11" ht="22.8">
      <c r="A364" s="460" t="s">
        <v>1810</v>
      </c>
      <c r="B364" s="460" t="s">
        <v>1690</v>
      </c>
      <c r="C364" s="460"/>
      <c r="D364" s="460" t="s">
        <v>1846</v>
      </c>
      <c r="E364" s="460" t="s">
        <v>2015</v>
      </c>
      <c r="F364" s="460" t="s">
        <v>2619</v>
      </c>
      <c r="G364" s="547">
        <f>ROUND(250,2)</f>
        <v>250</v>
      </c>
      <c r="H364" s="461"/>
      <c r="I364" s="547">
        <f>ROUND(250,2)</f>
        <v>250</v>
      </c>
      <c r="J364" s="460"/>
      <c r="K364" s="460" t="s">
        <v>2613</v>
      </c>
    </row>
    <row r="365" spans="1:11" ht="22.8">
      <c r="A365" s="460" t="s">
        <v>1810</v>
      </c>
      <c r="B365" s="460" t="s">
        <v>1690</v>
      </c>
      <c r="C365" s="460"/>
      <c r="D365" s="460" t="s">
        <v>1846</v>
      </c>
      <c r="E365" s="460" t="s">
        <v>2015</v>
      </c>
      <c r="F365" s="460" t="s">
        <v>2623</v>
      </c>
      <c r="G365" s="547">
        <f>ROUND(50,2)</f>
        <v>50</v>
      </c>
      <c r="H365" s="461"/>
      <c r="I365" s="547">
        <f>ROUND(50,2)</f>
        <v>50</v>
      </c>
      <c r="J365" s="460"/>
      <c r="K365" s="460" t="s">
        <v>2613</v>
      </c>
    </row>
    <row r="366" spans="1:11" ht="22.8">
      <c r="A366" s="460" t="s">
        <v>1810</v>
      </c>
      <c r="B366" s="460" t="s">
        <v>1690</v>
      </c>
      <c r="C366" s="460"/>
      <c r="D366" s="460" t="s">
        <v>1846</v>
      </c>
      <c r="E366" s="460" t="s">
        <v>2015</v>
      </c>
      <c r="F366" s="460" t="s">
        <v>2631</v>
      </c>
      <c r="G366" s="547">
        <f>ROUND(200,2)</f>
        <v>200</v>
      </c>
      <c r="H366" s="461"/>
      <c r="I366" s="547">
        <f>ROUND(200,2)</f>
        <v>200</v>
      </c>
      <c r="J366" s="460"/>
      <c r="K366" s="460" t="s">
        <v>2613</v>
      </c>
    </row>
    <row r="367" spans="1:11" ht="22.8">
      <c r="A367" s="460" t="s">
        <v>1810</v>
      </c>
      <c r="B367" s="460" t="s">
        <v>1690</v>
      </c>
      <c r="C367" s="460"/>
      <c r="D367" s="460" t="s">
        <v>1846</v>
      </c>
      <c r="E367" s="460" t="s">
        <v>2015</v>
      </c>
      <c r="F367" s="460" t="s">
        <v>2612</v>
      </c>
      <c r="G367" s="460"/>
      <c r="H367" s="461"/>
      <c r="I367" s="460"/>
      <c r="J367" s="460"/>
      <c r="K367" s="460" t="s">
        <v>2613</v>
      </c>
    </row>
    <row r="368" spans="1:11" ht="22.8">
      <c r="A368" s="460" t="s">
        <v>1810</v>
      </c>
      <c r="B368" s="460" t="s">
        <v>1690</v>
      </c>
      <c r="C368" s="460"/>
      <c r="D368" s="460" t="s">
        <v>1846</v>
      </c>
      <c r="E368" s="460" t="s">
        <v>2015</v>
      </c>
      <c r="F368" s="460" t="s">
        <v>2614</v>
      </c>
      <c r="G368" s="460"/>
      <c r="H368" s="461" t="s">
        <v>2615</v>
      </c>
      <c r="I368" s="547">
        <f>ROUND(7,2)</f>
        <v>7</v>
      </c>
      <c r="J368" s="460" t="s">
        <v>2615</v>
      </c>
      <c r="K368" s="460" t="s">
        <v>2613</v>
      </c>
    </row>
    <row r="369" spans="1:11" ht="22.8">
      <c r="A369" s="460" t="s">
        <v>1810</v>
      </c>
      <c r="B369" s="460" t="s">
        <v>1690</v>
      </c>
      <c r="C369" s="460"/>
      <c r="D369" s="460" t="s">
        <v>1846</v>
      </c>
      <c r="E369" s="460" t="s">
        <v>2015</v>
      </c>
      <c r="F369" s="460" t="s">
        <v>2624</v>
      </c>
      <c r="G369" s="547">
        <f>ROUND(250,2)</f>
        <v>250</v>
      </c>
      <c r="H369" s="461"/>
      <c r="I369" s="547">
        <f>ROUND(250,2)</f>
        <v>250</v>
      </c>
      <c r="J369" s="460"/>
      <c r="K369" s="460" t="s">
        <v>2613</v>
      </c>
    </row>
    <row r="370" spans="1:11" ht="22.8">
      <c r="A370" s="460" t="s">
        <v>1810</v>
      </c>
      <c r="B370" s="460" t="s">
        <v>1690</v>
      </c>
      <c r="C370" s="460"/>
      <c r="D370" s="460" t="s">
        <v>1846</v>
      </c>
      <c r="E370" s="460" t="s">
        <v>2015</v>
      </c>
      <c r="F370" s="460" t="s">
        <v>2620</v>
      </c>
      <c r="G370" s="547">
        <f>ROUND(10.22,2)</f>
        <v>10.220000000000001</v>
      </c>
      <c r="H370" s="461"/>
      <c r="I370" s="547">
        <f>ROUND(10.22,2)</f>
        <v>10.220000000000001</v>
      </c>
      <c r="J370" s="460"/>
      <c r="K370" s="460" t="s">
        <v>2613</v>
      </c>
    </row>
    <row r="371" spans="1:11" ht="22.8">
      <c r="A371" s="460" t="s">
        <v>1810</v>
      </c>
      <c r="B371" s="460" t="s">
        <v>1690</v>
      </c>
      <c r="C371" s="460"/>
      <c r="D371" s="460" t="s">
        <v>1846</v>
      </c>
      <c r="E371" s="460" t="s">
        <v>2015</v>
      </c>
      <c r="F371" s="460" t="s">
        <v>2616</v>
      </c>
      <c r="G371" s="460"/>
      <c r="H371" s="461"/>
      <c r="I371" s="460"/>
      <c r="J371" s="460"/>
      <c r="K371" s="460" t="s">
        <v>2613</v>
      </c>
    </row>
    <row r="372" spans="1:11" ht="22.8">
      <c r="A372" s="460" t="s">
        <v>1810</v>
      </c>
      <c r="B372" s="460" t="s">
        <v>1690</v>
      </c>
      <c r="C372" s="460"/>
      <c r="D372" s="460" t="s">
        <v>1846</v>
      </c>
      <c r="E372" s="460" t="s">
        <v>2015</v>
      </c>
      <c r="F372" s="460" t="s">
        <v>2618</v>
      </c>
      <c r="G372" s="547">
        <f>ROUND(47.5,2)</f>
        <v>47.5</v>
      </c>
      <c r="H372" s="461"/>
      <c r="I372" s="547">
        <f>ROUND(47.5,2)</f>
        <v>47.5</v>
      </c>
      <c r="J372" s="460"/>
      <c r="K372" s="460" t="s">
        <v>2613</v>
      </c>
    </row>
    <row r="373" spans="1:11" ht="22.8">
      <c r="A373" s="460" t="s">
        <v>1810</v>
      </c>
      <c r="B373" s="460" t="s">
        <v>1690</v>
      </c>
      <c r="C373" s="460"/>
      <c r="D373" s="460" t="s">
        <v>1846</v>
      </c>
      <c r="E373" s="460" t="s">
        <v>2015</v>
      </c>
      <c r="F373" s="460" t="s">
        <v>2617</v>
      </c>
      <c r="G373" s="547">
        <f>ROUND(75,2)</f>
        <v>75</v>
      </c>
      <c r="H373" s="461"/>
      <c r="I373" s="547">
        <f>ROUND(75,2)</f>
        <v>75</v>
      </c>
      <c r="J373" s="460"/>
      <c r="K373" s="460" t="s">
        <v>2613</v>
      </c>
    </row>
    <row r="374" spans="1:11" ht="22.8">
      <c r="A374" s="460" t="s">
        <v>1810</v>
      </c>
      <c r="B374" s="460" t="s">
        <v>1714</v>
      </c>
      <c r="C374" s="460"/>
      <c r="D374" s="460" t="s">
        <v>1819</v>
      </c>
      <c r="E374" s="460" t="s">
        <v>1812</v>
      </c>
      <c r="F374" s="460" t="s">
        <v>2612</v>
      </c>
      <c r="G374" s="460"/>
      <c r="H374" s="461"/>
      <c r="I374" s="460"/>
      <c r="J374" s="460"/>
      <c r="K374" s="460" t="s">
        <v>2613</v>
      </c>
    </row>
    <row r="375" spans="1:11" ht="22.8">
      <c r="A375" s="460" t="s">
        <v>1810</v>
      </c>
      <c r="B375" s="460" t="s">
        <v>1714</v>
      </c>
      <c r="C375" s="460"/>
      <c r="D375" s="460" t="s">
        <v>1819</v>
      </c>
      <c r="E375" s="460" t="s">
        <v>1812</v>
      </c>
      <c r="F375" s="460" t="s">
        <v>2614</v>
      </c>
      <c r="G375" s="460"/>
      <c r="H375" s="461" t="s">
        <v>2615</v>
      </c>
      <c r="I375" s="547">
        <f>ROUND(7,2)</f>
        <v>7</v>
      </c>
      <c r="J375" s="460" t="s">
        <v>2615</v>
      </c>
      <c r="K375" s="460" t="s">
        <v>2613</v>
      </c>
    </row>
    <row r="376" spans="1:11" ht="22.8">
      <c r="A376" s="460" t="s">
        <v>1810</v>
      </c>
      <c r="B376" s="460" t="s">
        <v>1714</v>
      </c>
      <c r="C376" s="460"/>
      <c r="D376" s="460" t="s">
        <v>1819</v>
      </c>
      <c r="E376" s="460" t="s">
        <v>1812</v>
      </c>
      <c r="F376" s="460" t="s">
        <v>2616</v>
      </c>
      <c r="G376" s="460"/>
      <c r="H376" s="461"/>
      <c r="I376" s="460"/>
      <c r="J376" s="460"/>
      <c r="K376" s="460" t="s">
        <v>2613</v>
      </c>
    </row>
    <row r="377" spans="1:11" ht="14.4">
      <c r="A377" s="460" t="s">
        <v>1810</v>
      </c>
      <c r="B377" s="460" t="s">
        <v>1313</v>
      </c>
      <c r="C377" s="460"/>
      <c r="D377" s="460" t="s">
        <v>1814</v>
      </c>
      <c r="E377" s="460" t="s">
        <v>1812</v>
      </c>
      <c r="F377" s="460" t="s">
        <v>2632</v>
      </c>
      <c r="G377" s="547">
        <f>ROUND(41.67,2)</f>
        <v>41.67</v>
      </c>
      <c r="H377" s="461"/>
      <c r="I377" s="547">
        <f>ROUND(41.67,2)</f>
        <v>41.67</v>
      </c>
      <c r="J377" s="460"/>
      <c r="K377" s="460" t="s">
        <v>2613</v>
      </c>
    </row>
    <row r="378" spans="1:11" ht="14.4">
      <c r="A378" s="460" t="s">
        <v>1810</v>
      </c>
      <c r="B378" s="460" t="s">
        <v>1313</v>
      </c>
      <c r="C378" s="460"/>
      <c r="D378" s="460" t="s">
        <v>1814</v>
      </c>
      <c r="E378" s="460" t="s">
        <v>1812</v>
      </c>
      <c r="F378" s="460" t="s">
        <v>2612</v>
      </c>
      <c r="G378" s="460"/>
      <c r="H378" s="461"/>
      <c r="I378" s="460"/>
      <c r="J378" s="460"/>
      <c r="K378" s="460" t="s">
        <v>2613</v>
      </c>
    </row>
    <row r="379" spans="1:11" ht="14.4">
      <c r="A379" s="460" t="s">
        <v>1810</v>
      </c>
      <c r="B379" s="460" t="s">
        <v>1313</v>
      </c>
      <c r="C379" s="460"/>
      <c r="D379" s="460" t="s">
        <v>1814</v>
      </c>
      <c r="E379" s="460" t="s">
        <v>1812</v>
      </c>
      <c r="F379" s="460" t="s">
        <v>2623</v>
      </c>
      <c r="G379" s="547">
        <f>ROUND(150,2)</f>
        <v>150</v>
      </c>
      <c r="H379" s="461"/>
      <c r="I379" s="547">
        <f>ROUND(150,2)</f>
        <v>150</v>
      </c>
      <c r="J379" s="460"/>
      <c r="K379" s="460" t="s">
        <v>2613</v>
      </c>
    </row>
    <row r="380" spans="1:11" ht="14.4">
      <c r="A380" s="460" t="s">
        <v>1810</v>
      </c>
      <c r="B380" s="460" t="s">
        <v>1313</v>
      </c>
      <c r="C380" s="460"/>
      <c r="D380" s="460" t="s">
        <v>1814</v>
      </c>
      <c r="E380" s="460" t="s">
        <v>1812</v>
      </c>
      <c r="F380" s="460" t="s">
        <v>2614</v>
      </c>
      <c r="G380" s="460"/>
      <c r="H380" s="461" t="s">
        <v>2615</v>
      </c>
      <c r="I380" s="547">
        <f>ROUND(7,2)</f>
        <v>7</v>
      </c>
      <c r="J380" s="460" t="s">
        <v>2615</v>
      </c>
      <c r="K380" s="460" t="s">
        <v>2613</v>
      </c>
    </row>
    <row r="381" spans="1:11" ht="14.4">
      <c r="A381" s="460" t="s">
        <v>1810</v>
      </c>
      <c r="B381" s="460" t="s">
        <v>1313</v>
      </c>
      <c r="C381" s="460"/>
      <c r="D381" s="460" t="s">
        <v>1814</v>
      </c>
      <c r="E381" s="460" t="s">
        <v>1812</v>
      </c>
      <c r="F381" s="460" t="s">
        <v>2626</v>
      </c>
      <c r="G381" s="547">
        <f>ROUND(10,2)</f>
        <v>10</v>
      </c>
      <c r="H381" s="461"/>
      <c r="I381" s="547">
        <f>ROUND(10,2)</f>
        <v>10</v>
      </c>
      <c r="J381" s="460"/>
      <c r="K381" s="460" t="s">
        <v>2613</v>
      </c>
    </row>
    <row r="382" spans="1:11" ht="14.4">
      <c r="A382" s="460" t="s">
        <v>1810</v>
      </c>
      <c r="B382" s="460" t="s">
        <v>1313</v>
      </c>
      <c r="C382" s="460"/>
      <c r="D382" s="460" t="s">
        <v>1814</v>
      </c>
      <c r="E382" s="460" t="s">
        <v>1812</v>
      </c>
      <c r="F382" s="460" t="s">
        <v>2624</v>
      </c>
      <c r="G382" s="547">
        <f>ROUND(75,2)</f>
        <v>75</v>
      </c>
      <c r="H382" s="461"/>
      <c r="I382" s="547">
        <f>ROUND(75,2)</f>
        <v>75</v>
      </c>
      <c r="J382" s="460"/>
      <c r="K382" s="460" t="s">
        <v>2613</v>
      </c>
    </row>
    <row r="383" spans="1:11" ht="14.4">
      <c r="A383" s="460" t="s">
        <v>1810</v>
      </c>
      <c r="B383" s="460" t="s">
        <v>1313</v>
      </c>
      <c r="C383" s="460"/>
      <c r="D383" s="460" t="s">
        <v>1814</v>
      </c>
      <c r="E383" s="460" t="s">
        <v>1812</v>
      </c>
      <c r="F383" s="460" t="s">
        <v>2616</v>
      </c>
      <c r="G383" s="460"/>
      <c r="H383" s="461"/>
      <c r="I383" s="460"/>
      <c r="J383" s="460"/>
      <c r="K383" s="460" t="s">
        <v>2613</v>
      </c>
    </row>
    <row r="384" spans="1:11" ht="14.4">
      <c r="A384" s="460" t="s">
        <v>1810</v>
      </c>
      <c r="B384" s="20" t="s">
        <v>1308</v>
      </c>
      <c r="C384" s="460"/>
      <c r="D384" s="460" t="s">
        <v>1811</v>
      </c>
      <c r="E384" s="460" t="s">
        <v>1812</v>
      </c>
      <c r="F384" s="460" t="s">
        <v>2612</v>
      </c>
      <c r="G384" s="460"/>
      <c r="H384" s="461"/>
      <c r="I384" s="460"/>
      <c r="J384" s="460"/>
      <c r="K384" s="460" t="s">
        <v>2613</v>
      </c>
    </row>
    <row r="385" spans="1:11" ht="14.4">
      <c r="A385" s="460" t="s">
        <v>1810</v>
      </c>
      <c r="B385" s="20" t="s">
        <v>1308</v>
      </c>
      <c r="C385" s="460"/>
      <c r="D385" s="460" t="s">
        <v>1811</v>
      </c>
      <c r="E385" s="460" t="s">
        <v>1812</v>
      </c>
      <c r="F385" s="460" t="s">
        <v>2614</v>
      </c>
      <c r="G385" s="460"/>
      <c r="H385" s="461" t="s">
        <v>2615</v>
      </c>
      <c r="I385" s="547">
        <f>ROUND(7,2)</f>
        <v>7</v>
      </c>
      <c r="J385" s="460" t="s">
        <v>2615</v>
      </c>
      <c r="K385" s="460" t="s">
        <v>2613</v>
      </c>
    </row>
    <row r="386" spans="1:11" ht="14.4">
      <c r="A386" s="460" t="s">
        <v>1810</v>
      </c>
      <c r="B386" s="20" t="s">
        <v>1308</v>
      </c>
      <c r="C386" s="460"/>
      <c r="D386" s="460" t="s">
        <v>1811</v>
      </c>
      <c r="E386" s="460" t="s">
        <v>1812</v>
      </c>
      <c r="F386" s="460" t="s">
        <v>2620</v>
      </c>
      <c r="G386" s="547">
        <f>ROUND(10.22,2)</f>
        <v>10.220000000000001</v>
      </c>
      <c r="H386" s="461"/>
      <c r="I386" s="547">
        <f>ROUND(10.22,2)</f>
        <v>10.220000000000001</v>
      </c>
      <c r="J386" s="460"/>
      <c r="K386" s="460" t="s">
        <v>2613</v>
      </c>
    </row>
    <row r="387" spans="1:11" ht="14.4">
      <c r="A387" s="460" t="s">
        <v>1810</v>
      </c>
      <c r="B387" s="20" t="s">
        <v>1308</v>
      </c>
      <c r="C387" s="460"/>
      <c r="D387" s="460" t="s">
        <v>1811</v>
      </c>
      <c r="E387" s="460" t="s">
        <v>1812</v>
      </c>
      <c r="F387" s="460" t="s">
        <v>2616</v>
      </c>
      <c r="G387" s="460"/>
      <c r="H387" s="461"/>
      <c r="I387" s="460"/>
      <c r="J387" s="460"/>
      <c r="K387" s="460" t="s">
        <v>2613</v>
      </c>
    </row>
    <row r="388" spans="1:11" ht="14.4">
      <c r="A388" s="460" t="s">
        <v>1810</v>
      </c>
      <c r="B388" s="460" t="s">
        <v>1308</v>
      </c>
      <c r="C388" s="460"/>
      <c r="D388" s="460" t="s">
        <v>1811</v>
      </c>
      <c r="E388" s="460" t="s">
        <v>1812</v>
      </c>
      <c r="F388" s="460" t="s">
        <v>2612</v>
      </c>
      <c r="G388" s="460"/>
      <c r="H388" s="461"/>
      <c r="I388" s="460"/>
      <c r="J388" s="460"/>
      <c r="K388" s="460" t="s">
        <v>2613</v>
      </c>
    </row>
    <row r="389" spans="1:11" ht="14.4">
      <c r="A389" s="460" t="s">
        <v>1810</v>
      </c>
      <c r="B389" s="460" t="s">
        <v>1308</v>
      </c>
      <c r="C389" s="460"/>
      <c r="D389" s="460" t="s">
        <v>1811</v>
      </c>
      <c r="E389" s="460" t="s">
        <v>1812</v>
      </c>
      <c r="F389" s="460" t="s">
        <v>2614</v>
      </c>
      <c r="G389" s="460"/>
      <c r="H389" s="461" t="s">
        <v>2615</v>
      </c>
      <c r="I389" s="547">
        <f>ROUND(7,2)</f>
        <v>7</v>
      </c>
      <c r="J389" s="460" t="s">
        <v>2615</v>
      </c>
      <c r="K389" s="460" t="s">
        <v>2613</v>
      </c>
    </row>
    <row r="390" spans="1:11" ht="14.4">
      <c r="A390" s="460" t="s">
        <v>1810</v>
      </c>
      <c r="B390" s="460" t="s">
        <v>1308</v>
      </c>
      <c r="C390" s="460"/>
      <c r="D390" s="460" t="s">
        <v>1811</v>
      </c>
      <c r="E390" s="460" t="s">
        <v>1812</v>
      </c>
      <c r="F390" s="460" t="s">
        <v>2620</v>
      </c>
      <c r="G390" s="547">
        <f>ROUND(10.22,2)</f>
        <v>10.220000000000001</v>
      </c>
      <c r="H390" s="461"/>
      <c r="I390" s="547">
        <f>ROUND(10.22,2)</f>
        <v>10.220000000000001</v>
      </c>
      <c r="J390" s="460"/>
      <c r="K390" s="460" t="s">
        <v>2613</v>
      </c>
    </row>
    <row r="391" spans="1:11" ht="14.4">
      <c r="A391" s="460" t="s">
        <v>1810</v>
      </c>
      <c r="B391" s="460" t="s">
        <v>1308</v>
      </c>
      <c r="C391" s="460"/>
      <c r="D391" s="460" t="s">
        <v>1811</v>
      </c>
      <c r="E391" s="460" t="s">
        <v>1812</v>
      </c>
      <c r="F391" s="460" t="s">
        <v>2616</v>
      </c>
      <c r="G391" s="460"/>
      <c r="H391" s="461"/>
      <c r="I391" s="460"/>
      <c r="J391" s="460"/>
      <c r="K391" s="460" t="s">
        <v>2613</v>
      </c>
    </row>
    <row r="392" spans="1:11" ht="14.4">
      <c r="A392" s="460" t="s">
        <v>1810</v>
      </c>
      <c r="B392" s="460" t="s">
        <v>2510</v>
      </c>
      <c r="C392" s="460"/>
      <c r="D392" s="460" t="s">
        <v>1814</v>
      </c>
      <c r="E392" s="460" t="s">
        <v>1812</v>
      </c>
      <c r="F392" s="460" t="s">
        <v>2616</v>
      </c>
      <c r="G392" s="460"/>
      <c r="H392" s="461"/>
      <c r="I392" s="460"/>
      <c r="J392" s="460"/>
      <c r="K392" s="460" t="s">
        <v>2613</v>
      </c>
    </row>
    <row r="393" spans="1:11" ht="14.4">
      <c r="A393" s="460" t="s">
        <v>1810</v>
      </c>
      <c r="B393" s="460" t="s">
        <v>2510</v>
      </c>
      <c r="C393" s="460"/>
      <c r="D393" s="460" t="s">
        <v>1814</v>
      </c>
      <c r="E393" s="460" t="s">
        <v>1812</v>
      </c>
      <c r="F393" s="460" t="s">
        <v>2620</v>
      </c>
      <c r="G393" s="547">
        <f>ROUND(10.22,2)</f>
        <v>10.220000000000001</v>
      </c>
      <c r="H393" s="461"/>
      <c r="I393" s="547">
        <f>ROUND(10.22,2)</f>
        <v>10.220000000000001</v>
      </c>
      <c r="J393" s="460"/>
      <c r="K393" s="460" t="s">
        <v>2613</v>
      </c>
    </row>
    <row r="394" spans="1:11" ht="14.4">
      <c r="A394" s="460" t="s">
        <v>1810</v>
      </c>
      <c r="B394" s="460" t="s">
        <v>2510</v>
      </c>
      <c r="C394" s="460"/>
      <c r="D394" s="460" t="s">
        <v>1814</v>
      </c>
      <c r="E394" s="460" t="s">
        <v>1812</v>
      </c>
      <c r="F394" s="460" t="s">
        <v>2614</v>
      </c>
      <c r="G394" s="460"/>
      <c r="H394" s="461" t="s">
        <v>2615</v>
      </c>
      <c r="I394" s="547">
        <f>ROUND(7,2)</f>
        <v>7</v>
      </c>
      <c r="J394" s="460" t="s">
        <v>2615</v>
      </c>
      <c r="K394" s="460" t="s">
        <v>2613</v>
      </c>
    </row>
    <row r="395" spans="1:11" ht="14.4">
      <c r="A395" s="460" t="s">
        <v>1810</v>
      </c>
      <c r="B395" s="460" t="s">
        <v>2510</v>
      </c>
      <c r="C395" s="460"/>
      <c r="D395" s="460" t="s">
        <v>1814</v>
      </c>
      <c r="E395" s="460" t="s">
        <v>1812</v>
      </c>
      <c r="F395" s="460" t="s">
        <v>2612</v>
      </c>
      <c r="G395" s="460"/>
      <c r="H395" s="461"/>
      <c r="I395" s="460"/>
      <c r="J395" s="460"/>
      <c r="K395" s="460" t="s">
        <v>2613</v>
      </c>
    </row>
    <row r="396" spans="1:11" ht="14.4">
      <c r="A396" s="460" t="s">
        <v>1810</v>
      </c>
      <c r="B396" s="460" t="s">
        <v>2510</v>
      </c>
      <c r="C396" s="460"/>
      <c r="D396" s="460" t="s">
        <v>1814</v>
      </c>
      <c r="E396" s="460" t="s">
        <v>1812</v>
      </c>
      <c r="F396" s="460" t="s">
        <v>2632</v>
      </c>
      <c r="G396" s="547">
        <f>ROUND(166.67,2)</f>
        <v>166.67</v>
      </c>
      <c r="H396" s="461"/>
      <c r="I396" s="547">
        <f>ROUND(166.67,2)</f>
        <v>166.67</v>
      </c>
      <c r="J396" s="460"/>
      <c r="K396" s="460" t="s">
        <v>2613</v>
      </c>
    </row>
    <row r="397" spans="1:11" ht="22.8">
      <c r="A397" s="460" t="s">
        <v>1810</v>
      </c>
      <c r="B397" s="460" t="s">
        <v>2497</v>
      </c>
      <c r="C397" s="460"/>
      <c r="D397" s="460" t="s">
        <v>1813</v>
      </c>
      <c r="E397" s="460" t="s">
        <v>1812</v>
      </c>
      <c r="F397" s="460" t="s">
        <v>2624</v>
      </c>
      <c r="G397" s="547">
        <f>ROUND(25,2)</f>
        <v>25</v>
      </c>
      <c r="H397" s="461"/>
      <c r="I397" s="547">
        <f>ROUND(25,2)</f>
        <v>25</v>
      </c>
      <c r="J397" s="460"/>
      <c r="K397" s="460" t="s">
        <v>2613</v>
      </c>
    </row>
    <row r="398" spans="1:11" ht="22.8">
      <c r="A398" s="460" t="s">
        <v>1810</v>
      </c>
      <c r="B398" s="460" t="s">
        <v>2497</v>
      </c>
      <c r="C398" s="460"/>
      <c r="D398" s="460" t="s">
        <v>1813</v>
      </c>
      <c r="E398" s="460" t="s">
        <v>1812</v>
      </c>
      <c r="F398" s="460" t="s">
        <v>2645</v>
      </c>
      <c r="G398" s="547">
        <f>ROUND(25,2)</f>
        <v>25</v>
      </c>
      <c r="H398" s="461"/>
      <c r="I398" s="547">
        <f>ROUND(25,2)</f>
        <v>25</v>
      </c>
      <c r="J398" s="460"/>
      <c r="K398" s="460" t="s">
        <v>2613</v>
      </c>
    </row>
    <row r="399" spans="1:11" ht="22.8">
      <c r="A399" s="460" t="s">
        <v>1810</v>
      </c>
      <c r="B399" s="460" t="s">
        <v>2497</v>
      </c>
      <c r="C399" s="460"/>
      <c r="D399" s="460" t="s">
        <v>1813</v>
      </c>
      <c r="E399" s="460" t="s">
        <v>1812</v>
      </c>
      <c r="F399" s="460" t="s">
        <v>2616</v>
      </c>
      <c r="G399" s="460"/>
      <c r="H399" s="461"/>
      <c r="I399" s="460"/>
      <c r="J399" s="460"/>
      <c r="K399" s="460" t="s">
        <v>2613</v>
      </c>
    </row>
    <row r="400" spans="1:11" ht="22.8">
      <c r="A400" s="460" t="s">
        <v>1810</v>
      </c>
      <c r="B400" s="460" t="s">
        <v>2497</v>
      </c>
      <c r="C400" s="460"/>
      <c r="D400" s="460" t="s">
        <v>1813</v>
      </c>
      <c r="E400" s="460" t="s">
        <v>1812</v>
      </c>
      <c r="F400" s="460" t="s">
        <v>2614</v>
      </c>
      <c r="G400" s="460"/>
      <c r="H400" s="461" t="s">
        <v>2615</v>
      </c>
      <c r="I400" s="547">
        <f>ROUND(7,2)</f>
        <v>7</v>
      </c>
      <c r="J400" s="460" t="s">
        <v>2615</v>
      </c>
      <c r="K400" s="460" t="s">
        <v>2613</v>
      </c>
    </row>
    <row r="401" spans="1:11" ht="22.8">
      <c r="A401" s="460" t="s">
        <v>1810</v>
      </c>
      <c r="B401" s="460" t="s">
        <v>2497</v>
      </c>
      <c r="C401" s="460"/>
      <c r="D401" s="460" t="s">
        <v>1813</v>
      </c>
      <c r="E401" s="460" t="s">
        <v>1812</v>
      </c>
      <c r="F401" s="460" t="s">
        <v>2612</v>
      </c>
      <c r="G401" s="460"/>
      <c r="H401" s="461"/>
      <c r="I401" s="460"/>
      <c r="J401" s="460"/>
      <c r="K401" s="460" t="s">
        <v>2613</v>
      </c>
    </row>
    <row r="402" spans="1:11" ht="14.4">
      <c r="A402" s="460" t="s">
        <v>1810</v>
      </c>
      <c r="B402" s="460" t="s">
        <v>1946</v>
      </c>
      <c r="C402" s="460"/>
      <c r="D402" s="460" t="s">
        <v>1816</v>
      </c>
      <c r="E402" s="460" t="s">
        <v>2611</v>
      </c>
      <c r="F402" s="460" t="s">
        <v>2612</v>
      </c>
      <c r="G402" s="460"/>
      <c r="H402" s="461"/>
      <c r="I402" s="460"/>
      <c r="J402" s="460"/>
      <c r="K402" s="460" t="s">
        <v>2613</v>
      </c>
    </row>
    <row r="403" spans="1:11" ht="14.4">
      <c r="A403" s="460" t="s">
        <v>1810</v>
      </c>
      <c r="B403" s="460" t="s">
        <v>1315</v>
      </c>
      <c r="C403" s="460"/>
      <c r="D403" s="460" t="s">
        <v>1821</v>
      </c>
      <c r="E403" s="460" t="s">
        <v>1812</v>
      </c>
      <c r="F403" s="460" t="s">
        <v>2618</v>
      </c>
      <c r="G403" s="547">
        <f>ROUND(17.5,2)</f>
        <v>17.5</v>
      </c>
      <c r="H403" s="461"/>
      <c r="I403" s="547">
        <f>ROUND(17.5,2)</f>
        <v>17.5</v>
      </c>
      <c r="J403" s="460"/>
      <c r="K403" s="460" t="s">
        <v>2613</v>
      </c>
    </row>
    <row r="404" spans="1:11" ht="14.4">
      <c r="A404" s="460" t="s">
        <v>1810</v>
      </c>
      <c r="B404" s="460" t="s">
        <v>1315</v>
      </c>
      <c r="C404" s="460"/>
      <c r="D404" s="460" t="s">
        <v>1821</v>
      </c>
      <c r="E404" s="460" t="s">
        <v>1812</v>
      </c>
      <c r="F404" s="460" t="s">
        <v>2617</v>
      </c>
      <c r="G404" s="547">
        <f>ROUND(75,2)</f>
        <v>75</v>
      </c>
      <c r="H404" s="461"/>
      <c r="I404" s="547">
        <f>ROUND(75,2)</f>
        <v>75</v>
      </c>
      <c r="J404" s="460"/>
      <c r="K404" s="460" t="s">
        <v>2613</v>
      </c>
    </row>
    <row r="405" spans="1:11" ht="14.4">
      <c r="A405" s="460" t="s">
        <v>1810</v>
      </c>
      <c r="B405" s="460" t="s">
        <v>1315</v>
      </c>
      <c r="C405" s="460"/>
      <c r="D405" s="460" t="s">
        <v>1821</v>
      </c>
      <c r="E405" s="460" t="s">
        <v>1812</v>
      </c>
      <c r="F405" s="460" t="s">
        <v>2633</v>
      </c>
      <c r="G405" s="547">
        <f>ROUND(25,2)</f>
        <v>25</v>
      </c>
      <c r="H405" s="461"/>
      <c r="I405" s="547">
        <f>ROUND(25,2)</f>
        <v>25</v>
      </c>
      <c r="J405" s="460"/>
      <c r="K405" s="460" t="s">
        <v>2613</v>
      </c>
    </row>
    <row r="406" spans="1:11" ht="14.4">
      <c r="A406" s="460" t="s">
        <v>1810</v>
      </c>
      <c r="B406" s="460" t="s">
        <v>1315</v>
      </c>
      <c r="C406" s="460"/>
      <c r="D406" s="460" t="s">
        <v>1821</v>
      </c>
      <c r="E406" s="460" t="s">
        <v>1812</v>
      </c>
      <c r="F406" s="460" t="s">
        <v>2625</v>
      </c>
      <c r="G406" s="547">
        <f>ROUND(50,2)</f>
        <v>50</v>
      </c>
      <c r="H406" s="461"/>
      <c r="I406" s="547">
        <f>ROUND(50,2)</f>
        <v>50</v>
      </c>
      <c r="J406" s="460"/>
      <c r="K406" s="460" t="s">
        <v>2613</v>
      </c>
    </row>
    <row r="407" spans="1:11" ht="14.4">
      <c r="A407" s="460" t="s">
        <v>1810</v>
      </c>
      <c r="B407" s="460" t="s">
        <v>1315</v>
      </c>
      <c r="C407" s="460"/>
      <c r="D407" s="460" t="s">
        <v>1821</v>
      </c>
      <c r="E407" s="460" t="s">
        <v>1812</v>
      </c>
      <c r="F407" s="460" t="s">
        <v>2612</v>
      </c>
      <c r="G407" s="460"/>
      <c r="H407" s="461"/>
      <c r="I407" s="460"/>
      <c r="J407" s="460"/>
      <c r="K407" s="460" t="s">
        <v>2613</v>
      </c>
    </row>
    <row r="408" spans="1:11" ht="14.4">
      <c r="A408" s="460" t="s">
        <v>1810</v>
      </c>
      <c r="B408" s="460" t="s">
        <v>1315</v>
      </c>
      <c r="C408" s="460"/>
      <c r="D408" s="460" t="s">
        <v>1821</v>
      </c>
      <c r="E408" s="460" t="s">
        <v>1812</v>
      </c>
      <c r="F408" s="460" t="s">
        <v>2619</v>
      </c>
      <c r="G408" s="547">
        <f>ROUND(1950,2)</f>
        <v>1950</v>
      </c>
      <c r="H408" s="461"/>
      <c r="I408" s="547">
        <f>ROUND(1950,2)</f>
        <v>1950</v>
      </c>
      <c r="J408" s="460"/>
      <c r="K408" s="460" t="s">
        <v>2613</v>
      </c>
    </row>
    <row r="409" spans="1:11" ht="14.4">
      <c r="A409" s="460" t="s">
        <v>1810</v>
      </c>
      <c r="B409" s="460" t="s">
        <v>1315</v>
      </c>
      <c r="C409" s="460"/>
      <c r="D409" s="460" t="s">
        <v>1821</v>
      </c>
      <c r="E409" s="460" t="s">
        <v>1812</v>
      </c>
      <c r="F409" s="460" t="s">
        <v>2614</v>
      </c>
      <c r="G409" s="460"/>
      <c r="H409" s="461" t="s">
        <v>2615</v>
      </c>
      <c r="I409" s="547">
        <f>ROUND(7,2)</f>
        <v>7</v>
      </c>
      <c r="J409" s="460" t="s">
        <v>2615</v>
      </c>
      <c r="K409" s="460" t="s">
        <v>2613</v>
      </c>
    </row>
    <row r="410" spans="1:11" ht="14.4">
      <c r="A410" s="460" t="s">
        <v>1810</v>
      </c>
      <c r="B410" s="460" t="s">
        <v>1315</v>
      </c>
      <c r="C410" s="460"/>
      <c r="D410" s="460" t="s">
        <v>1821</v>
      </c>
      <c r="E410" s="460" t="s">
        <v>1812</v>
      </c>
      <c r="F410" s="460" t="s">
        <v>2627</v>
      </c>
      <c r="G410" s="547">
        <f>ROUND(120,2)</f>
        <v>120</v>
      </c>
      <c r="H410" s="461"/>
      <c r="I410" s="547">
        <f>ROUND(120,2)</f>
        <v>120</v>
      </c>
      <c r="J410" s="460"/>
      <c r="K410" s="460" t="s">
        <v>2613</v>
      </c>
    </row>
    <row r="411" spans="1:11" ht="14.4">
      <c r="A411" s="460" t="s">
        <v>1810</v>
      </c>
      <c r="B411" s="460" t="s">
        <v>1315</v>
      </c>
      <c r="C411" s="460"/>
      <c r="D411" s="460" t="s">
        <v>1821</v>
      </c>
      <c r="E411" s="460" t="s">
        <v>1812</v>
      </c>
      <c r="F411" s="460" t="s">
        <v>2620</v>
      </c>
      <c r="G411" s="547">
        <f>ROUND(10.22,2)</f>
        <v>10.220000000000001</v>
      </c>
      <c r="H411" s="461"/>
      <c r="I411" s="547">
        <f>ROUND(10.22,2)</f>
        <v>10.220000000000001</v>
      </c>
      <c r="J411" s="460"/>
      <c r="K411" s="460" t="s">
        <v>2613</v>
      </c>
    </row>
    <row r="412" spans="1:11" ht="14.4">
      <c r="A412" s="460" t="s">
        <v>1810</v>
      </c>
      <c r="B412" s="460" t="s">
        <v>1315</v>
      </c>
      <c r="C412" s="460"/>
      <c r="D412" s="460" t="s">
        <v>1821</v>
      </c>
      <c r="E412" s="460" t="s">
        <v>1812</v>
      </c>
      <c r="F412" s="460" t="s">
        <v>2634</v>
      </c>
      <c r="G412" s="547">
        <f>ROUND(52,2)</f>
        <v>52</v>
      </c>
      <c r="H412" s="461"/>
      <c r="I412" s="547">
        <f>ROUND(52,2)</f>
        <v>52</v>
      </c>
      <c r="J412" s="460"/>
      <c r="K412" s="460" t="s">
        <v>2613</v>
      </c>
    </row>
    <row r="413" spans="1:11" ht="14.4">
      <c r="A413" s="460" t="s">
        <v>1810</v>
      </c>
      <c r="B413" s="460" t="s">
        <v>1315</v>
      </c>
      <c r="C413" s="460"/>
      <c r="D413" s="460" t="s">
        <v>1821</v>
      </c>
      <c r="E413" s="460" t="s">
        <v>1812</v>
      </c>
      <c r="F413" s="460" t="s">
        <v>2616</v>
      </c>
      <c r="G413" s="460"/>
      <c r="H413" s="461"/>
      <c r="I413" s="460"/>
      <c r="J413" s="460"/>
      <c r="K413" s="460" t="s">
        <v>2613</v>
      </c>
    </row>
    <row r="414" spans="1:11" ht="14.4">
      <c r="A414" s="460" t="s">
        <v>1810</v>
      </c>
      <c r="B414" s="460" t="s">
        <v>1750</v>
      </c>
      <c r="C414" s="460"/>
      <c r="D414" s="460" t="s">
        <v>1811</v>
      </c>
      <c r="E414" s="460" t="s">
        <v>1812</v>
      </c>
      <c r="F414" s="460" t="s">
        <v>2616</v>
      </c>
      <c r="G414" s="460"/>
      <c r="H414" s="461"/>
      <c r="I414" s="460"/>
      <c r="J414" s="460"/>
      <c r="K414" s="460" t="s">
        <v>2613</v>
      </c>
    </row>
    <row r="415" spans="1:11" ht="14.4">
      <c r="A415" s="460" t="s">
        <v>1810</v>
      </c>
      <c r="B415" s="460" t="s">
        <v>1750</v>
      </c>
      <c r="C415" s="460"/>
      <c r="D415" s="460" t="s">
        <v>1811</v>
      </c>
      <c r="E415" s="460" t="s">
        <v>1812</v>
      </c>
      <c r="F415" s="460" t="s">
        <v>2633</v>
      </c>
      <c r="G415" s="547">
        <f>ROUND(50,2)</f>
        <v>50</v>
      </c>
      <c r="H415" s="461"/>
      <c r="I415" s="547">
        <f>ROUND(50,2)</f>
        <v>50</v>
      </c>
      <c r="J415" s="460"/>
      <c r="K415" s="460" t="s">
        <v>2613</v>
      </c>
    </row>
    <row r="416" spans="1:11" ht="14.4">
      <c r="A416" s="460" t="s">
        <v>1810</v>
      </c>
      <c r="B416" s="460" t="s">
        <v>1750</v>
      </c>
      <c r="C416" s="460"/>
      <c r="D416" s="460" t="s">
        <v>1811</v>
      </c>
      <c r="E416" s="460" t="s">
        <v>1812</v>
      </c>
      <c r="F416" s="460" t="s">
        <v>2620</v>
      </c>
      <c r="G416" s="547">
        <f>ROUND(10.22,2)</f>
        <v>10.220000000000001</v>
      </c>
      <c r="H416" s="461"/>
      <c r="I416" s="547">
        <f>ROUND(10.22,2)</f>
        <v>10.220000000000001</v>
      </c>
      <c r="J416" s="460"/>
      <c r="K416" s="460" t="s">
        <v>2613</v>
      </c>
    </row>
    <row r="417" spans="1:11" ht="14.4">
      <c r="A417" s="460" t="s">
        <v>1810</v>
      </c>
      <c r="B417" s="460" t="s">
        <v>1750</v>
      </c>
      <c r="C417" s="460"/>
      <c r="D417" s="460" t="s">
        <v>1811</v>
      </c>
      <c r="E417" s="460" t="s">
        <v>1812</v>
      </c>
      <c r="F417" s="460" t="s">
        <v>2612</v>
      </c>
      <c r="G417" s="460"/>
      <c r="H417" s="461"/>
      <c r="I417" s="460"/>
      <c r="J417" s="460"/>
      <c r="K417" s="460" t="s">
        <v>2613</v>
      </c>
    </row>
    <row r="418" spans="1:11" ht="14.4">
      <c r="A418" s="460" t="s">
        <v>1810</v>
      </c>
      <c r="B418" s="460" t="s">
        <v>1750</v>
      </c>
      <c r="C418" s="460"/>
      <c r="D418" s="460" t="s">
        <v>1811</v>
      </c>
      <c r="E418" s="460" t="s">
        <v>1812</v>
      </c>
      <c r="F418" s="460" t="s">
        <v>2614</v>
      </c>
      <c r="G418" s="460"/>
      <c r="H418" s="461" t="s">
        <v>2615</v>
      </c>
      <c r="I418" s="547">
        <f>ROUND(7,2)</f>
        <v>7</v>
      </c>
      <c r="J418" s="460" t="s">
        <v>2615</v>
      </c>
      <c r="K418" s="460" t="s">
        <v>2613</v>
      </c>
    </row>
    <row r="419" spans="1:11" ht="14.4">
      <c r="A419" s="460" t="s">
        <v>1810</v>
      </c>
      <c r="B419" s="460" t="s">
        <v>2436</v>
      </c>
      <c r="C419" s="460"/>
      <c r="D419" s="460" t="s">
        <v>1814</v>
      </c>
      <c r="E419" s="460" t="s">
        <v>1812</v>
      </c>
      <c r="F419" s="460" t="s">
        <v>2619</v>
      </c>
      <c r="G419" s="460"/>
      <c r="H419" s="461" t="s">
        <v>347</v>
      </c>
      <c r="I419" s="547">
        <f>ROUND(50,2)</f>
        <v>50</v>
      </c>
      <c r="J419" s="460" t="s">
        <v>347</v>
      </c>
      <c r="K419" s="460" t="s">
        <v>2613</v>
      </c>
    </row>
    <row r="420" spans="1:11" ht="14.4">
      <c r="A420" s="460" t="s">
        <v>1810</v>
      </c>
      <c r="B420" s="460" t="s">
        <v>2436</v>
      </c>
      <c r="C420" s="460"/>
      <c r="D420" s="460" t="s">
        <v>1814</v>
      </c>
      <c r="E420" s="460" t="s">
        <v>1812</v>
      </c>
      <c r="F420" s="460" t="s">
        <v>2644</v>
      </c>
      <c r="G420" s="460"/>
      <c r="H420" s="461"/>
      <c r="I420" s="460"/>
      <c r="J420" s="460"/>
      <c r="K420" s="460" t="s">
        <v>2613</v>
      </c>
    </row>
    <row r="421" spans="1:11" ht="14.4">
      <c r="A421" s="460" t="s">
        <v>1810</v>
      </c>
      <c r="B421" s="460" t="s">
        <v>2436</v>
      </c>
      <c r="C421" s="460"/>
      <c r="D421" s="460" t="s">
        <v>1814</v>
      </c>
      <c r="E421" s="460" t="s">
        <v>1812</v>
      </c>
      <c r="F421" s="460" t="s">
        <v>2612</v>
      </c>
      <c r="G421" s="460"/>
      <c r="H421" s="461" t="s">
        <v>2646</v>
      </c>
      <c r="I421" s="547">
        <f>ROUND(30,2)</f>
        <v>30</v>
      </c>
      <c r="J421" s="460" t="s">
        <v>2646</v>
      </c>
      <c r="K421" s="460" t="s">
        <v>2613</v>
      </c>
    </row>
    <row r="422" spans="1:11" ht="14.4">
      <c r="A422" s="460" t="s">
        <v>1810</v>
      </c>
      <c r="B422" s="460" t="s">
        <v>2436</v>
      </c>
      <c r="C422" s="460"/>
      <c r="D422" s="460" t="s">
        <v>1814</v>
      </c>
      <c r="E422" s="460" t="s">
        <v>1812</v>
      </c>
      <c r="F422" s="460" t="s">
        <v>2620</v>
      </c>
      <c r="G422" s="547">
        <f>ROUND(10.22,2)</f>
        <v>10.220000000000001</v>
      </c>
      <c r="H422" s="461"/>
      <c r="I422" s="547">
        <f>ROUND(10.22,2)</f>
        <v>10.220000000000001</v>
      </c>
      <c r="J422" s="460"/>
      <c r="K422" s="460" t="s">
        <v>2613</v>
      </c>
    </row>
    <row r="423" spans="1:11" ht="14.4">
      <c r="A423" s="460" t="s">
        <v>1810</v>
      </c>
      <c r="B423" s="460" t="s">
        <v>2436</v>
      </c>
      <c r="C423" s="460"/>
      <c r="D423" s="460" t="s">
        <v>1814</v>
      </c>
      <c r="E423" s="460" t="s">
        <v>1812</v>
      </c>
      <c r="F423" s="460" t="s">
        <v>2616</v>
      </c>
      <c r="G423" s="460"/>
      <c r="H423" s="461"/>
      <c r="I423" s="460"/>
      <c r="J423" s="460"/>
      <c r="K423" s="460" t="s">
        <v>2613</v>
      </c>
    </row>
    <row r="424" spans="1:11" ht="14.4">
      <c r="A424" s="460" t="s">
        <v>1810</v>
      </c>
      <c r="B424" s="460" t="s">
        <v>2436</v>
      </c>
      <c r="C424" s="460"/>
      <c r="D424" s="460" t="s">
        <v>1814</v>
      </c>
      <c r="E424" s="460" t="s">
        <v>1812</v>
      </c>
      <c r="F424" s="460" t="s">
        <v>2614</v>
      </c>
      <c r="G424" s="460"/>
      <c r="H424" s="461" t="s">
        <v>2615</v>
      </c>
      <c r="I424" s="547">
        <f>ROUND(7,2)</f>
        <v>7</v>
      </c>
      <c r="J424" s="460" t="s">
        <v>2615</v>
      </c>
      <c r="K424" s="460" t="s">
        <v>2613</v>
      </c>
    </row>
    <row r="425" spans="1:11" ht="22.8">
      <c r="A425" s="460" t="s">
        <v>1810</v>
      </c>
      <c r="B425" s="460" t="s">
        <v>1937</v>
      </c>
      <c r="C425" s="460"/>
      <c r="D425" s="460" t="s">
        <v>1844</v>
      </c>
      <c r="E425" s="460" t="s">
        <v>1812</v>
      </c>
      <c r="F425" s="460" t="s">
        <v>2614</v>
      </c>
      <c r="G425" s="460"/>
      <c r="H425" s="461" t="s">
        <v>2615</v>
      </c>
      <c r="I425" s="547">
        <f>ROUND(7,2)</f>
        <v>7</v>
      </c>
      <c r="J425" s="460" t="s">
        <v>2615</v>
      </c>
      <c r="K425" s="460" t="s">
        <v>2613</v>
      </c>
    </row>
    <row r="426" spans="1:11" ht="22.8">
      <c r="A426" s="460" t="s">
        <v>1810</v>
      </c>
      <c r="B426" s="460" t="s">
        <v>1937</v>
      </c>
      <c r="C426" s="460"/>
      <c r="D426" s="460" t="s">
        <v>1844</v>
      </c>
      <c r="E426" s="460" t="s">
        <v>1812</v>
      </c>
      <c r="F426" s="460" t="s">
        <v>2612</v>
      </c>
      <c r="G426" s="460"/>
      <c r="H426" s="461"/>
      <c r="I426" s="460"/>
      <c r="J426" s="460"/>
      <c r="K426" s="460" t="s">
        <v>2613</v>
      </c>
    </row>
    <row r="427" spans="1:11" ht="22.8">
      <c r="A427" s="460" t="s">
        <v>1810</v>
      </c>
      <c r="B427" s="460" t="s">
        <v>1937</v>
      </c>
      <c r="C427" s="460"/>
      <c r="D427" s="460" t="s">
        <v>1844</v>
      </c>
      <c r="E427" s="460" t="s">
        <v>1812</v>
      </c>
      <c r="F427" s="460" t="s">
        <v>2616</v>
      </c>
      <c r="G427" s="460"/>
      <c r="H427" s="461"/>
      <c r="I427" s="460"/>
      <c r="J427" s="460"/>
      <c r="K427" s="460" t="s">
        <v>2613</v>
      </c>
    </row>
    <row r="428" spans="1:11" ht="14.4">
      <c r="A428" s="460" t="s">
        <v>1810</v>
      </c>
      <c r="B428" s="460" t="s">
        <v>1772</v>
      </c>
      <c r="C428" s="460"/>
      <c r="D428" s="460" t="s">
        <v>1816</v>
      </c>
      <c r="E428" s="460" t="s">
        <v>2611</v>
      </c>
      <c r="F428" s="460" t="s">
        <v>2612</v>
      </c>
      <c r="G428" s="460"/>
      <c r="H428" s="461"/>
      <c r="I428" s="460"/>
      <c r="J428" s="460"/>
      <c r="K428" s="460" t="s">
        <v>2613</v>
      </c>
    </row>
    <row r="429" spans="1:11" ht="22.8">
      <c r="A429" s="460" t="s">
        <v>1810</v>
      </c>
      <c r="B429" s="460" t="s">
        <v>1668</v>
      </c>
      <c r="C429" s="460"/>
      <c r="D429" s="460" t="s">
        <v>1834</v>
      </c>
      <c r="E429" s="460" t="s">
        <v>1812</v>
      </c>
      <c r="F429" s="460" t="s">
        <v>2612</v>
      </c>
      <c r="G429" s="460"/>
      <c r="H429" s="461"/>
      <c r="I429" s="460"/>
      <c r="J429" s="460"/>
      <c r="K429" s="460" t="s">
        <v>2613</v>
      </c>
    </row>
    <row r="430" spans="1:11" ht="22.8">
      <c r="A430" s="460" t="s">
        <v>1810</v>
      </c>
      <c r="B430" s="460" t="s">
        <v>1668</v>
      </c>
      <c r="C430" s="460"/>
      <c r="D430" s="460" t="s">
        <v>1834</v>
      </c>
      <c r="E430" s="460" t="s">
        <v>1812</v>
      </c>
      <c r="F430" s="460" t="s">
        <v>2614</v>
      </c>
      <c r="G430" s="460"/>
      <c r="H430" s="461" t="s">
        <v>2615</v>
      </c>
      <c r="I430" s="547">
        <f>ROUND(7,2)</f>
        <v>7</v>
      </c>
      <c r="J430" s="460" t="s">
        <v>2615</v>
      </c>
      <c r="K430" s="460" t="s">
        <v>2613</v>
      </c>
    </row>
    <row r="431" spans="1:11" ht="22.8">
      <c r="A431" s="460" t="s">
        <v>1810</v>
      </c>
      <c r="B431" s="460" t="s">
        <v>1668</v>
      </c>
      <c r="C431" s="460"/>
      <c r="D431" s="460" t="s">
        <v>1834</v>
      </c>
      <c r="E431" s="460" t="s">
        <v>1812</v>
      </c>
      <c r="F431" s="460" t="s">
        <v>2624</v>
      </c>
      <c r="G431" s="547">
        <f>ROUND(75,2)</f>
        <v>75</v>
      </c>
      <c r="H431" s="461"/>
      <c r="I431" s="547">
        <f>ROUND(75,2)</f>
        <v>75</v>
      </c>
      <c r="J431" s="460"/>
      <c r="K431" s="460" t="s">
        <v>2613</v>
      </c>
    </row>
    <row r="432" spans="1:11" ht="22.8">
      <c r="A432" s="460" t="s">
        <v>1810</v>
      </c>
      <c r="B432" s="460" t="s">
        <v>1668</v>
      </c>
      <c r="C432" s="460"/>
      <c r="D432" s="460" t="s">
        <v>1834</v>
      </c>
      <c r="E432" s="460" t="s">
        <v>1812</v>
      </c>
      <c r="F432" s="460" t="s">
        <v>2616</v>
      </c>
      <c r="G432" s="460"/>
      <c r="H432" s="461"/>
      <c r="I432" s="460"/>
      <c r="J432" s="460"/>
      <c r="K432" s="460" t="s">
        <v>2613</v>
      </c>
    </row>
    <row r="433" spans="1:11" ht="14.4">
      <c r="A433" s="460" t="s">
        <v>1810</v>
      </c>
      <c r="B433" s="460" t="s">
        <v>1402</v>
      </c>
      <c r="C433" s="460"/>
      <c r="D433" s="460" t="s">
        <v>1811</v>
      </c>
      <c r="E433" s="460" t="s">
        <v>1812</v>
      </c>
      <c r="F433" s="460" t="s">
        <v>2612</v>
      </c>
      <c r="G433" s="460"/>
      <c r="H433" s="461"/>
      <c r="I433" s="460"/>
      <c r="J433" s="460"/>
      <c r="K433" s="460" t="s">
        <v>2613</v>
      </c>
    </row>
    <row r="434" spans="1:11" ht="14.4">
      <c r="A434" s="460" t="s">
        <v>1810</v>
      </c>
      <c r="B434" s="460" t="s">
        <v>1402</v>
      </c>
      <c r="C434" s="460"/>
      <c r="D434" s="460" t="s">
        <v>1811</v>
      </c>
      <c r="E434" s="460" t="s">
        <v>1812</v>
      </c>
      <c r="F434" s="460" t="s">
        <v>2614</v>
      </c>
      <c r="G434" s="460"/>
      <c r="H434" s="461" t="s">
        <v>2615</v>
      </c>
      <c r="I434" s="547">
        <f>ROUND(7,2)</f>
        <v>7</v>
      </c>
      <c r="J434" s="460" t="s">
        <v>2615</v>
      </c>
      <c r="K434" s="460" t="s">
        <v>2613</v>
      </c>
    </row>
    <row r="435" spans="1:11" ht="14.4">
      <c r="A435" s="460" t="s">
        <v>1810</v>
      </c>
      <c r="B435" s="460" t="s">
        <v>1402</v>
      </c>
      <c r="C435" s="460"/>
      <c r="D435" s="460" t="s">
        <v>1811</v>
      </c>
      <c r="E435" s="460" t="s">
        <v>1812</v>
      </c>
      <c r="F435" s="460" t="s">
        <v>2624</v>
      </c>
      <c r="G435" s="547">
        <f>ROUND(50,2)</f>
        <v>50</v>
      </c>
      <c r="H435" s="461"/>
      <c r="I435" s="547">
        <f>ROUND(50,2)</f>
        <v>50</v>
      </c>
      <c r="J435" s="460"/>
      <c r="K435" s="460" t="s">
        <v>2613</v>
      </c>
    </row>
    <row r="436" spans="1:11" ht="14.4">
      <c r="A436" s="460" t="s">
        <v>1810</v>
      </c>
      <c r="B436" s="460" t="s">
        <v>1402</v>
      </c>
      <c r="C436" s="460"/>
      <c r="D436" s="460" t="s">
        <v>1811</v>
      </c>
      <c r="E436" s="460" t="s">
        <v>1812</v>
      </c>
      <c r="F436" s="460" t="s">
        <v>2616</v>
      </c>
      <c r="G436" s="460"/>
      <c r="H436" s="461"/>
      <c r="I436" s="460"/>
      <c r="J436" s="460"/>
      <c r="K436" s="460" t="s">
        <v>2613</v>
      </c>
    </row>
    <row r="437" spans="1:11" ht="14.4">
      <c r="A437" s="460" t="s">
        <v>1810</v>
      </c>
      <c r="B437" s="460" t="s">
        <v>1402</v>
      </c>
      <c r="C437" s="460"/>
      <c r="D437" s="460" t="s">
        <v>1811</v>
      </c>
      <c r="E437" s="460" t="s">
        <v>1812</v>
      </c>
      <c r="F437" s="460" t="s">
        <v>2617</v>
      </c>
      <c r="G437" s="547">
        <f>ROUND(75,2)</f>
        <v>75</v>
      </c>
      <c r="H437" s="461"/>
      <c r="I437" s="547">
        <f>ROUND(75,2)</f>
        <v>75</v>
      </c>
      <c r="J437" s="460"/>
      <c r="K437" s="460" t="s">
        <v>2613</v>
      </c>
    </row>
    <row r="438" spans="1:11" ht="14.4">
      <c r="A438" s="460" t="s">
        <v>1810</v>
      </c>
      <c r="B438" s="460" t="s">
        <v>1402</v>
      </c>
      <c r="C438" s="460"/>
      <c r="D438" s="460" t="s">
        <v>1811</v>
      </c>
      <c r="E438" s="460" t="s">
        <v>1812</v>
      </c>
      <c r="F438" s="460" t="s">
        <v>2618</v>
      </c>
      <c r="G438" s="547">
        <f>ROUND(40,2)</f>
        <v>40</v>
      </c>
      <c r="H438" s="461"/>
      <c r="I438" s="547">
        <f>ROUND(40,2)</f>
        <v>40</v>
      </c>
      <c r="J438" s="460"/>
      <c r="K438" s="460" t="s">
        <v>2613</v>
      </c>
    </row>
    <row r="439" spans="1:11" ht="14.4">
      <c r="A439" s="460" t="s">
        <v>1810</v>
      </c>
      <c r="B439" s="460" t="s">
        <v>1610</v>
      </c>
      <c r="C439" s="460"/>
      <c r="D439" s="460" t="s">
        <v>1835</v>
      </c>
      <c r="E439" s="460" t="s">
        <v>1812</v>
      </c>
      <c r="F439" s="460" t="s">
        <v>2612</v>
      </c>
      <c r="G439" s="460"/>
      <c r="H439" s="461"/>
      <c r="I439" s="460"/>
      <c r="J439" s="460"/>
      <c r="K439" s="460" t="s">
        <v>2613</v>
      </c>
    </row>
    <row r="440" spans="1:11" ht="14.4">
      <c r="A440" s="460" t="s">
        <v>1810</v>
      </c>
      <c r="B440" s="460" t="s">
        <v>1610</v>
      </c>
      <c r="C440" s="460"/>
      <c r="D440" s="460" t="s">
        <v>1835</v>
      </c>
      <c r="E440" s="460" t="s">
        <v>1812</v>
      </c>
      <c r="F440" s="460" t="s">
        <v>2614</v>
      </c>
      <c r="G440" s="460"/>
      <c r="H440" s="461" t="s">
        <v>2615</v>
      </c>
      <c r="I440" s="547">
        <f>ROUND(7,2)</f>
        <v>7</v>
      </c>
      <c r="J440" s="460" t="s">
        <v>2615</v>
      </c>
      <c r="K440" s="460" t="s">
        <v>2613</v>
      </c>
    </row>
    <row r="441" spans="1:11" ht="14.4">
      <c r="A441" s="460" t="s">
        <v>1810</v>
      </c>
      <c r="B441" s="460" t="s">
        <v>1610</v>
      </c>
      <c r="C441" s="460"/>
      <c r="D441" s="460" t="s">
        <v>1835</v>
      </c>
      <c r="E441" s="460" t="s">
        <v>1812</v>
      </c>
      <c r="F441" s="460" t="s">
        <v>2616</v>
      </c>
      <c r="G441" s="460"/>
      <c r="H441" s="461"/>
      <c r="I441" s="460"/>
      <c r="J441" s="460"/>
      <c r="K441" s="460" t="s">
        <v>2613</v>
      </c>
    </row>
    <row r="442" spans="1:11" ht="14.4">
      <c r="A442" s="460" t="s">
        <v>1810</v>
      </c>
      <c r="B442" s="460" t="s">
        <v>1610</v>
      </c>
      <c r="C442" s="460"/>
      <c r="D442" s="460" t="s">
        <v>1835</v>
      </c>
      <c r="E442" s="460" t="s">
        <v>1812</v>
      </c>
      <c r="F442" s="460" t="s">
        <v>2624</v>
      </c>
      <c r="G442" s="547">
        <f>ROUND(10,2)</f>
        <v>10</v>
      </c>
      <c r="H442" s="461"/>
      <c r="I442" s="547">
        <f>ROUND(10,2)</f>
        <v>10</v>
      </c>
      <c r="J442" s="460"/>
      <c r="K442" s="460" t="s">
        <v>2613</v>
      </c>
    </row>
    <row r="443" spans="1:11" ht="14.4">
      <c r="A443" s="460" t="s">
        <v>1810</v>
      </c>
      <c r="B443" s="460" t="s">
        <v>2922</v>
      </c>
      <c r="C443" s="460"/>
      <c r="D443" s="460" t="s">
        <v>1811</v>
      </c>
      <c r="E443" s="460" t="s">
        <v>1812</v>
      </c>
      <c r="F443" s="460" t="s">
        <v>2616</v>
      </c>
      <c r="G443" s="460"/>
      <c r="H443" s="461"/>
      <c r="I443" s="460"/>
      <c r="J443" s="460"/>
      <c r="K443" s="460" t="s">
        <v>2613</v>
      </c>
    </row>
    <row r="444" spans="1:11" ht="14.4">
      <c r="A444" s="460" t="s">
        <v>1810</v>
      </c>
      <c r="B444" s="460" t="s">
        <v>2922</v>
      </c>
      <c r="C444" s="460"/>
      <c r="D444" s="460" t="s">
        <v>1811</v>
      </c>
      <c r="E444" s="460" t="s">
        <v>1812</v>
      </c>
      <c r="F444" s="460" t="s">
        <v>2620</v>
      </c>
      <c r="G444" s="547">
        <f>ROUND(10.22,2)</f>
        <v>10.220000000000001</v>
      </c>
      <c r="H444" s="461"/>
      <c r="I444" s="547">
        <f>ROUND(10.22,2)</f>
        <v>10.220000000000001</v>
      </c>
      <c r="J444" s="460"/>
      <c r="K444" s="460" t="s">
        <v>2613</v>
      </c>
    </row>
    <row r="445" spans="1:11" ht="14.4">
      <c r="A445" s="460" t="s">
        <v>1810</v>
      </c>
      <c r="B445" s="460" t="s">
        <v>2922</v>
      </c>
      <c r="C445" s="460"/>
      <c r="D445" s="460" t="s">
        <v>1811</v>
      </c>
      <c r="E445" s="460" t="s">
        <v>1812</v>
      </c>
      <c r="F445" s="460" t="s">
        <v>2612</v>
      </c>
      <c r="G445" s="460"/>
      <c r="H445" s="461"/>
      <c r="I445" s="460"/>
      <c r="J445" s="460"/>
      <c r="K445" s="460" t="s">
        <v>2613</v>
      </c>
    </row>
    <row r="446" spans="1:11" ht="14.4">
      <c r="A446" s="460" t="s">
        <v>1810</v>
      </c>
      <c r="B446" s="460" t="s">
        <v>2922</v>
      </c>
      <c r="C446" s="460"/>
      <c r="D446" s="460" t="s">
        <v>1811</v>
      </c>
      <c r="E446" s="460" t="s">
        <v>1812</v>
      </c>
      <c r="F446" s="460" t="s">
        <v>2614</v>
      </c>
      <c r="G446" s="460"/>
      <c r="H446" s="461" t="s">
        <v>2615</v>
      </c>
      <c r="I446" s="547">
        <f>ROUND(7,2)</f>
        <v>7</v>
      </c>
      <c r="J446" s="460" t="s">
        <v>2615</v>
      </c>
      <c r="K446" s="460" t="s">
        <v>2613</v>
      </c>
    </row>
    <row r="447" spans="1:11" ht="22.8">
      <c r="A447" s="460" t="s">
        <v>1810</v>
      </c>
      <c r="B447" s="460" t="s">
        <v>2502</v>
      </c>
      <c r="C447" s="460"/>
      <c r="D447" s="460" t="s">
        <v>1819</v>
      </c>
      <c r="E447" s="460" t="s">
        <v>1812</v>
      </c>
      <c r="F447" s="460" t="s">
        <v>2627</v>
      </c>
      <c r="G447" s="547">
        <f>ROUND(25,2)</f>
        <v>25</v>
      </c>
      <c r="H447" s="461"/>
      <c r="I447" s="547">
        <f>ROUND(25,2)</f>
        <v>25</v>
      </c>
      <c r="J447" s="460"/>
      <c r="K447" s="460" t="s">
        <v>2613</v>
      </c>
    </row>
    <row r="448" spans="1:11" ht="22.8">
      <c r="A448" s="460" t="s">
        <v>1810</v>
      </c>
      <c r="B448" s="460" t="s">
        <v>2502</v>
      </c>
      <c r="C448" s="460"/>
      <c r="D448" s="460" t="s">
        <v>1819</v>
      </c>
      <c r="E448" s="460" t="s">
        <v>1812</v>
      </c>
      <c r="F448" s="460" t="s">
        <v>2616</v>
      </c>
      <c r="G448" s="460"/>
      <c r="H448" s="461"/>
      <c r="I448" s="460"/>
      <c r="J448" s="460"/>
      <c r="K448" s="460" t="s">
        <v>2613</v>
      </c>
    </row>
    <row r="449" spans="1:11" ht="22.8">
      <c r="A449" s="460" t="s">
        <v>1810</v>
      </c>
      <c r="B449" s="460" t="s">
        <v>2502</v>
      </c>
      <c r="C449" s="460"/>
      <c r="D449" s="460" t="s">
        <v>1819</v>
      </c>
      <c r="E449" s="460" t="s">
        <v>1812</v>
      </c>
      <c r="F449" s="460" t="s">
        <v>2614</v>
      </c>
      <c r="G449" s="460"/>
      <c r="H449" s="461" t="s">
        <v>2615</v>
      </c>
      <c r="I449" s="547">
        <f>ROUND(7,2)</f>
        <v>7</v>
      </c>
      <c r="J449" s="460" t="s">
        <v>2615</v>
      </c>
      <c r="K449" s="460" t="s">
        <v>2613</v>
      </c>
    </row>
    <row r="450" spans="1:11" ht="22.8">
      <c r="A450" s="460" t="s">
        <v>1810</v>
      </c>
      <c r="B450" s="460" t="s">
        <v>2502</v>
      </c>
      <c r="C450" s="460"/>
      <c r="D450" s="460" t="s">
        <v>1819</v>
      </c>
      <c r="E450" s="460" t="s">
        <v>1812</v>
      </c>
      <c r="F450" s="460" t="s">
        <v>2612</v>
      </c>
      <c r="G450" s="460"/>
      <c r="H450" s="461"/>
      <c r="I450" s="460"/>
      <c r="J450" s="460"/>
      <c r="K450" s="460" t="s">
        <v>2613</v>
      </c>
    </row>
    <row r="451" spans="1:11" ht="14.4">
      <c r="A451" s="460" t="s">
        <v>1810</v>
      </c>
      <c r="B451" s="460" t="s">
        <v>1626</v>
      </c>
      <c r="C451" s="460"/>
      <c r="D451" s="460" t="s">
        <v>1814</v>
      </c>
      <c r="E451" s="460" t="s">
        <v>1812</v>
      </c>
      <c r="F451" s="460" t="s">
        <v>2625</v>
      </c>
      <c r="G451" s="547">
        <f>ROUND(25,2)</f>
        <v>25</v>
      </c>
      <c r="H451" s="461"/>
      <c r="I451" s="547">
        <f>ROUND(25,2)</f>
        <v>25</v>
      </c>
      <c r="J451" s="460"/>
      <c r="K451" s="460" t="s">
        <v>2613</v>
      </c>
    </row>
    <row r="452" spans="1:11" ht="14.4">
      <c r="A452" s="460" t="s">
        <v>1810</v>
      </c>
      <c r="B452" s="460" t="s">
        <v>1626</v>
      </c>
      <c r="C452" s="460"/>
      <c r="D452" s="460" t="s">
        <v>1814</v>
      </c>
      <c r="E452" s="460" t="s">
        <v>1812</v>
      </c>
      <c r="F452" s="460" t="s">
        <v>2612</v>
      </c>
      <c r="G452" s="460"/>
      <c r="H452" s="461"/>
      <c r="I452" s="460"/>
      <c r="J452" s="460"/>
      <c r="K452" s="460" t="s">
        <v>2613</v>
      </c>
    </row>
    <row r="453" spans="1:11" ht="14.4">
      <c r="A453" s="460" t="s">
        <v>1810</v>
      </c>
      <c r="B453" s="460" t="s">
        <v>1626</v>
      </c>
      <c r="C453" s="460"/>
      <c r="D453" s="460" t="s">
        <v>1814</v>
      </c>
      <c r="E453" s="460" t="s">
        <v>1812</v>
      </c>
      <c r="F453" s="460" t="s">
        <v>2614</v>
      </c>
      <c r="G453" s="460"/>
      <c r="H453" s="461" t="s">
        <v>2615</v>
      </c>
      <c r="I453" s="547">
        <f>ROUND(7,2)</f>
        <v>7</v>
      </c>
      <c r="J453" s="460" t="s">
        <v>2615</v>
      </c>
      <c r="K453" s="460" t="s">
        <v>2613</v>
      </c>
    </row>
    <row r="454" spans="1:11" ht="14.4">
      <c r="A454" s="460" t="s">
        <v>1810</v>
      </c>
      <c r="B454" s="460" t="s">
        <v>1626</v>
      </c>
      <c r="C454" s="460"/>
      <c r="D454" s="460" t="s">
        <v>1814</v>
      </c>
      <c r="E454" s="460" t="s">
        <v>1812</v>
      </c>
      <c r="F454" s="460" t="s">
        <v>2623</v>
      </c>
      <c r="G454" s="547">
        <f>ROUND(170,2)</f>
        <v>170</v>
      </c>
      <c r="H454" s="461"/>
      <c r="I454" s="547">
        <f>ROUND(170,2)</f>
        <v>170</v>
      </c>
      <c r="J454" s="460"/>
      <c r="K454" s="460" t="s">
        <v>2613</v>
      </c>
    </row>
    <row r="455" spans="1:11" ht="14.4">
      <c r="A455" s="460" t="s">
        <v>1810</v>
      </c>
      <c r="B455" s="460" t="s">
        <v>1626</v>
      </c>
      <c r="C455" s="460"/>
      <c r="D455" s="460" t="s">
        <v>1814</v>
      </c>
      <c r="E455" s="460" t="s">
        <v>1812</v>
      </c>
      <c r="F455" s="460" t="s">
        <v>2626</v>
      </c>
      <c r="G455" s="547">
        <f>ROUND(10,2)</f>
        <v>10</v>
      </c>
      <c r="H455" s="461"/>
      <c r="I455" s="547">
        <f>ROUND(10,2)</f>
        <v>10</v>
      </c>
      <c r="J455" s="460"/>
      <c r="K455" s="460" t="s">
        <v>2613</v>
      </c>
    </row>
    <row r="456" spans="1:11" ht="14.4">
      <c r="A456" s="460" t="s">
        <v>1810</v>
      </c>
      <c r="B456" s="460" t="s">
        <v>1626</v>
      </c>
      <c r="C456" s="460"/>
      <c r="D456" s="460" t="s">
        <v>1814</v>
      </c>
      <c r="E456" s="460" t="s">
        <v>1812</v>
      </c>
      <c r="F456" s="460" t="s">
        <v>2629</v>
      </c>
      <c r="G456" s="547">
        <f>ROUND(33,2)</f>
        <v>33</v>
      </c>
      <c r="H456" s="461"/>
      <c r="I456" s="547">
        <f>ROUND(33,2)</f>
        <v>33</v>
      </c>
      <c r="J456" s="460"/>
      <c r="K456" s="460" t="s">
        <v>2613</v>
      </c>
    </row>
    <row r="457" spans="1:11" ht="14.4">
      <c r="A457" s="460" t="s">
        <v>1810</v>
      </c>
      <c r="B457" s="460" t="s">
        <v>1626</v>
      </c>
      <c r="C457" s="460"/>
      <c r="D457" s="460" t="s">
        <v>1814</v>
      </c>
      <c r="E457" s="460" t="s">
        <v>1812</v>
      </c>
      <c r="F457" s="460" t="s">
        <v>2616</v>
      </c>
      <c r="G457" s="460"/>
      <c r="H457" s="461"/>
      <c r="I457" s="460"/>
      <c r="J457" s="460"/>
      <c r="K457" s="460" t="s">
        <v>2613</v>
      </c>
    </row>
    <row r="458" spans="1:11" ht="14.4">
      <c r="A458" s="460" t="s">
        <v>1810</v>
      </c>
      <c r="B458" s="460" t="s">
        <v>2941</v>
      </c>
      <c r="C458" s="460"/>
      <c r="D458" s="460" t="s">
        <v>1816</v>
      </c>
      <c r="E458" s="460" t="s">
        <v>2611</v>
      </c>
      <c r="F458" s="460" t="s">
        <v>2612</v>
      </c>
      <c r="G458" s="460"/>
      <c r="H458" s="461"/>
      <c r="I458" s="460"/>
      <c r="J458" s="460"/>
      <c r="K458" s="460" t="s">
        <v>2613</v>
      </c>
    </row>
    <row r="459" spans="1:11" ht="14.4">
      <c r="A459" s="460" t="s">
        <v>1810</v>
      </c>
      <c r="B459" s="460" t="s">
        <v>1706</v>
      </c>
      <c r="C459" s="460"/>
      <c r="D459" s="460" t="s">
        <v>1816</v>
      </c>
      <c r="E459" s="460" t="s">
        <v>2611</v>
      </c>
      <c r="F459" s="460" t="s">
        <v>2612</v>
      </c>
      <c r="G459" s="460"/>
      <c r="H459" s="461"/>
      <c r="I459" s="460"/>
      <c r="J459" s="460"/>
      <c r="K459" s="460" t="s">
        <v>2613</v>
      </c>
    </row>
    <row r="460" spans="1:11" ht="14.4">
      <c r="A460" s="460" t="s">
        <v>1810</v>
      </c>
      <c r="B460" s="460" t="s">
        <v>1316</v>
      </c>
      <c r="C460" s="460"/>
      <c r="D460" s="460" t="s">
        <v>1814</v>
      </c>
      <c r="E460" s="460" t="s">
        <v>1812</v>
      </c>
      <c r="F460" s="460" t="s">
        <v>2629</v>
      </c>
      <c r="G460" s="547">
        <f>ROUND(142,2)</f>
        <v>142</v>
      </c>
      <c r="H460" s="461"/>
      <c r="I460" s="547">
        <f>ROUND(142,2)</f>
        <v>142</v>
      </c>
      <c r="J460" s="460"/>
      <c r="K460" s="460" t="s">
        <v>2613</v>
      </c>
    </row>
    <row r="461" spans="1:11" ht="14.4">
      <c r="A461" s="460" t="s">
        <v>1810</v>
      </c>
      <c r="B461" s="460" t="s">
        <v>1316</v>
      </c>
      <c r="C461" s="460"/>
      <c r="D461" s="460" t="s">
        <v>1814</v>
      </c>
      <c r="E461" s="460" t="s">
        <v>1812</v>
      </c>
      <c r="F461" s="460" t="s">
        <v>2624</v>
      </c>
      <c r="G461" s="547">
        <f>ROUND(100,2)</f>
        <v>100</v>
      </c>
      <c r="H461" s="461"/>
      <c r="I461" s="547">
        <f>ROUND(100,2)</f>
        <v>100</v>
      </c>
      <c r="J461" s="460"/>
      <c r="K461" s="460" t="s">
        <v>2613</v>
      </c>
    </row>
    <row r="462" spans="1:11" ht="14.4">
      <c r="A462" s="460" t="s">
        <v>1810</v>
      </c>
      <c r="B462" s="460" t="s">
        <v>1316</v>
      </c>
      <c r="C462" s="460"/>
      <c r="D462" s="460" t="s">
        <v>1814</v>
      </c>
      <c r="E462" s="460" t="s">
        <v>1812</v>
      </c>
      <c r="F462" s="460" t="s">
        <v>2625</v>
      </c>
      <c r="G462" s="547">
        <f>ROUND(37.5,2)</f>
        <v>37.5</v>
      </c>
      <c r="H462" s="461"/>
      <c r="I462" s="547">
        <f>ROUND(37.5,2)</f>
        <v>37.5</v>
      </c>
      <c r="J462" s="460"/>
      <c r="K462" s="460" t="s">
        <v>2613</v>
      </c>
    </row>
    <row r="463" spans="1:11" ht="14.4">
      <c r="A463" s="460" t="s">
        <v>1810</v>
      </c>
      <c r="B463" s="460" t="s">
        <v>1316</v>
      </c>
      <c r="C463" s="460"/>
      <c r="D463" s="460" t="s">
        <v>1814</v>
      </c>
      <c r="E463" s="460" t="s">
        <v>1812</v>
      </c>
      <c r="F463" s="460" t="s">
        <v>2612</v>
      </c>
      <c r="G463" s="460"/>
      <c r="H463" s="461"/>
      <c r="I463" s="460"/>
      <c r="J463" s="460"/>
      <c r="K463" s="460" t="s">
        <v>2613</v>
      </c>
    </row>
    <row r="464" spans="1:11" ht="14.4">
      <c r="A464" s="460" t="s">
        <v>1810</v>
      </c>
      <c r="B464" s="460" t="s">
        <v>1316</v>
      </c>
      <c r="C464" s="460"/>
      <c r="D464" s="460" t="s">
        <v>1814</v>
      </c>
      <c r="E464" s="460" t="s">
        <v>1812</v>
      </c>
      <c r="F464" s="460" t="s">
        <v>2614</v>
      </c>
      <c r="G464" s="460"/>
      <c r="H464" s="461" t="s">
        <v>2615</v>
      </c>
      <c r="I464" s="547">
        <f>ROUND(7,2)</f>
        <v>7</v>
      </c>
      <c r="J464" s="460" t="s">
        <v>2615</v>
      </c>
      <c r="K464" s="460" t="s">
        <v>2613</v>
      </c>
    </row>
    <row r="465" spans="1:11" ht="14.4">
      <c r="A465" s="460" t="s">
        <v>1810</v>
      </c>
      <c r="B465" s="460" t="s">
        <v>1316</v>
      </c>
      <c r="C465" s="460"/>
      <c r="D465" s="460" t="s">
        <v>1814</v>
      </c>
      <c r="E465" s="460" t="s">
        <v>1812</v>
      </c>
      <c r="F465" s="460" t="s">
        <v>2626</v>
      </c>
      <c r="G465" s="547">
        <f>ROUND(10,2)</f>
        <v>10</v>
      </c>
      <c r="H465" s="461"/>
      <c r="I465" s="547">
        <f>ROUND(10,2)</f>
        <v>10</v>
      </c>
      <c r="J465" s="460"/>
      <c r="K465" s="460" t="s">
        <v>2613</v>
      </c>
    </row>
    <row r="466" spans="1:11" ht="14.4">
      <c r="A466" s="460" t="s">
        <v>1810</v>
      </c>
      <c r="B466" s="460" t="s">
        <v>1316</v>
      </c>
      <c r="C466" s="460"/>
      <c r="D466" s="460" t="s">
        <v>1814</v>
      </c>
      <c r="E466" s="460" t="s">
        <v>1812</v>
      </c>
      <c r="F466" s="460" t="s">
        <v>2616</v>
      </c>
      <c r="G466" s="460"/>
      <c r="H466" s="461"/>
      <c r="I466" s="460"/>
      <c r="J466" s="460"/>
      <c r="K466" s="460" t="s">
        <v>2613</v>
      </c>
    </row>
    <row r="467" spans="1:11" ht="14.4">
      <c r="A467" s="460" t="s">
        <v>1810</v>
      </c>
      <c r="B467" s="460" t="s">
        <v>2495</v>
      </c>
      <c r="C467" s="460"/>
      <c r="D467" s="460" t="s">
        <v>1814</v>
      </c>
      <c r="E467" s="460" t="s">
        <v>1812</v>
      </c>
      <c r="F467" s="460" t="s">
        <v>2620</v>
      </c>
      <c r="G467" s="547">
        <f>ROUND(10.22,2)</f>
        <v>10.220000000000001</v>
      </c>
      <c r="H467" s="461"/>
      <c r="I467" s="547">
        <f>ROUND(10.22,2)</f>
        <v>10.220000000000001</v>
      </c>
      <c r="J467" s="460"/>
      <c r="K467" s="460" t="s">
        <v>2613</v>
      </c>
    </row>
    <row r="468" spans="1:11" ht="14.4">
      <c r="A468" s="460" t="s">
        <v>1810</v>
      </c>
      <c r="B468" s="460" t="s">
        <v>2495</v>
      </c>
      <c r="C468" s="460"/>
      <c r="D468" s="460" t="s">
        <v>1814</v>
      </c>
      <c r="E468" s="460" t="s">
        <v>1812</v>
      </c>
      <c r="F468" s="460" t="s">
        <v>2616</v>
      </c>
      <c r="G468" s="460"/>
      <c r="H468" s="461"/>
      <c r="I468" s="460"/>
      <c r="J468" s="460"/>
      <c r="K468" s="460" t="s">
        <v>2613</v>
      </c>
    </row>
    <row r="469" spans="1:11" ht="14.4">
      <c r="A469" s="460" t="s">
        <v>1810</v>
      </c>
      <c r="B469" s="460" t="s">
        <v>2495</v>
      </c>
      <c r="C469" s="460"/>
      <c r="D469" s="460" t="s">
        <v>1814</v>
      </c>
      <c r="E469" s="460" t="s">
        <v>1812</v>
      </c>
      <c r="F469" s="460" t="s">
        <v>2632</v>
      </c>
      <c r="G469" s="547">
        <f>ROUND(166.67,2)</f>
        <v>166.67</v>
      </c>
      <c r="H469" s="461"/>
      <c r="I469" s="547">
        <f>ROUND(166.67,2)</f>
        <v>166.67</v>
      </c>
      <c r="J469" s="460"/>
      <c r="K469" s="460" t="s">
        <v>2613</v>
      </c>
    </row>
    <row r="470" spans="1:11" ht="14.4">
      <c r="A470" s="460" t="s">
        <v>1810</v>
      </c>
      <c r="B470" s="460" t="s">
        <v>2495</v>
      </c>
      <c r="C470" s="460"/>
      <c r="D470" s="460" t="s">
        <v>1814</v>
      </c>
      <c r="E470" s="460" t="s">
        <v>1812</v>
      </c>
      <c r="F470" s="460" t="s">
        <v>2614</v>
      </c>
      <c r="G470" s="460"/>
      <c r="H470" s="461" t="s">
        <v>2615</v>
      </c>
      <c r="I470" s="547">
        <f>ROUND(7,2)</f>
        <v>7</v>
      </c>
      <c r="J470" s="460" t="s">
        <v>2615</v>
      </c>
      <c r="K470" s="460" t="s">
        <v>2613</v>
      </c>
    </row>
    <row r="471" spans="1:11" ht="14.4">
      <c r="A471" s="460" t="s">
        <v>1810</v>
      </c>
      <c r="B471" s="460" t="s">
        <v>2495</v>
      </c>
      <c r="C471" s="460"/>
      <c r="D471" s="460" t="s">
        <v>1814</v>
      </c>
      <c r="E471" s="460" t="s">
        <v>1812</v>
      </c>
      <c r="F471" s="460" t="s">
        <v>2612</v>
      </c>
      <c r="G471" s="460"/>
      <c r="H471" s="461"/>
      <c r="I471" s="460"/>
      <c r="J471" s="460"/>
      <c r="K471" s="460" t="s">
        <v>2613</v>
      </c>
    </row>
    <row r="472" spans="1:11" ht="22.8">
      <c r="A472" s="460" t="s">
        <v>1810</v>
      </c>
      <c r="B472" s="460" t="s">
        <v>1762</v>
      </c>
      <c r="C472" s="460"/>
      <c r="D472" s="460" t="s">
        <v>1813</v>
      </c>
      <c r="E472" s="460" t="s">
        <v>2611</v>
      </c>
      <c r="F472" s="460" t="s">
        <v>2645</v>
      </c>
      <c r="G472" s="547">
        <f>ROUND(15,2)</f>
        <v>15</v>
      </c>
      <c r="H472" s="461"/>
      <c r="I472" s="547">
        <f>ROUND(15,2)</f>
        <v>15</v>
      </c>
      <c r="J472" s="460"/>
      <c r="K472" s="460" t="s">
        <v>2613</v>
      </c>
    </row>
    <row r="473" spans="1:11" ht="22.8">
      <c r="A473" s="460" t="s">
        <v>1810</v>
      </c>
      <c r="B473" s="460" t="s">
        <v>1762</v>
      </c>
      <c r="C473" s="460"/>
      <c r="D473" s="460" t="s">
        <v>1813</v>
      </c>
      <c r="E473" s="460" t="s">
        <v>2611</v>
      </c>
      <c r="F473" s="460" t="s">
        <v>2612</v>
      </c>
      <c r="G473" s="460"/>
      <c r="H473" s="461"/>
      <c r="I473" s="460"/>
      <c r="J473" s="460"/>
      <c r="K473" s="460" t="s">
        <v>2613</v>
      </c>
    </row>
    <row r="474" spans="1:11" ht="22.8">
      <c r="A474" s="460" t="s">
        <v>1810</v>
      </c>
      <c r="B474" s="460" t="s">
        <v>1662</v>
      </c>
      <c r="C474" s="460"/>
      <c r="D474" s="460" t="s">
        <v>1819</v>
      </c>
      <c r="E474" s="460" t="s">
        <v>1812</v>
      </c>
      <c r="F474" s="460" t="s">
        <v>2616</v>
      </c>
      <c r="G474" s="547">
        <f>ROUND(10,2)</f>
        <v>10</v>
      </c>
      <c r="H474" s="461"/>
      <c r="I474" s="547">
        <f>ROUND(10,2)</f>
        <v>10</v>
      </c>
      <c r="J474" s="460"/>
      <c r="K474" s="460" t="s">
        <v>2613</v>
      </c>
    </row>
    <row r="475" spans="1:11" ht="22.8">
      <c r="A475" s="460" t="s">
        <v>1810</v>
      </c>
      <c r="B475" s="460" t="s">
        <v>1662</v>
      </c>
      <c r="C475" s="460"/>
      <c r="D475" s="460" t="s">
        <v>1819</v>
      </c>
      <c r="E475" s="460" t="s">
        <v>1812</v>
      </c>
      <c r="F475" s="460" t="s">
        <v>2619</v>
      </c>
      <c r="G475" s="547">
        <f>ROUND(50,2)</f>
        <v>50</v>
      </c>
      <c r="H475" s="461"/>
      <c r="I475" s="547">
        <f>ROUND(50,2)</f>
        <v>50</v>
      </c>
      <c r="J475" s="460"/>
      <c r="K475" s="460" t="s">
        <v>2613</v>
      </c>
    </row>
    <row r="476" spans="1:11" ht="22.8">
      <c r="A476" s="460" t="s">
        <v>1810</v>
      </c>
      <c r="B476" s="460" t="s">
        <v>1662</v>
      </c>
      <c r="C476" s="460"/>
      <c r="D476" s="460" t="s">
        <v>1819</v>
      </c>
      <c r="E476" s="460" t="s">
        <v>1812</v>
      </c>
      <c r="F476" s="460" t="s">
        <v>2612</v>
      </c>
      <c r="G476" s="460"/>
      <c r="H476" s="461"/>
      <c r="I476" s="460"/>
      <c r="J476" s="460"/>
      <c r="K476" s="460" t="s">
        <v>2613</v>
      </c>
    </row>
    <row r="477" spans="1:11" ht="22.8">
      <c r="A477" s="460" t="s">
        <v>1810</v>
      </c>
      <c r="B477" s="460" t="s">
        <v>1662</v>
      </c>
      <c r="C477" s="460"/>
      <c r="D477" s="460" t="s">
        <v>1819</v>
      </c>
      <c r="E477" s="460" t="s">
        <v>1812</v>
      </c>
      <c r="F477" s="460" t="s">
        <v>2614</v>
      </c>
      <c r="G477" s="460"/>
      <c r="H477" s="461" t="s">
        <v>2615</v>
      </c>
      <c r="I477" s="547">
        <f>ROUND(7,2)</f>
        <v>7</v>
      </c>
      <c r="J477" s="460" t="s">
        <v>2615</v>
      </c>
      <c r="K477" s="460" t="s">
        <v>2613</v>
      </c>
    </row>
    <row r="478" spans="1:11" ht="14.4">
      <c r="A478" s="460" t="s">
        <v>1810</v>
      </c>
      <c r="B478" s="460" t="s">
        <v>1317</v>
      </c>
      <c r="C478" s="460"/>
      <c r="D478" s="460" t="s">
        <v>1814</v>
      </c>
      <c r="E478" s="460" t="s">
        <v>1812</v>
      </c>
      <c r="F478" s="460" t="s">
        <v>2625</v>
      </c>
      <c r="G478" s="547">
        <f>ROUND(50,2)</f>
        <v>50</v>
      </c>
      <c r="H478" s="461"/>
      <c r="I478" s="547">
        <f>ROUND(50,2)</f>
        <v>50</v>
      </c>
      <c r="J478" s="460"/>
      <c r="K478" s="460" t="s">
        <v>2613</v>
      </c>
    </row>
    <row r="479" spans="1:11" ht="14.4">
      <c r="A479" s="460" t="s">
        <v>1810</v>
      </c>
      <c r="B479" s="460" t="s">
        <v>1317</v>
      </c>
      <c r="C479" s="460"/>
      <c r="D479" s="460" t="s">
        <v>1814</v>
      </c>
      <c r="E479" s="460" t="s">
        <v>1812</v>
      </c>
      <c r="F479" s="460" t="s">
        <v>2632</v>
      </c>
      <c r="G479" s="547">
        <f>ROUND(166.67,2)</f>
        <v>166.67</v>
      </c>
      <c r="H479" s="461"/>
      <c r="I479" s="547">
        <f>ROUND(166.67,2)</f>
        <v>166.67</v>
      </c>
      <c r="J479" s="460"/>
      <c r="K479" s="460" t="s">
        <v>2613</v>
      </c>
    </row>
    <row r="480" spans="1:11" ht="14.4">
      <c r="A480" s="460" t="s">
        <v>1810</v>
      </c>
      <c r="B480" s="460" t="s">
        <v>1317</v>
      </c>
      <c r="C480" s="460"/>
      <c r="D480" s="460" t="s">
        <v>1814</v>
      </c>
      <c r="E480" s="460" t="s">
        <v>1812</v>
      </c>
      <c r="F480" s="460" t="s">
        <v>2612</v>
      </c>
      <c r="G480" s="460"/>
      <c r="H480" s="461"/>
      <c r="I480" s="460"/>
      <c r="J480" s="460"/>
      <c r="K480" s="460" t="s">
        <v>2613</v>
      </c>
    </row>
    <row r="481" spans="1:11" ht="14.4">
      <c r="A481" s="460" t="s">
        <v>1810</v>
      </c>
      <c r="B481" s="460" t="s">
        <v>1317</v>
      </c>
      <c r="C481" s="460"/>
      <c r="D481" s="460" t="s">
        <v>1814</v>
      </c>
      <c r="E481" s="460" t="s">
        <v>1812</v>
      </c>
      <c r="F481" s="460" t="s">
        <v>2619</v>
      </c>
      <c r="G481" s="547">
        <f>ROUND(500,2)</f>
        <v>500</v>
      </c>
      <c r="H481" s="461"/>
      <c r="I481" s="547">
        <f>ROUND(500,2)</f>
        <v>500</v>
      </c>
      <c r="J481" s="460"/>
      <c r="K481" s="460" t="s">
        <v>2613</v>
      </c>
    </row>
    <row r="482" spans="1:11" ht="14.4">
      <c r="A482" s="460" t="s">
        <v>1810</v>
      </c>
      <c r="B482" s="460" t="s">
        <v>1317</v>
      </c>
      <c r="C482" s="460"/>
      <c r="D482" s="460" t="s">
        <v>1814</v>
      </c>
      <c r="E482" s="460" t="s">
        <v>1812</v>
      </c>
      <c r="F482" s="460" t="s">
        <v>2644</v>
      </c>
      <c r="G482" s="547">
        <f>ROUND(50,2)</f>
        <v>50</v>
      </c>
      <c r="H482" s="461"/>
      <c r="I482" s="547">
        <f>ROUND(50,2)</f>
        <v>50</v>
      </c>
      <c r="J482" s="460"/>
      <c r="K482" s="460" t="s">
        <v>2613</v>
      </c>
    </row>
    <row r="483" spans="1:11" ht="14.4">
      <c r="A483" s="460" t="s">
        <v>1810</v>
      </c>
      <c r="B483" s="460" t="s">
        <v>1317</v>
      </c>
      <c r="C483" s="460"/>
      <c r="D483" s="460" t="s">
        <v>1814</v>
      </c>
      <c r="E483" s="460" t="s">
        <v>1812</v>
      </c>
      <c r="F483" s="460" t="s">
        <v>2623</v>
      </c>
      <c r="G483" s="547">
        <f>ROUND(50,2)</f>
        <v>50</v>
      </c>
      <c r="H483" s="461"/>
      <c r="I483" s="547">
        <f>ROUND(50,2)</f>
        <v>50</v>
      </c>
      <c r="J483" s="460"/>
      <c r="K483" s="460" t="s">
        <v>2613</v>
      </c>
    </row>
    <row r="484" spans="1:11" ht="14.4">
      <c r="A484" s="460" t="s">
        <v>1810</v>
      </c>
      <c r="B484" s="460" t="s">
        <v>1317</v>
      </c>
      <c r="C484" s="460"/>
      <c r="D484" s="460" t="s">
        <v>1814</v>
      </c>
      <c r="E484" s="460" t="s">
        <v>1812</v>
      </c>
      <c r="F484" s="460" t="s">
        <v>2614</v>
      </c>
      <c r="G484" s="460"/>
      <c r="H484" s="461" t="s">
        <v>2615</v>
      </c>
      <c r="I484" s="547">
        <f>ROUND(7,2)</f>
        <v>7</v>
      </c>
      <c r="J484" s="460" t="s">
        <v>2615</v>
      </c>
      <c r="K484" s="460" t="s">
        <v>2613</v>
      </c>
    </row>
    <row r="485" spans="1:11" ht="14.4">
      <c r="A485" s="460" t="s">
        <v>1810</v>
      </c>
      <c r="B485" s="460" t="s">
        <v>1317</v>
      </c>
      <c r="C485" s="460"/>
      <c r="D485" s="460" t="s">
        <v>1814</v>
      </c>
      <c r="E485" s="460" t="s">
        <v>1812</v>
      </c>
      <c r="F485" s="460" t="s">
        <v>2626</v>
      </c>
      <c r="G485" s="547">
        <f>ROUND(10,2)</f>
        <v>10</v>
      </c>
      <c r="H485" s="461"/>
      <c r="I485" s="547">
        <f>ROUND(10,2)</f>
        <v>10</v>
      </c>
      <c r="J485" s="460"/>
      <c r="K485" s="460" t="s">
        <v>2613</v>
      </c>
    </row>
    <row r="486" spans="1:11" ht="14.4">
      <c r="A486" s="460" t="s">
        <v>1810</v>
      </c>
      <c r="B486" s="460" t="s">
        <v>1317</v>
      </c>
      <c r="C486" s="460"/>
      <c r="D486" s="460" t="s">
        <v>1814</v>
      </c>
      <c r="E486" s="460" t="s">
        <v>1812</v>
      </c>
      <c r="F486" s="460" t="s">
        <v>2645</v>
      </c>
      <c r="G486" s="547">
        <f>ROUND(20,2)</f>
        <v>20</v>
      </c>
      <c r="H486" s="461"/>
      <c r="I486" s="547">
        <f>ROUND(20,2)</f>
        <v>20</v>
      </c>
      <c r="J486" s="460"/>
      <c r="K486" s="460" t="s">
        <v>2613</v>
      </c>
    </row>
    <row r="487" spans="1:11" ht="14.4">
      <c r="A487" s="460" t="s">
        <v>1810</v>
      </c>
      <c r="B487" s="460" t="s">
        <v>1317</v>
      </c>
      <c r="C487" s="460"/>
      <c r="D487" s="460" t="s">
        <v>1814</v>
      </c>
      <c r="E487" s="460" t="s">
        <v>1812</v>
      </c>
      <c r="F487" s="460" t="s">
        <v>2616</v>
      </c>
      <c r="G487" s="460"/>
      <c r="H487" s="461"/>
      <c r="I487" s="460"/>
      <c r="J487" s="460"/>
      <c r="K487" s="460" t="s">
        <v>2613</v>
      </c>
    </row>
    <row r="488" spans="1:11" ht="14.4">
      <c r="A488" s="460" t="s">
        <v>1810</v>
      </c>
      <c r="B488" s="460" t="s">
        <v>2449</v>
      </c>
      <c r="C488" s="460"/>
      <c r="D488" s="460" t="s">
        <v>1816</v>
      </c>
      <c r="E488" s="460" t="s">
        <v>2611</v>
      </c>
      <c r="F488" s="460" t="s">
        <v>2612</v>
      </c>
      <c r="G488" s="460"/>
      <c r="H488" s="461"/>
      <c r="I488" s="460"/>
      <c r="J488" s="460"/>
      <c r="K488" s="460" t="s">
        <v>2613</v>
      </c>
    </row>
    <row r="489" spans="1:11" ht="22.8">
      <c r="A489" s="460" t="s">
        <v>1810</v>
      </c>
      <c r="B489" s="460" t="s">
        <v>1522</v>
      </c>
      <c r="C489" s="460"/>
      <c r="D489" s="460" t="s">
        <v>1813</v>
      </c>
      <c r="E489" s="460" t="s">
        <v>1812</v>
      </c>
      <c r="F489" s="460" t="s">
        <v>2612</v>
      </c>
      <c r="G489" s="460"/>
      <c r="H489" s="461"/>
      <c r="I489" s="460"/>
      <c r="J489" s="460"/>
      <c r="K489" s="460" t="s">
        <v>2613</v>
      </c>
    </row>
    <row r="490" spans="1:11" ht="22.8">
      <c r="A490" s="460" t="s">
        <v>1810</v>
      </c>
      <c r="B490" s="460" t="s">
        <v>1522</v>
      </c>
      <c r="C490" s="460"/>
      <c r="D490" s="460" t="s">
        <v>1813</v>
      </c>
      <c r="E490" s="460" t="s">
        <v>1812</v>
      </c>
      <c r="F490" s="460" t="s">
        <v>2614</v>
      </c>
      <c r="G490" s="460"/>
      <c r="H490" s="461" t="s">
        <v>2615</v>
      </c>
      <c r="I490" s="547">
        <f>ROUND(7,2)</f>
        <v>7</v>
      </c>
      <c r="J490" s="460" t="s">
        <v>2615</v>
      </c>
      <c r="K490" s="460" t="s">
        <v>2613</v>
      </c>
    </row>
    <row r="491" spans="1:11" ht="22.8">
      <c r="A491" s="460" t="s">
        <v>1810</v>
      </c>
      <c r="B491" s="460" t="s">
        <v>1522</v>
      </c>
      <c r="C491" s="460"/>
      <c r="D491" s="460" t="s">
        <v>1813</v>
      </c>
      <c r="E491" s="460" t="s">
        <v>1812</v>
      </c>
      <c r="F491" s="460" t="s">
        <v>2616</v>
      </c>
      <c r="G491" s="460"/>
      <c r="H491" s="461"/>
      <c r="I491" s="460"/>
      <c r="J491" s="460"/>
      <c r="K491" s="460" t="s">
        <v>2613</v>
      </c>
    </row>
    <row r="492" spans="1:11" ht="14.4">
      <c r="A492" s="460" t="s">
        <v>1810</v>
      </c>
      <c r="B492" s="460" t="s">
        <v>1749</v>
      </c>
      <c r="C492" s="460"/>
      <c r="D492" s="460" t="s">
        <v>1814</v>
      </c>
      <c r="E492" s="460" t="s">
        <v>1812</v>
      </c>
      <c r="F492" s="460" t="s">
        <v>2632</v>
      </c>
      <c r="G492" s="547">
        <f>ROUND(166.67,2)</f>
        <v>166.67</v>
      </c>
      <c r="H492" s="461"/>
      <c r="I492" s="547">
        <f>ROUND(166.67,2)</f>
        <v>166.67</v>
      </c>
      <c r="J492" s="460"/>
      <c r="K492" s="460" t="s">
        <v>2613</v>
      </c>
    </row>
    <row r="493" spans="1:11" ht="14.4">
      <c r="A493" s="460" t="s">
        <v>1810</v>
      </c>
      <c r="B493" s="460" t="s">
        <v>1749</v>
      </c>
      <c r="C493" s="460"/>
      <c r="D493" s="460" t="s">
        <v>1814</v>
      </c>
      <c r="E493" s="460" t="s">
        <v>1812</v>
      </c>
      <c r="F493" s="460" t="s">
        <v>2614</v>
      </c>
      <c r="G493" s="460"/>
      <c r="H493" s="461" t="s">
        <v>2615</v>
      </c>
      <c r="I493" s="547">
        <f>ROUND(7,2)</f>
        <v>7</v>
      </c>
      <c r="J493" s="460" t="s">
        <v>2615</v>
      </c>
      <c r="K493" s="460" t="s">
        <v>2613</v>
      </c>
    </row>
    <row r="494" spans="1:11" ht="14.4">
      <c r="A494" s="460" t="s">
        <v>1810</v>
      </c>
      <c r="B494" s="460" t="s">
        <v>1749</v>
      </c>
      <c r="C494" s="460"/>
      <c r="D494" s="460" t="s">
        <v>1814</v>
      </c>
      <c r="E494" s="460" t="s">
        <v>1812</v>
      </c>
      <c r="F494" s="460" t="s">
        <v>2612</v>
      </c>
      <c r="G494" s="460"/>
      <c r="H494" s="461"/>
      <c r="I494" s="460"/>
      <c r="J494" s="460"/>
      <c r="K494" s="460" t="s">
        <v>2613</v>
      </c>
    </row>
    <row r="495" spans="1:11" ht="14.4">
      <c r="A495" s="460" t="s">
        <v>1810</v>
      </c>
      <c r="B495" s="460" t="s">
        <v>1749</v>
      </c>
      <c r="C495" s="460"/>
      <c r="D495" s="460" t="s">
        <v>1814</v>
      </c>
      <c r="E495" s="460" t="s">
        <v>1812</v>
      </c>
      <c r="F495" s="460" t="s">
        <v>2616</v>
      </c>
      <c r="G495" s="460"/>
      <c r="H495" s="461"/>
      <c r="I495" s="460"/>
      <c r="J495" s="460"/>
      <c r="K495" s="460" t="s">
        <v>2613</v>
      </c>
    </row>
    <row r="496" spans="1:11" ht="14.4">
      <c r="A496" s="460" t="s">
        <v>1810</v>
      </c>
      <c r="B496" s="460" t="s">
        <v>1713</v>
      </c>
      <c r="C496" s="460"/>
      <c r="D496" s="460" t="s">
        <v>1816</v>
      </c>
      <c r="E496" s="460" t="s">
        <v>2611</v>
      </c>
      <c r="F496" s="460" t="s">
        <v>2612</v>
      </c>
      <c r="G496" s="460"/>
      <c r="H496" s="461" t="s">
        <v>2647</v>
      </c>
      <c r="I496" s="547">
        <f>ROUND(70,2)</f>
        <v>70</v>
      </c>
      <c r="J496" s="460" t="s">
        <v>2647</v>
      </c>
      <c r="K496" s="460" t="s">
        <v>2613</v>
      </c>
    </row>
    <row r="497" spans="1:11" ht="14.4">
      <c r="A497" s="460" t="s">
        <v>1810</v>
      </c>
      <c r="B497" s="460" t="s">
        <v>1713</v>
      </c>
      <c r="C497" s="460"/>
      <c r="D497" s="460" t="s">
        <v>1816</v>
      </c>
      <c r="E497" s="460" t="s">
        <v>2611</v>
      </c>
      <c r="F497" s="460" t="s">
        <v>2623</v>
      </c>
      <c r="G497" s="460"/>
      <c r="H497" s="461" t="s">
        <v>2646</v>
      </c>
      <c r="I497" s="547">
        <f>ROUND(30,2)</f>
        <v>30</v>
      </c>
      <c r="J497" s="460" t="s">
        <v>2646</v>
      </c>
      <c r="K497" s="460" t="s">
        <v>2613</v>
      </c>
    </row>
    <row r="498" spans="1:11" ht="14.4">
      <c r="A498" s="460" t="s">
        <v>1810</v>
      </c>
      <c r="B498" s="460" t="s">
        <v>1633</v>
      </c>
      <c r="C498" s="460"/>
      <c r="D498" s="460" t="s">
        <v>1814</v>
      </c>
      <c r="E498" s="460" t="s">
        <v>1812</v>
      </c>
      <c r="F498" s="460" t="s">
        <v>2625</v>
      </c>
      <c r="G498" s="547">
        <f>ROUND(25,2)</f>
        <v>25</v>
      </c>
      <c r="H498" s="461"/>
      <c r="I498" s="547">
        <f>ROUND(25,2)</f>
        <v>25</v>
      </c>
      <c r="J498" s="460"/>
      <c r="K498" s="460" t="s">
        <v>2613</v>
      </c>
    </row>
    <row r="499" spans="1:11" ht="14.4">
      <c r="A499" s="460" t="s">
        <v>1810</v>
      </c>
      <c r="B499" s="460" t="s">
        <v>1633</v>
      </c>
      <c r="C499" s="460"/>
      <c r="D499" s="460" t="s">
        <v>1814</v>
      </c>
      <c r="E499" s="460" t="s">
        <v>1812</v>
      </c>
      <c r="F499" s="460" t="s">
        <v>2632</v>
      </c>
      <c r="G499" s="547">
        <f>ROUND(166.67,2)</f>
        <v>166.67</v>
      </c>
      <c r="H499" s="461"/>
      <c r="I499" s="547">
        <f>ROUND(166.67,2)</f>
        <v>166.67</v>
      </c>
      <c r="J499" s="460"/>
      <c r="K499" s="460" t="s">
        <v>2613</v>
      </c>
    </row>
    <row r="500" spans="1:11" ht="14.4">
      <c r="A500" s="460" t="s">
        <v>1810</v>
      </c>
      <c r="B500" s="460" t="s">
        <v>1633</v>
      </c>
      <c r="C500" s="460"/>
      <c r="D500" s="460" t="s">
        <v>1814</v>
      </c>
      <c r="E500" s="460" t="s">
        <v>1812</v>
      </c>
      <c r="F500" s="460" t="s">
        <v>2612</v>
      </c>
      <c r="G500" s="460"/>
      <c r="H500" s="461"/>
      <c r="I500" s="460"/>
      <c r="J500" s="460"/>
      <c r="K500" s="460" t="s">
        <v>2613</v>
      </c>
    </row>
    <row r="501" spans="1:11" ht="14.4">
      <c r="A501" s="460" t="s">
        <v>1810</v>
      </c>
      <c r="B501" s="460" t="s">
        <v>1633</v>
      </c>
      <c r="C501" s="460"/>
      <c r="D501" s="460" t="s">
        <v>1814</v>
      </c>
      <c r="E501" s="460" t="s">
        <v>1812</v>
      </c>
      <c r="F501" s="460" t="s">
        <v>2614</v>
      </c>
      <c r="G501" s="460"/>
      <c r="H501" s="461" t="s">
        <v>2615</v>
      </c>
      <c r="I501" s="547">
        <f>ROUND(7,2)</f>
        <v>7</v>
      </c>
      <c r="J501" s="460" t="s">
        <v>2615</v>
      </c>
      <c r="K501" s="460" t="s">
        <v>2613</v>
      </c>
    </row>
    <row r="502" spans="1:11" ht="14.4">
      <c r="A502" s="460" t="s">
        <v>1810</v>
      </c>
      <c r="B502" s="460" t="s">
        <v>1718</v>
      </c>
      <c r="C502" s="460"/>
      <c r="D502" s="460" t="s">
        <v>1838</v>
      </c>
      <c r="E502" s="460" t="s">
        <v>1812</v>
      </c>
      <c r="F502" s="460" t="s">
        <v>2617</v>
      </c>
      <c r="G502" s="547">
        <f>ROUND(75,2)</f>
        <v>75</v>
      </c>
      <c r="H502" s="461"/>
      <c r="I502" s="547">
        <f>ROUND(75,2)</f>
        <v>75</v>
      </c>
      <c r="J502" s="460"/>
      <c r="K502" s="460" t="s">
        <v>2613</v>
      </c>
    </row>
    <row r="503" spans="1:11" ht="14.4">
      <c r="A503" s="460" t="s">
        <v>1810</v>
      </c>
      <c r="B503" s="460" t="s">
        <v>1718</v>
      </c>
      <c r="C503" s="460"/>
      <c r="D503" s="460" t="s">
        <v>1838</v>
      </c>
      <c r="E503" s="460" t="s">
        <v>1812</v>
      </c>
      <c r="F503" s="460" t="s">
        <v>2618</v>
      </c>
      <c r="G503" s="547">
        <f>ROUND(22.5,2)</f>
        <v>22.5</v>
      </c>
      <c r="H503" s="461"/>
      <c r="I503" s="547">
        <f>ROUND(22.5,2)</f>
        <v>22.5</v>
      </c>
      <c r="J503" s="460"/>
      <c r="K503" s="460" t="s">
        <v>2613</v>
      </c>
    </row>
    <row r="504" spans="1:11" ht="14.4">
      <c r="A504" s="460" t="s">
        <v>1810</v>
      </c>
      <c r="B504" s="460" t="s">
        <v>1718</v>
      </c>
      <c r="C504" s="460"/>
      <c r="D504" s="460" t="s">
        <v>1838</v>
      </c>
      <c r="E504" s="460" t="s">
        <v>1812</v>
      </c>
      <c r="F504" s="460" t="s">
        <v>2614</v>
      </c>
      <c r="G504" s="460"/>
      <c r="H504" s="461" t="s">
        <v>2615</v>
      </c>
      <c r="I504" s="547">
        <f>ROUND(7,2)</f>
        <v>7</v>
      </c>
      <c r="J504" s="460" t="s">
        <v>2615</v>
      </c>
      <c r="K504" s="460" t="s">
        <v>2613</v>
      </c>
    </row>
    <row r="505" spans="1:11" ht="14.4">
      <c r="A505" s="460" t="s">
        <v>1810</v>
      </c>
      <c r="B505" s="460" t="s">
        <v>1718</v>
      </c>
      <c r="C505" s="460"/>
      <c r="D505" s="460" t="s">
        <v>1838</v>
      </c>
      <c r="E505" s="460" t="s">
        <v>1812</v>
      </c>
      <c r="F505" s="460" t="s">
        <v>2624</v>
      </c>
      <c r="G505" s="547">
        <f>ROUND(50,2)</f>
        <v>50</v>
      </c>
      <c r="H505" s="461"/>
      <c r="I505" s="547">
        <f>ROUND(50,2)</f>
        <v>50</v>
      </c>
      <c r="J505" s="460"/>
      <c r="K505" s="460" t="s">
        <v>2613</v>
      </c>
    </row>
    <row r="506" spans="1:11" ht="14.4">
      <c r="A506" s="460" t="s">
        <v>1810</v>
      </c>
      <c r="B506" s="460" t="s">
        <v>1718</v>
      </c>
      <c r="C506" s="460"/>
      <c r="D506" s="460" t="s">
        <v>1838</v>
      </c>
      <c r="E506" s="460" t="s">
        <v>1812</v>
      </c>
      <c r="F506" s="460" t="s">
        <v>2612</v>
      </c>
      <c r="G506" s="460"/>
      <c r="H506" s="461"/>
      <c r="I506" s="460"/>
      <c r="J506" s="460"/>
      <c r="K506" s="460" t="s">
        <v>2613</v>
      </c>
    </row>
    <row r="507" spans="1:11" ht="14.4">
      <c r="A507" s="460" t="s">
        <v>1810</v>
      </c>
      <c r="B507" s="460" t="s">
        <v>1718</v>
      </c>
      <c r="C507" s="460"/>
      <c r="D507" s="460" t="s">
        <v>1838</v>
      </c>
      <c r="E507" s="460" t="s">
        <v>1812</v>
      </c>
      <c r="F507" s="460" t="s">
        <v>2616</v>
      </c>
      <c r="G507" s="460"/>
      <c r="H507" s="461"/>
      <c r="I507" s="460"/>
      <c r="J507" s="460"/>
      <c r="K507" s="460" t="s">
        <v>2613</v>
      </c>
    </row>
    <row r="508" spans="1:11" ht="14.4">
      <c r="A508" s="460" t="s">
        <v>1810</v>
      </c>
      <c r="B508" s="460" t="s">
        <v>2570</v>
      </c>
      <c r="C508" s="460"/>
      <c r="D508" s="460" t="s">
        <v>1816</v>
      </c>
      <c r="E508" s="460" t="s">
        <v>2611</v>
      </c>
      <c r="F508" s="460" t="s">
        <v>2623</v>
      </c>
      <c r="G508" s="460"/>
      <c r="H508" s="461"/>
      <c r="I508" s="460"/>
      <c r="J508" s="460"/>
      <c r="K508" s="460" t="s">
        <v>2613</v>
      </c>
    </row>
    <row r="509" spans="1:11" ht="14.4">
      <c r="A509" s="460" t="s">
        <v>1810</v>
      </c>
      <c r="B509" s="460" t="s">
        <v>1323</v>
      </c>
      <c r="C509" s="460"/>
      <c r="D509" s="460" t="s">
        <v>1816</v>
      </c>
      <c r="E509" s="460" t="s">
        <v>2611</v>
      </c>
      <c r="F509" s="460" t="s">
        <v>2612</v>
      </c>
      <c r="G509" s="460"/>
      <c r="H509" s="461"/>
      <c r="I509" s="460"/>
      <c r="J509" s="460"/>
      <c r="K509" s="460" t="s">
        <v>2613</v>
      </c>
    </row>
    <row r="510" spans="1:11" ht="14.4">
      <c r="A510" s="460" t="s">
        <v>1810</v>
      </c>
      <c r="B510" s="460" t="s">
        <v>1330</v>
      </c>
      <c r="C510" s="460"/>
      <c r="D510" s="460" t="s">
        <v>1814</v>
      </c>
      <c r="E510" s="460" t="s">
        <v>1812</v>
      </c>
      <c r="F510" s="460" t="s">
        <v>2625</v>
      </c>
      <c r="G510" s="547">
        <f>ROUND(50,2)</f>
        <v>50</v>
      </c>
      <c r="H510" s="461"/>
      <c r="I510" s="547">
        <f>ROUND(50,2)</f>
        <v>50</v>
      </c>
      <c r="J510" s="460"/>
      <c r="K510" s="460" t="s">
        <v>2613</v>
      </c>
    </row>
    <row r="511" spans="1:11" ht="14.4">
      <c r="A511" s="460" t="s">
        <v>1810</v>
      </c>
      <c r="B511" s="460" t="s">
        <v>1330</v>
      </c>
      <c r="C511" s="460"/>
      <c r="D511" s="460" t="s">
        <v>1814</v>
      </c>
      <c r="E511" s="460" t="s">
        <v>1812</v>
      </c>
      <c r="F511" s="460" t="s">
        <v>2612</v>
      </c>
      <c r="G511" s="460"/>
      <c r="H511" s="461"/>
      <c r="I511" s="460"/>
      <c r="J511" s="460"/>
      <c r="K511" s="460" t="s">
        <v>2613</v>
      </c>
    </row>
    <row r="512" spans="1:11" ht="14.4">
      <c r="A512" s="460" t="s">
        <v>1810</v>
      </c>
      <c r="B512" s="460" t="s">
        <v>1330</v>
      </c>
      <c r="C512" s="460"/>
      <c r="D512" s="460" t="s">
        <v>1814</v>
      </c>
      <c r="E512" s="460" t="s">
        <v>1812</v>
      </c>
      <c r="F512" s="460" t="s">
        <v>2614</v>
      </c>
      <c r="G512" s="460"/>
      <c r="H512" s="461" t="s">
        <v>2615</v>
      </c>
      <c r="I512" s="547">
        <f>ROUND(7,2)</f>
        <v>7</v>
      </c>
      <c r="J512" s="460" t="s">
        <v>2615</v>
      </c>
      <c r="K512" s="460" t="s">
        <v>2613</v>
      </c>
    </row>
    <row r="513" spans="1:11" ht="14.4">
      <c r="A513" s="460" t="s">
        <v>1810</v>
      </c>
      <c r="B513" s="460" t="s">
        <v>1330</v>
      </c>
      <c r="C513" s="460"/>
      <c r="D513" s="460" t="s">
        <v>1814</v>
      </c>
      <c r="E513" s="460" t="s">
        <v>1812</v>
      </c>
      <c r="F513" s="460" t="s">
        <v>2616</v>
      </c>
      <c r="G513" s="460"/>
      <c r="H513" s="461"/>
      <c r="I513" s="460"/>
      <c r="J513" s="460"/>
      <c r="K513" s="460" t="s">
        <v>2613</v>
      </c>
    </row>
    <row r="514" spans="1:11" ht="14.4">
      <c r="A514" s="460" t="s">
        <v>1810</v>
      </c>
      <c r="B514" s="460" t="s">
        <v>2430</v>
      </c>
      <c r="C514" s="460"/>
      <c r="D514" s="460" t="s">
        <v>1816</v>
      </c>
      <c r="E514" s="460" t="s">
        <v>2611</v>
      </c>
      <c r="F514" s="460" t="s">
        <v>2612</v>
      </c>
      <c r="G514" s="460"/>
      <c r="H514" s="461"/>
      <c r="I514" s="460"/>
      <c r="J514" s="460"/>
      <c r="K514" s="460" t="s">
        <v>2613</v>
      </c>
    </row>
    <row r="515" spans="1:11" ht="14.4">
      <c r="A515" s="460" t="s">
        <v>1810</v>
      </c>
      <c r="B515" s="460" t="s">
        <v>1746</v>
      </c>
      <c r="C515" s="460"/>
      <c r="D515" s="460" t="s">
        <v>1816</v>
      </c>
      <c r="E515" s="460" t="s">
        <v>2611</v>
      </c>
      <c r="F515" s="460" t="s">
        <v>2612</v>
      </c>
      <c r="G515" s="460"/>
      <c r="H515" s="461"/>
      <c r="I515" s="460"/>
      <c r="J515" s="460"/>
      <c r="K515" s="460" t="s">
        <v>2613</v>
      </c>
    </row>
    <row r="516" spans="1:11" ht="22.8">
      <c r="A516" s="460" t="s">
        <v>1810</v>
      </c>
      <c r="B516" s="460" t="s">
        <v>1938</v>
      </c>
      <c r="C516" s="460"/>
      <c r="D516" s="460" t="s">
        <v>1813</v>
      </c>
      <c r="E516" s="460" t="s">
        <v>2015</v>
      </c>
      <c r="F516" s="460" t="s">
        <v>2614</v>
      </c>
      <c r="G516" s="460"/>
      <c r="H516" s="461" t="s">
        <v>2615</v>
      </c>
      <c r="I516" s="547">
        <f>ROUND(7,2)</f>
        <v>7</v>
      </c>
      <c r="J516" s="460" t="s">
        <v>2615</v>
      </c>
      <c r="K516" s="460" t="s">
        <v>2613</v>
      </c>
    </row>
    <row r="517" spans="1:11" ht="22.8">
      <c r="A517" s="460" t="s">
        <v>1810</v>
      </c>
      <c r="B517" s="460" t="s">
        <v>1938</v>
      </c>
      <c r="C517" s="460"/>
      <c r="D517" s="460" t="s">
        <v>1813</v>
      </c>
      <c r="E517" s="460" t="s">
        <v>2015</v>
      </c>
      <c r="F517" s="460" t="s">
        <v>2617</v>
      </c>
      <c r="G517" s="547">
        <f>ROUND(75,2)</f>
        <v>75</v>
      </c>
      <c r="H517" s="461"/>
      <c r="I517" s="547">
        <f>ROUND(75,2)</f>
        <v>75</v>
      </c>
      <c r="J517" s="460"/>
      <c r="K517" s="460" t="s">
        <v>2613</v>
      </c>
    </row>
    <row r="518" spans="1:11" ht="22.8">
      <c r="A518" s="460" t="s">
        <v>1810</v>
      </c>
      <c r="B518" s="460" t="s">
        <v>1938</v>
      </c>
      <c r="C518" s="460"/>
      <c r="D518" s="460" t="s">
        <v>1813</v>
      </c>
      <c r="E518" s="460" t="s">
        <v>2015</v>
      </c>
      <c r="F518" s="460" t="s">
        <v>2612</v>
      </c>
      <c r="G518" s="460"/>
      <c r="H518" s="461"/>
      <c r="I518" s="460"/>
      <c r="J518" s="460"/>
      <c r="K518" s="460" t="s">
        <v>2613</v>
      </c>
    </row>
    <row r="519" spans="1:11" ht="22.8">
      <c r="A519" s="460" t="s">
        <v>1810</v>
      </c>
      <c r="B519" s="460" t="s">
        <v>1938</v>
      </c>
      <c r="C519" s="460"/>
      <c r="D519" s="460" t="s">
        <v>1813</v>
      </c>
      <c r="E519" s="460" t="s">
        <v>2015</v>
      </c>
      <c r="F519" s="460" t="s">
        <v>2618</v>
      </c>
      <c r="G519" s="547">
        <f>ROUND(22.5,2)</f>
        <v>22.5</v>
      </c>
      <c r="H519" s="461"/>
      <c r="I519" s="547">
        <f>ROUND(22.5,2)</f>
        <v>22.5</v>
      </c>
      <c r="J519" s="460"/>
      <c r="K519" s="460" t="s">
        <v>2613</v>
      </c>
    </row>
    <row r="520" spans="1:11" ht="22.8">
      <c r="A520" s="460" t="s">
        <v>1810</v>
      </c>
      <c r="B520" s="460" t="s">
        <v>1938</v>
      </c>
      <c r="C520" s="460"/>
      <c r="D520" s="460" t="s">
        <v>1813</v>
      </c>
      <c r="E520" s="460" t="s">
        <v>2015</v>
      </c>
      <c r="F520" s="460" t="s">
        <v>2616</v>
      </c>
      <c r="G520" s="460"/>
      <c r="H520" s="461"/>
      <c r="I520" s="460"/>
      <c r="J520" s="460"/>
      <c r="K520" s="460" t="s">
        <v>2613</v>
      </c>
    </row>
    <row r="521" spans="1:11" ht="22.8">
      <c r="A521" s="460" t="s">
        <v>1810</v>
      </c>
      <c r="B521" s="460" t="s">
        <v>2568</v>
      </c>
      <c r="C521" s="460"/>
      <c r="D521" s="460" t="s">
        <v>1840</v>
      </c>
      <c r="E521" s="460" t="s">
        <v>1812</v>
      </c>
      <c r="F521" s="460" t="s">
        <v>2612</v>
      </c>
      <c r="G521" s="460"/>
      <c r="H521" s="461"/>
      <c r="I521" s="460"/>
      <c r="J521" s="460"/>
      <c r="K521" s="460" t="s">
        <v>2613</v>
      </c>
    </row>
    <row r="522" spans="1:11" ht="22.8">
      <c r="A522" s="460" t="s">
        <v>1810</v>
      </c>
      <c r="B522" s="460" t="s">
        <v>2568</v>
      </c>
      <c r="C522" s="460"/>
      <c r="D522" s="460" t="s">
        <v>1840</v>
      </c>
      <c r="E522" s="460" t="s">
        <v>1812</v>
      </c>
      <c r="F522" s="460" t="s">
        <v>2614</v>
      </c>
      <c r="G522" s="460"/>
      <c r="H522" s="461" t="s">
        <v>2615</v>
      </c>
      <c r="I522" s="547">
        <f>ROUND(7,2)</f>
        <v>7</v>
      </c>
      <c r="J522" s="460" t="s">
        <v>2615</v>
      </c>
      <c r="K522" s="460" t="s">
        <v>2613</v>
      </c>
    </row>
    <row r="523" spans="1:11" ht="22.8">
      <c r="A523" s="460" t="s">
        <v>1810</v>
      </c>
      <c r="B523" s="460" t="s">
        <v>2568</v>
      </c>
      <c r="C523" s="460"/>
      <c r="D523" s="460" t="s">
        <v>1840</v>
      </c>
      <c r="E523" s="460" t="s">
        <v>1812</v>
      </c>
      <c r="F523" s="460" t="s">
        <v>2616</v>
      </c>
      <c r="G523" s="460"/>
      <c r="H523" s="461"/>
      <c r="I523" s="460"/>
      <c r="J523" s="460"/>
      <c r="K523" s="460" t="s">
        <v>2613</v>
      </c>
    </row>
    <row r="524" spans="1:11" ht="14.4">
      <c r="A524" s="460" t="s">
        <v>1810</v>
      </c>
      <c r="B524" s="460" t="s">
        <v>1331</v>
      </c>
      <c r="C524" s="460"/>
      <c r="D524" s="460" t="s">
        <v>1821</v>
      </c>
      <c r="E524" s="460" t="s">
        <v>1812</v>
      </c>
      <c r="F524" s="460" t="s">
        <v>2637</v>
      </c>
      <c r="G524" s="547">
        <f>ROUND(409.85,2)</f>
        <v>409.85</v>
      </c>
      <c r="H524" s="461"/>
      <c r="I524" s="547">
        <f>ROUND(409.85,2)</f>
        <v>409.85</v>
      </c>
      <c r="J524" s="460"/>
      <c r="K524" s="460" t="s">
        <v>2613</v>
      </c>
    </row>
    <row r="525" spans="1:11" ht="14.4">
      <c r="A525" s="460" t="s">
        <v>1810</v>
      </c>
      <c r="B525" s="460" t="s">
        <v>1331</v>
      </c>
      <c r="C525" s="460"/>
      <c r="D525" s="460" t="s">
        <v>1821</v>
      </c>
      <c r="E525" s="460" t="s">
        <v>1812</v>
      </c>
      <c r="F525" s="460" t="s">
        <v>2625</v>
      </c>
      <c r="G525" s="547">
        <f>ROUND(37.5,2)</f>
        <v>37.5</v>
      </c>
      <c r="H525" s="461"/>
      <c r="I525" s="547">
        <f>ROUND(37.5,2)</f>
        <v>37.5</v>
      </c>
      <c r="J525" s="460"/>
      <c r="K525" s="460" t="s">
        <v>2613</v>
      </c>
    </row>
    <row r="526" spans="1:11" ht="14.4">
      <c r="A526" s="460" t="s">
        <v>1810</v>
      </c>
      <c r="B526" s="460" t="s">
        <v>1331</v>
      </c>
      <c r="C526" s="460"/>
      <c r="D526" s="460" t="s">
        <v>1821</v>
      </c>
      <c r="E526" s="460" t="s">
        <v>1812</v>
      </c>
      <c r="F526" s="460" t="s">
        <v>2612</v>
      </c>
      <c r="G526" s="460"/>
      <c r="H526" s="461"/>
      <c r="I526" s="460"/>
      <c r="J526" s="460"/>
      <c r="K526" s="460" t="s">
        <v>2613</v>
      </c>
    </row>
    <row r="527" spans="1:11" ht="14.4">
      <c r="A527" s="460" t="s">
        <v>1810</v>
      </c>
      <c r="B527" s="460" t="s">
        <v>1331</v>
      </c>
      <c r="C527" s="460"/>
      <c r="D527" s="460" t="s">
        <v>1821</v>
      </c>
      <c r="E527" s="460" t="s">
        <v>1812</v>
      </c>
      <c r="F527" s="460" t="s">
        <v>2614</v>
      </c>
      <c r="G527" s="460"/>
      <c r="H527" s="461" t="s">
        <v>2615</v>
      </c>
      <c r="I527" s="547">
        <f>ROUND(7,2)</f>
        <v>7</v>
      </c>
      <c r="J527" s="460" t="s">
        <v>2615</v>
      </c>
      <c r="K527" s="460" t="s">
        <v>2613</v>
      </c>
    </row>
    <row r="528" spans="1:11" ht="14.4">
      <c r="A528" s="460" t="s">
        <v>1810</v>
      </c>
      <c r="B528" s="460" t="s">
        <v>1331</v>
      </c>
      <c r="C528" s="460"/>
      <c r="D528" s="460" t="s">
        <v>1821</v>
      </c>
      <c r="E528" s="460" t="s">
        <v>1812</v>
      </c>
      <c r="F528" s="460" t="s">
        <v>2627</v>
      </c>
      <c r="G528" s="547">
        <f>ROUND(100,2)</f>
        <v>100</v>
      </c>
      <c r="H528" s="461"/>
      <c r="I528" s="547">
        <f>ROUND(100,2)</f>
        <v>100</v>
      </c>
      <c r="J528" s="460"/>
      <c r="K528" s="460" t="s">
        <v>2613</v>
      </c>
    </row>
    <row r="529" spans="1:11" ht="14.4">
      <c r="A529" s="460" t="s">
        <v>1810</v>
      </c>
      <c r="B529" s="460" t="s">
        <v>1331</v>
      </c>
      <c r="C529" s="460"/>
      <c r="D529" s="460" t="s">
        <v>1821</v>
      </c>
      <c r="E529" s="460" t="s">
        <v>1812</v>
      </c>
      <c r="F529" s="460" t="s">
        <v>2634</v>
      </c>
      <c r="G529" s="547">
        <f>ROUND(43,2)</f>
        <v>43</v>
      </c>
      <c r="H529" s="461"/>
      <c r="I529" s="547">
        <f>ROUND(43,2)</f>
        <v>43</v>
      </c>
      <c r="J529" s="460"/>
      <c r="K529" s="460" t="s">
        <v>2613</v>
      </c>
    </row>
    <row r="530" spans="1:11" ht="14.4">
      <c r="A530" s="460" t="s">
        <v>1810</v>
      </c>
      <c r="B530" s="460" t="s">
        <v>1331</v>
      </c>
      <c r="C530" s="460"/>
      <c r="D530" s="460" t="s">
        <v>1821</v>
      </c>
      <c r="E530" s="460" t="s">
        <v>1812</v>
      </c>
      <c r="F530" s="460" t="s">
        <v>2616</v>
      </c>
      <c r="G530" s="460"/>
      <c r="H530" s="461"/>
      <c r="I530" s="460"/>
      <c r="J530" s="460"/>
      <c r="K530" s="460" t="s">
        <v>2613</v>
      </c>
    </row>
    <row r="531" spans="1:11" ht="14.4">
      <c r="A531" s="460" t="s">
        <v>1810</v>
      </c>
      <c r="B531" s="460" t="s">
        <v>2440</v>
      </c>
      <c r="C531" s="460"/>
      <c r="D531" s="460" t="s">
        <v>1816</v>
      </c>
      <c r="E531" s="460" t="s">
        <v>2611</v>
      </c>
      <c r="F531" s="460" t="s">
        <v>2612</v>
      </c>
      <c r="G531" s="460"/>
      <c r="H531" s="461"/>
      <c r="I531" s="460"/>
      <c r="J531" s="460"/>
      <c r="K531" s="460" t="s">
        <v>2613</v>
      </c>
    </row>
    <row r="532" spans="1:11" ht="22.8">
      <c r="A532" s="460" t="s">
        <v>1810</v>
      </c>
      <c r="B532" s="460" t="s">
        <v>2448</v>
      </c>
      <c r="C532" s="460"/>
      <c r="D532" s="460" t="s">
        <v>1829</v>
      </c>
      <c r="E532" s="460" t="s">
        <v>1812</v>
      </c>
      <c r="F532" s="460" t="s">
        <v>2614</v>
      </c>
      <c r="G532" s="460"/>
      <c r="H532" s="461" t="s">
        <v>2615</v>
      </c>
      <c r="I532" s="547">
        <f>ROUND(7,2)</f>
        <v>7</v>
      </c>
      <c r="J532" s="460" t="s">
        <v>2615</v>
      </c>
      <c r="K532" s="460" t="s">
        <v>2613</v>
      </c>
    </row>
    <row r="533" spans="1:11" ht="22.8">
      <c r="A533" s="460" t="s">
        <v>1810</v>
      </c>
      <c r="B533" s="460" t="s">
        <v>2448</v>
      </c>
      <c r="C533" s="460"/>
      <c r="D533" s="460" t="s">
        <v>1829</v>
      </c>
      <c r="E533" s="460" t="s">
        <v>1812</v>
      </c>
      <c r="F533" s="460" t="s">
        <v>2612</v>
      </c>
      <c r="G533" s="460"/>
      <c r="H533" s="461"/>
      <c r="I533" s="460"/>
      <c r="J533" s="460"/>
      <c r="K533" s="460" t="s">
        <v>2613</v>
      </c>
    </row>
    <row r="534" spans="1:11" ht="22.8">
      <c r="A534" s="460" t="s">
        <v>1810</v>
      </c>
      <c r="B534" s="460" t="s">
        <v>2448</v>
      </c>
      <c r="C534" s="460"/>
      <c r="D534" s="460" t="s">
        <v>1829</v>
      </c>
      <c r="E534" s="460" t="s">
        <v>1812</v>
      </c>
      <c r="F534" s="460" t="s">
        <v>2617</v>
      </c>
      <c r="G534" s="547">
        <f>ROUND(75,2)</f>
        <v>75</v>
      </c>
      <c r="H534" s="461"/>
      <c r="I534" s="547">
        <f>ROUND(75,2)</f>
        <v>75</v>
      </c>
      <c r="J534" s="460"/>
      <c r="K534" s="460" t="s">
        <v>2613</v>
      </c>
    </row>
    <row r="535" spans="1:11" ht="22.8">
      <c r="A535" s="460" t="s">
        <v>1810</v>
      </c>
      <c r="B535" s="460" t="s">
        <v>2448</v>
      </c>
      <c r="C535" s="460"/>
      <c r="D535" s="460" t="s">
        <v>1829</v>
      </c>
      <c r="E535" s="460" t="s">
        <v>1812</v>
      </c>
      <c r="F535" s="460" t="s">
        <v>2618</v>
      </c>
      <c r="G535" s="547">
        <f>ROUND(40,2)</f>
        <v>40</v>
      </c>
      <c r="H535" s="461"/>
      <c r="I535" s="547">
        <f>ROUND(40,2)</f>
        <v>40</v>
      </c>
      <c r="J535" s="460"/>
      <c r="K535" s="460" t="s">
        <v>2613</v>
      </c>
    </row>
    <row r="536" spans="1:11" ht="22.8">
      <c r="A536" s="460" t="s">
        <v>1810</v>
      </c>
      <c r="B536" s="460" t="s">
        <v>2448</v>
      </c>
      <c r="C536" s="460"/>
      <c r="D536" s="460" t="s">
        <v>1829</v>
      </c>
      <c r="E536" s="460" t="s">
        <v>1812</v>
      </c>
      <c r="F536" s="460" t="s">
        <v>2616</v>
      </c>
      <c r="G536" s="460"/>
      <c r="H536" s="461"/>
      <c r="I536" s="460"/>
      <c r="J536" s="460"/>
      <c r="K536" s="460" t="s">
        <v>2613</v>
      </c>
    </row>
    <row r="537" spans="1:11" ht="14.4">
      <c r="A537" s="460" t="s">
        <v>1810</v>
      </c>
      <c r="B537" s="460" t="s">
        <v>1685</v>
      </c>
      <c r="C537" s="460"/>
      <c r="D537" s="460" t="s">
        <v>1816</v>
      </c>
      <c r="E537" s="460" t="s">
        <v>2611</v>
      </c>
      <c r="F537" s="460" t="s">
        <v>2612</v>
      </c>
      <c r="G537" s="460"/>
      <c r="H537" s="461"/>
      <c r="I537" s="460"/>
      <c r="J537" s="460"/>
      <c r="K537" s="460" t="s">
        <v>2613</v>
      </c>
    </row>
    <row r="538" spans="1:11" ht="22.8">
      <c r="A538" s="460" t="s">
        <v>1810</v>
      </c>
      <c r="B538" s="460" t="s">
        <v>1334</v>
      </c>
      <c r="C538" s="460"/>
      <c r="D538" s="460" t="s">
        <v>1829</v>
      </c>
      <c r="E538" s="460" t="s">
        <v>1812</v>
      </c>
      <c r="F538" s="460" t="s">
        <v>2612</v>
      </c>
      <c r="G538" s="460"/>
      <c r="H538" s="461"/>
      <c r="I538" s="460"/>
      <c r="J538" s="460"/>
      <c r="K538" s="460" t="s">
        <v>2613</v>
      </c>
    </row>
    <row r="539" spans="1:11" ht="22.8">
      <c r="A539" s="460" t="s">
        <v>1810</v>
      </c>
      <c r="B539" s="460" t="s">
        <v>1334</v>
      </c>
      <c r="C539" s="460"/>
      <c r="D539" s="460" t="s">
        <v>1829</v>
      </c>
      <c r="E539" s="460" t="s">
        <v>1812</v>
      </c>
      <c r="F539" s="460" t="s">
        <v>2623</v>
      </c>
      <c r="G539" s="547">
        <f>ROUND(200,2)</f>
        <v>200</v>
      </c>
      <c r="H539" s="461"/>
      <c r="I539" s="547">
        <f>ROUND(200,2)</f>
        <v>200</v>
      </c>
      <c r="J539" s="460"/>
      <c r="K539" s="460" t="s">
        <v>2613</v>
      </c>
    </row>
    <row r="540" spans="1:11" ht="22.8">
      <c r="A540" s="460" t="s">
        <v>1810</v>
      </c>
      <c r="B540" s="460" t="s">
        <v>1334</v>
      </c>
      <c r="C540" s="460"/>
      <c r="D540" s="460" t="s">
        <v>1829</v>
      </c>
      <c r="E540" s="460" t="s">
        <v>1812</v>
      </c>
      <c r="F540" s="460" t="s">
        <v>2614</v>
      </c>
      <c r="G540" s="460"/>
      <c r="H540" s="461" t="s">
        <v>2615</v>
      </c>
      <c r="I540" s="547">
        <f>ROUND(7,2)</f>
        <v>7</v>
      </c>
      <c r="J540" s="460" t="s">
        <v>2615</v>
      </c>
      <c r="K540" s="460" t="s">
        <v>2613</v>
      </c>
    </row>
    <row r="541" spans="1:11" ht="22.8">
      <c r="A541" s="460" t="s">
        <v>1810</v>
      </c>
      <c r="B541" s="460" t="s">
        <v>1334</v>
      </c>
      <c r="C541" s="460"/>
      <c r="D541" s="460" t="s">
        <v>1829</v>
      </c>
      <c r="E541" s="460" t="s">
        <v>1812</v>
      </c>
      <c r="F541" s="460" t="s">
        <v>2616</v>
      </c>
      <c r="G541" s="460"/>
      <c r="H541" s="461"/>
      <c r="I541" s="460"/>
      <c r="J541" s="460"/>
      <c r="K541" s="460" t="s">
        <v>2613</v>
      </c>
    </row>
    <row r="542" spans="1:11" ht="22.8">
      <c r="A542" s="460" t="s">
        <v>1810</v>
      </c>
      <c r="B542" s="460" t="s">
        <v>1327</v>
      </c>
      <c r="C542" s="460"/>
      <c r="D542" s="460" t="s">
        <v>1813</v>
      </c>
      <c r="E542" s="460" t="s">
        <v>2015</v>
      </c>
      <c r="F542" s="460" t="s">
        <v>2627</v>
      </c>
      <c r="G542" s="547">
        <f>ROUND(420,2)</f>
        <v>420</v>
      </c>
      <c r="H542" s="461"/>
      <c r="I542" s="547">
        <f>ROUND(420,2)</f>
        <v>420</v>
      </c>
      <c r="J542" s="460"/>
      <c r="K542" s="460" t="s">
        <v>2613</v>
      </c>
    </row>
    <row r="543" spans="1:11" ht="22.8">
      <c r="A543" s="460" t="s">
        <v>1810</v>
      </c>
      <c r="B543" s="460" t="s">
        <v>1327</v>
      </c>
      <c r="C543" s="460"/>
      <c r="D543" s="460" t="s">
        <v>1813</v>
      </c>
      <c r="E543" s="460" t="s">
        <v>2015</v>
      </c>
      <c r="F543" s="460" t="s">
        <v>2633</v>
      </c>
      <c r="G543" s="547">
        <f>ROUND(420,2)</f>
        <v>420</v>
      </c>
      <c r="H543" s="461"/>
      <c r="I543" s="547">
        <f>ROUND(420,2)</f>
        <v>420</v>
      </c>
      <c r="J543" s="460"/>
      <c r="K543" s="460" t="s">
        <v>2613</v>
      </c>
    </row>
    <row r="544" spans="1:11" ht="22.8">
      <c r="A544" s="460" t="s">
        <v>1810</v>
      </c>
      <c r="B544" s="460" t="s">
        <v>1327</v>
      </c>
      <c r="C544" s="460"/>
      <c r="D544" s="460" t="s">
        <v>1813</v>
      </c>
      <c r="E544" s="460" t="s">
        <v>2015</v>
      </c>
      <c r="F544" s="460" t="s">
        <v>2618</v>
      </c>
      <c r="G544" s="547">
        <f>ROUND(40,2)</f>
        <v>40</v>
      </c>
      <c r="H544" s="461"/>
      <c r="I544" s="547">
        <f>ROUND(40,2)</f>
        <v>40</v>
      </c>
      <c r="J544" s="460"/>
      <c r="K544" s="460" t="s">
        <v>2613</v>
      </c>
    </row>
    <row r="545" spans="1:11" ht="22.8">
      <c r="A545" s="460" t="s">
        <v>1810</v>
      </c>
      <c r="B545" s="460" t="s">
        <v>1327</v>
      </c>
      <c r="C545" s="460"/>
      <c r="D545" s="460" t="s">
        <v>1813</v>
      </c>
      <c r="E545" s="460" t="s">
        <v>2015</v>
      </c>
      <c r="F545" s="460" t="s">
        <v>2612</v>
      </c>
      <c r="G545" s="460"/>
      <c r="H545" s="461"/>
      <c r="I545" s="460"/>
      <c r="J545" s="460"/>
      <c r="K545" s="460" t="s">
        <v>2613</v>
      </c>
    </row>
    <row r="546" spans="1:11" ht="22.8">
      <c r="A546" s="460" t="s">
        <v>1810</v>
      </c>
      <c r="B546" s="460" t="s">
        <v>1327</v>
      </c>
      <c r="C546" s="460"/>
      <c r="D546" s="460" t="s">
        <v>1813</v>
      </c>
      <c r="E546" s="460" t="s">
        <v>2015</v>
      </c>
      <c r="F546" s="460" t="s">
        <v>2623</v>
      </c>
      <c r="G546" s="547">
        <f>ROUND(150,2)</f>
        <v>150</v>
      </c>
      <c r="H546" s="461"/>
      <c r="I546" s="547">
        <f>ROUND(150,2)</f>
        <v>150</v>
      </c>
      <c r="J546" s="460"/>
      <c r="K546" s="460" t="s">
        <v>2613</v>
      </c>
    </row>
    <row r="547" spans="1:11" ht="22.8">
      <c r="A547" s="460" t="s">
        <v>1810</v>
      </c>
      <c r="B547" s="460" t="s">
        <v>1327</v>
      </c>
      <c r="C547" s="460"/>
      <c r="D547" s="460" t="s">
        <v>1813</v>
      </c>
      <c r="E547" s="460" t="s">
        <v>2015</v>
      </c>
      <c r="F547" s="460" t="s">
        <v>2614</v>
      </c>
      <c r="G547" s="460"/>
      <c r="H547" s="461" t="s">
        <v>2615</v>
      </c>
      <c r="I547" s="547">
        <f>ROUND(7,2)</f>
        <v>7</v>
      </c>
      <c r="J547" s="460" t="s">
        <v>2615</v>
      </c>
      <c r="K547" s="460" t="s">
        <v>2613</v>
      </c>
    </row>
    <row r="548" spans="1:11" ht="22.8">
      <c r="A548" s="460" t="s">
        <v>1810</v>
      </c>
      <c r="B548" s="460" t="s">
        <v>1327</v>
      </c>
      <c r="C548" s="460"/>
      <c r="D548" s="460" t="s">
        <v>1813</v>
      </c>
      <c r="E548" s="460" t="s">
        <v>2015</v>
      </c>
      <c r="F548" s="460" t="s">
        <v>2620</v>
      </c>
      <c r="G548" s="547">
        <f>ROUND(10.22,2)</f>
        <v>10.220000000000001</v>
      </c>
      <c r="H548" s="461"/>
      <c r="I548" s="547">
        <f>ROUND(10.22,2)</f>
        <v>10.220000000000001</v>
      </c>
      <c r="J548" s="460"/>
      <c r="K548" s="460" t="s">
        <v>2613</v>
      </c>
    </row>
    <row r="549" spans="1:11" ht="22.8">
      <c r="A549" s="460" t="s">
        <v>1810</v>
      </c>
      <c r="B549" s="460" t="s">
        <v>1327</v>
      </c>
      <c r="C549" s="460"/>
      <c r="D549" s="460" t="s">
        <v>1813</v>
      </c>
      <c r="E549" s="460" t="s">
        <v>2015</v>
      </c>
      <c r="F549" s="460" t="s">
        <v>2617</v>
      </c>
      <c r="G549" s="547">
        <f>ROUND(75,2)</f>
        <v>75</v>
      </c>
      <c r="H549" s="461"/>
      <c r="I549" s="547">
        <f>ROUND(75,2)</f>
        <v>75</v>
      </c>
      <c r="J549" s="460"/>
      <c r="K549" s="460" t="s">
        <v>2613</v>
      </c>
    </row>
    <row r="550" spans="1:11" ht="14.4">
      <c r="A550" s="460" t="s">
        <v>1810</v>
      </c>
      <c r="B550" s="460" t="s">
        <v>1627</v>
      </c>
      <c r="C550" s="460"/>
      <c r="D550" s="460" t="s">
        <v>1814</v>
      </c>
      <c r="E550" s="460" t="s">
        <v>1812</v>
      </c>
      <c r="F550" s="460" t="s">
        <v>2625</v>
      </c>
      <c r="G550" s="547">
        <f>ROUND(25,2)</f>
        <v>25</v>
      </c>
      <c r="H550" s="461"/>
      <c r="I550" s="547">
        <f>ROUND(25,2)</f>
        <v>25</v>
      </c>
      <c r="J550" s="460"/>
      <c r="K550" s="460" t="s">
        <v>2613</v>
      </c>
    </row>
    <row r="551" spans="1:11" ht="14.4">
      <c r="A551" s="460" t="s">
        <v>1810</v>
      </c>
      <c r="B551" s="460" t="s">
        <v>1627</v>
      </c>
      <c r="C551" s="460"/>
      <c r="D551" s="460" t="s">
        <v>1814</v>
      </c>
      <c r="E551" s="460" t="s">
        <v>1812</v>
      </c>
      <c r="F551" s="460" t="s">
        <v>2612</v>
      </c>
      <c r="G551" s="460"/>
      <c r="H551" s="461"/>
      <c r="I551" s="460"/>
      <c r="J551" s="460"/>
      <c r="K551" s="460" t="s">
        <v>2613</v>
      </c>
    </row>
    <row r="552" spans="1:11" ht="14.4">
      <c r="A552" s="460" t="s">
        <v>1810</v>
      </c>
      <c r="B552" s="460" t="s">
        <v>1627</v>
      </c>
      <c r="C552" s="460"/>
      <c r="D552" s="460" t="s">
        <v>1814</v>
      </c>
      <c r="E552" s="460" t="s">
        <v>1812</v>
      </c>
      <c r="F552" s="460" t="s">
        <v>2614</v>
      </c>
      <c r="G552" s="460"/>
      <c r="H552" s="461" t="s">
        <v>2615</v>
      </c>
      <c r="I552" s="547">
        <f>ROUND(7,2)</f>
        <v>7</v>
      </c>
      <c r="J552" s="460" t="s">
        <v>2615</v>
      </c>
      <c r="K552" s="460" t="s">
        <v>2613</v>
      </c>
    </row>
    <row r="553" spans="1:11" ht="14.4">
      <c r="A553" s="460" t="s">
        <v>1810</v>
      </c>
      <c r="B553" s="460" t="s">
        <v>1627</v>
      </c>
      <c r="C553" s="460"/>
      <c r="D553" s="460" t="s">
        <v>1814</v>
      </c>
      <c r="E553" s="460" t="s">
        <v>1812</v>
      </c>
      <c r="F553" s="460" t="s">
        <v>2616</v>
      </c>
      <c r="G553" s="460"/>
      <c r="H553" s="461"/>
      <c r="I553" s="460"/>
      <c r="J553" s="460"/>
      <c r="K553" s="460" t="s">
        <v>2613</v>
      </c>
    </row>
    <row r="554" spans="1:11" ht="14.4">
      <c r="A554" s="460" t="s">
        <v>1810</v>
      </c>
      <c r="B554" s="460" t="s">
        <v>1520</v>
      </c>
      <c r="C554" s="460"/>
      <c r="D554" s="460" t="s">
        <v>1821</v>
      </c>
      <c r="E554" s="460" t="s">
        <v>1812</v>
      </c>
      <c r="F554" s="460" t="s">
        <v>2619</v>
      </c>
      <c r="G554" s="460"/>
      <c r="H554" s="461"/>
      <c r="I554" s="460"/>
      <c r="J554" s="460"/>
      <c r="K554" s="460" t="s">
        <v>2613</v>
      </c>
    </row>
    <row r="555" spans="1:11" ht="14.4">
      <c r="A555" s="460" t="s">
        <v>1810</v>
      </c>
      <c r="B555" s="460" t="s">
        <v>1520</v>
      </c>
      <c r="C555" s="460"/>
      <c r="D555" s="460" t="s">
        <v>1821</v>
      </c>
      <c r="E555" s="460" t="s">
        <v>1812</v>
      </c>
      <c r="F555" s="460" t="s">
        <v>2614</v>
      </c>
      <c r="G555" s="460"/>
      <c r="H555" s="461" t="s">
        <v>2615</v>
      </c>
      <c r="I555" s="547">
        <f>ROUND(7,2)</f>
        <v>7</v>
      </c>
      <c r="J555" s="460" t="s">
        <v>2615</v>
      </c>
      <c r="K555" s="460" t="s">
        <v>2613</v>
      </c>
    </row>
    <row r="556" spans="1:11" ht="14.4">
      <c r="A556" s="460" t="s">
        <v>1810</v>
      </c>
      <c r="B556" s="460" t="s">
        <v>1520</v>
      </c>
      <c r="C556" s="460"/>
      <c r="D556" s="460" t="s">
        <v>1821</v>
      </c>
      <c r="E556" s="460" t="s">
        <v>1812</v>
      </c>
      <c r="F556" s="460" t="s">
        <v>2634</v>
      </c>
      <c r="G556" s="547">
        <f>ROUND(64,2)</f>
        <v>64</v>
      </c>
      <c r="H556" s="461"/>
      <c r="I556" s="547">
        <f>ROUND(64,2)</f>
        <v>64</v>
      </c>
      <c r="J556" s="460"/>
      <c r="K556" s="460" t="s">
        <v>2613</v>
      </c>
    </row>
    <row r="557" spans="1:11" ht="14.4">
      <c r="A557" s="460" t="s">
        <v>1810</v>
      </c>
      <c r="B557" s="460" t="s">
        <v>1520</v>
      </c>
      <c r="C557" s="460"/>
      <c r="D557" s="460" t="s">
        <v>1821</v>
      </c>
      <c r="E557" s="460" t="s">
        <v>1812</v>
      </c>
      <c r="F557" s="460" t="s">
        <v>2648</v>
      </c>
      <c r="G557" s="460"/>
      <c r="H557" s="461" t="s">
        <v>2642</v>
      </c>
      <c r="I557" s="547">
        <f>ROUND(3,2)</f>
        <v>3</v>
      </c>
      <c r="J557" s="460" t="s">
        <v>2642</v>
      </c>
      <c r="K557" s="460" t="s">
        <v>2613</v>
      </c>
    </row>
    <row r="558" spans="1:11" ht="14.4">
      <c r="A558" s="460" t="s">
        <v>1810</v>
      </c>
      <c r="B558" s="460" t="s">
        <v>1520</v>
      </c>
      <c r="C558" s="460"/>
      <c r="D558" s="460" t="s">
        <v>1821</v>
      </c>
      <c r="E558" s="460" t="s">
        <v>1812</v>
      </c>
      <c r="F558" s="460" t="s">
        <v>2616</v>
      </c>
      <c r="G558" s="460"/>
      <c r="H558" s="461"/>
      <c r="I558" s="460"/>
      <c r="J558" s="460"/>
      <c r="K558" s="460" t="s">
        <v>2613</v>
      </c>
    </row>
    <row r="559" spans="1:11" ht="14.4">
      <c r="A559" s="460" t="s">
        <v>1810</v>
      </c>
      <c r="B559" s="460" t="s">
        <v>1566</v>
      </c>
      <c r="C559" s="460"/>
      <c r="D559" s="460" t="s">
        <v>1814</v>
      </c>
      <c r="E559" s="460" t="s">
        <v>2015</v>
      </c>
      <c r="F559" s="460" t="s">
        <v>2612</v>
      </c>
      <c r="G559" s="460"/>
      <c r="H559" s="461"/>
      <c r="I559" s="460"/>
      <c r="J559" s="460"/>
      <c r="K559" s="460" t="s">
        <v>2613</v>
      </c>
    </row>
    <row r="560" spans="1:11" ht="14.4">
      <c r="A560" s="460" t="s">
        <v>1810</v>
      </c>
      <c r="B560" s="460" t="s">
        <v>1566</v>
      </c>
      <c r="C560" s="460"/>
      <c r="D560" s="460" t="s">
        <v>1814</v>
      </c>
      <c r="E560" s="460" t="s">
        <v>2015</v>
      </c>
      <c r="F560" s="460" t="s">
        <v>2614</v>
      </c>
      <c r="G560" s="460"/>
      <c r="H560" s="461" t="s">
        <v>2615</v>
      </c>
      <c r="I560" s="547">
        <f>ROUND(7,2)</f>
        <v>7</v>
      </c>
      <c r="J560" s="460" t="s">
        <v>2615</v>
      </c>
      <c r="K560" s="460" t="s">
        <v>2613</v>
      </c>
    </row>
    <row r="561" spans="1:11" ht="14.4">
      <c r="A561" s="460" t="s">
        <v>1810</v>
      </c>
      <c r="B561" s="460" t="s">
        <v>1566</v>
      </c>
      <c r="C561" s="460"/>
      <c r="D561" s="460" t="s">
        <v>1814</v>
      </c>
      <c r="E561" s="460" t="s">
        <v>2015</v>
      </c>
      <c r="F561" s="460" t="s">
        <v>2649</v>
      </c>
      <c r="G561" s="547">
        <f>ROUND(14.77,2)</f>
        <v>14.77</v>
      </c>
      <c r="H561" s="461"/>
      <c r="I561" s="547">
        <f>ROUND(14.77,2)</f>
        <v>14.77</v>
      </c>
      <c r="J561" s="460"/>
      <c r="K561" s="460" t="s">
        <v>2613</v>
      </c>
    </row>
    <row r="562" spans="1:11" ht="14.4">
      <c r="A562" s="460" t="s">
        <v>1810</v>
      </c>
      <c r="B562" s="460" t="s">
        <v>1566</v>
      </c>
      <c r="C562" s="460"/>
      <c r="D562" s="460" t="s">
        <v>1814</v>
      </c>
      <c r="E562" s="460" t="s">
        <v>2015</v>
      </c>
      <c r="F562" s="460" t="s">
        <v>2620</v>
      </c>
      <c r="G562" s="547">
        <f>ROUND(10.22,2)</f>
        <v>10.220000000000001</v>
      </c>
      <c r="H562" s="461"/>
      <c r="I562" s="547">
        <f>ROUND(10.22,2)</f>
        <v>10.220000000000001</v>
      </c>
      <c r="J562" s="460"/>
      <c r="K562" s="460" t="s">
        <v>2613</v>
      </c>
    </row>
    <row r="563" spans="1:11" ht="14.4">
      <c r="A563" s="460" t="s">
        <v>1810</v>
      </c>
      <c r="B563" s="460" t="s">
        <v>1566</v>
      </c>
      <c r="C563" s="460"/>
      <c r="D563" s="460" t="s">
        <v>1814</v>
      </c>
      <c r="E563" s="460" t="s">
        <v>2015</v>
      </c>
      <c r="F563" s="460" t="s">
        <v>2616</v>
      </c>
      <c r="G563" s="460"/>
      <c r="H563" s="461"/>
      <c r="I563" s="460"/>
      <c r="J563" s="460"/>
      <c r="K563" s="460" t="s">
        <v>2613</v>
      </c>
    </row>
    <row r="564" spans="1:11" ht="14.4">
      <c r="A564" s="460" t="s">
        <v>1810</v>
      </c>
      <c r="B564" s="460" t="s">
        <v>1566</v>
      </c>
      <c r="C564" s="460"/>
      <c r="D564" s="460" t="s">
        <v>1814</v>
      </c>
      <c r="E564" s="460" t="s">
        <v>2015</v>
      </c>
      <c r="F564" s="460" t="s">
        <v>2617</v>
      </c>
      <c r="G564" s="547">
        <f>ROUND(75,2)</f>
        <v>75</v>
      </c>
      <c r="H564" s="461"/>
      <c r="I564" s="547">
        <f>ROUND(75,2)</f>
        <v>75</v>
      </c>
      <c r="J564" s="460"/>
      <c r="K564" s="460" t="s">
        <v>2613</v>
      </c>
    </row>
    <row r="565" spans="1:11" ht="14.4">
      <c r="A565" s="460" t="s">
        <v>1810</v>
      </c>
      <c r="B565" s="460" t="s">
        <v>1566</v>
      </c>
      <c r="C565" s="460"/>
      <c r="D565" s="460" t="s">
        <v>1814</v>
      </c>
      <c r="E565" s="460" t="s">
        <v>2015</v>
      </c>
      <c r="F565" s="460" t="s">
        <v>2618</v>
      </c>
      <c r="G565" s="547">
        <f>ROUND(47.5,2)</f>
        <v>47.5</v>
      </c>
      <c r="H565" s="461"/>
      <c r="I565" s="547">
        <f>ROUND(47.5,2)</f>
        <v>47.5</v>
      </c>
      <c r="J565" s="460"/>
      <c r="K565" s="460" t="s">
        <v>2613</v>
      </c>
    </row>
    <row r="566" spans="1:11" ht="14.4">
      <c r="A566" s="460" t="s">
        <v>1810</v>
      </c>
      <c r="B566" s="460" t="s">
        <v>1566</v>
      </c>
      <c r="C566" s="460"/>
      <c r="D566" s="460" t="s">
        <v>1814</v>
      </c>
      <c r="E566" s="460" t="s">
        <v>2015</v>
      </c>
      <c r="F566" s="460" t="s">
        <v>2650</v>
      </c>
      <c r="G566" s="547">
        <f>ROUND(5,2)</f>
        <v>5</v>
      </c>
      <c r="H566" s="461"/>
      <c r="I566" s="547">
        <f>ROUND(5,2)</f>
        <v>5</v>
      </c>
      <c r="J566" s="460"/>
      <c r="K566" s="460" t="s">
        <v>2613</v>
      </c>
    </row>
    <row r="567" spans="1:11" ht="22.8">
      <c r="A567" s="460" t="s">
        <v>1810</v>
      </c>
      <c r="B567" s="460" t="s">
        <v>2489</v>
      </c>
      <c r="C567" s="460"/>
      <c r="D567" s="460" t="s">
        <v>1844</v>
      </c>
      <c r="E567" s="460" t="s">
        <v>1812</v>
      </c>
      <c r="F567" s="460" t="s">
        <v>2616</v>
      </c>
      <c r="G567" s="460"/>
      <c r="H567" s="461"/>
      <c r="I567" s="460"/>
      <c r="J567" s="460"/>
      <c r="K567" s="460" t="s">
        <v>2613</v>
      </c>
    </row>
    <row r="568" spans="1:11" ht="22.8">
      <c r="A568" s="460" t="s">
        <v>1810</v>
      </c>
      <c r="B568" s="460" t="s">
        <v>2489</v>
      </c>
      <c r="C568" s="460"/>
      <c r="D568" s="460" t="s">
        <v>1844</v>
      </c>
      <c r="E568" s="460" t="s">
        <v>1812</v>
      </c>
      <c r="F568" s="460" t="s">
        <v>2612</v>
      </c>
      <c r="G568" s="460"/>
      <c r="H568" s="461"/>
      <c r="I568" s="460"/>
      <c r="J568" s="460"/>
      <c r="K568" s="460" t="s">
        <v>2613</v>
      </c>
    </row>
    <row r="569" spans="1:11" ht="22.8">
      <c r="A569" s="460" t="s">
        <v>1810</v>
      </c>
      <c r="B569" s="460" t="s">
        <v>2489</v>
      </c>
      <c r="C569" s="460"/>
      <c r="D569" s="460" t="s">
        <v>1844</v>
      </c>
      <c r="E569" s="460" t="s">
        <v>1812</v>
      </c>
      <c r="F569" s="460" t="s">
        <v>2617</v>
      </c>
      <c r="G569" s="547">
        <f>ROUND(75,2)</f>
        <v>75</v>
      </c>
      <c r="H569" s="461"/>
      <c r="I569" s="547">
        <f>ROUND(75,2)</f>
        <v>75</v>
      </c>
      <c r="J569" s="460"/>
      <c r="K569" s="460" t="s">
        <v>2613</v>
      </c>
    </row>
    <row r="570" spans="1:11" ht="22.8">
      <c r="A570" s="460" t="s">
        <v>1810</v>
      </c>
      <c r="B570" s="460" t="s">
        <v>2489</v>
      </c>
      <c r="C570" s="460"/>
      <c r="D570" s="460" t="s">
        <v>1844</v>
      </c>
      <c r="E570" s="460" t="s">
        <v>1812</v>
      </c>
      <c r="F570" s="460" t="s">
        <v>2614</v>
      </c>
      <c r="G570" s="460"/>
      <c r="H570" s="461" t="s">
        <v>2615</v>
      </c>
      <c r="I570" s="547">
        <f>ROUND(7,2)</f>
        <v>7</v>
      </c>
      <c r="J570" s="460" t="s">
        <v>2615</v>
      </c>
      <c r="K570" s="460" t="s">
        <v>2613</v>
      </c>
    </row>
    <row r="571" spans="1:11" ht="22.8">
      <c r="A571" s="460" t="s">
        <v>1810</v>
      </c>
      <c r="B571" s="460" t="s">
        <v>2489</v>
      </c>
      <c r="C571" s="460"/>
      <c r="D571" s="460" t="s">
        <v>1844</v>
      </c>
      <c r="E571" s="460" t="s">
        <v>1812</v>
      </c>
      <c r="F571" s="460" t="s">
        <v>2618</v>
      </c>
      <c r="G571" s="547">
        <f>ROUND(40,2)</f>
        <v>40</v>
      </c>
      <c r="H571" s="461"/>
      <c r="I571" s="547">
        <f>ROUND(40,2)</f>
        <v>40</v>
      </c>
      <c r="J571" s="460"/>
      <c r="K571" s="460" t="s">
        <v>2613</v>
      </c>
    </row>
    <row r="572" spans="1:11" ht="14.4">
      <c r="A572" s="460" t="s">
        <v>1810</v>
      </c>
      <c r="B572" s="460" t="s">
        <v>2496</v>
      </c>
      <c r="C572" s="460"/>
      <c r="D572" s="460" t="s">
        <v>1816</v>
      </c>
      <c r="E572" s="460" t="s">
        <v>2611</v>
      </c>
      <c r="F572" s="460" t="s">
        <v>2612</v>
      </c>
      <c r="G572" s="460"/>
      <c r="H572" s="461"/>
      <c r="I572" s="460"/>
      <c r="J572" s="460"/>
      <c r="K572" s="460" t="s">
        <v>2613</v>
      </c>
    </row>
    <row r="573" spans="1:11" ht="14.4">
      <c r="A573" s="460" t="s">
        <v>1810</v>
      </c>
      <c r="B573" s="460" t="s">
        <v>1545</v>
      </c>
      <c r="C573" s="460"/>
      <c r="D573" s="460" t="s">
        <v>1821</v>
      </c>
      <c r="E573" s="460" t="s">
        <v>1812</v>
      </c>
      <c r="F573" s="460" t="s">
        <v>2612</v>
      </c>
      <c r="G573" s="460"/>
      <c r="H573" s="461"/>
      <c r="I573" s="460"/>
      <c r="J573" s="460"/>
      <c r="K573" s="460" t="s">
        <v>2613</v>
      </c>
    </row>
    <row r="574" spans="1:11" ht="14.4">
      <c r="A574" s="460" t="s">
        <v>1810</v>
      </c>
      <c r="B574" s="460" t="s">
        <v>1545</v>
      </c>
      <c r="C574" s="460"/>
      <c r="D574" s="460" t="s">
        <v>1821</v>
      </c>
      <c r="E574" s="460" t="s">
        <v>1812</v>
      </c>
      <c r="F574" s="460" t="s">
        <v>2614</v>
      </c>
      <c r="G574" s="460"/>
      <c r="H574" s="461" t="s">
        <v>2615</v>
      </c>
      <c r="I574" s="547">
        <f>ROUND(7,2)</f>
        <v>7</v>
      </c>
      <c r="J574" s="460" t="s">
        <v>2615</v>
      </c>
      <c r="K574" s="460" t="s">
        <v>2613</v>
      </c>
    </row>
    <row r="575" spans="1:11" ht="14.4">
      <c r="A575" s="460" t="s">
        <v>1810</v>
      </c>
      <c r="B575" s="460" t="s">
        <v>1545</v>
      </c>
      <c r="C575" s="460"/>
      <c r="D575" s="460" t="s">
        <v>1821</v>
      </c>
      <c r="E575" s="460" t="s">
        <v>1812</v>
      </c>
      <c r="F575" s="460" t="s">
        <v>2634</v>
      </c>
      <c r="G575" s="547">
        <f>ROUND(34,2)</f>
        <v>34</v>
      </c>
      <c r="H575" s="461"/>
      <c r="I575" s="547">
        <f>ROUND(34,2)</f>
        <v>34</v>
      </c>
      <c r="J575" s="460"/>
      <c r="K575" s="460" t="s">
        <v>2613</v>
      </c>
    </row>
    <row r="576" spans="1:11" ht="14.4">
      <c r="A576" s="460" t="s">
        <v>1810</v>
      </c>
      <c r="B576" s="460" t="s">
        <v>1545</v>
      </c>
      <c r="C576" s="460"/>
      <c r="D576" s="460" t="s">
        <v>1821</v>
      </c>
      <c r="E576" s="460" t="s">
        <v>1812</v>
      </c>
      <c r="F576" s="460" t="s">
        <v>2625</v>
      </c>
      <c r="G576" s="547">
        <f>ROUND(25,2)</f>
        <v>25</v>
      </c>
      <c r="H576" s="461"/>
      <c r="I576" s="547">
        <f>ROUND(25,2)</f>
        <v>25</v>
      </c>
      <c r="J576" s="460"/>
      <c r="K576" s="460" t="s">
        <v>2613</v>
      </c>
    </row>
    <row r="577" spans="1:11" ht="14.4">
      <c r="A577" s="460" t="s">
        <v>1810</v>
      </c>
      <c r="B577" s="460" t="s">
        <v>1545</v>
      </c>
      <c r="C577" s="460"/>
      <c r="D577" s="460" t="s">
        <v>1821</v>
      </c>
      <c r="E577" s="460" t="s">
        <v>1812</v>
      </c>
      <c r="F577" s="460" t="s">
        <v>2616</v>
      </c>
      <c r="G577" s="460"/>
      <c r="H577" s="461"/>
      <c r="I577" s="460"/>
      <c r="J577" s="460"/>
      <c r="K577" s="460" t="s">
        <v>2613</v>
      </c>
    </row>
    <row r="578" spans="1:11" ht="14.4">
      <c r="A578" s="460" t="s">
        <v>1810</v>
      </c>
      <c r="B578" s="460" t="s">
        <v>2490</v>
      </c>
      <c r="C578" s="460"/>
      <c r="D578" s="460" t="s">
        <v>1814</v>
      </c>
      <c r="E578" s="460" t="s">
        <v>2611</v>
      </c>
      <c r="F578" s="460" t="s">
        <v>2612</v>
      </c>
      <c r="G578" s="460"/>
      <c r="H578" s="461"/>
      <c r="I578" s="460"/>
      <c r="J578" s="460"/>
      <c r="K578" s="460" t="s">
        <v>2613</v>
      </c>
    </row>
    <row r="579" spans="1:11" ht="14.4">
      <c r="A579" s="460" t="s">
        <v>1810</v>
      </c>
      <c r="B579" s="460" t="s">
        <v>1332</v>
      </c>
      <c r="C579" s="460"/>
      <c r="D579" s="460" t="s">
        <v>1817</v>
      </c>
      <c r="E579" s="460" t="s">
        <v>1812</v>
      </c>
      <c r="F579" s="460" t="s">
        <v>2625</v>
      </c>
      <c r="G579" s="547">
        <f>ROUND(37.5,2)</f>
        <v>37.5</v>
      </c>
      <c r="H579" s="461"/>
      <c r="I579" s="547">
        <f>ROUND(37.5,2)</f>
        <v>37.5</v>
      </c>
      <c r="J579" s="460"/>
      <c r="K579" s="460" t="s">
        <v>2613</v>
      </c>
    </row>
    <row r="580" spans="1:11" ht="14.4">
      <c r="A580" s="460" t="s">
        <v>1810</v>
      </c>
      <c r="B580" s="460" t="s">
        <v>1332</v>
      </c>
      <c r="C580" s="460"/>
      <c r="D580" s="460" t="s">
        <v>1817</v>
      </c>
      <c r="E580" s="460" t="s">
        <v>1812</v>
      </c>
      <c r="F580" s="460" t="s">
        <v>2612</v>
      </c>
      <c r="G580" s="460"/>
      <c r="H580" s="461"/>
      <c r="I580" s="460"/>
      <c r="J580" s="460"/>
      <c r="K580" s="460" t="s">
        <v>2613</v>
      </c>
    </row>
    <row r="581" spans="1:11" ht="14.4">
      <c r="A581" s="460" t="s">
        <v>1810</v>
      </c>
      <c r="B581" s="460" t="s">
        <v>1332</v>
      </c>
      <c r="C581" s="460"/>
      <c r="D581" s="460" t="s">
        <v>1817</v>
      </c>
      <c r="E581" s="460" t="s">
        <v>1812</v>
      </c>
      <c r="F581" s="460" t="s">
        <v>2614</v>
      </c>
      <c r="G581" s="460"/>
      <c r="H581" s="461" t="s">
        <v>2615</v>
      </c>
      <c r="I581" s="547">
        <f>ROUND(7,2)</f>
        <v>7</v>
      </c>
      <c r="J581" s="460" t="s">
        <v>2615</v>
      </c>
      <c r="K581" s="460" t="s">
        <v>2613</v>
      </c>
    </row>
    <row r="582" spans="1:11" ht="14.4">
      <c r="A582" s="460" t="s">
        <v>1810</v>
      </c>
      <c r="B582" s="460" t="s">
        <v>1332</v>
      </c>
      <c r="C582" s="460"/>
      <c r="D582" s="460" t="s">
        <v>1817</v>
      </c>
      <c r="E582" s="460" t="s">
        <v>1812</v>
      </c>
      <c r="F582" s="460" t="s">
        <v>2620</v>
      </c>
      <c r="G582" s="547">
        <f>ROUND(10.22,2)</f>
        <v>10.220000000000001</v>
      </c>
      <c r="H582" s="461"/>
      <c r="I582" s="547">
        <f>ROUND(10.22,2)</f>
        <v>10.220000000000001</v>
      </c>
      <c r="J582" s="460"/>
      <c r="K582" s="460" t="s">
        <v>2613</v>
      </c>
    </row>
    <row r="583" spans="1:11" ht="14.4">
      <c r="A583" s="460" t="s">
        <v>1810</v>
      </c>
      <c r="B583" s="460" t="s">
        <v>1332</v>
      </c>
      <c r="C583" s="460"/>
      <c r="D583" s="460" t="s">
        <v>1817</v>
      </c>
      <c r="E583" s="460" t="s">
        <v>1812</v>
      </c>
      <c r="F583" s="460" t="s">
        <v>2616</v>
      </c>
      <c r="G583" s="460"/>
      <c r="H583" s="461"/>
      <c r="I583" s="460"/>
      <c r="J583" s="460"/>
      <c r="K583" s="460" t="s">
        <v>2613</v>
      </c>
    </row>
    <row r="584" spans="1:11" ht="14.4">
      <c r="A584" s="460" t="s">
        <v>1810</v>
      </c>
      <c r="B584" s="460" t="s">
        <v>1571</v>
      </c>
      <c r="C584" s="460"/>
      <c r="D584" s="460" t="s">
        <v>1814</v>
      </c>
      <c r="E584" s="460" t="s">
        <v>1812</v>
      </c>
      <c r="F584" s="460" t="s">
        <v>2625</v>
      </c>
      <c r="G584" s="547">
        <f>ROUND(25,2)</f>
        <v>25</v>
      </c>
      <c r="H584" s="461"/>
      <c r="I584" s="547">
        <f>ROUND(25,2)</f>
        <v>25</v>
      </c>
      <c r="J584" s="460"/>
      <c r="K584" s="460" t="s">
        <v>2613</v>
      </c>
    </row>
    <row r="585" spans="1:11" ht="14.4">
      <c r="A585" s="460" t="s">
        <v>1810</v>
      </c>
      <c r="B585" s="460" t="s">
        <v>1571</v>
      </c>
      <c r="C585" s="460"/>
      <c r="D585" s="460" t="s">
        <v>1814</v>
      </c>
      <c r="E585" s="460" t="s">
        <v>1812</v>
      </c>
      <c r="F585" s="460" t="s">
        <v>2612</v>
      </c>
      <c r="G585" s="460"/>
      <c r="H585" s="461"/>
      <c r="I585" s="460"/>
      <c r="J585" s="460"/>
      <c r="K585" s="460" t="s">
        <v>2613</v>
      </c>
    </row>
    <row r="586" spans="1:11" ht="14.4">
      <c r="A586" s="460" t="s">
        <v>1810</v>
      </c>
      <c r="B586" s="460" t="s">
        <v>1571</v>
      </c>
      <c r="C586" s="460"/>
      <c r="D586" s="460" t="s">
        <v>1814</v>
      </c>
      <c r="E586" s="460" t="s">
        <v>1812</v>
      </c>
      <c r="F586" s="460" t="s">
        <v>2614</v>
      </c>
      <c r="G586" s="460"/>
      <c r="H586" s="461" t="s">
        <v>2615</v>
      </c>
      <c r="I586" s="547">
        <f>ROUND(7,2)</f>
        <v>7</v>
      </c>
      <c r="J586" s="460" t="s">
        <v>2615</v>
      </c>
      <c r="K586" s="460" t="s">
        <v>2613</v>
      </c>
    </row>
    <row r="587" spans="1:11" ht="14.4">
      <c r="A587" s="460" t="s">
        <v>1810</v>
      </c>
      <c r="B587" s="460" t="s">
        <v>1571</v>
      </c>
      <c r="C587" s="460"/>
      <c r="D587" s="460" t="s">
        <v>1814</v>
      </c>
      <c r="E587" s="460" t="s">
        <v>1812</v>
      </c>
      <c r="F587" s="460" t="s">
        <v>2627</v>
      </c>
      <c r="G587" s="547">
        <f>ROUND(60,2)</f>
        <v>60</v>
      </c>
      <c r="H587" s="461"/>
      <c r="I587" s="547">
        <f>ROUND(60,2)</f>
        <v>60</v>
      </c>
      <c r="J587" s="460"/>
      <c r="K587" s="460" t="s">
        <v>2613</v>
      </c>
    </row>
    <row r="588" spans="1:11" ht="14.4">
      <c r="A588" s="460" t="s">
        <v>1810</v>
      </c>
      <c r="B588" s="460" t="s">
        <v>1571</v>
      </c>
      <c r="C588" s="460"/>
      <c r="D588" s="460" t="s">
        <v>1814</v>
      </c>
      <c r="E588" s="460" t="s">
        <v>1812</v>
      </c>
      <c r="F588" s="460" t="s">
        <v>2616</v>
      </c>
      <c r="G588" s="460"/>
      <c r="H588" s="461"/>
      <c r="I588" s="460"/>
      <c r="J588" s="460"/>
      <c r="K588" s="460" t="s">
        <v>2613</v>
      </c>
    </row>
    <row r="589" spans="1:11" ht="14.4">
      <c r="A589" s="460" t="s">
        <v>1810</v>
      </c>
      <c r="B589" s="460" t="s">
        <v>1346</v>
      </c>
      <c r="C589" s="460"/>
      <c r="D589" s="460" t="s">
        <v>1821</v>
      </c>
      <c r="E589" s="460" t="s">
        <v>1812</v>
      </c>
      <c r="F589" s="460" t="s">
        <v>2625</v>
      </c>
      <c r="G589" s="547">
        <f>ROUND(37.5,2)</f>
        <v>37.5</v>
      </c>
      <c r="H589" s="461"/>
      <c r="I589" s="547">
        <f>ROUND(37.5,2)</f>
        <v>37.5</v>
      </c>
      <c r="J589" s="460"/>
      <c r="K589" s="460" t="s">
        <v>2613</v>
      </c>
    </row>
    <row r="590" spans="1:11" ht="14.4">
      <c r="A590" s="460" t="s">
        <v>1810</v>
      </c>
      <c r="B590" s="460" t="s">
        <v>1346</v>
      </c>
      <c r="C590" s="460"/>
      <c r="D590" s="460" t="s">
        <v>1821</v>
      </c>
      <c r="E590" s="460" t="s">
        <v>1812</v>
      </c>
      <c r="F590" s="460" t="s">
        <v>2612</v>
      </c>
      <c r="G590" s="460"/>
      <c r="H590" s="461"/>
      <c r="I590" s="460"/>
      <c r="J590" s="460"/>
      <c r="K590" s="460" t="s">
        <v>2613</v>
      </c>
    </row>
    <row r="591" spans="1:11" ht="14.4">
      <c r="A591" s="460" t="s">
        <v>1810</v>
      </c>
      <c r="B591" s="460" t="s">
        <v>1346</v>
      </c>
      <c r="C591" s="460"/>
      <c r="D591" s="460" t="s">
        <v>1821</v>
      </c>
      <c r="E591" s="460" t="s">
        <v>1812</v>
      </c>
      <c r="F591" s="460" t="s">
        <v>2614</v>
      </c>
      <c r="G591" s="460"/>
      <c r="H591" s="461" t="s">
        <v>2615</v>
      </c>
      <c r="I591" s="547">
        <f>ROUND(7,2)</f>
        <v>7</v>
      </c>
      <c r="J591" s="460" t="s">
        <v>2615</v>
      </c>
      <c r="K591" s="460" t="s">
        <v>2613</v>
      </c>
    </row>
    <row r="592" spans="1:11" ht="14.4">
      <c r="A592" s="460" t="s">
        <v>1810</v>
      </c>
      <c r="B592" s="460" t="s">
        <v>1346</v>
      </c>
      <c r="C592" s="460"/>
      <c r="D592" s="460" t="s">
        <v>1821</v>
      </c>
      <c r="E592" s="460" t="s">
        <v>1812</v>
      </c>
      <c r="F592" s="460" t="s">
        <v>2634</v>
      </c>
      <c r="G592" s="547">
        <f>ROUND(30,2)</f>
        <v>30</v>
      </c>
      <c r="H592" s="461"/>
      <c r="I592" s="547">
        <f>ROUND(30,2)</f>
        <v>30</v>
      </c>
      <c r="J592" s="460"/>
      <c r="K592" s="460" t="s">
        <v>2613</v>
      </c>
    </row>
    <row r="593" spans="1:11" ht="14.4">
      <c r="A593" s="460" t="s">
        <v>1810</v>
      </c>
      <c r="B593" s="460" t="s">
        <v>1346</v>
      </c>
      <c r="C593" s="460"/>
      <c r="D593" s="460" t="s">
        <v>1821</v>
      </c>
      <c r="E593" s="460" t="s">
        <v>1812</v>
      </c>
      <c r="F593" s="460" t="s">
        <v>2616</v>
      </c>
      <c r="G593" s="460"/>
      <c r="H593" s="461"/>
      <c r="I593" s="460"/>
      <c r="J593" s="460"/>
      <c r="K593" s="460" t="s">
        <v>2613</v>
      </c>
    </row>
    <row r="594" spans="1:11" ht="14.4">
      <c r="A594" s="460" t="s">
        <v>1810</v>
      </c>
      <c r="B594" s="460" t="s">
        <v>1342</v>
      </c>
      <c r="C594" s="460"/>
      <c r="D594" s="460" t="s">
        <v>1821</v>
      </c>
      <c r="E594" s="460" t="s">
        <v>2015</v>
      </c>
      <c r="F594" s="460" t="s">
        <v>2612</v>
      </c>
      <c r="G594" s="460"/>
      <c r="H594" s="461"/>
      <c r="I594" s="460"/>
      <c r="J594" s="460"/>
      <c r="K594" s="460" t="s">
        <v>2613</v>
      </c>
    </row>
    <row r="595" spans="1:11" ht="14.4">
      <c r="A595" s="460" t="s">
        <v>1810</v>
      </c>
      <c r="B595" s="460" t="s">
        <v>1342</v>
      </c>
      <c r="C595" s="460"/>
      <c r="D595" s="460" t="s">
        <v>1821</v>
      </c>
      <c r="E595" s="460" t="s">
        <v>2015</v>
      </c>
      <c r="F595" s="460" t="s">
        <v>2619</v>
      </c>
      <c r="G595" s="547">
        <f>ROUND(450,2)</f>
        <v>450</v>
      </c>
      <c r="H595" s="461"/>
      <c r="I595" s="547">
        <f>ROUND(450,2)</f>
        <v>450</v>
      </c>
      <c r="J595" s="460"/>
      <c r="K595" s="460" t="s">
        <v>2613</v>
      </c>
    </row>
    <row r="596" spans="1:11" ht="14.4">
      <c r="A596" s="460" t="s">
        <v>1810</v>
      </c>
      <c r="B596" s="460" t="s">
        <v>1342</v>
      </c>
      <c r="C596" s="460"/>
      <c r="D596" s="460" t="s">
        <v>1821</v>
      </c>
      <c r="E596" s="460" t="s">
        <v>2015</v>
      </c>
      <c r="F596" s="460" t="s">
        <v>2614</v>
      </c>
      <c r="G596" s="460"/>
      <c r="H596" s="461" t="s">
        <v>2615</v>
      </c>
      <c r="I596" s="547">
        <f>ROUND(7,2)</f>
        <v>7</v>
      </c>
      <c r="J596" s="460" t="s">
        <v>2615</v>
      </c>
      <c r="K596" s="460" t="s">
        <v>2613</v>
      </c>
    </row>
    <row r="597" spans="1:11" ht="14.4">
      <c r="A597" s="460" t="s">
        <v>1810</v>
      </c>
      <c r="B597" s="460" t="s">
        <v>1342</v>
      </c>
      <c r="C597" s="460"/>
      <c r="D597" s="460" t="s">
        <v>1821</v>
      </c>
      <c r="E597" s="460" t="s">
        <v>2015</v>
      </c>
      <c r="F597" s="460" t="s">
        <v>2627</v>
      </c>
      <c r="G597" s="547">
        <f>ROUND(280,2)</f>
        <v>280</v>
      </c>
      <c r="H597" s="461"/>
      <c r="I597" s="547">
        <f>ROUND(280,2)</f>
        <v>280</v>
      </c>
      <c r="J597" s="460"/>
      <c r="K597" s="460" t="s">
        <v>2613</v>
      </c>
    </row>
    <row r="598" spans="1:11" ht="14.4">
      <c r="A598" s="460" t="s">
        <v>1810</v>
      </c>
      <c r="B598" s="460" t="s">
        <v>1342</v>
      </c>
      <c r="C598" s="460"/>
      <c r="D598" s="460" t="s">
        <v>1821</v>
      </c>
      <c r="E598" s="460" t="s">
        <v>2015</v>
      </c>
      <c r="F598" s="460" t="s">
        <v>2625</v>
      </c>
      <c r="G598" s="547">
        <f>ROUND(50,2)</f>
        <v>50</v>
      </c>
      <c r="H598" s="461"/>
      <c r="I598" s="547">
        <f>ROUND(50,2)</f>
        <v>50</v>
      </c>
      <c r="J598" s="460"/>
      <c r="K598" s="460" t="s">
        <v>2613</v>
      </c>
    </row>
    <row r="599" spans="1:11" ht="14.4">
      <c r="A599" s="460" t="s">
        <v>1810</v>
      </c>
      <c r="B599" s="460" t="s">
        <v>1342</v>
      </c>
      <c r="C599" s="460"/>
      <c r="D599" s="460" t="s">
        <v>1821</v>
      </c>
      <c r="E599" s="460" t="s">
        <v>2015</v>
      </c>
      <c r="F599" s="460" t="s">
        <v>2620</v>
      </c>
      <c r="G599" s="547">
        <f>ROUND(10.22,2)</f>
        <v>10.220000000000001</v>
      </c>
      <c r="H599" s="461"/>
      <c r="I599" s="547">
        <f>ROUND(10.22,2)</f>
        <v>10.220000000000001</v>
      </c>
      <c r="J599" s="460"/>
      <c r="K599" s="460" t="s">
        <v>2613</v>
      </c>
    </row>
    <row r="600" spans="1:11" ht="14.4">
      <c r="A600" s="460" t="s">
        <v>1810</v>
      </c>
      <c r="B600" s="460" t="s">
        <v>1342</v>
      </c>
      <c r="C600" s="460"/>
      <c r="D600" s="460" t="s">
        <v>1821</v>
      </c>
      <c r="E600" s="460" t="s">
        <v>2015</v>
      </c>
      <c r="F600" s="460" t="s">
        <v>2616</v>
      </c>
      <c r="G600" s="460"/>
      <c r="H600" s="461"/>
      <c r="I600" s="460"/>
      <c r="J600" s="460"/>
      <c r="K600" s="460" t="s">
        <v>2613</v>
      </c>
    </row>
    <row r="601" spans="1:11" ht="14.4">
      <c r="A601" s="460" t="s">
        <v>1810</v>
      </c>
      <c r="B601" s="460" t="s">
        <v>1342</v>
      </c>
      <c r="C601" s="460"/>
      <c r="D601" s="460" t="s">
        <v>1821</v>
      </c>
      <c r="E601" s="460" t="s">
        <v>2015</v>
      </c>
      <c r="F601" s="460" t="s">
        <v>2617</v>
      </c>
      <c r="G601" s="547">
        <f>ROUND(75,2)</f>
        <v>75</v>
      </c>
      <c r="H601" s="461"/>
      <c r="I601" s="547">
        <f>ROUND(75,2)</f>
        <v>75</v>
      </c>
      <c r="J601" s="460"/>
      <c r="K601" s="460" t="s">
        <v>2613</v>
      </c>
    </row>
    <row r="602" spans="1:11" ht="14.4">
      <c r="A602" s="460" t="s">
        <v>1810</v>
      </c>
      <c r="B602" s="460" t="s">
        <v>1342</v>
      </c>
      <c r="C602" s="460"/>
      <c r="D602" s="460" t="s">
        <v>1821</v>
      </c>
      <c r="E602" s="460" t="s">
        <v>2015</v>
      </c>
      <c r="F602" s="460" t="s">
        <v>2618</v>
      </c>
      <c r="G602" s="547">
        <f>ROUND(47.5,2)</f>
        <v>47.5</v>
      </c>
      <c r="H602" s="461"/>
      <c r="I602" s="547">
        <f>ROUND(47.5,2)</f>
        <v>47.5</v>
      </c>
      <c r="J602" s="460"/>
      <c r="K602" s="460" t="s">
        <v>2613</v>
      </c>
    </row>
    <row r="603" spans="1:11" ht="14.4">
      <c r="A603" s="460" t="s">
        <v>1810</v>
      </c>
      <c r="B603" s="460" t="s">
        <v>1541</v>
      </c>
      <c r="C603" s="460"/>
      <c r="D603" s="460" t="s">
        <v>1821</v>
      </c>
      <c r="E603" s="460" t="s">
        <v>1812</v>
      </c>
      <c r="F603" s="460" t="s">
        <v>2625</v>
      </c>
      <c r="G603" s="547">
        <f>ROUND(25,2)</f>
        <v>25</v>
      </c>
      <c r="H603" s="461"/>
      <c r="I603" s="547">
        <f>ROUND(25,2)</f>
        <v>25</v>
      </c>
      <c r="J603" s="460"/>
      <c r="K603" s="460" t="s">
        <v>2613</v>
      </c>
    </row>
    <row r="604" spans="1:11" ht="14.4">
      <c r="A604" s="460" t="s">
        <v>1810</v>
      </c>
      <c r="B604" s="460" t="s">
        <v>1541</v>
      </c>
      <c r="C604" s="460"/>
      <c r="D604" s="460" t="s">
        <v>1821</v>
      </c>
      <c r="E604" s="460" t="s">
        <v>1812</v>
      </c>
      <c r="F604" s="460" t="s">
        <v>2612</v>
      </c>
      <c r="G604" s="460"/>
      <c r="H604" s="461"/>
      <c r="I604" s="460"/>
      <c r="J604" s="460"/>
      <c r="K604" s="460" t="s">
        <v>2613</v>
      </c>
    </row>
    <row r="605" spans="1:11" ht="14.4">
      <c r="A605" s="460" t="s">
        <v>1810</v>
      </c>
      <c r="B605" s="460" t="s">
        <v>1541</v>
      </c>
      <c r="C605" s="460"/>
      <c r="D605" s="460" t="s">
        <v>1821</v>
      </c>
      <c r="E605" s="460" t="s">
        <v>1812</v>
      </c>
      <c r="F605" s="460" t="s">
        <v>2614</v>
      </c>
      <c r="G605" s="460"/>
      <c r="H605" s="461" t="s">
        <v>2615</v>
      </c>
      <c r="I605" s="547">
        <f>ROUND(7,2)</f>
        <v>7</v>
      </c>
      <c r="J605" s="460" t="s">
        <v>2615</v>
      </c>
      <c r="K605" s="460" t="s">
        <v>2613</v>
      </c>
    </row>
    <row r="606" spans="1:11" ht="14.4">
      <c r="A606" s="460" t="s">
        <v>1810</v>
      </c>
      <c r="B606" s="460" t="s">
        <v>1541</v>
      </c>
      <c r="C606" s="460"/>
      <c r="D606" s="460" t="s">
        <v>1821</v>
      </c>
      <c r="E606" s="460" t="s">
        <v>1812</v>
      </c>
      <c r="F606" s="460" t="s">
        <v>2634</v>
      </c>
      <c r="G606" s="547">
        <f>ROUND(49,2)</f>
        <v>49</v>
      </c>
      <c r="H606" s="461"/>
      <c r="I606" s="547">
        <f>ROUND(49,2)</f>
        <v>49</v>
      </c>
      <c r="J606" s="460"/>
      <c r="K606" s="460" t="s">
        <v>2613</v>
      </c>
    </row>
    <row r="607" spans="1:11" ht="14.4">
      <c r="A607" s="460" t="s">
        <v>1810</v>
      </c>
      <c r="B607" s="460" t="s">
        <v>1541</v>
      </c>
      <c r="C607" s="460"/>
      <c r="D607" s="460" t="s">
        <v>1821</v>
      </c>
      <c r="E607" s="460" t="s">
        <v>1812</v>
      </c>
      <c r="F607" s="460" t="s">
        <v>2616</v>
      </c>
      <c r="G607" s="460"/>
      <c r="H607" s="461"/>
      <c r="I607" s="460"/>
      <c r="J607" s="460"/>
      <c r="K607" s="460" t="s">
        <v>2613</v>
      </c>
    </row>
    <row r="608" spans="1:11" ht="14.4">
      <c r="A608" s="460" t="s">
        <v>1810</v>
      </c>
      <c r="B608" s="460" t="s">
        <v>1682</v>
      </c>
      <c r="C608" s="460"/>
      <c r="D608" s="460" t="s">
        <v>1816</v>
      </c>
      <c r="E608" s="460" t="s">
        <v>2611</v>
      </c>
      <c r="F608" s="460" t="s">
        <v>2612</v>
      </c>
      <c r="G608" s="460"/>
      <c r="H608" s="461"/>
      <c r="I608" s="460"/>
      <c r="J608" s="460"/>
      <c r="K608" s="460" t="s">
        <v>2613</v>
      </c>
    </row>
    <row r="609" spans="1:11" ht="14.4">
      <c r="A609" s="460" t="s">
        <v>1810</v>
      </c>
      <c r="B609" s="460" t="s">
        <v>1934</v>
      </c>
      <c r="C609" s="460"/>
      <c r="D609" s="460" t="s">
        <v>1816</v>
      </c>
      <c r="E609" s="460" t="s">
        <v>2611</v>
      </c>
      <c r="F609" s="460" t="s">
        <v>2612</v>
      </c>
      <c r="G609" s="460"/>
      <c r="H609" s="461"/>
      <c r="I609" s="460"/>
      <c r="J609" s="460"/>
      <c r="K609" s="460" t="s">
        <v>2613</v>
      </c>
    </row>
    <row r="610" spans="1:11" ht="22.8">
      <c r="A610" s="460" t="s">
        <v>1810</v>
      </c>
      <c r="B610" s="460" t="s">
        <v>1724</v>
      </c>
      <c r="C610" s="460"/>
      <c r="D610" s="460" t="s">
        <v>1813</v>
      </c>
      <c r="E610" s="460" t="s">
        <v>1812</v>
      </c>
      <c r="F610" s="460" t="s">
        <v>2645</v>
      </c>
      <c r="G610" s="547">
        <f>ROUND(15,2)</f>
        <v>15</v>
      </c>
      <c r="H610" s="461"/>
      <c r="I610" s="547">
        <f>ROUND(15,2)</f>
        <v>15</v>
      </c>
      <c r="J610" s="460"/>
      <c r="K610" s="460" t="s">
        <v>2613</v>
      </c>
    </row>
    <row r="611" spans="1:11" ht="22.8">
      <c r="A611" s="460" t="s">
        <v>1810</v>
      </c>
      <c r="B611" s="460" t="s">
        <v>1724</v>
      </c>
      <c r="C611" s="460"/>
      <c r="D611" s="460" t="s">
        <v>1813</v>
      </c>
      <c r="E611" s="460" t="s">
        <v>1812</v>
      </c>
      <c r="F611" s="460" t="s">
        <v>2614</v>
      </c>
      <c r="G611" s="460"/>
      <c r="H611" s="461" t="s">
        <v>2615</v>
      </c>
      <c r="I611" s="547">
        <f>ROUND(7,2)</f>
        <v>7</v>
      </c>
      <c r="J611" s="460" t="s">
        <v>2615</v>
      </c>
      <c r="K611" s="460" t="s">
        <v>2613</v>
      </c>
    </row>
    <row r="612" spans="1:11" ht="22.8">
      <c r="A612" s="460" t="s">
        <v>1810</v>
      </c>
      <c r="B612" s="460" t="s">
        <v>1724</v>
      </c>
      <c r="C612" s="460"/>
      <c r="D612" s="460" t="s">
        <v>1813</v>
      </c>
      <c r="E612" s="460" t="s">
        <v>1812</v>
      </c>
      <c r="F612" s="460" t="s">
        <v>2612</v>
      </c>
      <c r="G612" s="460"/>
      <c r="H612" s="461"/>
      <c r="I612" s="460"/>
      <c r="J612" s="460"/>
      <c r="K612" s="460" t="s">
        <v>2613</v>
      </c>
    </row>
    <row r="613" spans="1:11" ht="22.8">
      <c r="A613" s="460" t="s">
        <v>1810</v>
      </c>
      <c r="B613" s="460" t="s">
        <v>1724</v>
      </c>
      <c r="C613" s="460"/>
      <c r="D613" s="460" t="s">
        <v>1813</v>
      </c>
      <c r="E613" s="460" t="s">
        <v>1812</v>
      </c>
      <c r="F613" s="460" t="s">
        <v>2620</v>
      </c>
      <c r="G613" s="547">
        <f>ROUND(10.22,2)</f>
        <v>10.220000000000001</v>
      </c>
      <c r="H613" s="461"/>
      <c r="I613" s="547">
        <f>ROUND(10.22,2)</f>
        <v>10.220000000000001</v>
      </c>
      <c r="J613" s="460"/>
      <c r="K613" s="460" t="s">
        <v>2613</v>
      </c>
    </row>
    <row r="614" spans="1:11" ht="22.8">
      <c r="A614" s="460" t="s">
        <v>1810</v>
      </c>
      <c r="B614" s="460" t="s">
        <v>1724</v>
      </c>
      <c r="C614" s="460"/>
      <c r="D614" s="460" t="s">
        <v>1813</v>
      </c>
      <c r="E614" s="460" t="s">
        <v>1812</v>
      </c>
      <c r="F614" s="460" t="s">
        <v>2616</v>
      </c>
      <c r="G614" s="460"/>
      <c r="H614" s="461"/>
      <c r="I614" s="460"/>
      <c r="J614" s="460"/>
      <c r="K614" s="460" t="s">
        <v>2613</v>
      </c>
    </row>
    <row r="615" spans="1:11" ht="14.4">
      <c r="A615" s="460" t="s">
        <v>1810</v>
      </c>
      <c r="B615" s="460" t="s">
        <v>1763</v>
      </c>
      <c r="C615" s="460"/>
      <c r="D615" s="460" t="s">
        <v>1814</v>
      </c>
      <c r="E615" s="460" t="s">
        <v>1812</v>
      </c>
      <c r="F615" s="460" t="s">
        <v>2625</v>
      </c>
      <c r="G615" s="547">
        <f>ROUND(25,2)</f>
        <v>25</v>
      </c>
      <c r="H615" s="461"/>
      <c r="I615" s="547">
        <f>ROUND(25,2)</f>
        <v>25</v>
      </c>
      <c r="J615" s="460"/>
      <c r="K615" s="460" t="s">
        <v>2613</v>
      </c>
    </row>
    <row r="616" spans="1:11" ht="14.4">
      <c r="A616" s="460" t="s">
        <v>1810</v>
      </c>
      <c r="B616" s="460" t="s">
        <v>1763</v>
      </c>
      <c r="C616" s="460"/>
      <c r="D616" s="460" t="s">
        <v>1814</v>
      </c>
      <c r="E616" s="460" t="s">
        <v>1812</v>
      </c>
      <c r="F616" s="460" t="s">
        <v>2612</v>
      </c>
      <c r="G616" s="460"/>
      <c r="H616" s="461"/>
      <c r="I616" s="460"/>
      <c r="J616" s="460"/>
      <c r="K616" s="460" t="s">
        <v>2613</v>
      </c>
    </row>
    <row r="617" spans="1:11" ht="14.4">
      <c r="A617" s="460" t="s">
        <v>1810</v>
      </c>
      <c r="B617" s="460" t="s">
        <v>1763</v>
      </c>
      <c r="C617" s="460"/>
      <c r="D617" s="460" t="s">
        <v>1814</v>
      </c>
      <c r="E617" s="460" t="s">
        <v>1812</v>
      </c>
      <c r="F617" s="460" t="s">
        <v>2614</v>
      </c>
      <c r="G617" s="460"/>
      <c r="H617" s="461" t="s">
        <v>2615</v>
      </c>
      <c r="I617" s="547">
        <f>ROUND(7,2)</f>
        <v>7</v>
      </c>
      <c r="J617" s="460" t="s">
        <v>2615</v>
      </c>
      <c r="K617" s="460" t="s">
        <v>2613</v>
      </c>
    </row>
    <row r="618" spans="1:11" ht="14.4">
      <c r="A618" s="460" t="s">
        <v>1810</v>
      </c>
      <c r="B618" s="460" t="s">
        <v>1763</v>
      </c>
      <c r="C618" s="460"/>
      <c r="D618" s="460" t="s">
        <v>1814</v>
      </c>
      <c r="E618" s="460" t="s">
        <v>1812</v>
      </c>
      <c r="F618" s="460" t="s">
        <v>2629</v>
      </c>
      <c r="G618" s="547">
        <f>ROUND(25,2)</f>
        <v>25</v>
      </c>
      <c r="H618" s="461"/>
      <c r="I618" s="547">
        <f>ROUND(25,2)</f>
        <v>25</v>
      </c>
      <c r="J618" s="460"/>
      <c r="K618" s="460" t="s">
        <v>2613</v>
      </c>
    </row>
    <row r="619" spans="1:11" ht="14.4">
      <c r="A619" s="460" t="s">
        <v>1810</v>
      </c>
      <c r="B619" s="460" t="s">
        <v>1763</v>
      </c>
      <c r="C619" s="460"/>
      <c r="D619" s="460" t="s">
        <v>1814</v>
      </c>
      <c r="E619" s="460" t="s">
        <v>1812</v>
      </c>
      <c r="F619" s="460" t="s">
        <v>2627</v>
      </c>
      <c r="G619" s="547">
        <f>ROUND(50,2)</f>
        <v>50</v>
      </c>
      <c r="H619" s="461"/>
      <c r="I619" s="547">
        <f>ROUND(50,2)</f>
        <v>50</v>
      </c>
      <c r="J619" s="460"/>
      <c r="K619" s="460" t="s">
        <v>2613</v>
      </c>
    </row>
    <row r="620" spans="1:11" ht="14.4">
      <c r="A620" s="460" t="s">
        <v>1810</v>
      </c>
      <c r="B620" s="460" t="s">
        <v>1763</v>
      </c>
      <c r="C620" s="460"/>
      <c r="D620" s="460" t="s">
        <v>1814</v>
      </c>
      <c r="E620" s="460" t="s">
        <v>1812</v>
      </c>
      <c r="F620" s="460" t="s">
        <v>2626</v>
      </c>
      <c r="G620" s="547">
        <f>ROUND(10,2)</f>
        <v>10</v>
      </c>
      <c r="H620" s="461"/>
      <c r="I620" s="547">
        <f>ROUND(10,2)</f>
        <v>10</v>
      </c>
      <c r="J620" s="460"/>
      <c r="K620" s="460" t="s">
        <v>2613</v>
      </c>
    </row>
    <row r="621" spans="1:11" ht="14.4">
      <c r="A621" s="460" t="s">
        <v>1810</v>
      </c>
      <c r="B621" s="460" t="s">
        <v>1763</v>
      </c>
      <c r="C621" s="460"/>
      <c r="D621" s="460" t="s">
        <v>1814</v>
      </c>
      <c r="E621" s="460" t="s">
        <v>1812</v>
      </c>
      <c r="F621" s="460" t="s">
        <v>2620</v>
      </c>
      <c r="G621" s="547">
        <f>ROUND(10.22,2)</f>
        <v>10.220000000000001</v>
      </c>
      <c r="H621" s="461"/>
      <c r="I621" s="547">
        <f>ROUND(10.22,2)</f>
        <v>10.220000000000001</v>
      </c>
      <c r="J621" s="460"/>
      <c r="K621" s="460" t="s">
        <v>2613</v>
      </c>
    </row>
    <row r="622" spans="1:11" ht="14.4">
      <c r="A622" s="460" t="s">
        <v>1810</v>
      </c>
      <c r="B622" s="460" t="s">
        <v>1763</v>
      </c>
      <c r="C622" s="460"/>
      <c r="D622" s="460" t="s">
        <v>1814</v>
      </c>
      <c r="E622" s="460" t="s">
        <v>1812</v>
      </c>
      <c r="F622" s="460" t="s">
        <v>2616</v>
      </c>
      <c r="G622" s="460"/>
      <c r="H622" s="461"/>
      <c r="I622" s="460"/>
      <c r="J622" s="460"/>
      <c r="K622" s="460" t="s">
        <v>2613</v>
      </c>
    </row>
    <row r="623" spans="1:11" ht="14.4">
      <c r="A623" s="460" t="s">
        <v>1810</v>
      </c>
      <c r="B623" s="460" t="s">
        <v>2561</v>
      </c>
      <c r="C623" s="460"/>
      <c r="D623" s="460" t="s">
        <v>1816</v>
      </c>
      <c r="E623" s="460" t="s">
        <v>2611</v>
      </c>
      <c r="F623" s="460" t="s">
        <v>2612</v>
      </c>
      <c r="G623" s="460"/>
      <c r="H623" s="461"/>
      <c r="I623" s="460"/>
      <c r="J623" s="460"/>
      <c r="K623" s="460" t="s">
        <v>2613</v>
      </c>
    </row>
    <row r="624" spans="1:11" ht="14.4">
      <c r="A624" s="460" t="s">
        <v>1810</v>
      </c>
      <c r="B624" s="460" t="s">
        <v>1625</v>
      </c>
      <c r="C624" s="460"/>
      <c r="D624" s="460" t="s">
        <v>1814</v>
      </c>
      <c r="E624" s="460" t="s">
        <v>1812</v>
      </c>
      <c r="F624" s="460" t="s">
        <v>2626</v>
      </c>
      <c r="G624" s="547">
        <f>ROUND(10,2)</f>
        <v>10</v>
      </c>
      <c r="H624" s="461"/>
      <c r="I624" s="547">
        <f>ROUND(10,2)</f>
        <v>10</v>
      </c>
      <c r="J624" s="460"/>
      <c r="K624" s="460" t="s">
        <v>2613</v>
      </c>
    </row>
    <row r="625" spans="1:11" ht="14.4">
      <c r="A625" s="460" t="s">
        <v>1810</v>
      </c>
      <c r="B625" s="460" t="s">
        <v>1625</v>
      </c>
      <c r="C625" s="460"/>
      <c r="D625" s="460" t="s">
        <v>1814</v>
      </c>
      <c r="E625" s="460" t="s">
        <v>1812</v>
      </c>
      <c r="F625" s="460" t="s">
        <v>2623</v>
      </c>
      <c r="G625" s="460"/>
      <c r="H625" s="461" t="s">
        <v>2651</v>
      </c>
      <c r="I625" s="547">
        <f>ROUND(10,2)</f>
        <v>10</v>
      </c>
      <c r="J625" s="460" t="s">
        <v>2651</v>
      </c>
      <c r="K625" s="460" t="s">
        <v>2613</v>
      </c>
    </row>
    <row r="626" spans="1:11" ht="14.4">
      <c r="A626" s="460" t="s">
        <v>1810</v>
      </c>
      <c r="B626" s="460" t="s">
        <v>1625</v>
      </c>
      <c r="C626" s="460"/>
      <c r="D626" s="460" t="s">
        <v>1814</v>
      </c>
      <c r="E626" s="460" t="s">
        <v>1812</v>
      </c>
      <c r="F626" s="460" t="s">
        <v>2614</v>
      </c>
      <c r="G626" s="460"/>
      <c r="H626" s="461" t="s">
        <v>2615</v>
      </c>
      <c r="I626" s="547">
        <f>ROUND(7,2)</f>
        <v>7</v>
      </c>
      <c r="J626" s="460" t="s">
        <v>2615</v>
      </c>
      <c r="K626" s="460" t="s">
        <v>2613</v>
      </c>
    </row>
    <row r="627" spans="1:11" ht="14.4">
      <c r="A627" s="460" t="s">
        <v>1810</v>
      </c>
      <c r="B627" s="460" t="s">
        <v>1625</v>
      </c>
      <c r="C627" s="460"/>
      <c r="D627" s="460" t="s">
        <v>1814</v>
      </c>
      <c r="E627" s="460" t="s">
        <v>1812</v>
      </c>
      <c r="F627" s="460" t="s">
        <v>2612</v>
      </c>
      <c r="G627" s="460"/>
      <c r="H627" s="461"/>
      <c r="I627" s="460"/>
      <c r="J627" s="460"/>
      <c r="K627" s="460" t="s">
        <v>2613</v>
      </c>
    </row>
    <row r="628" spans="1:11" ht="14.4">
      <c r="A628" s="460" t="s">
        <v>1810</v>
      </c>
      <c r="B628" s="460" t="s">
        <v>1625</v>
      </c>
      <c r="C628" s="460"/>
      <c r="D628" s="460" t="s">
        <v>1814</v>
      </c>
      <c r="E628" s="460" t="s">
        <v>1812</v>
      </c>
      <c r="F628" s="460" t="s">
        <v>2625</v>
      </c>
      <c r="G628" s="547">
        <f>ROUND(25,2)</f>
        <v>25</v>
      </c>
      <c r="H628" s="461"/>
      <c r="I628" s="547">
        <f>ROUND(25,2)</f>
        <v>25</v>
      </c>
      <c r="J628" s="460"/>
      <c r="K628" s="460" t="s">
        <v>2613</v>
      </c>
    </row>
    <row r="629" spans="1:11" ht="14.4">
      <c r="A629" s="460" t="s">
        <v>1810</v>
      </c>
      <c r="B629" s="460" t="s">
        <v>1625</v>
      </c>
      <c r="C629" s="460"/>
      <c r="D629" s="460" t="s">
        <v>1814</v>
      </c>
      <c r="E629" s="460" t="s">
        <v>1812</v>
      </c>
      <c r="F629" s="460" t="s">
        <v>2616</v>
      </c>
      <c r="G629" s="460"/>
      <c r="H629" s="461"/>
      <c r="I629" s="460"/>
      <c r="J629" s="460"/>
      <c r="K629" s="460" t="s">
        <v>2613</v>
      </c>
    </row>
    <row r="630" spans="1:11" ht="22.8">
      <c r="A630" s="460" t="s">
        <v>1810</v>
      </c>
      <c r="B630" s="460" t="s">
        <v>1347</v>
      </c>
      <c r="C630" s="460"/>
      <c r="D630" s="460" t="s">
        <v>1841</v>
      </c>
      <c r="E630" s="460" t="s">
        <v>1812</v>
      </c>
      <c r="F630" s="460" t="s">
        <v>2632</v>
      </c>
      <c r="G630" s="547">
        <f>ROUND(62.5,2)</f>
        <v>62.5</v>
      </c>
      <c r="H630" s="461"/>
      <c r="I630" s="547">
        <f>ROUND(62.5,2)</f>
        <v>62.5</v>
      </c>
      <c r="J630" s="460"/>
      <c r="K630" s="460" t="s">
        <v>2613</v>
      </c>
    </row>
    <row r="631" spans="1:11" ht="22.8">
      <c r="A631" s="460" t="s">
        <v>1810</v>
      </c>
      <c r="B631" s="460" t="s">
        <v>1347</v>
      </c>
      <c r="C631" s="460"/>
      <c r="D631" s="460" t="s">
        <v>1841</v>
      </c>
      <c r="E631" s="460" t="s">
        <v>1812</v>
      </c>
      <c r="F631" s="460" t="s">
        <v>2612</v>
      </c>
      <c r="G631" s="460"/>
      <c r="H631" s="461"/>
      <c r="I631" s="460"/>
      <c r="J631" s="460"/>
      <c r="K631" s="460" t="s">
        <v>2613</v>
      </c>
    </row>
    <row r="632" spans="1:11" ht="22.8">
      <c r="A632" s="460" t="s">
        <v>1810</v>
      </c>
      <c r="B632" s="460" t="s">
        <v>1347</v>
      </c>
      <c r="C632" s="460"/>
      <c r="D632" s="460" t="s">
        <v>1841</v>
      </c>
      <c r="E632" s="460" t="s">
        <v>1812</v>
      </c>
      <c r="F632" s="460" t="s">
        <v>2614</v>
      </c>
      <c r="G632" s="460"/>
      <c r="H632" s="461" t="s">
        <v>2615</v>
      </c>
      <c r="I632" s="547">
        <f>ROUND(7,2)</f>
        <v>7</v>
      </c>
      <c r="J632" s="460" t="s">
        <v>2615</v>
      </c>
      <c r="K632" s="460" t="s">
        <v>2613</v>
      </c>
    </row>
    <row r="633" spans="1:11" ht="22.8">
      <c r="A633" s="460" t="s">
        <v>1810</v>
      </c>
      <c r="B633" s="460" t="s">
        <v>1347</v>
      </c>
      <c r="C633" s="460"/>
      <c r="D633" s="460" t="s">
        <v>1841</v>
      </c>
      <c r="E633" s="460" t="s">
        <v>1812</v>
      </c>
      <c r="F633" s="460" t="s">
        <v>2627</v>
      </c>
      <c r="G633" s="547">
        <f>ROUND(50,2)</f>
        <v>50</v>
      </c>
      <c r="H633" s="461"/>
      <c r="I633" s="547">
        <f>ROUND(50,2)</f>
        <v>50</v>
      </c>
      <c r="J633" s="460"/>
      <c r="K633" s="460" t="s">
        <v>2613</v>
      </c>
    </row>
    <row r="634" spans="1:11" ht="22.8">
      <c r="A634" s="460" t="s">
        <v>1810</v>
      </c>
      <c r="B634" s="460" t="s">
        <v>1347</v>
      </c>
      <c r="C634" s="460"/>
      <c r="D634" s="460" t="s">
        <v>1841</v>
      </c>
      <c r="E634" s="460" t="s">
        <v>1812</v>
      </c>
      <c r="F634" s="460" t="s">
        <v>2616</v>
      </c>
      <c r="G634" s="460"/>
      <c r="H634" s="461"/>
      <c r="I634" s="460"/>
      <c r="J634" s="460"/>
      <c r="K634" s="460" t="s">
        <v>2613</v>
      </c>
    </row>
    <row r="635" spans="1:11" ht="22.8">
      <c r="A635" s="460" t="s">
        <v>1810</v>
      </c>
      <c r="B635" s="460" t="s">
        <v>1347</v>
      </c>
      <c r="C635" s="460"/>
      <c r="D635" s="460" t="s">
        <v>1841</v>
      </c>
      <c r="E635" s="460" t="s">
        <v>1812</v>
      </c>
      <c r="F635" s="460" t="s">
        <v>2618</v>
      </c>
      <c r="G635" s="547">
        <f>ROUND(40,2)</f>
        <v>40</v>
      </c>
      <c r="H635" s="461"/>
      <c r="I635" s="547">
        <f>ROUND(40,2)</f>
        <v>40</v>
      </c>
      <c r="J635" s="460"/>
      <c r="K635" s="460" t="s">
        <v>2613</v>
      </c>
    </row>
    <row r="636" spans="1:11" ht="22.8">
      <c r="A636" s="460" t="s">
        <v>1810</v>
      </c>
      <c r="B636" s="460" t="s">
        <v>1347</v>
      </c>
      <c r="C636" s="460"/>
      <c r="D636" s="460" t="s">
        <v>1841</v>
      </c>
      <c r="E636" s="460" t="s">
        <v>1812</v>
      </c>
      <c r="F636" s="460" t="s">
        <v>2617</v>
      </c>
      <c r="G636" s="547">
        <f>ROUND(75,2)</f>
        <v>75</v>
      </c>
      <c r="H636" s="461"/>
      <c r="I636" s="547">
        <f>ROUND(75,2)</f>
        <v>75</v>
      </c>
      <c r="J636" s="460"/>
      <c r="K636" s="460" t="s">
        <v>2613</v>
      </c>
    </row>
    <row r="637" spans="1:11" ht="14.4">
      <c r="A637" s="460" t="s">
        <v>1810</v>
      </c>
      <c r="B637" s="460" t="s">
        <v>1942</v>
      </c>
      <c r="C637" s="460"/>
      <c r="D637" s="460" t="s">
        <v>1816</v>
      </c>
      <c r="E637" s="460" t="s">
        <v>2611</v>
      </c>
      <c r="F637" s="460" t="s">
        <v>2623</v>
      </c>
      <c r="G637" s="460"/>
      <c r="H637" s="461" t="s">
        <v>2652</v>
      </c>
      <c r="I637" s="547">
        <f>ROUND(20,2)</f>
        <v>20</v>
      </c>
      <c r="J637" s="460" t="s">
        <v>2652</v>
      </c>
      <c r="K637" s="460" t="s">
        <v>2613</v>
      </c>
    </row>
    <row r="638" spans="1:11" ht="14.4">
      <c r="A638" s="460" t="s">
        <v>1810</v>
      </c>
      <c r="B638" s="460" t="s">
        <v>1942</v>
      </c>
      <c r="C638" s="460"/>
      <c r="D638" s="460" t="s">
        <v>1816</v>
      </c>
      <c r="E638" s="460" t="s">
        <v>2611</v>
      </c>
      <c r="F638" s="460" t="s">
        <v>2612</v>
      </c>
      <c r="G638" s="460"/>
      <c r="H638" s="461"/>
      <c r="I638" s="460"/>
      <c r="J638" s="460"/>
      <c r="K638" s="460" t="s">
        <v>2613</v>
      </c>
    </row>
    <row r="639" spans="1:11" ht="14.4">
      <c r="A639" s="460" t="s">
        <v>1810</v>
      </c>
      <c r="B639" s="460" t="s">
        <v>2942</v>
      </c>
      <c r="C639" s="460"/>
      <c r="D639" s="460" t="s">
        <v>1816</v>
      </c>
      <c r="E639" s="460" t="s">
        <v>2611</v>
      </c>
      <c r="F639" s="460" t="s">
        <v>2612</v>
      </c>
      <c r="G639" s="460"/>
      <c r="H639" s="461"/>
      <c r="I639" s="460"/>
      <c r="J639" s="460"/>
      <c r="K639" s="460" t="s">
        <v>2613</v>
      </c>
    </row>
    <row r="640" spans="1:11" ht="22.8">
      <c r="A640" s="460" t="s">
        <v>1810</v>
      </c>
      <c r="B640" s="460" t="s">
        <v>2572</v>
      </c>
      <c r="C640" s="460"/>
      <c r="D640" s="460" t="s">
        <v>1813</v>
      </c>
      <c r="E640" s="460" t="s">
        <v>2611</v>
      </c>
      <c r="F640" s="460" t="s">
        <v>2612</v>
      </c>
      <c r="G640" s="460"/>
      <c r="H640" s="461"/>
      <c r="I640" s="460"/>
      <c r="J640" s="460"/>
      <c r="K640" s="460" t="s">
        <v>2613</v>
      </c>
    </row>
    <row r="641" spans="1:11" ht="14.4">
      <c r="A641" s="460" t="s">
        <v>1810</v>
      </c>
      <c r="B641" s="460" t="s">
        <v>2943</v>
      </c>
      <c r="C641" s="460"/>
      <c r="D641" s="460" t="s">
        <v>1816</v>
      </c>
      <c r="E641" s="460" t="s">
        <v>2611</v>
      </c>
      <c r="F641" s="460" t="s">
        <v>2612</v>
      </c>
      <c r="G641" s="460"/>
      <c r="H641" s="461" t="s">
        <v>2635</v>
      </c>
      <c r="I641" s="547">
        <f>ROUND(75,2)</f>
        <v>75</v>
      </c>
      <c r="J641" s="460" t="s">
        <v>2635</v>
      </c>
      <c r="K641" s="460" t="s">
        <v>2613</v>
      </c>
    </row>
    <row r="642" spans="1:11" ht="14.4">
      <c r="A642" s="460" t="s">
        <v>1810</v>
      </c>
      <c r="B642" s="460" t="s">
        <v>2943</v>
      </c>
      <c r="C642" s="460"/>
      <c r="D642" s="460" t="s">
        <v>1816</v>
      </c>
      <c r="E642" s="460" t="s">
        <v>2611</v>
      </c>
      <c r="F642" s="460" t="s">
        <v>2623</v>
      </c>
      <c r="G642" s="460"/>
      <c r="H642" s="461" t="s">
        <v>2636</v>
      </c>
      <c r="I642" s="547">
        <f>ROUND(25,2)</f>
        <v>25</v>
      </c>
      <c r="J642" s="460" t="s">
        <v>2636</v>
      </c>
      <c r="K642" s="460" t="s">
        <v>2613</v>
      </c>
    </row>
    <row r="643" spans="1:11" ht="14.4">
      <c r="A643" s="460" t="s">
        <v>1810</v>
      </c>
      <c r="B643" s="460" t="s">
        <v>2894</v>
      </c>
      <c r="C643" s="460"/>
      <c r="D643" s="460" t="s">
        <v>1816</v>
      </c>
      <c r="E643" s="460" t="s">
        <v>2611</v>
      </c>
      <c r="F643" s="460" t="s">
        <v>2612</v>
      </c>
      <c r="G643" s="460"/>
      <c r="H643" s="461"/>
      <c r="I643" s="460"/>
      <c r="J643" s="460"/>
      <c r="K643" s="460" t="s">
        <v>2613</v>
      </c>
    </row>
    <row r="644" spans="1:11" ht="14.4">
      <c r="A644" s="460" t="s">
        <v>1810</v>
      </c>
      <c r="B644" s="460" t="s">
        <v>1502</v>
      </c>
      <c r="C644" s="460"/>
      <c r="D644" s="460" t="s">
        <v>1814</v>
      </c>
      <c r="E644" s="460" t="s">
        <v>1812</v>
      </c>
      <c r="F644" s="460" t="s">
        <v>2629</v>
      </c>
      <c r="G644" s="547">
        <f>ROUND(30,2)</f>
        <v>30</v>
      </c>
      <c r="H644" s="461"/>
      <c r="I644" s="547">
        <f>ROUND(30,2)</f>
        <v>30</v>
      </c>
      <c r="J644" s="460"/>
      <c r="K644" s="460" t="s">
        <v>2613</v>
      </c>
    </row>
    <row r="645" spans="1:11" ht="14.4">
      <c r="A645" s="460" t="s">
        <v>1810</v>
      </c>
      <c r="B645" s="460" t="s">
        <v>1502</v>
      </c>
      <c r="C645" s="460"/>
      <c r="D645" s="460" t="s">
        <v>1814</v>
      </c>
      <c r="E645" s="460" t="s">
        <v>1812</v>
      </c>
      <c r="F645" s="460" t="s">
        <v>2612</v>
      </c>
      <c r="G645" s="460"/>
      <c r="H645" s="461"/>
      <c r="I645" s="460"/>
      <c r="J645" s="460"/>
      <c r="K645" s="460" t="s">
        <v>2613</v>
      </c>
    </row>
    <row r="646" spans="1:11" ht="14.4">
      <c r="A646" s="460" t="s">
        <v>1810</v>
      </c>
      <c r="B646" s="460" t="s">
        <v>1502</v>
      </c>
      <c r="C646" s="460"/>
      <c r="D646" s="460" t="s">
        <v>1814</v>
      </c>
      <c r="E646" s="460" t="s">
        <v>1812</v>
      </c>
      <c r="F646" s="460" t="s">
        <v>2614</v>
      </c>
      <c r="G646" s="460"/>
      <c r="H646" s="461" t="s">
        <v>2615</v>
      </c>
      <c r="I646" s="547">
        <f>ROUND(7,2)</f>
        <v>7</v>
      </c>
      <c r="J646" s="460" t="s">
        <v>2615</v>
      </c>
      <c r="K646" s="460" t="s">
        <v>2613</v>
      </c>
    </row>
    <row r="647" spans="1:11" ht="14.4">
      <c r="A647" s="460" t="s">
        <v>1810</v>
      </c>
      <c r="B647" s="460" t="s">
        <v>1502</v>
      </c>
      <c r="C647" s="460"/>
      <c r="D647" s="460" t="s">
        <v>1814</v>
      </c>
      <c r="E647" s="460" t="s">
        <v>1812</v>
      </c>
      <c r="F647" s="460" t="s">
        <v>2626</v>
      </c>
      <c r="G647" s="547">
        <f>ROUND(10,2)</f>
        <v>10</v>
      </c>
      <c r="H647" s="461"/>
      <c r="I647" s="547">
        <f>ROUND(10,2)</f>
        <v>10</v>
      </c>
      <c r="J647" s="460"/>
      <c r="K647" s="460" t="s">
        <v>2613</v>
      </c>
    </row>
    <row r="648" spans="1:11" ht="14.4">
      <c r="A648" s="460" t="s">
        <v>1810</v>
      </c>
      <c r="B648" s="460" t="s">
        <v>1502</v>
      </c>
      <c r="C648" s="460"/>
      <c r="D648" s="460" t="s">
        <v>1814</v>
      </c>
      <c r="E648" s="460" t="s">
        <v>1812</v>
      </c>
      <c r="F648" s="460" t="s">
        <v>2645</v>
      </c>
      <c r="G648" s="547">
        <f>ROUND(50,2)</f>
        <v>50</v>
      </c>
      <c r="H648" s="461"/>
      <c r="I648" s="547">
        <f>ROUND(50,2)</f>
        <v>50</v>
      </c>
      <c r="J648" s="460"/>
      <c r="K648" s="460" t="s">
        <v>2613</v>
      </c>
    </row>
    <row r="649" spans="1:11" ht="14.4">
      <c r="A649" s="460" t="s">
        <v>1810</v>
      </c>
      <c r="B649" s="460" t="s">
        <v>1502</v>
      </c>
      <c r="C649" s="460"/>
      <c r="D649" s="460" t="s">
        <v>1814</v>
      </c>
      <c r="E649" s="460" t="s">
        <v>1812</v>
      </c>
      <c r="F649" s="460" t="s">
        <v>2616</v>
      </c>
      <c r="G649" s="460"/>
      <c r="H649" s="461"/>
      <c r="I649" s="460"/>
      <c r="J649" s="460"/>
      <c r="K649" s="460" t="s">
        <v>2613</v>
      </c>
    </row>
    <row r="650" spans="1:11" ht="14.4">
      <c r="A650" s="460" t="s">
        <v>1810</v>
      </c>
      <c r="B650" s="460" t="s">
        <v>1349</v>
      </c>
      <c r="C650" s="460"/>
      <c r="D650" s="460" t="s">
        <v>1818</v>
      </c>
      <c r="E650" s="460" t="s">
        <v>1812</v>
      </c>
      <c r="F650" s="460" t="s">
        <v>2612</v>
      </c>
      <c r="G650" s="460"/>
      <c r="H650" s="461"/>
      <c r="I650" s="460"/>
      <c r="J650" s="460"/>
      <c r="K650" s="460" t="s">
        <v>2613</v>
      </c>
    </row>
    <row r="651" spans="1:11" ht="14.4">
      <c r="A651" s="460" t="s">
        <v>1810</v>
      </c>
      <c r="B651" s="460" t="s">
        <v>1349</v>
      </c>
      <c r="C651" s="460"/>
      <c r="D651" s="460" t="s">
        <v>1818</v>
      </c>
      <c r="E651" s="460" t="s">
        <v>1812</v>
      </c>
      <c r="F651" s="460" t="s">
        <v>2614</v>
      </c>
      <c r="G651" s="460"/>
      <c r="H651" s="461" t="s">
        <v>2615</v>
      </c>
      <c r="I651" s="547">
        <f>ROUND(7,2)</f>
        <v>7</v>
      </c>
      <c r="J651" s="460" t="s">
        <v>2615</v>
      </c>
      <c r="K651" s="460" t="s">
        <v>2613</v>
      </c>
    </row>
    <row r="652" spans="1:11" ht="14.4">
      <c r="A652" s="460" t="s">
        <v>1810</v>
      </c>
      <c r="B652" s="460" t="s">
        <v>1349</v>
      </c>
      <c r="C652" s="460"/>
      <c r="D652" s="460" t="s">
        <v>1818</v>
      </c>
      <c r="E652" s="460" t="s">
        <v>1812</v>
      </c>
      <c r="F652" s="460" t="s">
        <v>2627</v>
      </c>
      <c r="G652" s="547">
        <f>ROUND(100,2)</f>
        <v>100</v>
      </c>
      <c r="H652" s="461"/>
      <c r="I652" s="547">
        <f>ROUND(100,2)</f>
        <v>100</v>
      </c>
      <c r="J652" s="460"/>
      <c r="K652" s="460" t="s">
        <v>2613</v>
      </c>
    </row>
    <row r="653" spans="1:11" ht="14.4">
      <c r="A653" s="460" t="s">
        <v>1810</v>
      </c>
      <c r="B653" s="460" t="s">
        <v>1349</v>
      </c>
      <c r="C653" s="460"/>
      <c r="D653" s="460" t="s">
        <v>1818</v>
      </c>
      <c r="E653" s="460" t="s">
        <v>1812</v>
      </c>
      <c r="F653" s="460" t="s">
        <v>2623</v>
      </c>
      <c r="G653" s="547">
        <f>ROUND(150,2)</f>
        <v>150</v>
      </c>
      <c r="H653" s="461"/>
      <c r="I653" s="547">
        <f>ROUND(150,2)</f>
        <v>150</v>
      </c>
      <c r="J653" s="460"/>
      <c r="K653" s="460" t="s">
        <v>2613</v>
      </c>
    </row>
    <row r="654" spans="1:11" ht="14.4">
      <c r="A654" s="460" t="s">
        <v>1810</v>
      </c>
      <c r="B654" s="460" t="s">
        <v>1349</v>
      </c>
      <c r="C654" s="460"/>
      <c r="D654" s="460" t="s">
        <v>1818</v>
      </c>
      <c r="E654" s="460" t="s">
        <v>1812</v>
      </c>
      <c r="F654" s="460" t="s">
        <v>2620</v>
      </c>
      <c r="G654" s="547">
        <f>ROUND(10.22,2)</f>
        <v>10.220000000000001</v>
      </c>
      <c r="H654" s="461"/>
      <c r="I654" s="547">
        <f>ROUND(10.22,2)</f>
        <v>10.220000000000001</v>
      </c>
      <c r="J654" s="460"/>
      <c r="K654" s="460" t="s">
        <v>2613</v>
      </c>
    </row>
    <row r="655" spans="1:11" ht="14.4">
      <c r="A655" s="460" t="s">
        <v>1810</v>
      </c>
      <c r="B655" s="460" t="s">
        <v>1349</v>
      </c>
      <c r="C655" s="460"/>
      <c r="D655" s="460" t="s">
        <v>1818</v>
      </c>
      <c r="E655" s="460" t="s">
        <v>1812</v>
      </c>
      <c r="F655" s="460" t="s">
        <v>2616</v>
      </c>
      <c r="G655" s="460"/>
      <c r="H655" s="461"/>
      <c r="I655" s="460"/>
      <c r="J655" s="460"/>
      <c r="K655" s="460" t="s">
        <v>2613</v>
      </c>
    </row>
    <row r="656" spans="1:11" ht="14.4">
      <c r="A656" s="460" t="s">
        <v>1810</v>
      </c>
      <c r="B656" s="460" t="s">
        <v>2560</v>
      </c>
      <c r="C656" s="460"/>
      <c r="D656" s="460" t="s">
        <v>1816</v>
      </c>
      <c r="E656" s="460" t="s">
        <v>2611</v>
      </c>
      <c r="F656" s="460" t="s">
        <v>2612</v>
      </c>
      <c r="G656" s="460"/>
      <c r="H656" s="461"/>
      <c r="I656" s="460"/>
      <c r="J656" s="460"/>
      <c r="K656" s="460" t="s">
        <v>2613</v>
      </c>
    </row>
    <row r="657" spans="1:11" ht="14.4">
      <c r="A657" s="460" t="s">
        <v>1810</v>
      </c>
      <c r="B657" s="460" t="s">
        <v>1562</v>
      </c>
      <c r="C657" s="460"/>
      <c r="D657" s="460" t="s">
        <v>1816</v>
      </c>
      <c r="E657" s="460" t="s">
        <v>2611</v>
      </c>
      <c r="F657" s="460" t="s">
        <v>2612</v>
      </c>
      <c r="G657" s="460"/>
      <c r="H657" s="461"/>
      <c r="I657" s="460"/>
      <c r="J657" s="460"/>
      <c r="K657" s="460" t="s">
        <v>2613</v>
      </c>
    </row>
    <row r="658" spans="1:11" ht="14.4">
      <c r="A658" s="460" t="s">
        <v>1810</v>
      </c>
      <c r="B658" s="460" t="s">
        <v>2944</v>
      </c>
      <c r="C658" s="460"/>
      <c r="D658" s="460" t="s">
        <v>1816</v>
      </c>
      <c r="E658" s="460" t="s">
        <v>2611</v>
      </c>
      <c r="F658" s="460" t="s">
        <v>2612</v>
      </c>
      <c r="G658" s="460"/>
      <c r="H658" s="461"/>
      <c r="I658" s="460"/>
      <c r="J658" s="460"/>
      <c r="K658" s="460" t="s">
        <v>2613</v>
      </c>
    </row>
    <row r="659" spans="1:11" ht="14.4">
      <c r="A659" s="460" t="s">
        <v>1810</v>
      </c>
      <c r="B659" s="460" t="s">
        <v>2437</v>
      </c>
      <c r="C659" s="460"/>
      <c r="D659" s="460" t="s">
        <v>1814</v>
      </c>
      <c r="E659" s="460" t="s">
        <v>1812</v>
      </c>
      <c r="F659" s="460" t="s">
        <v>2612</v>
      </c>
      <c r="G659" s="460"/>
      <c r="H659" s="461"/>
      <c r="I659" s="460"/>
      <c r="J659" s="460"/>
      <c r="K659" s="460" t="s">
        <v>2613</v>
      </c>
    </row>
    <row r="660" spans="1:11" ht="14.4">
      <c r="A660" s="460" t="s">
        <v>1810</v>
      </c>
      <c r="B660" s="460" t="s">
        <v>2437</v>
      </c>
      <c r="C660" s="460"/>
      <c r="D660" s="460" t="s">
        <v>1814</v>
      </c>
      <c r="E660" s="460" t="s">
        <v>1812</v>
      </c>
      <c r="F660" s="460" t="s">
        <v>2629</v>
      </c>
      <c r="G660" s="547">
        <f>ROUND(30,2)</f>
        <v>30</v>
      </c>
      <c r="H660" s="461"/>
      <c r="I660" s="547">
        <f>ROUND(30,2)</f>
        <v>30</v>
      </c>
      <c r="J660" s="460"/>
      <c r="K660" s="460" t="s">
        <v>2613</v>
      </c>
    </row>
    <row r="661" spans="1:11" ht="14.4">
      <c r="A661" s="460" t="s">
        <v>1810</v>
      </c>
      <c r="B661" s="460" t="s">
        <v>2437</v>
      </c>
      <c r="C661" s="460"/>
      <c r="D661" s="460" t="s">
        <v>1814</v>
      </c>
      <c r="E661" s="460" t="s">
        <v>1812</v>
      </c>
      <c r="F661" s="460" t="s">
        <v>2614</v>
      </c>
      <c r="G661" s="460"/>
      <c r="H661" s="461" t="s">
        <v>2615</v>
      </c>
      <c r="I661" s="547">
        <f>ROUND(7,2)</f>
        <v>7</v>
      </c>
      <c r="J661" s="460" t="s">
        <v>2615</v>
      </c>
      <c r="K661" s="460" t="s">
        <v>2613</v>
      </c>
    </row>
    <row r="662" spans="1:11" ht="14.4">
      <c r="A662" s="460" t="s">
        <v>1810</v>
      </c>
      <c r="B662" s="460" t="s">
        <v>2437</v>
      </c>
      <c r="C662" s="460"/>
      <c r="D662" s="460" t="s">
        <v>1814</v>
      </c>
      <c r="E662" s="460" t="s">
        <v>1812</v>
      </c>
      <c r="F662" s="460" t="s">
        <v>2616</v>
      </c>
      <c r="G662" s="460"/>
      <c r="H662" s="461"/>
      <c r="I662" s="460"/>
      <c r="J662" s="460"/>
      <c r="K662" s="460" t="s">
        <v>2613</v>
      </c>
    </row>
    <row r="663" spans="1:11" ht="14.4">
      <c r="A663" s="460" t="s">
        <v>1810</v>
      </c>
      <c r="B663" s="460" t="s">
        <v>1659</v>
      </c>
      <c r="C663" s="460"/>
      <c r="D663" s="460" t="s">
        <v>1817</v>
      </c>
      <c r="E663" s="460" t="s">
        <v>1812</v>
      </c>
      <c r="F663" s="460" t="s">
        <v>2616</v>
      </c>
      <c r="G663" s="460"/>
      <c r="H663" s="461"/>
      <c r="I663" s="460"/>
      <c r="J663" s="460"/>
      <c r="K663" s="460" t="s">
        <v>2613</v>
      </c>
    </row>
    <row r="664" spans="1:11" ht="14.4">
      <c r="A664" s="460" t="s">
        <v>1810</v>
      </c>
      <c r="B664" s="460" t="s">
        <v>1659</v>
      </c>
      <c r="C664" s="460"/>
      <c r="D664" s="460" t="s">
        <v>1817</v>
      </c>
      <c r="E664" s="460" t="s">
        <v>1812</v>
      </c>
      <c r="F664" s="460" t="s">
        <v>2620</v>
      </c>
      <c r="G664" s="547">
        <f>ROUND(10.22,2)</f>
        <v>10.220000000000001</v>
      </c>
      <c r="H664" s="461"/>
      <c r="I664" s="547">
        <f>ROUND(10.22,2)</f>
        <v>10.220000000000001</v>
      </c>
      <c r="J664" s="460"/>
      <c r="K664" s="460" t="s">
        <v>2613</v>
      </c>
    </row>
    <row r="665" spans="1:11" ht="14.4">
      <c r="A665" s="460" t="s">
        <v>1810</v>
      </c>
      <c r="B665" s="460" t="s">
        <v>1659</v>
      </c>
      <c r="C665" s="460"/>
      <c r="D665" s="460" t="s">
        <v>1817</v>
      </c>
      <c r="E665" s="460" t="s">
        <v>1812</v>
      </c>
      <c r="F665" s="460" t="s">
        <v>2612</v>
      </c>
      <c r="G665" s="460"/>
      <c r="H665" s="461"/>
      <c r="I665" s="460"/>
      <c r="J665" s="460"/>
      <c r="K665" s="460" t="s">
        <v>2613</v>
      </c>
    </row>
    <row r="666" spans="1:11" ht="14.4">
      <c r="A666" s="460" t="s">
        <v>1810</v>
      </c>
      <c r="B666" s="460" t="s">
        <v>1659</v>
      </c>
      <c r="C666" s="460"/>
      <c r="D666" s="460" t="s">
        <v>1817</v>
      </c>
      <c r="E666" s="460" t="s">
        <v>1812</v>
      </c>
      <c r="F666" s="460" t="s">
        <v>2614</v>
      </c>
      <c r="G666" s="460"/>
      <c r="H666" s="461" t="s">
        <v>2615</v>
      </c>
      <c r="I666" s="547">
        <f>ROUND(7,2)</f>
        <v>7</v>
      </c>
      <c r="J666" s="460" t="s">
        <v>2615</v>
      </c>
      <c r="K666" s="460" t="s">
        <v>2613</v>
      </c>
    </row>
    <row r="667" spans="1:11" ht="14.4">
      <c r="A667" s="460" t="s">
        <v>1810</v>
      </c>
      <c r="B667" s="460" t="s">
        <v>1353</v>
      </c>
      <c r="C667" s="460"/>
      <c r="D667" s="460" t="s">
        <v>1821</v>
      </c>
      <c r="E667" s="460" t="s">
        <v>1812</v>
      </c>
      <c r="F667" s="460" t="s">
        <v>2618</v>
      </c>
      <c r="G667" s="547">
        <f>ROUND(22.5,2)</f>
        <v>22.5</v>
      </c>
      <c r="H667" s="461"/>
      <c r="I667" s="547">
        <f>ROUND(22.5,2)</f>
        <v>22.5</v>
      </c>
      <c r="J667" s="460"/>
      <c r="K667" s="460" t="s">
        <v>2613</v>
      </c>
    </row>
    <row r="668" spans="1:11" ht="14.4">
      <c r="A668" s="460" t="s">
        <v>1810</v>
      </c>
      <c r="B668" s="460" t="s">
        <v>1353</v>
      </c>
      <c r="C668" s="460"/>
      <c r="D668" s="460" t="s">
        <v>1821</v>
      </c>
      <c r="E668" s="460" t="s">
        <v>1812</v>
      </c>
      <c r="F668" s="460" t="s">
        <v>2617</v>
      </c>
      <c r="G668" s="547">
        <f>ROUND(75,2)</f>
        <v>75</v>
      </c>
      <c r="H668" s="461"/>
      <c r="I668" s="547">
        <f>ROUND(75,2)</f>
        <v>75</v>
      </c>
      <c r="J668" s="460"/>
      <c r="K668" s="460" t="s">
        <v>2613</v>
      </c>
    </row>
    <row r="669" spans="1:11" ht="14.4">
      <c r="A669" s="460" t="s">
        <v>1810</v>
      </c>
      <c r="B669" s="460" t="s">
        <v>1353</v>
      </c>
      <c r="C669" s="460"/>
      <c r="D669" s="460" t="s">
        <v>1821</v>
      </c>
      <c r="E669" s="460" t="s">
        <v>1812</v>
      </c>
      <c r="F669" s="460" t="s">
        <v>2627</v>
      </c>
      <c r="G669" s="547">
        <f>ROUND(220,2)</f>
        <v>220</v>
      </c>
      <c r="H669" s="461"/>
      <c r="I669" s="547">
        <f>ROUND(220,2)</f>
        <v>220</v>
      </c>
      <c r="J669" s="460"/>
      <c r="K669" s="460" t="s">
        <v>2613</v>
      </c>
    </row>
    <row r="670" spans="1:11" ht="14.4">
      <c r="A670" s="460" t="s">
        <v>1810</v>
      </c>
      <c r="B670" s="460" t="s">
        <v>1353</v>
      </c>
      <c r="C670" s="460"/>
      <c r="D670" s="460" t="s">
        <v>1821</v>
      </c>
      <c r="E670" s="460" t="s">
        <v>1812</v>
      </c>
      <c r="F670" s="460" t="s">
        <v>2625</v>
      </c>
      <c r="G670" s="547">
        <f>ROUND(50,2)</f>
        <v>50</v>
      </c>
      <c r="H670" s="461"/>
      <c r="I670" s="547">
        <f>ROUND(50,2)</f>
        <v>50</v>
      </c>
      <c r="J670" s="460"/>
      <c r="K670" s="460" t="s">
        <v>2613</v>
      </c>
    </row>
    <row r="671" spans="1:11" ht="14.4">
      <c r="A671" s="460" t="s">
        <v>1810</v>
      </c>
      <c r="B671" s="460" t="s">
        <v>1353</v>
      </c>
      <c r="C671" s="460"/>
      <c r="D671" s="460" t="s">
        <v>1821</v>
      </c>
      <c r="E671" s="460" t="s">
        <v>1812</v>
      </c>
      <c r="F671" s="460" t="s">
        <v>2612</v>
      </c>
      <c r="G671" s="460"/>
      <c r="H671" s="461"/>
      <c r="I671" s="460"/>
      <c r="J671" s="460"/>
      <c r="K671" s="460" t="s">
        <v>2613</v>
      </c>
    </row>
    <row r="672" spans="1:11" ht="14.4">
      <c r="A672" s="460" t="s">
        <v>1810</v>
      </c>
      <c r="B672" s="460" t="s">
        <v>1353</v>
      </c>
      <c r="C672" s="460"/>
      <c r="D672" s="460" t="s">
        <v>1821</v>
      </c>
      <c r="E672" s="460" t="s">
        <v>1812</v>
      </c>
      <c r="F672" s="460" t="s">
        <v>2614</v>
      </c>
      <c r="G672" s="460"/>
      <c r="H672" s="461" t="s">
        <v>2615</v>
      </c>
      <c r="I672" s="547">
        <f>ROUND(7,2)</f>
        <v>7</v>
      </c>
      <c r="J672" s="460" t="s">
        <v>2615</v>
      </c>
      <c r="K672" s="460" t="s">
        <v>2613</v>
      </c>
    </row>
    <row r="673" spans="1:11" ht="14.4">
      <c r="A673" s="460" t="s">
        <v>1810</v>
      </c>
      <c r="B673" s="460" t="s">
        <v>1353</v>
      </c>
      <c r="C673" s="460"/>
      <c r="D673" s="460" t="s">
        <v>1821</v>
      </c>
      <c r="E673" s="460" t="s">
        <v>1812</v>
      </c>
      <c r="F673" s="460" t="s">
        <v>2634</v>
      </c>
      <c r="G673" s="547">
        <f>ROUND(50,2)</f>
        <v>50</v>
      </c>
      <c r="H673" s="461"/>
      <c r="I673" s="547">
        <f>ROUND(50,2)</f>
        <v>50</v>
      </c>
      <c r="J673" s="460"/>
      <c r="K673" s="460" t="s">
        <v>2613</v>
      </c>
    </row>
    <row r="674" spans="1:11" ht="14.4">
      <c r="A674" s="460" t="s">
        <v>1810</v>
      </c>
      <c r="B674" s="460" t="s">
        <v>1353</v>
      </c>
      <c r="C674" s="460"/>
      <c r="D674" s="460" t="s">
        <v>1821</v>
      </c>
      <c r="E674" s="460" t="s">
        <v>1812</v>
      </c>
      <c r="F674" s="460" t="s">
        <v>2633</v>
      </c>
      <c r="G674" s="547">
        <f>ROUND(30,2)</f>
        <v>30</v>
      </c>
      <c r="H674" s="461"/>
      <c r="I674" s="547">
        <f>ROUND(30,2)</f>
        <v>30</v>
      </c>
      <c r="J674" s="460"/>
      <c r="K674" s="460" t="s">
        <v>2613</v>
      </c>
    </row>
    <row r="675" spans="1:11" ht="14.4">
      <c r="A675" s="460" t="s">
        <v>1810</v>
      </c>
      <c r="B675" s="460" t="s">
        <v>1353</v>
      </c>
      <c r="C675" s="460"/>
      <c r="D675" s="460" t="s">
        <v>1821</v>
      </c>
      <c r="E675" s="460" t="s">
        <v>1812</v>
      </c>
      <c r="F675" s="460" t="s">
        <v>2620</v>
      </c>
      <c r="G675" s="547">
        <f>ROUND(10.22,2)</f>
        <v>10.220000000000001</v>
      </c>
      <c r="H675" s="461"/>
      <c r="I675" s="547">
        <f>ROUND(10.22,2)</f>
        <v>10.220000000000001</v>
      </c>
      <c r="J675" s="460"/>
      <c r="K675" s="460" t="s">
        <v>2613</v>
      </c>
    </row>
    <row r="676" spans="1:11" ht="14.4">
      <c r="A676" s="460" t="s">
        <v>1810</v>
      </c>
      <c r="B676" s="460" t="s">
        <v>1353</v>
      </c>
      <c r="C676" s="460"/>
      <c r="D676" s="460" t="s">
        <v>1821</v>
      </c>
      <c r="E676" s="460" t="s">
        <v>1812</v>
      </c>
      <c r="F676" s="460" t="s">
        <v>2616</v>
      </c>
      <c r="G676" s="460"/>
      <c r="H676" s="461"/>
      <c r="I676" s="460"/>
      <c r="J676" s="460"/>
      <c r="K676" s="460" t="s">
        <v>2613</v>
      </c>
    </row>
    <row r="677" spans="1:11" ht="14.4">
      <c r="A677" s="460" t="s">
        <v>1810</v>
      </c>
      <c r="B677" s="460" t="s">
        <v>1622</v>
      </c>
      <c r="C677" s="460"/>
      <c r="D677" s="460" t="s">
        <v>1816</v>
      </c>
      <c r="E677" s="460" t="s">
        <v>2611</v>
      </c>
      <c r="F677" s="460" t="s">
        <v>2612</v>
      </c>
      <c r="G677" s="460"/>
      <c r="H677" s="461"/>
      <c r="I677" s="460"/>
      <c r="J677" s="460"/>
      <c r="K677" s="460" t="s">
        <v>2613</v>
      </c>
    </row>
    <row r="678" spans="1:11" ht="22.8">
      <c r="A678" s="460" t="s">
        <v>1810</v>
      </c>
      <c r="B678" s="460" t="s">
        <v>1629</v>
      </c>
      <c r="C678" s="460"/>
      <c r="D678" s="460" t="s">
        <v>1841</v>
      </c>
      <c r="E678" s="460" t="s">
        <v>1812</v>
      </c>
      <c r="F678" s="460" t="s">
        <v>2632</v>
      </c>
      <c r="G678" s="547">
        <f>ROUND(62.5,2)</f>
        <v>62.5</v>
      </c>
      <c r="H678" s="461"/>
      <c r="I678" s="547">
        <f>ROUND(62.5,2)</f>
        <v>62.5</v>
      </c>
      <c r="J678" s="460"/>
      <c r="K678" s="460" t="s">
        <v>2613</v>
      </c>
    </row>
    <row r="679" spans="1:11" ht="22.8">
      <c r="A679" s="460" t="s">
        <v>1810</v>
      </c>
      <c r="B679" s="460" t="s">
        <v>1629</v>
      </c>
      <c r="C679" s="460"/>
      <c r="D679" s="460" t="s">
        <v>1841</v>
      </c>
      <c r="E679" s="460" t="s">
        <v>1812</v>
      </c>
      <c r="F679" s="460" t="s">
        <v>2623</v>
      </c>
      <c r="G679" s="460"/>
      <c r="H679" s="461"/>
      <c r="I679" s="460"/>
      <c r="J679" s="460"/>
      <c r="K679" s="460" t="s">
        <v>2613</v>
      </c>
    </row>
    <row r="680" spans="1:11" ht="22.8">
      <c r="A680" s="460" t="s">
        <v>1810</v>
      </c>
      <c r="B680" s="460" t="s">
        <v>1629</v>
      </c>
      <c r="C680" s="460"/>
      <c r="D680" s="460" t="s">
        <v>1841</v>
      </c>
      <c r="E680" s="460" t="s">
        <v>1812</v>
      </c>
      <c r="F680" s="460" t="s">
        <v>2614</v>
      </c>
      <c r="G680" s="460"/>
      <c r="H680" s="461" t="s">
        <v>2615</v>
      </c>
      <c r="I680" s="547">
        <f>ROUND(7,2)</f>
        <v>7</v>
      </c>
      <c r="J680" s="460" t="s">
        <v>2615</v>
      </c>
      <c r="K680" s="460" t="s">
        <v>2613</v>
      </c>
    </row>
    <row r="681" spans="1:11" ht="22.8">
      <c r="A681" s="460" t="s">
        <v>1810</v>
      </c>
      <c r="B681" s="460" t="s">
        <v>1629</v>
      </c>
      <c r="C681" s="460"/>
      <c r="D681" s="460" t="s">
        <v>1841</v>
      </c>
      <c r="E681" s="460" t="s">
        <v>1812</v>
      </c>
      <c r="F681" s="460" t="s">
        <v>2616</v>
      </c>
      <c r="G681" s="460"/>
      <c r="H681" s="461"/>
      <c r="I681" s="460"/>
      <c r="J681" s="460"/>
      <c r="K681" s="460" t="s">
        <v>2613</v>
      </c>
    </row>
    <row r="682" spans="1:11" ht="22.8">
      <c r="A682" s="460" t="s">
        <v>1810</v>
      </c>
      <c r="B682" s="460" t="s">
        <v>1629</v>
      </c>
      <c r="C682" s="460"/>
      <c r="D682" s="460" t="s">
        <v>1841</v>
      </c>
      <c r="E682" s="460" t="s">
        <v>1812</v>
      </c>
      <c r="F682" s="460" t="s">
        <v>2617</v>
      </c>
      <c r="G682" s="547">
        <f>ROUND(75,2)</f>
        <v>75</v>
      </c>
      <c r="H682" s="461"/>
      <c r="I682" s="547">
        <f>ROUND(75,2)</f>
        <v>75</v>
      </c>
      <c r="J682" s="460"/>
      <c r="K682" s="460" t="s">
        <v>2613</v>
      </c>
    </row>
    <row r="683" spans="1:11" ht="22.8">
      <c r="A683" s="460" t="s">
        <v>1810</v>
      </c>
      <c r="B683" s="460" t="s">
        <v>1629</v>
      </c>
      <c r="C683" s="460"/>
      <c r="D683" s="460" t="s">
        <v>1841</v>
      </c>
      <c r="E683" s="460" t="s">
        <v>1812</v>
      </c>
      <c r="F683" s="460" t="s">
        <v>2618</v>
      </c>
      <c r="G683" s="547">
        <f>ROUND(40,2)</f>
        <v>40</v>
      </c>
      <c r="H683" s="461"/>
      <c r="I683" s="547">
        <f>ROUND(40,2)</f>
        <v>40</v>
      </c>
      <c r="J683" s="460"/>
      <c r="K683" s="460" t="s">
        <v>2613</v>
      </c>
    </row>
    <row r="684" spans="1:11" ht="14.4">
      <c r="A684" s="460" t="s">
        <v>1810</v>
      </c>
      <c r="B684" s="460" t="s">
        <v>2453</v>
      </c>
      <c r="C684" s="460"/>
      <c r="D684" s="460" t="s">
        <v>1816</v>
      </c>
      <c r="E684" s="460" t="s">
        <v>2611</v>
      </c>
      <c r="F684" s="460" t="s">
        <v>2612</v>
      </c>
      <c r="G684" s="460"/>
      <c r="H684" s="461"/>
      <c r="I684" s="460"/>
      <c r="J684" s="460"/>
      <c r="K684" s="460" t="s">
        <v>2613</v>
      </c>
    </row>
    <row r="685" spans="1:11" ht="14.4">
      <c r="A685" s="460" t="s">
        <v>1810</v>
      </c>
      <c r="B685" s="460" t="s">
        <v>1692</v>
      </c>
      <c r="C685" s="460"/>
      <c r="D685" s="460" t="s">
        <v>1816</v>
      </c>
      <c r="E685" s="460" t="s">
        <v>2611</v>
      </c>
      <c r="F685" s="460" t="s">
        <v>2619</v>
      </c>
      <c r="G685" s="547">
        <f>ROUND(100,2)</f>
        <v>100</v>
      </c>
      <c r="H685" s="461"/>
      <c r="I685" s="547">
        <f>ROUND(100,2)</f>
        <v>100</v>
      </c>
      <c r="J685" s="460"/>
      <c r="K685" s="460" t="s">
        <v>2613</v>
      </c>
    </row>
    <row r="686" spans="1:11" ht="14.4">
      <c r="A686" s="460" t="s">
        <v>1810</v>
      </c>
      <c r="B686" s="460" t="s">
        <v>1692</v>
      </c>
      <c r="C686" s="460"/>
      <c r="D686" s="460" t="s">
        <v>1816</v>
      </c>
      <c r="E686" s="460" t="s">
        <v>2611</v>
      </c>
      <c r="F686" s="460" t="s">
        <v>2612</v>
      </c>
      <c r="G686" s="460"/>
      <c r="H686" s="461"/>
      <c r="I686" s="460"/>
      <c r="J686" s="460"/>
      <c r="K686" s="460" t="s">
        <v>2613</v>
      </c>
    </row>
    <row r="687" spans="1:11" ht="14.4">
      <c r="A687" s="460" t="s">
        <v>1810</v>
      </c>
      <c r="B687" s="460" t="s">
        <v>1355</v>
      </c>
      <c r="C687" s="460"/>
      <c r="D687" s="460" t="s">
        <v>1821</v>
      </c>
      <c r="E687" s="460" t="s">
        <v>1812</v>
      </c>
      <c r="F687" s="460" t="s">
        <v>2616</v>
      </c>
      <c r="G687" s="460"/>
      <c r="H687" s="461"/>
      <c r="I687" s="460"/>
      <c r="J687" s="460"/>
      <c r="K687" s="460" t="s">
        <v>2613</v>
      </c>
    </row>
    <row r="688" spans="1:11" ht="14.4">
      <c r="A688" s="460" t="s">
        <v>1810</v>
      </c>
      <c r="B688" s="460" t="s">
        <v>1355</v>
      </c>
      <c r="C688" s="460"/>
      <c r="D688" s="460" t="s">
        <v>1821</v>
      </c>
      <c r="E688" s="460" t="s">
        <v>1812</v>
      </c>
      <c r="F688" s="460" t="s">
        <v>2625</v>
      </c>
      <c r="G688" s="547">
        <f>ROUND(25,2)</f>
        <v>25</v>
      </c>
      <c r="H688" s="461"/>
      <c r="I688" s="547">
        <f>ROUND(25,2)</f>
        <v>25</v>
      </c>
      <c r="J688" s="460"/>
      <c r="K688" s="460" t="s">
        <v>2613</v>
      </c>
    </row>
    <row r="689" spans="1:11" ht="14.4">
      <c r="A689" s="460" t="s">
        <v>1810</v>
      </c>
      <c r="B689" s="460" t="s">
        <v>1355</v>
      </c>
      <c r="C689" s="460"/>
      <c r="D689" s="460" t="s">
        <v>1821</v>
      </c>
      <c r="E689" s="460" t="s">
        <v>1812</v>
      </c>
      <c r="F689" s="460" t="s">
        <v>2612</v>
      </c>
      <c r="G689" s="460"/>
      <c r="H689" s="461"/>
      <c r="I689" s="460"/>
      <c r="J689" s="460"/>
      <c r="K689" s="460" t="s">
        <v>2613</v>
      </c>
    </row>
    <row r="690" spans="1:11" ht="14.4">
      <c r="A690" s="460" t="s">
        <v>1810</v>
      </c>
      <c r="B690" s="460" t="s">
        <v>1355</v>
      </c>
      <c r="C690" s="460"/>
      <c r="D690" s="460" t="s">
        <v>1821</v>
      </c>
      <c r="E690" s="460" t="s">
        <v>1812</v>
      </c>
      <c r="F690" s="460" t="s">
        <v>2614</v>
      </c>
      <c r="G690" s="460"/>
      <c r="H690" s="461" t="s">
        <v>2615</v>
      </c>
      <c r="I690" s="547">
        <f>ROUND(7,2)</f>
        <v>7</v>
      </c>
      <c r="J690" s="460" t="s">
        <v>2615</v>
      </c>
      <c r="K690" s="460" t="s">
        <v>2613</v>
      </c>
    </row>
    <row r="691" spans="1:11" ht="14.4">
      <c r="A691" s="460" t="s">
        <v>1810</v>
      </c>
      <c r="B691" s="460" t="s">
        <v>1355</v>
      </c>
      <c r="C691" s="460"/>
      <c r="D691" s="460" t="s">
        <v>1821</v>
      </c>
      <c r="E691" s="460" t="s">
        <v>1812</v>
      </c>
      <c r="F691" s="460" t="s">
        <v>2634</v>
      </c>
      <c r="G691" s="547">
        <f>ROUND(61,2)</f>
        <v>61</v>
      </c>
      <c r="H691" s="461"/>
      <c r="I691" s="547">
        <f>ROUND(61,2)</f>
        <v>61</v>
      </c>
      <c r="J691" s="460"/>
      <c r="K691" s="460" t="s">
        <v>2613</v>
      </c>
    </row>
    <row r="692" spans="1:11" ht="14.4">
      <c r="A692" s="460" t="s">
        <v>1810</v>
      </c>
      <c r="B692" s="460" t="s">
        <v>1355</v>
      </c>
      <c r="C692" s="460"/>
      <c r="D692" s="460" t="s">
        <v>1821</v>
      </c>
      <c r="E692" s="460" t="s">
        <v>1812</v>
      </c>
      <c r="F692" s="460" t="s">
        <v>2633</v>
      </c>
      <c r="G692" s="547">
        <f>ROUND(250,2)</f>
        <v>250</v>
      </c>
      <c r="H692" s="461"/>
      <c r="I692" s="547">
        <f>ROUND(250,2)</f>
        <v>250</v>
      </c>
      <c r="J692" s="460"/>
      <c r="K692" s="460" t="s">
        <v>2613</v>
      </c>
    </row>
    <row r="693" spans="1:11" ht="14.4">
      <c r="A693" s="460" t="s">
        <v>1810</v>
      </c>
      <c r="B693" s="460" t="s">
        <v>2587</v>
      </c>
      <c r="C693" s="460"/>
      <c r="D693" s="460" t="s">
        <v>1816</v>
      </c>
      <c r="E693" s="460" t="s">
        <v>2611</v>
      </c>
      <c r="F693" s="460" t="s">
        <v>2612</v>
      </c>
      <c r="G693" s="460"/>
      <c r="H693" s="461"/>
      <c r="I693" s="460"/>
      <c r="J693" s="460"/>
      <c r="K693" s="460" t="s">
        <v>2613</v>
      </c>
    </row>
    <row r="694" spans="1:11" ht="22.8">
      <c r="A694" s="460" t="s">
        <v>1810</v>
      </c>
      <c r="B694" s="460" t="s">
        <v>1496</v>
      </c>
      <c r="C694" s="460"/>
      <c r="D694" s="460" t="s">
        <v>1840</v>
      </c>
      <c r="E694" s="460" t="s">
        <v>1812</v>
      </c>
      <c r="F694" s="460" t="s">
        <v>2612</v>
      </c>
      <c r="G694" s="460"/>
      <c r="H694" s="461"/>
      <c r="I694" s="460"/>
      <c r="J694" s="460"/>
      <c r="K694" s="460" t="s">
        <v>2613</v>
      </c>
    </row>
    <row r="695" spans="1:11" ht="22.8">
      <c r="A695" s="460" t="s">
        <v>1810</v>
      </c>
      <c r="B695" s="460" t="s">
        <v>1496</v>
      </c>
      <c r="C695" s="460"/>
      <c r="D695" s="460" t="s">
        <v>1840</v>
      </c>
      <c r="E695" s="460" t="s">
        <v>1812</v>
      </c>
      <c r="F695" s="460" t="s">
        <v>2614</v>
      </c>
      <c r="G695" s="460"/>
      <c r="H695" s="461" t="s">
        <v>2615</v>
      </c>
      <c r="I695" s="547">
        <f>ROUND(7,2)</f>
        <v>7</v>
      </c>
      <c r="J695" s="460" t="s">
        <v>2615</v>
      </c>
      <c r="K695" s="460" t="s">
        <v>2613</v>
      </c>
    </row>
    <row r="696" spans="1:11" ht="22.8">
      <c r="A696" s="460" t="s">
        <v>1810</v>
      </c>
      <c r="B696" s="460" t="s">
        <v>1496</v>
      </c>
      <c r="C696" s="460"/>
      <c r="D696" s="460" t="s">
        <v>1840</v>
      </c>
      <c r="E696" s="460" t="s">
        <v>1812</v>
      </c>
      <c r="F696" s="460" t="s">
        <v>2625</v>
      </c>
      <c r="G696" s="547">
        <f>ROUND(37.5,2)</f>
        <v>37.5</v>
      </c>
      <c r="H696" s="461"/>
      <c r="I696" s="547">
        <f>ROUND(37.5,2)</f>
        <v>37.5</v>
      </c>
      <c r="J696" s="460"/>
      <c r="K696" s="460" t="s">
        <v>2613</v>
      </c>
    </row>
    <row r="697" spans="1:11" ht="22.8">
      <c r="A697" s="460" t="s">
        <v>1810</v>
      </c>
      <c r="B697" s="460" t="s">
        <v>1496</v>
      </c>
      <c r="C697" s="460"/>
      <c r="D697" s="460" t="s">
        <v>1840</v>
      </c>
      <c r="E697" s="460" t="s">
        <v>1812</v>
      </c>
      <c r="F697" s="460" t="s">
        <v>2645</v>
      </c>
      <c r="G697" s="547">
        <f>ROUND(50,2)</f>
        <v>50</v>
      </c>
      <c r="H697" s="461"/>
      <c r="I697" s="547">
        <f>ROUND(50,2)</f>
        <v>50</v>
      </c>
      <c r="J697" s="460"/>
      <c r="K697" s="460" t="s">
        <v>2613</v>
      </c>
    </row>
    <row r="698" spans="1:11" ht="22.8">
      <c r="A698" s="460" t="s">
        <v>1810</v>
      </c>
      <c r="B698" s="460" t="s">
        <v>1496</v>
      </c>
      <c r="C698" s="460"/>
      <c r="D698" s="460" t="s">
        <v>1840</v>
      </c>
      <c r="E698" s="460" t="s">
        <v>1812</v>
      </c>
      <c r="F698" s="460" t="s">
        <v>2616</v>
      </c>
      <c r="G698" s="460"/>
      <c r="H698" s="461"/>
      <c r="I698" s="460"/>
      <c r="J698" s="460"/>
      <c r="K698" s="460" t="s">
        <v>2613</v>
      </c>
    </row>
    <row r="699" spans="1:11" ht="14.4">
      <c r="A699" s="460" t="s">
        <v>1810</v>
      </c>
      <c r="B699" s="460" t="s">
        <v>2479</v>
      </c>
      <c r="C699" s="460"/>
      <c r="D699" s="460" t="s">
        <v>1817</v>
      </c>
      <c r="E699" s="460" t="s">
        <v>1812</v>
      </c>
      <c r="F699" s="460" t="s">
        <v>2618</v>
      </c>
      <c r="G699" s="547">
        <f>ROUND(22.5,2)</f>
        <v>22.5</v>
      </c>
      <c r="H699" s="461"/>
      <c r="I699" s="547">
        <f>ROUND(22.5,2)</f>
        <v>22.5</v>
      </c>
      <c r="J699" s="460"/>
      <c r="K699" s="460" t="s">
        <v>2613</v>
      </c>
    </row>
    <row r="700" spans="1:11" ht="14.4">
      <c r="A700" s="460" t="s">
        <v>1810</v>
      </c>
      <c r="B700" s="460" t="s">
        <v>2479</v>
      </c>
      <c r="C700" s="460"/>
      <c r="D700" s="460" t="s">
        <v>1817</v>
      </c>
      <c r="E700" s="460" t="s">
        <v>1812</v>
      </c>
      <c r="F700" s="460" t="s">
        <v>2617</v>
      </c>
      <c r="G700" s="547">
        <f>ROUND(75,2)</f>
        <v>75</v>
      </c>
      <c r="H700" s="461"/>
      <c r="I700" s="547">
        <f>ROUND(75,2)</f>
        <v>75</v>
      </c>
      <c r="J700" s="460"/>
      <c r="K700" s="460" t="s">
        <v>2613</v>
      </c>
    </row>
    <row r="701" spans="1:11" ht="14.4">
      <c r="A701" s="460" t="s">
        <v>1810</v>
      </c>
      <c r="B701" s="460" t="s">
        <v>2479</v>
      </c>
      <c r="C701" s="460"/>
      <c r="D701" s="460" t="s">
        <v>1817</v>
      </c>
      <c r="E701" s="460" t="s">
        <v>1812</v>
      </c>
      <c r="F701" s="460" t="s">
        <v>2625</v>
      </c>
      <c r="G701" s="547">
        <f>ROUND(37.5,2)</f>
        <v>37.5</v>
      </c>
      <c r="H701" s="461"/>
      <c r="I701" s="547">
        <f>ROUND(37.5,2)</f>
        <v>37.5</v>
      </c>
      <c r="J701" s="460"/>
      <c r="K701" s="460" t="s">
        <v>2613</v>
      </c>
    </row>
    <row r="702" spans="1:11" ht="14.4">
      <c r="A702" s="460" t="s">
        <v>1810</v>
      </c>
      <c r="B702" s="460" t="s">
        <v>2479</v>
      </c>
      <c r="C702" s="460"/>
      <c r="D702" s="460" t="s">
        <v>1817</v>
      </c>
      <c r="E702" s="460" t="s">
        <v>1812</v>
      </c>
      <c r="F702" s="460" t="s">
        <v>2627</v>
      </c>
      <c r="G702" s="547">
        <f>ROUND(20,2)</f>
        <v>20</v>
      </c>
      <c r="H702" s="461"/>
      <c r="I702" s="547">
        <f>ROUND(20,2)</f>
        <v>20</v>
      </c>
      <c r="J702" s="460"/>
      <c r="K702" s="460" t="s">
        <v>2613</v>
      </c>
    </row>
    <row r="703" spans="1:11" ht="14.4">
      <c r="A703" s="460" t="s">
        <v>1810</v>
      </c>
      <c r="B703" s="460" t="s">
        <v>2479</v>
      </c>
      <c r="C703" s="460"/>
      <c r="D703" s="460" t="s">
        <v>1817</v>
      </c>
      <c r="E703" s="460" t="s">
        <v>1812</v>
      </c>
      <c r="F703" s="460" t="s">
        <v>2633</v>
      </c>
      <c r="G703" s="547">
        <f>ROUND(20,2)</f>
        <v>20</v>
      </c>
      <c r="H703" s="461"/>
      <c r="I703" s="547">
        <f>ROUND(20,2)</f>
        <v>20</v>
      </c>
      <c r="J703" s="460"/>
      <c r="K703" s="460" t="s">
        <v>2613</v>
      </c>
    </row>
    <row r="704" spans="1:11" ht="14.4">
      <c r="A704" s="460" t="s">
        <v>1810</v>
      </c>
      <c r="B704" s="460" t="s">
        <v>2479</v>
      </c>
      <c r="C704" s="460"/>
      <c r="D704" s="460" t="s">
        <v>1817</v>
      </c>
      <c r="E704" s="460" t="s">
        <v>1812</v>
      </c>
      <c r="F704" s="460" t="s">
        <v>2620</v>
      </c>
      <c r="G704" s="547">
        <f>ROUND(10.22,2)</f>
        <v>10.220000000000001</v>
      </c>
      <c r="H704" s="461"/>
      <c r="I704" s="547">
        <f>ROUND(10.22,2)</f>
        <v>10.220000000000001</v>
      </c>
      <c r="J704" s="460"/>
      <c r="K704" s="460" t="s">
        <v>2613</v>
      </c>
    </row>
    <row r="705" spans="1:11" ht="14.4">
      <c r="A705" s="460" t="s">
        <v>1810</v>
      </c>
      <c r="B705" s="460" t="s">
        <v>2479</v>
      </c>
      <c r="C705" s="460"/>
      <c r="D705" s="460" t="s">
        <v>1817</v>
      </c>
      <c r="E705" s="460" t="s">
        <v>1812</v>
      </c>
      <c r="F705" s="460" t="s">
        <v>2616</v>
      </c>
      <c r="G705" s="460"/>
      <c r="H705" s="461"/>
      <c r="I705" s="460"/>
      <c r="J705" s="460"/>
      <c r="K705" s="460" t="s">
        <v>2613</v>
      </c>
    </row>
    <row r="706" spans="1:11" ht="14.4">
      <c r="A706" s="460" t="s">
        <v>1810</v>
      </c>
      <c r="B706" s="460" t="s">
        <v>2479</v>
      </c>
      <c r="C706" s="460"/>
      <c r="D706" s="460" t="s">
        <v>1817</v>
      </c>
      <c r="E706" s="460" t="s">
        <v>1812</v>
      </c>
      <c r="F706" s="460" t="s">
        <v>2614</v>
      </c>
      <c r="G706" s="460"/>
      <c r="H706" s="461" t="s">
        <v>2615</v>
      </c>
      <c r="I706" s="547">
        <f>ROUND(7,2)</f>
        <v>7</v>
      </c>
      <c r="J706" s="460" t="s">
        <v>2615</v>
      </c>
      <c r="K706" s="460" t="s">
        <v>2613</v>
      </c>
    </row>
    <row r="707" spans="1:11" ht="14.4">
      <c r="A707" s="460" t="s">
        <v>1810</v>
      </c>
      <c r="B707" s="460" t="s">
        <v>2479</v>
      </c>
      <c r="C707" s="460"/>
      <c r="D707" s="460" t="s">
        <v>1817</v>
      </c>
      <c r="E707" s="460" t="s">
        <v>1812</v>
      </c>
      <c r="F707" s="460" t="s">
        <v>2612</v>
      </c>
      <c r="G707" s="460"/>
      <c r="H707" s="461"/>
      <c r="I707" s="460"/>
      <c r="J707" s="460"/>
      <c r="K707" s="460" t="s">
        <v>2613</v>
      </c>
    </row>
    <row r="708" spans="1:11" ht="22.8">
      <c r="A708" s="460" t="s">
        <v>1810</v>
      </c>
      <c r="B708" s="460" t="s">
        <v>1720</v>
      </c>
      <c r="C708" s="460"/>
      <c r="D708" s="460" t="s">
        <v>1828</v>
      </c>
      <c r="E708" s="460" t="s">
        <v>1812</v>
      </c>
      <c r="F708" s="460" t="s">
        <v>2614</v>
      </c>
      <c r="G708" s="460"/>
      <c r="H708" s="461" t="s">
        <v>2615</v>
      </c>
      <c r="I708" s="547">
        <f>ROUND(7,2)</f>
        <v>7</v>
      </c>
      <c r="J708" s="460" t="s">
        <v>2615</v>
      </c>
      <c r="K708" s="460" t="s">
        <v>2613</v>
      </c>
    </row>
    <row r="709" spans="1:11" ht="22.8">
      <c r="A709" s="460" t="s">
        <v>1810</v>
      </c>
      <c r="B709" s="460" t="s">
        <v>1720</v>
      </c>
      <c r="C709" s="460"/>
      <c r="D709" s="460" t="s">
        <v>1828</v>
      </c>
      <c r="E709" s="460" t="s">
        <v>1812</v>
      </c>
      <c r="F709" s="460" t="s">
        <v>2612</v>
      </c>
      <c r="G709" s="460"/>
      <c r="H709" s="461"/>
      <c r="I709" s="460"/>
      <c r="J709" s="460"/>
      <c r="K709" s="460" t="s">
        <v>2613</v>
      </c>
    </row>
    <row r="710" spans="1:11" ht="22.8">
      <c r="A710" s="460" t="s">
        <v>1810</v>
      </c>
      <c r="B710" s="460" t="s">
        <v>1720</v>
      </c>
      <c r="C710" s="460"/>
      <c r="D710" s="460" t="s">
        <v>1828</v>
      </c>
      <c r="E710" s="460" t="s">
        <v>1812</v>
      </c>
      <c r="F710" s="460" t="s">
        <v>2620</v>
      </c>
      <c r="G710" s="547">
        <f>ROUND(10.22,2)</f>
        <v>10.220000000000001</v>
      </c>
      <c r="H710" s="461"/>
      <c r="I710" s="547">
        <f>ROUND(10.22,2)</f>
        <v>10.220000000000001</v>
      </c>
      <c r="J710" s="460"/>
      <c r="K710" s="460" t="s">
        <v>2613</v>
      </c>
    </row>
    <row r="711" spans="1:11" ht="22.8">
      <c r="A711" s="460" t="s">
        <v>1810</v>
      </c>
      <c r="B711" s="460" t="s">
        <v>1720</v>
      </c>
      <c r="C711" s="460"/>
      <c r="D711" s="460" t="s">
        <v>1828</v>
      </c>
      <c r="E711" s="460" t="s">
        <v>1812</v>
      </c>
      <c r="F711" s="460" t="s">
        <v>2616</v>
      </c>
      <c r="G711" s="460"/>
      <c r="H711" s="461"/>
      <c r="I711" s="460"/>
      <c r="J711" s="460"/>
      <c r="K711" s="460" t="s">
        <v>2613</v>
      </c>
    </row>
    <row r="712" spans="1:11" ht="14.4">
      <c r="A712" s="460" t="s">
        <v>1810</v>
      </c>
      <c r="B712" s="460" t="s">
        <v>1623</v>
      </c>
      <c r="C712" s="460"/>
      <c r="D712" s="460" t="s">
        <v>1816</v>
      </c>
      <c r="E712" s="460" t="s">
        <v>1812</v>
      </c>
      <c r="F712" s="460" t="s">
        <v>2612</v>
      </c>
      <c r="G712" s="460"/>
      <c r="H712" s="461"/>
      <c r="I712" s="460"/>
      <c r="J712" s="460"/>
      <c r="K712" s="460" t="s">
        <v>2613</v>
      </c>
    </row>
    <row r="713" spans="1:11" ht="14.4">
      <c r="A713" s="460" t="s">
        <v>1810</v>
      </c>
      <c r="B713" s="460" t="s">
        <v>1623</v>
      </c>
      <c r="C713" s="460"/>
      <c r="D713" s="460" t="s">
        <v>1816</v>
      </c>
      <c r="E713" s="460" t="s">
        <v>1812</v>
      </c>
      <c r="F713" s="460" t="s">
        <v>2614</v>
      </c>
      <c r="G713" s="460"/>
      <c r="H713" s="461" t="s">
        <v>2615</v>
      </c>
      <c r="I713" s="547">
        <f>ROUND(7,2)</f>
        <v>7</v>
      </c>
      <c r="J713" s="460" t="s">
        <v>2615</v>
      </c>
      <c r="K713" s="460" t="s">
        <v>2613</v>
      </c>
    </row>
    <row r="714" spans="1:11" ht="14.4">
      <c r="A714" s="460" t="s">
        <v>1810</v>
      </c>
      <c r="B714" s="460" t="s">
        <v>1623</v>
      </c>
      <c r="C714" s="460"/>
      <c r="D714" s="460" t="s">
        <v>1816</v>
      </c>
      <c r="E714" s="460" t="s">
        <v>1812</v>
      </c>
      <c r="F714" s="460" t="s">
        <v>2616</v>
      </c>
      <c r="G714" s="460"/>
      <c r="H714" s="461"/>
      <c r="I714" s="460"/>
      <c r="J714" s="460"/>
      <c r="K714" s="460" t="s">
        <v>2613</v>
      </c>
    </row>
    <row r="715" spans="1:11" ht="14.4">
      <c r="A715" s="460" t="s">
        <v>1810</v>
      </c>
      <c r="B715" s="460" t="s">
        <v>1623</v>
      </c>
      <c r="C715" s="460"/>
      <c r="D715" s="460" t="s">
        <v>1816</v>
      </c>
      <c r="E715" s="460" t="s">
        <v>1812</v>
      </c>
      <c r="F715" s="460" t="s">
        <v>2617</v>
      </c>
      <c r="G715" s="547">
        <f>ROUND(75,2)</f>
        <v>75</v>
      </c>
      <c r="H715" s="461"/>
      <c r="I715" s="547">
        <f>ROUND(75,2)</f>
        <v>75</v>
      </c>
      <c r="J715" s="460"/>
      <c r="K715" s="460" t="s">
        <v>2613</v>
      </c>
    </row>
    <row r="716" spans="1:11" ht="14.4">
      <c r="A716" s="460" t="s">
        <v>1810</v>
      </c>
      <c r="B716" s="460" t="s">
        <v>1623</v>
      </c>
      <c r="C716" s="460"/>
      <c r="D716" s="460" t="s">
        <v>1816</v>
      </c>
      <c r="E716" s="460" t="s">
        <v>1812</v>
      </c>
      <c r="F716" s="460" t="s">
        <v>2618</v>
      </c>
      <c r="G716" s="547">
        <f>ROUND(22.5,2)</f>
        <v>22.5</v>
      </c>
      <c r="H716" s="461"/>
      <c r="I716" s="547">
        <f>ROUND(22.5,2)</f>
        <v>22.5</v>
      </c>
      <c r="J716" s="460"/>
      <c r="K716" s="460" t="s">
        <v>2613</v>
      </c>
    </row>
    <row r="717" spans="1:11" ht="14.4">
      <c r="A717" s="460" t="s">
        <v>1810</v>
      </c>
      <c r="B717" s="460" t="s">
        <v>1709</v>
      </c>
      <c r="C717" s="460"/>
      <c r="D717" s="460" t="s">
        <v>1814</v>
      </c>
      <c r="E717" s="460" t="s">
        <v>1812</v>
      </c>
      <c r="F717" s="460" t="s">
        <v>2629</v>
      </c>
      <c r="G717" s="547">
        <f>ROUND(25,2)</f>
        <v>25</v>
      </c>
      <c r="H717" s="461"/>
      <c r="I717" s="547">
        <f>ROUND(25,2)</f>
        <v>25</v>
      </c>
      <c r="J717" s="460"/>
      <c r="K717" s="460" t="s">
        <v>2613</v>
      </c>
    </row>
    <row r="718" spans="1:11" ht="14.4">
      <c r="A718" s="460" t="s">
        <v>1810</v>
      </c>
      <c r="B718" s="460" t="s">
        <v>1709</v>
      </c>
      <c r="C718" s="460"/>
      <c r="D718" s="460" t="s">
        <v>1814</v>
      </c>
      <c r="E718" s="460" t="s">
        <v>1812</v>
      </c>
      <c r="F718" s="460" t="s">
        <v>2612</v>
      </c>
      <c r="G718" s="460"/>
      <c r="H718" s="461"/>
      <c r="I718" s="460"/>
      <c r="J718" s="460"/>
      <c r="K718" s="460" t="s">
        <v>2613</v>
      </c>
    </row>
    <row r="719" spans="1:11" ht="14.4">
      <c r="A719" s="460" t="s">
        <v>1810</v>
      </c>
      <c r="B719" s="460" t="s">
        <v>1709</v>
      </c>
      <c r="C719" s="460"/>
      <c r="D719" s="460" t="s">
        <v>1814</v>
      </c>
      <c r="E719" s="460" t="s">
        <v>1812</v>
      </c>
      <c r="F719" s="460" t="s">
        <v>2614</v>
      </c>
      <c r="G719" s="460"/>
      <c r="H719" s="461" t="s">
        <v>2615</v>
      </c>
      <c r="I719" s="547">
        <f>ROUND(7,2)</f>
        <v>7</v>
      </c>
      <c r="J719" s="460" t="s">
        <v>2615</v>
      </c>
      <c r="K719" s="460" t="s">
        <v>2613</v>
      </c>
    </row>
    <row r="720" spans="1:11" ht="14.4">
      <c r="A720" s="460" t="s">
        <v>1810</v>
      </c>
      <c r="B720" s="460" t="s">
        <v>1709</v>
      </c>
      <c r="C720" s="460"/>
      <c r="D720" s="460" t="s">
        <v>1814</v>
      </c>
      <c r="E720" s="460" t="s">
        <v>1812</v>
      </c>
      <c r="F720" s="460" t="s">
        <v>2616</v>
      </c>
      <c r="G720" s="460"/>
      <c r="H720" s="461"/>
      <c r="I720" s="460"/>
      <c r="J720" s="460"/>
      <c r="K720" s="460" t="s">
        <v>2613</v>
      </c>
    </row>
    <row r="721" spans="1:11" ht="22.8">
      <c r="A721" s="460" t="s">
        <v>1810</v>
      </c>
      <c r="B721" s="460" t="s">
        <v>1557</v>
      </c>
      <c r="C721" s="460"/>
      <c r="D721" s="460" t="s">
        <v>1819</v>
      </c>
      <c r="E721" s="460" t="s">
        <v>1812</v>
      </c>
      <c r="F721" s="460" t="s">
        <v>2623</v>
      </c>
      <c r="G721" s="460"/>
      <c r="H721" s="461"/>
      <c r="I721" s="460"/>
      <c r="J721" s="460"/>
      <c r="K721" s="460" t="s">
        <v>2613</v>
      </c>
    </row>
    <row r="722" spans="1:11" ht="22.8">
      <c r="A722" s="460" t="s">
        <v>1810</v>
      </c>
      <c r="B722" s="460" t="s">
        <v>1557</v>
      </c>
      <c r="C722" s="460"/>
      <c r="D722" s="460" t="s">
        <v>1819</v>
      </c>
      <c r="E722" s="460" t="s">
        <v>1812</v>
      </c>
      <c r="F722" s="460" t="s">
        <v>2614</v>
      </c>
      <c r="G722" s="460"/>
      <c r="H722" s="461" t="s">
        <v>2615</v>
      </c>
      <c r="I722" s="547">
        <f>ROUND(7,2)</f>
        <v>7</v>
      </c>
      <c r="J722" s="460" t="s">
        <v>2615</v>
      </c>
      <c r="K722" s="460" t="s">
        <v>2613</v>
      </c>
    </row>
    <row r="723" spans="1:11" ht="22.8">
      <c r="A723" s="460" t="s">
        <v>1810</v>
      </c>
      <c r="B723" s="460" t="s">
        <v>1557</v>
      </c>
      <c r="C723" s="460"/>
      <c r="D723" s="460" t="s">
        <v>1819</v>
      </c>
      <c r="E723" s="460" t="s">
        <v>1812</v>
      </c>
      <c r="F723" s="460" t="s">
        <v>2627</v>
      </c>
      <c r="G723" s="547">
        <f>ROUND(23,2)</f>
        <v>23</v>
      </c>
      <c r="H723" s="461"/>
      <c r="I723" s="547">
        <f>ROUND(23,2)</f>
        <v>23</v>
      </c>
      <c r="J723" s="460"/>
      <c r="K723" s="460" t="s">
        <v>2613</v>
      </c>
    </row>
    <row r="724" spans="1:11" ht="22.8">
      <c r="A724" s="460" t="s">
        <v>1810</v>
      </c>
      <c r="B724" s="460" t="s">
        <v>1557</v>
      </c>
      <c r="C724" s="460"/>
      <c r="D724" s="460" t="s">
        <v>1819</v>
      </c>
      <c r="E724" s="460" t="s">
        <v>1812</v>
      </c>
      <c r="F724" s="460" t="s">
        <v>2633</v>
      </c>
      <c r="G724" s="547">
        <f>ROUND(23,2)</f>
        <v>23</v>
      </c>
      <c r="H724" s="461"/>
      <c r="I724" s="547">
        <f>ROUND(23,2)</f>
        <v>23</v>
      </c>
      <c r="J724" s="460"/>
      <c r="K724" s="460" t="s">
        <v>2613</v>
      </c>
    </row>
    <row r="725" spans="1:11" ht="22.8">
      <c r="A725" s="460" t="s">
        <v>1810</v>
      </c>
      <c r="B725" s="460" t="s">
        <v>1557</v>
      </c>
      <c r="C725" s="460"/>
      <c r="D725" s="460" t="s">
        <v>1819</v>
      </c>
      <c r="E725" s="460" t="s">
        <v>1812</v>
      </c>
      <c r="F725" s="460" t="s">
        <v>2616</v>
      </c>
      <c r="G725" s="460"/>
      <c r="H725" s="461"/>
      <c r="I725" s="460"/>
      <c r="J725" s="460"/>
      <c r="K725" s="460" t="s">
        <v>2613</v>
      </c>
    </row>
    <row r="726" spans="1:11" ht="22.8">
      <c r="A726" s="460" t="s">
        <v>1810</v>
      </c>
      <c r="B726" s="460" t="s">
        <v>1557</v>
      </c>
      <c r="C726" s="460"/>
      <c r="D726" s="460" t="s">
        <v>1819</v>
      </c>
      <c r="E726" s="460" t="s">
        <v>1812</v>
      </c>
      <c r="F726" s="460" t="s">
        <v>2617</v>
      </c>
      <c r="G726" s="547">
        <f>ROUND(75,2)</f>
        <v>75</v>
      </c>
      <c r="H726" s="461"/>
      <c r="I726" s="547">
        <f>ROUND(75,2)</f>
        <v>75</v>
      </c>
      <c r="J726" s="460"/>
      <c r="K726" s="460" t="s">
        <v>2613</v>
      </c>
    </row>
    <row r="727" spans="1:11" ht="22.8">
      <c r="A727" s="460" t="s">
        <v>1810</v>
      </c>
      <c r="B727" s="460" t="s">
        <v>1557</v>
      </c>
      <c r="C727" s="460"/>
      <c r="D727" s="460" t="s">
        <v>1819</v>
      </c>
      <c r="E727" s="460" t="s">
        <v>1812</v>
      </c>
      <c r="F727" s="460" t="s">
        <v>2618</v>
      </c>
      <c r="G727" s="547">
        <f>ROUND(40,2)</f>
        <v>40</v>
      </c>
      <c r="H727" s="461"/>
      <c r="I727" s="547">
        <f>ROUND(40,2)</f>
        <v>40</v>
      </c>
      <c r="J727" s="460"/>
      <c r="K727" s="460" t="s">
        <v>2613</v>
      </c>
    </row>
    <row r="728" spans="1:11" ht="14.4">
      <c r="A728" s="460" t="s">
        <v>1810</v>
      </c>
      <c r="B728" s="460" t="s">
        <v>2945</v>
      </c>
      <c r="C728" s="460"/>
      <c r="D728" s="460" t="s">
        <v>1816</v>
      </c>
      <c r="E728" s="460" t="s">
        <v>2611</v>
      </c>
      <c r="F728" s="460" t="s">
        <v>2612</v>
      </c>
      <c r="G728" s="460"/>
      <c r="H728" s="461"/>
      <c r="I728" s="460"/>
      <c r="J728" s="460"/>
      <c r="K728" s="460" t="s">
        <v>2613</v>
      </c>
    </row>
    <row r="729" spans="1:11" ht="14.4">
      <c r="A729" s="460" t="s">
        <v>1810</v>
      </c>
      <c r="B729" s="460" t="s">
        <v>2946</v>
      </c>
      <c r="C729" s="460"/>
      <c r="D729" s="460" t="s">
        <v>1816</v>
      </c>
      <c r="E729" s="460" t="s">
        <v>2611</v>
      </c>
      <c r="F729" s="460" t="s">
        <v>2612</v>
      </c>
      <c r="G729" s="460"/>
      <c r="H729" s="461"/>
      <c r="I729" s="460"/>
      <c r="J729" s="460"/>
      <c r="K729" s="460" t="s">
        <v>2613</v>
      </c>
    </row>
    <row r="730" spans="1:11" ht="22.8">
      <c r="A730" s="460" t="s">
        <v>1810</v>
      </c>
      <c r="B730" s="460" t="s">
        <v>1362</v>
      </c>
      <c r="C730" s="460"/>
      <c r="D730" s="460" t="s">
        <v>1841</v>
      </c>
      <c r="E730" s="460" t="s">
        <v>2015</v>
      </c>
      <c r="F730" s="460" t="s">
        <v>2632</v>
      </c>
      <c r="G730" s="547">
        <f>ROUND(62.5,2)</f>
        <v>62.5</v>
      </c>
      <c r="H730" s="461"/>
      <c r="I730" s="547">
        <f>ROUND(62.5,2)</f>
        <v>62.5</v>
      </c>
      <c r="J730" s="460"/>
      <c r="K730" s="460" t="s">
        <v>2613</v>
      </c>
    </row>
    <row r="731" spans="1:11" ht="22.8">
      <c r="A731" s="460" t="s">
        <v>1810</v>
      </c>
      <c r="B731" s="460" t="s">
        <v>1362</v>
      </c>
      <c r="C731" s="460"/>
      <c r="D731" s="460" t="s">
        <v>1841</v>
      </c>
      <c r="E731" s="460" t="s">
        <v>2015</v>
      </c>
      <c r="F731" s="460" t="s">
        <v>2612</v>
      </c>
      <c r="G731" s="460"/>
      <c r="H731" s="461"/>
      <c r="I731" s="460"/>
      <c r="J731" s="460"/>
      <c r="K731" s="460" t="s">
        <v>2613</v>
      </c>
    </row>
    <row r="732" spans="1:11" ht="22.8">
      <c r="A732" s="460" t="s">
        <v>1810</v>
      </c>
      <c r="B732" s="460" t="s">
        <v>1362</v>
      </c>
      <c r="C732" s="460"/>
      <c r="D732" s="460" t="s">
        <v>1841</v>
      </c>
      <c r="E732" s="460" t="s">
        <v>2015</v>
      </c>
      <c r="F732" s="460" t="s">
        <v>2627</v>
      </c>
      <c r="G732" s="547">
        <f>ROUND(125,2)</f>
        <v>125</v>
      </c>
      <c r="H732" s="461"/>
      <c r="I732" s="547">
        <f>ROUND(125,2)</f>
        <v>125</v>
      </c>
      <c r="J732" s="460"/>
      <c r="K732" s="460" t="s">
        <v>2613</v>
      </c>
    </row>
    <row r="733" spans="1:11" ht="22.8">
      <c r="A733" s="460" t="s">
        <v>1810</v>
      </c>
      <c r="B733" s="460" t="s">
        <v>1362</v>
      </c>
      <c r="C733" s="460"/>
      <c r="D733" s="460" t="s">
        <v>1841</v>
      </c>
      <c r="E733" s="460" t="s">
        <v>2015</v>
      </c>
      <c r="F733" s="460" t="s">
        <v>2614</v>
      </c>
      <c r="G733" s="460"/>
      <c r="H733" s="461" t="s">
        <v>2615</v>
      </c>
      <c r="I733" s="547">
        <f>ROUND(7,2)</f>
        <v>7</v>
      </c>
      <c r="J733" s="460" t="s">
        <v>2615</v>
      </c>
      <c r="K733" s="460" t="s">
        <v>2613</v>
      </c>
    </row>
    <row r="734" spans="1:11" ht="22.8">
      <c r="A734" s="460" t="s">
        <v>1810</v>
      </c>
      <c r="B734" s="460" t="s">
        <v>1362</v>
      </c>
      <c r="C734" s="460"/>
      <c r="D734" s="460" t="s">
        <v>1841</v>
      </c>
      <c r="E734" s="460" t="s">
        <v>2015</v>
      </c>
      <c r="F734" s="460" t="s">
        <v>2616</v>
      </c>
      <c r="G734" s="460"/>
      <c r="H734" s="461"/>
      <c r="I734" s="460"/>
      <c r="J734" s="460"/>
      <c r="K734" s="460" t="s">
        <v>2613</v>
      </c>
    </row>
    <row r="735" spans="1:11" ht="22.8">
      <c r="A735" s="460" t="s">
        <v>1810</v>
      </c>
      <c r="B735" s="460" t="s">
        <v>1362</v>
      </c>
      <c r="C735" s="460"/>
      <c r="D735" s="460" t="s">
        <v>1841</v>
      </c>
      <c r="E735" s="460" t="s">
        <v>2015</v>
      </c>
      <c r="F735" s="460" t="s">
        <v>2617</v>
      </c>
      <c r="G735" s="547">
        <f>ROUND(75,2)</f>
        <v>75</v>
      </c>
      <c r="H735" s="461"/>
      <c r="I735" s="547">
        <f>ROUND(75,2)</f>
        <v>75</v>
      </c>
      <c r="J735" s="460"/>
      <c r="K735" s="460" t="s">
        <v>2613</v>
      </c>
    </row>
    <row r="736" spans="1:11" ht="22.8">
      <c r="A736" s="460" t="s">
        <v>1810</v>
      </c>
      <c r="B736" s="460" t="s">
        <v>1362</v>
      </c>
      <c r="C736" s="460"/>
      <c r="D736" s="460" t="s">
        <v>1841</v>
      </c>
      <c r="E736" s="460" t="s">
        <v>2015</v>
      </c>
      <c r="F736" s="460" t="s">
        <v>2618</v>
      </c>
      <c r="G736" s="547">
        <f>ROUND(40,2)</f>
        <v>40</v>
      </c>
      <c r="H736" s="461"/>
      <c r="I736" s="547">
        <f>ROUND(40,2)</f>
        <v>40</v>
      </c>
      <c r="J736" s="460"/>
      <c r="K736" s="460" t="s">
        <v>2613</v>
      </c>
    </row>
    <row r="737" spans="1:11" ht="14.4">
      <c r="A737" s="460" t="s">
        <v>1810</v>
      </c>
      <c r="B737" s="460" t="s">
        <v>1753</v>
      </c>
      <c r="C737" s="460"/>
      <c r="D737" s="460" t="s">
        <v>1816</v>
      </c>
      <c r="E737" s="460" t="s">
        <v>2611</v>
      </c>
      <c r="F737" s="460" t="s">
        <v>2612</v>
      </c>
      <c r="G737" s="460"/>
      <c r="H737" s="461"/>
      <c r="I737" s="460"/>
      <c r="J737" s="460"/>
      <c r="K737" s="460" t="s">
        <v>2613</v>
      </c>
    </row>
    <row r="738" spans="1:11" ht="14.4">
      <c r="A738" s="460" t="s">
        <v>1810</v>
      </c>
      <c r="B738" s="460" t="s">
        <v>2916</v>
      </c>
      <c r="C738" s="460"/>
      <c r="D738" s="460" t="s">
        <v>1816</v>
      </c>
      <c r="E738" s="460" t="s">
        <v>2611</v>
      </c>
      <c r="F738" s="460" t="s">
        <v>2612</v>
      </c>
      <c r="G738" s="460"/>
      <c r="H738" s="461"/>
      <c r="I738" s="460"/>
      <c r="J738" s="460"/>
      <c r="K738" s="460" t="s">
        <v>2613</v>
      </c>
    </row>
    <row r="739" spans="1:11" ht="14.4">
      <c r="A739" s="460" t="s">
        <v>1810</v>
      </c>
      <c r="B739" s="460" t="s">
        <v>1590</v>
      </c>
      <c r="C739" s="460"/>
      <c r="D739" s="460" t="s">
        <v>1814</v>
      </c>
      <c r="E739" s="460" t="s">
        <v>1812</v>
      </c>
      <c r="F739" s="460" t="s">
        <v>2632</v>
      </c>
      <c r="G739" s="547">
        <f>ROUND(166.67,2)</f>
        <v>166.67</v>
      </c>
      <c r="H739" s="461"/>
      <c r="I739" s="547">
        <f>ROUND(166.67,2)</f>
        <v>166.67</v>
      </c>
      <c r="J739" s="460"/>
      <c r="K739" s="460" t="s">
        <v>2613</v>
      </c>
    </row>
    <row r="740" spans="1:11" ht="14.4">
      <c r="A740" s="460" t="s">
        <v>1810</v>
      </c>
      <c r="B740" s="460" t="s">
        <v>1590</v>
      </c>
      <c r="C740" s="460"/>
      <c r="D740" s="460" t="s">
        <v>1814</v>
      </c>
      <c r="E740" s="460" t="s">
        <v>1812</v>
      </c>
      <c r="F740" s="460" t="s">
        <v>2612</v>
      </c>
      <c r="G740" s="460"/>
      <c r="H740" s="461"/>
      <c r="I740" s="460"/>
      <c r="J740" s="460"/>
      <c r="K740" s="460" t="s">
        <v>2613</v>
      </c>
    </row>
    <row r="741" spans="1:11" ht="14.4">
      <c r="A741" s="460" t="s">
        <v>1810</v>
      </c>
      <c r="B741" s="460" t="s">
        <v>1590</v>
      </c>
      <c r="C741" s="460"/>
      <c r="D741" s="460" t="s">
        <v>1814</v>
      </c>
      <c r="E741" s="460" t="s">
        <v>1812</v>
      </c>
      <c r="F741" s="460" t="s">
        <v>2614</v>
      </c>
      <c r="G741" s="460"/>
      <c r="H741" s="461" t="s">
        <v>2615</v>
      </c>
      <c r="I741" s="547">
        <f>ROUND(7,2)</f>
        <v>7</v>
      </c>
      <c r="J741" s="460" t="s">
        <v>2615</v>
      </c>
      <c r="K741" s="460" t="s">
        <v>2613</v>
      </c>
    </row>
    <row r="742" spans="1:11" ht="14.4">
      <c r="A742" s="460" t="s">
        <v>1810</v>
      </c>
      <c r="B742" s="460" t="s">
        <v>1590</v>
      </c>
      <c r="C742" s="460"/>
      <c r="D742" s="460" t="s">
        <v>1814</v>
      </c>
      <c r="E742" s="460" t="s">
        <v>1812</v>
      </c>
      <c r="F742" s="460" t="s">
        <v>2626</v>
      </c>
      <c r="G742" s="547">
        <f>ROUND(10,2)</f>
        <v>10</v>
      </c>
      <c r="H742" s="461"/>
      <c r="I742" s="547">
        <f>ROUND(10,2)</f>
        <v>10</v>
      </c>
      <c r="J742" s="460"/>
      <c r="K742" s="460" t="s">
        <v>2613</v>
      </c>
    </row>
    <row r="743" spans="1:11" ht="14.4">
      <c r="A743" s="460" t="s">
        <v>1810</v>
      </c>
      <c r="B743" s="460" t="s">
        <v>1590</v>
      </c>
      <c r="C743" s="460"/>
      <c r="D743" s="460" t="s">
        <v>1814</v>
      </c>
      <c r="E743" s="460" t="s">
        <v>1812</v>
      </c>
      <c r="F743" s="460" t="s">
        <v>2625</v>
      </c>
      <c r="G743" s="547">
        <f>ROUND(25,2)</f>
        <v>25</v>
      </c>
      <c r="H743" s="461"/>
      <c r="I743" s="547">
        <f>ROUND(25,2)</f>
        <v>25</v>
      </c>
      <c r="J743" s="460"/>
      <c r="K743" s="460" t="s">
        <v>2613</v>
      </c>
    </row>
    <row r="744" spans="1:11" ht="14.4">
      <c r="A744" s="460" t="s">
        <v>1810</v>
      </c>
      <c r="B744" s="460" t="s">
        <v>1590</v>
      </c>
      <c r="C744" s="460"/>
      <c r="D744" s="460" t="s">
        <v>1814</v>
      </c>
      <c r="E744" s="460" t="s">
        <v>1812</v>
      </c>
      <c r="F744" s="460" t="s">
        <v>2620</v>
      </c>
      <c r="G744" s="547">
        <f>ROUND(10.22,2)</f>
        <v>10.220000000000001</v>
      </c>
      <c r="H744" s="461"/>
      <c r="I744" s="547">
        <f>ROUND(10.22,2)</f>
        <v>10.220000000000001</v>
      </c>
      <c r="J744" s="460"/>
      <c r="K744" s="460" t="s">
        <v>2613</v>
      </c>
    </row>
    <row r="745" spans="1:11" ht="14.4">
      <c r="A745" s="460" t="s">
        <v>1810</v>
      </c>
      <c r="B745" s="460" t="s">
        <v>1590</v>
      </c>
      <c r="C745" s="460"/>
      <c r="D745" s="460" t="s">
        <v>1814</v>
      </c>
      <c r="E745" s="460" t="s">
        <v>1812</v>
      </c>
      <c r="F745" s="460" t="s">
        <v>2616</v>
      </c>
      <c r="G745" s="460"/>
      <c r="H745" s="461"/>
      <c r="I745" s="460"/>
      <c r="J745" s="460"/>
      <c r="K745" s="460" t="s">
        <v>2613</v>
      </c>
    </row>
    <row r="746" spans="1:11" ht="14.4">
      <c r="A746" s="460" t="s">
        <v>1810</v>
      </c>
      <c r="B746" s="460" t="s">
        <v>1930</v>
      </c>
      <c r="C746" s="460"/>
      <c r="D746" s="460" t="s">
        <v>1816</v>
      </c>
      <c r="E746" s="460" t="s">
        <v>2611</v>
      </c>
      <c r="F746" s="460" t="s">
        <v>2612</v>
      </c>
      <c r="G746" s="460"/>
      <c r="H746" s="461"/>
      <c r="I746" s="460"/>
      <c r="J746" s="460"/>
      <c r="K746" s="460" t="s">
        <v>2613</v>
      </c>
    </row>
    <row r="747" spans="1:11" ht="14.4">
      <c r="A747" s="460" t="s">
        <v>1810</v>
      </c>
      <c r="B747" s="460" t="s">
        <v>1928</v>
      </c>
      <c r="C747" s="460"/>
      <c r="D747" s="460" t="s">
        <v>1816</v>
      </c>
      <c r="E747" s="460" t="s">
        <v>2611</v>
      </c>
      <c r="F747" s="460" t="s">
        <v>2612</v>
      </c>
      <c r="G747" s="460"/>
      <c r="H747" s="461"/>
      <c r="I747" s="460"/>
      <c r="J747" s="460"/>
      <c r="K747" s="460" t="s">
        <v>2613</v>
      </c>
    </row>
    <row r="748" spans="1:11" ht="14.4">
      <c r="A748" s="460" t="s">
        <v>1810</v>
      </c>
      <c r="B748" s="460" t="s">
        <v>2433</v>
      </c>
      <c r="C748" s="460"/>
      <c r="D748" s="460" t="s">
        <v>1816</v>
      </c>
      <c r="E748" s="460" t="s">
        <v>2611</v>
      </c>
      <c r="F748" s="460" t="s">
        <v>2612</v>
      </c>
      <c r="G748" s="460"/>
      <c r="H748" s="461"/>
      <c r="I748" s="460"/>
      <c r="J748" s="460"/>
      <c r="K748" s="460" t="s">
        <v>2613</v>
      </c>
    </row>
    <row r="749" spans="1:11" ht="14.4">
      <c r="A749" s="460" t="s">
        <v>1810</v>
      </c>
      <c r="B749" s="460" t="s">
        <v>2947</v>
      </c>
      <c r="C749" s="460"/>
      <c r="D749" s="460" t="s">
        <v>1816</v>
      </c>
      <c r="E749" s="460" t="s">
        <v>2611</v>
      </c>
      <c r="F749" s="460" t="s">
        <v>2612</v>
      </c>
      <c r="G749" s="460"/>
      <c r="H749" s="461"/>
      <c r="I749" s="460"/>
      <c r="J749" s="460"/>
      <c r="K749" s="460" t="s">
        <v>2613</v>
      </c>
    </row>
    <row r="750" spans="1:11" ht="14.4">
      <c r="A750" s="460" t="s">
        <v>1810</v>
      </c>
      <c r="B750" s="460" t="s">
        <v>1366</v>
      </c>
      <c r="C750" s="460"/>
      <c r="D750" s="460" t="s">
        <v>1817</v>
      </c>
      <c r="E750" s="460" t="s">
        <v>1812</v>
      </c>
      <c r="F750" s="460" t="s">
        <v>2612</v>
      </c>
      <c r="G750" s="460"/>
      <c r="H750" s="461"/>
      <c r="I750" s="460"/>
      <c r="J750" s="460"/>
      <c r="K750" s="460" t="s">
        <v>2613</v>
      </c>
    </row>
    <row r="751" spans="1:11" ht="14.4">
      <c r="A751" s="460" t="s">
        <v>1810</v>
      </c>
      <c r="B751" s="460" t="s">
        <v>1366</v>
      </c>
      <c r="C751" s="460"/>
      <c r="D751" s="460" t="s">
        <v>1817</v>
      </c>
      <c r="E751" s="460" t="s">
        <v>1812</v>
      </c>
      <c r="F751" s="460" t="s">
        <v>2614</v>
      </c>
      <c r="G751" s="460"/>
      <c r="H751" s="461" t="s">
        <v>2615</v>
      </c>
      <c r="I751" s="547">
        <f>ROUND(7,2)</f>
        <v>7</v>
      </c>
      <c r="J751" s="460" t="s">
        <v>2615</v>
      </c>
      <c r="K751" s="460" t="s">
        <v>2613</v>
      </c>
    </row>
    <row r="752" spans="1:11" ht="14.4">
      <c r="A752" s="460" t="s">
        <v>1810</v>
      </c>
      <c r="B752" s="460" t="s">
        <v>1366</v>
      </c>
      <c r="C752" s="460"/>
      <c r="D752" s="460" t="s">
        <v>1817</v>
      </c>
      <c r="E752" s="460" t="s">
        <v>1812</v>
      </c>
      <c r="F752" s="460" t="s">
        <v>2616</v>
      </c>
      <c r="G752" s="460"/>
      <c r="H752" s="461"/>
      <c r="I752" s="460"/>
      <c r="J752" s="460"/>
      <c r="K752" s="460" t="s">
        <v>2613</v>
      </c>
    </row>
    <row r="753" spans="1:11" ht="14.4">
      <c r="A753" s="460" t="s">
        <v>1810</v>
      </c>
      <c r="B753" s="460" t="s">
        <v>2425</v>
      </c>
      <c r="C753" s="460"/>
      <c r="D753" s="460" t="s">
        <v>1838</v>
      </c>
      <c r="E753" s="460" t="s">
        <v>1812</v>
      </c>
      <c r="F753" s="460" t="s">
        <v>2633</v>
      </c>
      <c r="G753" s="547">
        <f>ROUND(10,2)</f>
        <v>10</v>
      </c>
      <c r="H753" s="461"/>
      <c r="I753" s="547">
        <f>ROUND(10,2)</f>
        <v>10</v>
      </c>
      <c r="J753" s="460"/>
      <c r="K753" s="460" t="s">
        <v>2613</v>
      </c>
    </row>
    <row r="754" spans="1:11" ht="14.4">
      <c r="A754" s="460" t="s">
        <v>1810</v>
      </c>
      <c r="B754" s="460" t="s">
        <v>2425</v>
      </c>
      <c r="C754" s="460"/>
      <c r="D754" s="460" t="s">
        <v>1838</v>
      </c>
      <c r="E754" s="460" t="s">
        <v>1812</v>
      </c>
      <c r="F754" s="460" t="s">
        <v>2616</v>
      </c>
      <c r="G754" s="460"/>
      <c r="H754" s="461"/>
      <c r="I754" s="460"/>
      <c r="J754" s="460"/>
      <c r="K754" s="460" t="s">
        <v>2613</v>
      </c>
    </row>
    <row r="755" spans="1:11" ht="14.4">
      <c r="A755" s="460" t="s">
        <v>1810</v>
      </c>
      <c r="B755" s="460" t="s">
        <v>2425</v>
      </c>
      <c r="C755" s="460"/>
      <c r="D755" s="460" t="s">
        <v>1838</v>
      </c>
      <c r="E755" s="460" t="s">
        <v>1812</v>
      </c>
      <c r="F755" s="460" t="s">
        <v>2612</v>
      </c>
      <c r="G755" s="460"/>
      <c r="H755" s="461"/>
      <c r="I755" s="460"/>
      <c r="J755" s="460"/>
      <c r="K755" s="460" t="s">
        <v>2613</v>
      </c>
    </row>
    <row r="756" spans="1:11" ht="14.4">
      <c r="A756" s="460" t="s">
        <v>1810</v>
      </c>
      <c r="B756" s="460" t="s">
        <v>2425</v>
      </c>
      <c r="C756" s="460"/>
      <c r="D756" s="460" t="s">
        <v>1838</v>
      </c>
      <c r="E756" s="460" t="s">
        <v>1812</v>
      </c>
      <c r="F756" s="460" t="s">
        <v>2614</v>
      </c>
      <c r="G756" s="460"/>
      <c r="H756" s="461" t="s">
        <v>2615</v>
      </c>
      <c r="I756" s="547">
        <f>ROUND(7,2)</f>
        <v>7</v>
      </c>
      <c r="J756" s="460" t="s">
        <v>2615</v>
      </c>
      <c r="K756" s="460" t="s">
        <v>2613</v>
      </c>
    </row>
    <row r="757" spans="1:11" ht="22.8">
      <c r="A757" s="460" t="s">
        <v>1810</v>
      </c>
      <c r="B757" s="460" t="s">
        <v>1359</v>
      </c>
      <c r="C757" s="460"/>
      <c r="D757" s="460" t="s">
        <v>1828</v>
      </c>
      <c r="E757" s="460" t="s">
        <v>2015</v>
      </c>
      <c r="F757" s="460" t="s">
        <v>2612</v>
      </c>
      <c r="G757" s="460"/>
      <c r="H757" s="461"/>
      <c r="I757" s="460"/>
      <c r="J757" s="460"/>
      <c r="K757" s="460" t="s">
        <v>2613</v>
      </c>
    </row>
    <row r="758" spans="1:11" ht="22.8">
      <c r="A758" s="460" t="s">
        <v>1810</v>
      </c>
      <c r="B758" s="460" t="s">
        <v>1359</v>
      </c>
      <c r="C758" s="460"/>
      <c r="D758" s="460" t="s">
        <v>1828</v>
      </c>
      <c r="E758" s="460" t="s">
        <v>2015</v>
      </c>
      <c r="F758" s="460" t="s">
        <v>2614</v>
      </c>
      <c r="G758" s="460"/>
      <c r="H758" s="461" t="s">
        <v>2615</v>
      </c>
      <c r="I758" s="547">
        <f>ROUND(7,2)</f>
        <v>7</v>
      </c>
      <c r="J758" s="460" t="s">
        <v>2615</v>
      </c>
      <c r="K758" s="460" t="s">
        <v>2613</v>
      </c>
    </row>
    <row r="759" spans="1:11" ht="22.8">
      <c r="A759" s="460" t="s">
        <v>1810</v>
      </c>
      <c r="B759" s="460" t="s">
        <v>1359</v>
      </c>
      <c r="C759" s="460"/>
      <c r="D759" s="460" t="s">
        <v>1828</v>
      </c>
      <c r="E759" s="460" t="s">
        <v>2015</v>
      </c>
      <c r="F759" s="460" t="s">
        <v>2624</v>
      </c>
      <c r="G759" s="547">
        <f>ROUND(65,2)</f>
        <v>65</v>
      </c>
      <c r="H759" s="461"/>
      <c r="I759" s="547">
        <f>ROUND(65,2)</f>
        <v>65</v>
      </c>
      <c r="J759" s="460"/>
      <c r="K759" s="460" t="s">
        <v>2613</v>
      </c>
    </row>
    <row r="760" spans="1:11" ht="22.8">
      <c r="A760" s="460" t="s">
        <v>1810</v>
      </c>
      <c r="B760" s="460" t="s">
        <v>1359</v>
      </c>
      <c r="C760" s="460"/>
      <c r="D760" s="460" t="s">
        <v>1828</v>
      </c>
      <c r="E760" s="460" t="s">
        <v>2015</v>
      </c>
      <c r="F760" s="460" t="s">
        <v>2631</v>
      </c>
      <c r="G760" s="547">
        <f>ROUND(200,2)</f>
        <v>200</v>
      </c>
      <c r="H760" s="461"/>
      <c r="I760" s="547">
        <f>ROUND(200,2)</f>
        <v>200</v>
      </c>
      <c r="J760" s="460"/>
      <c r="K760" s="460" t="s">
        <v>2613</v>
      </c>
    </row>
    <row r="761" spans="1:11" ht="22.8">
      <c r="A761" s="460" t="s">
        <v>1810</v>
      </c>
      <c r="B761" s="460" t="s">
        <v>1359</v>
      </c>
      <c r="C761" s="460"/>
      <c r="D761" s="460" t="s">
        <v>1828</v>
      </c>
      <c r="E761" s="460" t="s">
        <v>2015</v>
      </c>
      <c r="F761" s="460" t="s">
        <v>2620</v>
      </c>
      <c r="G761" s="547">
        <f>ROUND(10.22,2)</f>
        <v>10.220000000000001</v>
      </c>
      <c r="H761" s="461"/>
      <c r="I761" s="547">
        <f>ROUND(10.22,2)</f>
        <v>10.220000000000001</v>
      </c>
      <c r="J761" s="460"/>
      <c r="K761" s="460" t="s">
        <v>2613</v>
      </c>
    </row>
    <row r="762" spans="1:11" ht="22.8">
      <c r="A762" s="460" t="s">
        <v>1810</v>
      </c>
      <c r="B762" s="460" t="s">
        <v>1359</v>
      </c>
      <c r="C762" s="460"/>
      <c r="D762" s="460" t="s">
        <v>1828</v>
      </c>
      <c r="E762" s="460" t="s">
        <v>2015</v>
      </c>
      <c r="F762" s="460" t="s">
        <v>2616</v>
      </c>
      <c r="G762" s="460"/>
      <c r="H762" s="461"/>
      <c r="I762" s="460"/>
      <c r="J762" s="460"/>
      <c r="K762" s="460" t="s">
        <v>2613</v>
      </c>
    </row>
    <row r="763" spans="1:11" ht="22.8">
      <c r="A763" s="460" t="s">
        <v>1810</v>
      </c>
      <c r="B763" s="460" t="s">
        <v>1359</v>
      </c>
      <c r="C763" s="460"/>
      <c r="D763" s="460" t="s">
        <v>1828</v>
      </c>
      <c r="E763" s="460" t="s">
        <v>2015</v>
      </c>
      <c r="F763" s="460" t="s">
        <v>2618</v>
      </c>
      <c r="G763" s="547">
        <f>ROUND(40,2)</f>
        <v>40</v>
      </c>
      <c r="H763" s="461"/>
      <c r="I763" s="547">
        <f>ROUND(40,2)</f>
        <v>40</v>
      </c>
      <c r="J763" s="460"/>
      <c r="K763" s="460" t="s">
        <v>2613</v>
      </c>
    </row>
    <row r="764" spans="1:11" ht="22.8">
      <c r="A764" s="460" t="s">
        <v>1810</v>
      </c>
      <c r="B764" s="460" t="s">
        <v>1359</v>
      </c>
      <c r="C764" s="460"/>
      <c r="D764" s="460" t="s">
        <v>1828</v>
      </c>
      <c r="E764" s="460" t="s">
        <v>2015</v>
      </c>
      <c r="F764" s="460" t="s">
        <v>2617</v>
      </c>
      <c r="G764" s="547">
        <f>ROUND(75,2)</f>
        <v>75</v>
      </c>
      <c r="H764" s="461"/>
      <c r="I764" s="547">
        <f>ROUND(75,2)</f>
        <v>75</v>
      </c>
      <c r="J764" s="460"/>
      <c r="K764" s="460" t="s">
        <v>2613</v>
      </c>
    </row>
    <row r="765" spans="1:11" ht="22.8">
      <c r="A765" s="460" t="s">
        <v>1810</v>
      </c>
      <c r="B765" s="460" t="s">
        <v>1505</v>
      </c>
      <c r="C765" s="460"/>
      <c r="D765" s="460" t="s">
        <v>1844</v>
      </c>
      <c r="E765" s="460" t="s">
        <v>1812</v>
      </c>
      <c r="F765" s="460" t="s">
        <v>2612</v>
      </c>
      <c r="G765" s="460"/>
      <c r="H765" s="461"/>
      <c r="I765" s="460"/>
      <c r="J765" s="460"/>
      <c r="K765" s="460" t="s">
        <v>2613</v>
      </c>
    </row>
    <row r="766" spans="1:11" ht="22.8">
      <c r="A766" s="460" t="s">
        <v>1810</v>
      </c>
      <c r="B766" s="460" t="s">
        <v>1505</v>
      </c>
      <c r="C766" s="460"/>
      <c r="D766" s="460" t="s">
        <v>1844</v>
      </c>
      <c r="E766" s="460" t="s">
        <v>1812</v>
      </c>
      <c r="F766" s="460" t="s">
        <v>2614</v>
      </c>
      <c r="G766" s="460"/>
      <c r="H766" s="461" t="s">
        <v>2615</v>
      </c>
      <c r="I766" s="547">
        <f>ROUND(7,2)</f>
        <v>7</v>
      </c>
      <c r="J766" s="460" t="s">
        <v>2615</v>
      </c>
      <c r="K766" s="460" t="s">
        <v>2613</v>
      </c>
    </row>
    <row r="767" spans="1:11" ht="22.8">
      <c r="A767" s="460" t="s">
        <v>1810</v>
      </c>
      <c r="B767" s="460" t="s">
        <v>1505</v>
      </c>
      <c r="C767" s="460"/>
      <c r="D767" s="460" t="s">
        <v>1844</v>
      </c>
      <c r="E767" s="460" t="s">
        <v>1812</v>
      </c>
      <c r="F767" s="460" t="s">
        <v>2645</v>
      </c>
      <c r="G767" s="547">
        <f>ROUND(25,2)</f>
        <v>25</v>
      </c>
      <c r="H767" s="461"/>
      <c r="I767" s="547">
        <f>ROUND(25,2)</f>
        <v>25</v>
      </c>
      <c r="J767" s="460"/>
      <c r="K767" s="460" t="s">
        <v>2613</v>
      </c>
    </row>
    <row r="768" spans="1:11" ht="22.8">
      <c r="A768" s="460" t="s">
        <v>1810</v>
      </c>
      <c r="B768" s="460" t="s">
        <v>1505</v>
      </c>
      <c r="C768" s="460"/>
      <c r="D768" s="460" t="s">
        <v>1844</v>
      </c>
      <c r="E768" s="460" t="s">
        <v>1812</v>
      </c>
      <c r="F768" s="460" t="s">
        <v>2616</v>
      </c>
      <c r="G768" s="460"/>
      <c r="H768" s="461"/>
      <c r="I768" s="460"/>
      <c r="J768" s="460"/>
      <c r="K768" s="460" t="s">
        <v>2613</v>
      </c>
    </row>
    <row r="769" spans="1:11" ht="14.4">
      <c r="A769" s="460" t="s">
        <v>1810</v>
      </c>
      <c r="B769" s="460" t="s">
        <v>2948</v>
      </c>
      <c r="C769" s="460"/>
      <c r="D769" s="460" t="s">
        <v>1816</v>
      </c>
      <c r="E769" s="460" t="s">
        <v>2611</v>
      </c>
      <c r="F769" s="460" t="s">
        <v>2612</v>
      </c>
      <c r="G769" s="460"/>
      <c r="H769" s="461"/>
      <c r="I769" s="460"/>
      <c r="J769" s="460"/>
      <c r="K769" s="460" t="s">
        <v>2613</v>
      </c>
    </row>
    <row r="770" spans="1:11" ht="22.8">
      <c r="A770" s="460" t="s">
        <v>1810</v>
      </c>
      <c r="B770" s="460" t="s">
        <v>1368</v>
      </c>
      <c r="C770" s="460"/>
      <c r="D770" s="460" t="s">
        <v>1828</v>
      </c>
      <c r="E770" s="460" t="s">
        <v>1812</v>
      </c>
      <c r="F770" s="460" t="s">
        <v>2633</v>
      </c>
      <c r="G770" s="547">
        <f>ROUND(75,2)</f>
        <v>75</v>
      </c>
      <c r="H770" s="461"/>
      <c r="I770" s="547">
        <f>ROUND(75,2)</f>
        <v>75</v>
      </c>
      <c r="J770" s="460"/>
      <c r="K770" s="460" t="s">
        <v>2613</v>
      </c>
    </row>
    <row r="771" spans="1:11" ht="22.8">
      <c r="A771" s="460" t="s">
        <v>1810</v>
      </c>
      <c r="B771" s="460" t="s">
        <v>1368</v>
      </c>
      <c r="C771" s="460"/>
      <c r="D771" s="460" t="s">
        <v>1828</v>
      </c>
      <c r="E771" s="460" t="s">
        <v>1812</v>
      </c>
      <c r="F771" s="460" t="s">
        <v>2612</v>
      </c>
      <c r="G771" s="547">
        <f>ROUND(1700,2)</f>
        <v>1700</v>
      </c>
      <c r="H771" s="461"/>
      <c r="I771" s="547">
        <f>ROUND(1700,2)</f>
        <v>1700</v>
      </c>
      <c r="J771" s="460"/>
      <c r="K771" s="460" t="s">
        <v>2613</v>
      </c>
    </row>
    <row r="772" spans="1:11" ht="22.8">
      <c r="A772" s="460" t="s">
        <v>1810</v>
      </c>
      <c r="B772" s="460" t="s">
        <v>1368</v>
      </c>
      <c r="C772" s="460"/>
      <c r="D772" s="460" t="s">
        <v>1828</v>
      </c>
      <c r="E772" s="460" t="s">
        <v>1812</v>
      </c>
      <c r="F772" s="460" t="s">
        <v>2623</v>
      </c>
      <c r="G772" s="460"/>
      <c r="H772" s="461"/>
      <c r="I772" s="460"/>
      <c r="J772" s="460"/>
      <c r="K772" s="460" t="s">
        <v>2613</v>
      </c>
    </row>
    <row r="773" spans="1:11" ht="22.8">
      <c r="A773" s="460" t="s">
        <v>1810</v>
      </c>
      <c r="B773" s="460" t="s">
        <v>1368</v>
      </c>
      <c r="C773" s="460"/>
      <c r="D773" s="460" t="s">
        <v>1828</v>
      </c>
      <c r="E773" s="460" t="s">
        <v>1812</v>
      </c>
      <c r="F773" s="460" t="s">
        <v>2614</v>
      </c>
      <c r="G773" s="460"/>
      <c r="H773" s="461" t="s">
        <v>2615</v>
      </c>
      <c r="I773" s="547">
        <f>ROUND(7,2)</f>
        <v>7</v>
      </c>
      <c r="J773" s="460" t="s">
        <v>2615</v>
      </c>
      <c r="K773" s="460" t="s">
        <v>2613</v>
      </c>
    </row>
    <row r="774" spans="1:11" ht="22.8">
      <c r="A774" s="460" t="s">
        <v>1810</v>
      </c>
      <c r="B774" s="460" t="s">
        <v>1368</v>
      </c>
      <c r="C774" s="460"/>
      <c r="D774" s="460" t="s">
        <v>1828</v>
      </c>
      <c r="E774" s="460" t="s">
        <v>1812</v>
      </c>
      <c r="F774" s="460" t="s">
        <v>2624</v>
      </c>
      <c r="G774" s="547">
        <f>ROUND(100,2)</f>
        <v>100</v>
      </c>
      <c r="H774" s="461"/>
      <c r="I774" s="547">
        <f>ROUND(100,2)</f>
        <v>100</v>
      </c>
      <c r="J774" s="460"/>
      <c r="K774" s="460" t="s">
        <v>2613</v>
      </c>
    </row>
    <row r="775" spans="1:11" ht="22.8">
      <c r="A775" s="460" t="s">
        <v>1810</v>
      </c>
      <c r="B775" s="460" t="s">
        <v>1368</v>
      </c>
      <c r="C775" s="460"/>
      <c r="D775" s="460" t="s">
        <v>1828</v>
      </c>
      <c r="E775" s="460" t="s">
        <v>1812</v>
      </c>
      <c r="F775" s="460" t="s">
        <v>2620</v>
      </c>
      <c r="G775" s="547">
        <f>ROUND(10.22,2)</f>
        <v>10.220000000000001</v>
      </c>
      <c r="H775" s="461"/>
      <c r="I775" s="547">
        <f>ROUND(10.22,2)</f>
        <v>10.220000000000001</v>
      </c>
      <c r="J775" s="460"/>
      <c r="K775" s="460" t="s">
        <v>2613</v>
      </c>
    </row>
    <row r="776" spans="1:11" ht="22.8">
      <c r="A776" s="460" t="s">
        <v>1810</v>
      </c>
      <c r="B776" s="460" t="s">
        <v>1368</v>
      </c>
      <c r="C776" s="460"/>
      <c r="D776" s="460" t="s">
        <v>1828</v>
      </c>
      <c r="E776" s="460" t="s">
        <v>1812</v>
      </c>
      <c r="F776" s="460" t="s">
        <v>2616</v>
      </c>
      <c r="G776" s="460"/>
      <c r="H776" s="461"/>
      <c r="I776" s="460"/>
      <c r="J776" s="460"/>
      <c r="K776" s="460" t="s">
        <v>2613</v>
      </c>
    </row>
    <row r="777" spans="1:11" ht="22.8">
      <c r="A777" s="460" t="s">
        <v>1810</v>
      </c>
      <c r="B777" s="460" t="s">
        <v>1368</v>
      </c>
      <c r="C777" s="460"/>
      <c r="D777" s="460" t="s">
        <v>1828</v>
      </c>
      <c r="E777" s="460" t="s">
        <v>1812</v>
      </c>
      <c r="F777" s="460" t="s">
        <v>2618</v>
      </c>
      <c r="G777" s="547">
        <f>ROUND(22.5,2)</f>
        <v>22.5</v>
      </c>
      <c r="H777" s="461"/>
      <c r="I777" s="547">
        <f>ROUND(22.5,2)</f>
        <v>22.5</v>
      </c>
      <c r="J777" s="460"/>
      <c r="K777" s="460" t="s">
        <v>2613</v>
      </c>
    </row>
    <row r="778" spans="1:11" ht="22.8">
      <c r="A778" s="460" t="s">
        <v>1810</v>
      </c>
      <c r="B778" s="460" t="s">
        <v>1368</v>
      </c>
      <c r="C778" s="460"/>
      <c r="D778" s="460" t="s">
        <v>1828</v>
      </c>
      <c r="E778" s="460" t="s">
        <v>1812</v>
      </c>
      <c r="F778" s="460" t="s">
        <v>2617</v>
      </c>
      <c r="G778" s="547">
        <f>ROUND(75,2)</f>
        <v>75</v>
      </c>
      <c r="H778" s="461"/>
      <c r="I778" s="547">
        <f>ROUND(75,2)</f>
        <v>75</v>
      </c>
      <c r="J778" s="460"/>
      <c r="K778" s="460" t="s">
        <v>2613</v>
      </c>
    </row>
    <row r="779" spans="1:11" ht="14.4">
      <c r="A779" s="460" t="s">
        <v>1810</v>
      </c>
      <c r="B779" s="460" t="s">
        <v>1712</v>
      </c>
      <c r="C779" s="460"/>
      <c r="D779" s="460" t="s">
        <v>1816</v>
      </c>
      <c r="E779" s="460" t="s">
        <v>2611</v>
      </c>
      <c r="F779" s="460" t="s">
        <v>2612</v>
      </c>
      <c r="G779" s="460"/>
      <c r="H779" s="461"/>
      <c r="I779" s="460"/>
      <c r="J779" s="460"/>
      <c r="K779" s="460" t="s">
        <v>2613</v>
      </c>
    </row>
    <row r="780" spans="1:11" ht="14.4">
      <c r="A780" s="460" t="s">
        <v>1810</v>
      </c>
      <c r="B780" s="460" t="s">
        <v>1365</v>
      </c>
      <c r="C780" s="460"/>
      <c r="D780" s="460" t="s">
        <v>1821</v>
      </c>
      <c r="E780" s="460" t="s">
        <v>1812</v>
      </c>
      <c r="F780" s="460" t="s">
        <v>2627</v>
      </c>
      <c r="G780" s="547">
        <f>ROUND(50,2)</f>
        <v>50</v>
      </c>
      <c r="H780" s="461"/>
      <c r="I780" s="547">
        <f>ROUND(50,2)</f>
        <v>50</v>
      </c>
      <c r="J780" s="460"/>
      <c r="K780" s="460" t="s">
        <v>2613</v>
      </c>
    </row>
    <row r="781" spans="1:11" ht="14.4">
      <c r="A781" s="460" t="s">
        <v>1810</v>
      </c>
      <c r="B781" s="460" t="s">
        <v>1365</v>
      </c>
      <c r="C781" s="460"/>
      <c r="D781" s="460" t="s">
        <v>1821</v>
      </c>
      <c r="E781" s="460" t="s">
        <v>1812</v>
      </c>
      <c r="F781" s="460" t="s">
        <v>2625</v>
      </c>
      <c r="G781" s="547">
        <f>ROUND(50,2)</f>
        <v>50</v>
      </c>
      <c r="H781" s="461"/>
      <c r="I781" s="547">
        <f>ROUND(50,2)</f>
        <v>50</v>
      </c>
      <c r="J781" s="460"/>
      <c r="K781" s="460" t="s">
        <v>2613</v>
      </c>
    </row>
    <row r="782" spans="1:11" ht="14.4">
      <c r="A782" s="460" t="s">
        <v>1810</v>
      </c>
      <c r="B782" s="460" t="s">
        <v>1365</v>
      </c>
      <c r="C782" s="460"/>
      <c r="D782" s="460" t="s">
        <v>1821</v>
      </c>
      <c r="E782" s="460" t="s">
        <v>1812</v>
      </c>
      <c r="F782" s="460" t="s">
        <v>2612</v>
      </c>
      <c r="G782" s="460"/>
      <c r="H782" s="461"/>
      <c r="I782" s="460"/>
      <c r="J782" s="460"/>
      <c r="K782" s="460" t="s">
        <v>2613</v>
      </c>
    </row>
    <row r="783" spans="1:11" ht="14.4">
      <c r="A783" s="460" t="s">
        <v>1810</v>
      </c>
      <c r="B783" s="460" t="s">
        <v>1365</v>
      </c>
      <c r="C783" s="460"/>
      <c r="D783" s="460" t="s">
        <v>1821</v>
      </c>
      <c r="E783" s="460" t="s">
        <v>1812</v>
      </c>
      <c r="F783" s="460" t="s">
        <v>2634</v>
      </c>
      <c r="G783" s="547">
        <f>ROUND(37,2)</f>
        <v>37</v>
      </c>
      <c r="H783" s="461"/>
      <c r="I783" s="547">
        <f>ROUND(37,2)</f>
        <v>37</v>
      </c>
      <c r="J783" s="460"/>
      <c r="K783" s="460" t="s">
        <v>2613</v>
      </c>
    </row>
    <row r="784" spans="1:11" ht="14.4">
      <c r="A784" s="460" t="s">
        <v>1810</v>
      </c>
      <c r="B784" s="460" t="s">
        <v>1365</v>
      </c>
      <c r="C784" s="460"/>
      <c r="D784" s="460" t="s">
        <v>1821</v>
      </c>
      <c r="E784" s="460" t="s">
        <v>1812</v>
      </c>
      <c r="F784" s="460" t="s">
        <v>2614</v>
      </c>
      <c r="G784" s="460"/>
      <c r="H784" s="461" t="s">
        <v>2615</v>
      </c>
      <c r="I784" s="547">
        <f>ROUND(7,2)</f>
        <v>7</v>
      </c>
      <c r="J784" s="460" t="s">
        <v>2615</v>
      </c>
      <c r="K784" s="460" t="s">
        <v>2613</v>
      </c>
    </row>
    <row r="785" spans="1:11" ht="14.4">
      <c r="A785" s="460" t="s">
        <v>1810</v>
      </c>
      <c r="B785" s="460" t="s">
        <v>1365</v>
      </c>
      <c r="C785" s="460"/>
      <c r="D785" s="460" t="s">
        <v>1821</v>
      </c>
      <c r="E785" s="460" t="s">
        <v>1812</v>
      </c>
      <c r="F785" s="460" t="s">
        <v>2620</v>
      </c>
      <c r="G785" s="547">
        <f>ROUND(10.22,2)</f>
        <v>10.220000000000001</v>
      </c>
      <c r="H785" s="461"/>
      <c r="I785" s="547">
        <f>ROUND(10.22,2)</f>
        <v>10.220000000000001</v>
      </c>
      <c r="J785" s="460"/>
      <c r="K785" s="460" t="s">
        <v>2613</v>
      </c>
    </row>
    <row r="786" spans="1:11" ht="14.4">
      <c r="A786" s="460" t="s">
        <v>1810</v>
      </c>
      <c r="B786" s="460" t="s">
        <v>1365</v>
      </c>
      <c r="C786" s="460"/>
      <c r="D786" s="460" t="s">
        <v>1821</v>
      </c>
      <c r="E786" s="460" t="s">
        <v>1812</v>
      </c>
      <c r="F786" s="460" t="s">
        <v>2616</v>
      </c>
      <c r="G786" s="460"/>
      <c r="H786" s="461"/>
      <c r="I786" s="460"/>
      <c r="J786" s="460"/>
      <c r="K786" s="460" t="s">
        <v>2613</v>
      </c>
    </row>
    <row r="787" spans="1:11" ht="14.4">
      <c r="A787" s="460" t="s">
        <v>1810</v>
      </c>
      <c r="B787" s="460" t="s">
        <v>1524</v>
      </c>
      <c r="C787" s="460"/>
      <c r="D787" s="460" t="s">
        <v>1814</v>
      </c>
      <c r="E787" s="460" t="s">
        <v>1812</v>
      </c>
      <c r="F787" s="460" t="s">
        <v>2632</v>
      </c>
      <c r="G787" s="547">
        <f>ROUND(166.67,2)</f>
        <v>166.67</v>
      </c>
      <c r="H787" s="461"/>
      <c r="I787" s="547">
        <f>ROUND(166.67,2)</f>
        <v>166.67</v>
      </c>
      <c r="J787" s="460"/>
      <c r="K787" s="460" t="s">
        <v>2613</v>
      </c>
    </row>
    <row r="788" spans="1:11" ht="14.4">
      <c r="A788" s="460" t="s">
        <v>1810</v>
      </c>
      <c r="B788" s="460" t="s">
        <v>1524</v>
      </c>
      <c r="C788" s="460"/>
      <c r="D788" s="460" t="s">
        <v>1814</v>
      </c>
      <c r="E788" s="460" t="s">
        <v>1812</v>
      </c>
      <c r="F788" s="460" t="s">
        <v>2612</v>
      </c>
      <c r="G788" s="460"/>
      <c r="H788" s="461"/>
      <c r="I788" s="460"/>
      <c r="J788" s="460"/>
      <c r="K788" s="460" t="s">
        <v>2613</v>
      </c>
    </row>
    <row r="789" spans="1:11" ht="14.4">
      <c r="A789" s="460" t="s">
        <v>1810</v>
      </c>
      <c r="B789" s="460" t="s">
        <v>1524</v>
      </c>
      <c r="C789" s="460"/>
      <c r="D789" s="460" t="s">
        <v>1814</v>
      </c>
      <c r="E789" s="460" t="s">
        <v>1812</v>
      </c>
      <c r="F789" s="460" t="s">
        <v>2614</v>
      </c>
      <c r="G789" s="460"/>
      <c r="H789" s="461" t="s">
        <v>2615</v>
      </c>
      <c r="I789" s="547">
        <f>ROUND(7,2)</f>
        <v>7</v>
      </c>
      <c r="J789" s="460" t="s">
        <v>2615</v>
      </c>
      <c r="K789" s="460" t="s">
        <v>2613</v>
      </c>
    </row>
    <row r="790" spans="1:11" ht="14.4">
      <c r="A790" s="460" t="s">
        <v>1810</v>
      </c>
      <c r="B790" s="460" t="s">
        <v>1524</v>
      </c>
      <c r="C790" s="460"/>
      <c r="D790" s="460" t="s">
        <v>1814</v>
      </c>
      <c r="E790" s="460" t="s">
        <v>1812</v>
      </c>
      <c r="F790" s="460" t="s">
        <v>2630</v>
      </c>
      <c r="G790" s="460"/>
      <c r="H790" s="461" t="s">
        <v>2654</v>
      </c>
      <c r="I790" s="547">
        <f>ROUND(8,2)</f>
        <v>8</v>
      </c>
      <c r="J790" s="460" t="s">
        <v>2654</v>
      </c>
      <c r="K790" s="460" t="s">
        <v>2613</v>
      </c>
    </row>
    <row r="791" spans="1:11" ht="14.4">
      <c r="A791" s="460" t="s">
        <v>1810</v>
      </c>
      <c r="B791" s="460" t="s">
        <v>1524</v>
      </c>
      <c r="C791" s="460"/>
      <c r="D791" s="460" t="s">
        <v>1814</v>
      </c>
      <c r="E791" s="460" t="s">
        <v>1812</v>
      </c>
      <c r="F791" s="460" t="s">
        <v>2625</v>
      </c>
      <c r="G791" s="547">
        <f>ROUND(25,2)</f>
        <v>25</v>
      </c>
      <c r="H791" s="461"/>
      <c r="I791" s="547">
        <f>ROUND(25,2)</f>
        <v>25</v>
      </c>
      <c r="J791" s="460"/>
      <c r="K791" s="460" t="s">
        <v>2613</v>
      </c>
    </row>
    <row r="792" spans="1:11" ht="14.4">
      <c r="A792" s="460" t="s">
        <v>1810</v>
      </c>
      <c r="B792" s="460" t="s">
        <v>1524</v>
      </c>
      <c r="C792" s="460"/>
      <c r="D792" s="460" t="s">
        <v>1814</v>
      </c>
      <c r="E792" s="460" t="s">
        <v>1812</v>
      </c>
      <c r="F792" s="460" t="s">
        <v>2616</v>
      </c>
      <c r="G792" s="460"/>
      <c r="H792" s="461"/>
      <c r="I792" s="460"/>
      <c r="J792" s="460"/>
      <c r="K792" s="460" t="s">
        <v>2613</v>
      </c>
    </row>
    <row r="793" spans="1:11" ht="14.4">
      <c r="A793" s="460" t="s">
        <v>1810</v>
      </c>
      <c r="B793" s="460" t="s">
        <v>2900</v>
      </c>
      <c r="C793" s="460"/>
      <c r="D793" s="460" t="s">
        <v>1816</v>
      </c>
      <c r="E793" s="460" t="s">
        <v>2611</v>
      </c>
      <c r="F793" s="460" t="s">
        <v>2612</v>
      </c>
      <c r="G793" s="460"/>
      <c r="H793" s="461"/>
      <c r="I793" s="460"/>
      <c r="J793" s="460"/>
      <c r="K793" s="460" t="s">
        <v>2613</v>
      </c>
    </row>
    <row r="794" spans="1:11" ht="14.4">
      <c r="A794" s="460" t="s">
        <v>1810</v>
      </c>
      <c r="B794" s="460" t="s">
        <v>2491</v>
      </c>
      <c r="C794" s="460"/>
      <c r="D794" s="460" t="s">
        <v>1814</v>
      </c>
      <c r="E794" s="460" t="s">
        <v>1812</v>
      </c>
      <c r="F794" s="460" t="s">
        <v>2632</v>
      </c>
      <c r="G794" s="547">
        <f>ROUND(166.67,2)</f>
        <v>166.67</v>
      </c>
      <c r="H794" s="461"/>
      <c r="I794" s="547">
        <f>ROUND(166.67,2)</f>
        <v>166.67</v>
      </c>
      <c r="J794" s="460"/>
      <c r="K794" s="460" t="s">
        <v>2613</v>
      </c>
    </row>
    <row r="795" spans="1:11" ht="14.4">
      <c r="A795" s="460" t="s">
        <v>1810</v>
      </c>
      <c r="B795" s="460" t="s">
        <v>2491</v>
      </c>
      <c r="C795" s="460"/>
      <c r="D795" s="460" t="s">
        <v>1814</v>
      </c>
      <c r="E795" s="460" t="s">
        <v>1812</v>
      </c>
      <c r="F795" s="460" t="s">
        <v>2614</v>
      </c>
      <c r="G795" s="460"/>
      <c r="H795" s="461" t="s">
        <v>2615</v>
      </c>
      <c r="I795" s="547">
        <f>ROUND(7,2)</f>
        <v>7</v>
      </c>
      <c r="J795" s="460" t="s">
        <v>2615</v>
      </c>
      <c r="K795" s="460" t="s">
        <v>2613</v>
      </c>
    </row>
    <row r="796" spans="1:11" ht="14.4">
      <c r="A796" s="460" t="s">
        <v>1810</v>
      </c>
      <c r="B796" s="460" t="s">
        <v>2491</v>
      </c>
      <c r="C796" s="460"/>
      <c r="D796" s="460" t="s">
        <v>1814</v>
      </c>
      <c r="E796" s="460" t="s">
        <v>1812</v>
      </c>
      <c r="F796" s="460" t="s">
        <v>2612</v>
      </c>
      <c r="G796" s="460"/>
      <c r="H796" s="461"/>
      <c r="I796" s="460"/>
      <c r="J796" s="460"/>
      <c r="K796" s="460" t="s">
        <v>2613</v>
      </c>
    </row>
    <row r="797" spans="1:11" ht="14.4">
      <c r="A797" s="460" t="s">
        <v>1810</v>
      </c>
      <c r="B797" s="460" t="s">
        <v>1533</v>
      </c>
      <c r="C797" s="460"/>
      <c r="D797" s="460" t="s">
        <v>1814</v>
      </c>
      <c r="E797" s="460" t="s">
        <v>1812</v>
      </c>
      <c r="F797" s="460" t="s">
        <v>2625</v>
      </c>
      <c r="G797" s="547">
        <f>ROUND(25,2)</f>
        <v>25</v>
      </c>
      <c r="H797" s="461"/>
      <c r="I797" s="547">
        <f>ROUND(25,2)</f>
        <v>25</v>
      </c>
      <c r="J797" s="460"/>
      <c r="K797" s="460" t="s">
        <v>2613</v>
      </c>
    </row>
    <row r="798" spans="1:11" ht="14.4">
      <c r="A798" s="460" t="s">
        <v>1810</v>
      </c>
      <c r="B798" s="460" t="s">
        <v>1533</v>
      </c>
      <c r="C798" s="460"/>
      <c r="D798" s="460" t="s">
        <v>1814</v>
      </c>
      <c r="E798" s="460" t="s">
        <v>1812</v>
      </c>
      <c r="F798" s="460" t="s">
        <v>2612</v>
      </c>
      <c r="G798" s="460"/>
      <c r="H798" s="461"/>
      <c r="I798" s="460"/>
      <c r="J798" s="460"/>
      <c r="K798" s="460" t="s">
        <v>2613</v>
      </c>
    </row>
    <row r="799" spans="1:11" ht="14.4">
      <c r="A799" s="460" t="s">
        <v>1810</v>
      </c>
      <c r="B799" s="460" t="s">
        <v>1533</v>
      </c>
      <c r="C799" s="460"/>
      <c r="D799" s="460" t="s">
        <v>1814</v>
      </c>
      <c r="E799" s="460" t="s">
        <v>1812</v>
      </c>
      <c r="F799" s="460" t="s">
        <v>2626</v>
      </c>
      <c r="G799" s="547">
        <f>ROUND(10,2)</f>
        <v>10</v>
      </c>
      <c r="H799" s="461"/>
      <c r="I799" s="547">
        <f>ROUND(10,2)</f>
        <v>10</v>
      </c>
      <c r="J799" s="460"/>
      <c r="K799" s="460" t="s">
        <v>2613</v>
      </c>
    </row>
    <row r="800" spans="1:11" ht="14.4">
      <c r="A800" s="460" t="s">
        <v>1810</v>
      </c>
      <c r="B800" s="460" t="s">
        <v>1533</v>
      </c>
      <c r="C800" s="460"/>
      <c r="D800" s="460" t="s">
        <v>1814</v>
      </c>
      <c r="E800" s="460" t="s">
        <v>1812</v>
      </c>
      <c r="F800" s="460" t="s">
        <v>2614</v>
      </c>
      <c r="G800" s="460"/>
      <c r="H800" s="461" t="s">
        <v>2615</v>
      </c>
      <c r="I800" s="547">
        <f>ROUND(7,2)</f>
        <v>7</v>
      </c>
      <c r="J800" s="460" t="s">
        <v>2615</v>
      </c>
      <c r="K800" s="460" t="s">
        <v>2613</v>
      </c>
    </row>
    <row r="801" spans="1:11" ht="14.4">
      <c r="A801" s="460" t="s">
        <v>1810</v>
      </c>
      <c r="B801" s="460" t="s">
        <v>1533</v>
      </c>
      <c r="C801" s="460"/>
      <c r="D801" s="460" t="s">
        <v>1814</v>
      </c>
      <c r="E801" s="460" t="s">
        <v>1812</v>
      </c>
      <c r="F801" s="460" t="s">
        <v>2620</v>
      </c>
      <c r="G801" s="547">
        <f>ROUND(10.22,2)</f>
        <v>10.220000000000001</v>
      </c>
      <c r="H801" s="461"/>
      <c r="I801" s="547">
        <f>ROUND(10.22,2)</f>
        <v>10.220000000000001</v>
      </c>
      <c r="J801" s="460"/>
      <c r="K801" s="460" t="s">
        <v>2613</v>
      </c>
    </row>
    <row r="802" spans="1:11" ht="14.4">
      <c r="A802" s="460" t="s">
        <v>1810</v>
      </c>
      <c r="B802" s="460" t="s">
        <v>1533</v>
      </c>
      <c r="C802" s="460"/>
      <c r="D802" s="460" t="s">
        <v>1814</v>
      </c>
      <c r="E802" s="460" t="s">
        <v>1812</v>
      </c>
      <c r="F802" s="460" t="s">
        <v>2616</v>
      </c>
      <c r="G802" s="460"/>
      <c r="H802" s="461"/>
      <c r="I802" s="460"/>
      <c r="J802" s="460"/>
      <c r="K802" s="460" t="s">
        <v>2613</v>
      </c>
    </row>
    <row r="803" spans="1:11" ht="14.4">
      <c r="A803" s="460" t="s">
        <v>1810</v>
      </c>
      <c r="B803" s="460" t="s">
        <v>1771</v>
      </c>
      <c r="C803" s="460"/>
      <c r="D803" s="460" t="s">
        <v>1816</v>
      </c>
      <c r="E803" s="460" t="s">
        <v>2611</v>
      </c>
      <c r="F803" s="460" t="s">
        <v>2612</v>
      </c>
      <c r="G803" s="460"/>
      <c r="H803" s="461"/>
      <c r="I803" s="460"/>
      <c r="J803" s="460"/>
      <c r="K803" s="460" t="s">
        <v>2613</v>
      </c>
    </row>
    <row r="804" spans="1:11" ht="14.4">
      <c r="A804" s="460" t="s">
        <v>1810</v>
      </c>
      <c r="B804" s="460" t="s">
        <v>2576</v>
      </c>
      <c r="C804" s="460"/>
      <c r="D804" s="460" t="s">
        <v>1816</v>
      </c>
      <c r="E804" s="460" t="s">
        <v>2611</v>
      </c>
      <c r="F804" s="460" t="s">
        <v>2619</v>
      </c>
      <c r="G804" s="460"/>
      <c r="H804" s="461"/>
      <c r="I804" s="460"/>
      <c r="J804" s="460"/>
      <c r="K804" s="460" t="s">
        <v>2613</v>
      </c>
    </row>
    <row r="805" spans="1:11" ht="14.4">
      <c r="A805" s="460" t="s">
        <v>1810</v>
      </c>
      <c r="B805" s="460" t="s">
        <v>1371</v>
      </c>
      <c r="C805" s="460"/>
      <c r="D805" s="460" t="s">
        <v>1814</v>
      </c>
      <c r="E805" s="460" t="s">
        <v>1812</v>
      </c>
      <c r="F805" s="460" t="s">
        <v>2629</v>
      </c>
      <c r="G805" s="547">
        <f>ROUND(45,2)</f>
        <v>45</v>
      </c>
      <c r="H805" s="461"/>
      <c r="I805" s="547">
        <f>ROUND(45,2)</f>
        <v>45</v>
      </c>
      <c r="J805" s="460"/>
      <c r="K805" s="460" t="s">
        <v>2613</v>
      </c>
    </row>
    <row r="806" spans="1:11" ht="14.4">
      <c r="A806" s="460" t="s">
        <v>1810</v>
      </c>
      <c r="B806" s="460" t="s">
        <v>1371</v>
      </c>
      <c r="C806" s="460"/>
      <c r="D806" s="460" t="s">
        <v>1814</v>
      </c>
      <c r="E806" s="460" t="s">
        <v>1812</v>
      </c>
      <c r="F806" s="460" t="s">
        <v>2625</v>
      </c>
      <c r="G806" s="547">
        <f>ROUND(50,2)</f>
        <v>50</v>
      </c>
      <c r="H806" s="461"/>
      <c r="I806" s="547">
        <f>ROUND(50,2)</f>
        <v>50</v>
      </c>
      <c r="J806" s="460"/>
      <c r="K806" s="460" t="s">
        <v>2613</v>
      </c>
    </row>
    <row r="807" spans="1:11" ht="14.4">
      <c r="A807" s="460" t="s">
        <v>1810</v>
      </c>
      <c r="B807" s="460" t="s">
        <v>1371</v>
      </c>
      <c r="C807" s="460"/>
      <c r="D807" s="460" t="s">
        <v>1814</v>
      </c>
      <c r="E807" s="460" t="s">
        <v>1812</v>
      </c>
      <c r="F807" s="460" t="s">
        <v>2623</v>
      </c>
      <c r="G807" s="460"/>
      <c r="H807" s="461"/>
      <c r="I807" s="460"/>
      <c r="J807" s="460"/>
      <c r="K807" s="460" t="s">
        <v>2613</v>
      </c>
    </row>
    <row r="808" spans="1:11" ht="14.4">
      <c r="A808" s="460" t="s">
        <v>1810</v>
      </c>
      <c r="B808" s="460" t="s">
        <v>1371</v>
      </c>
      <c r="C808" s="460"/>
      <c r="D808" s="460" t="s">
        <v>1814</v>
      </c>
      <c r="E808" s="460" t="s">
        <v>1812</v>
      </c>
      <c r="F808" s="460" t="s">
        <v>2626</v>
      </c>
      <c r="G808" s="547">
        <f>ROUND(10,2)</f>
        <v>10</v>
      </c>
      <c r="H808" s="461"/>
      <c r="I808" s="547">
        <f>ROUND(10,2)</f>
        <v>10</v>
      </c>
      <c r="J808" s="460"/>
      <c r="K808" s="460" t="s">
        <v>2613</v>
      </c>
    </row>
    <row r="809" spans="1:11" ht="14.4">
      <c r="A809" s="460" t="s">
        <v>1810</v>
      </c>
      <c r="B809" s="460" t="s">
        <v>1371</v>
      </c>
      <c r="C809" s="460"/>
      <c r="D809" s="460" t="s">
        <v>1814</v>
      </c>
      <c r="E809" s="460" t="s">
        <v>1812</v>
      </c>
      <c r="F809" s="460" t="s">
        <v>2614</v>
      </c>
      <c r="G809" s="460"/>
      <c r="H809" s="461" t="s">
        <v>2615</v>
      </c>
      <c r="I809" s="547">
        <f>ROUND(7,2)</f>
        <v>7</v>
      </c>
      <c r="J809" s="460" t="s">
        <v>2615</v>
      </c>
      <c r="K809" s="460" t="s">
        <v>2613</v>
      </c>
    </row>
    <row r="810" spans="1:11" ht="14.4">
      <c r="A810" s="460" t="s">
        <v>1810</v>
      </c>
      <c r="B810" s="460" t="s">
        <v>1371</v>
      </c>
      <c r="C810" s="460"/>
      <c r="D810" s="460" t="s">
        <v>1814</v>
      </c>
      <c r="E810" s="460" t="s">
        <v>1812</v>
      </c>
      <c r="F810" s="460" t="s">
        <v>2624</v>
      </c>
      <c r="G810" s="547">
        <f>ROUND(100,2)</f>
        <v>100</v>
      </c>
      <c r="H810" s="461"/>
      <c r="I810" s="547">
        <f>ROUND(100,2)</f>
        <v>100</v>
      </c>
      <c r="J810" s="460"/>
      <c r="K810" s="460" t="s">
        <v>2613</v>
      </c>
    </row>
    <row r="811" spans="1:11" ht="14.4">
      <c r="A811" s="460" t="s">
        <v>1810</v>
      </c>
      <c r="B811" s="460" t="s">
        <v>1371</v>
      </c>
      <c r="C811" s="460"/>
      <c r="D811" s="460" t="s">
        <v>1814</v>
      </c>
      <c r="E811" s="460" t="s">
        <v>1812</v>
      </c>
      <c r="F811" s="460" t="s">
        <v>2616</v>
      </c>
      <c r="G811" s="460"/>
      <c r="H811" s="461"/>
      <c r="I811" s="460"/>
      <c r="J811" s="460"/>
      <c r="K811" s="460" t="s">
        <v>2613</v>
      </c>
    </row>
    <row r="812" spans="1:11" ht="14.4">
      <c r="A812" s="460" t="s">
        <v>1810</v>
      </c>
      <c r="B812" s="460" t="s">
        <v>2493</v>
      </c>
      <c r="C812" s="460"/>
      <c r="D812" s="460" t="s">
        <v>1814</v>
      </c>
      <c r="E812" s="460" t="s">
        <v>1812</v>
      </c>
      <c r="F812" s="460" t="s">
        <v>2616</v>
      </c>
      <c r="G812" s="460"/>
      <c r="H812" s="461"/>
      <c r="I812" s="460"/>
      <c r="J812" s="460"/>
      <c r="K812" s="460" t="s">
        <v>2613</v>
      </c>
    </row>
    <row r="813" spans="1:11" ht="14.4">
      <c r="A813" s="460" t="s">
        <v>1810</v>
      </c>
      <c r="B813" s="460" t="s">
        <v>2493</v>
      </c>
      <c r="C813" s="460"/>
      <c r="D813" s="460" t="s">
        <v>1814</v>
      </c>
      <c r="E813" s="460" t="s">
        <v>1812</v>
      </c>
      <c r="F813" s="460" t="s">
        <v>2614</v>
      </c>
      <c r="G813" s="460"/>
      <c r="H813" s="461" t="s">
        <v>2615</v>
      </c>
      <c r="I813" s="547">
        <f>ROUND(7,2)</f>
        <v>7</v>
      </c>
      <c r="J813" s="460" t="s">
        <v>2615</v>
      </c>
      <c r="K813" s="460" t="s">
        <v>2613</v>
      </c>
    </row>
    <row r="814" spans="1:11" ht="14.4">
      <c r="A814" s="460" t="s">
        <v>1810</v>
      </c>
      <c r="B814" s="460" t="s">
        <v>2493</v>
      </c>
      <c r="C814" s="460"/>
      <c r="D814" s="460" t="s">
        <v>1814</v>
      </c>
      <c r="E814" s="460" t="s">
        <v>1812</v>
      </c>
      <c r="F814" s="460" t="s">
        <v>2632</v>
      </c>
      <c r="G814" s="547">
        <f>ROUND(166.67,2)</f>
        <v>166.67</v>
      </c>
      <c r="H814" s="461"/>
      <c r="I814" s="547">
        <f>ROUND(166.67,2)</f>
        <v>166.67</v>
      </c>
      <c r="J814" s="460"/>
      <c r="K814" s="460" t="s">
        <v>2613</v>
      </c>
    </row>
    <row r="815" spans="1:11" ht="14.4">
      <c r="A815" s="460" t="s">
        <v>1810</v>
      </c>
      <c r="B815" s="460" t="s">
        <v>2493</v>
      </c>
      <c r="C815" s="460"/>
      <c r="D815" s="460" t="s">
        <v>1814</v>
      </c>
      <c r="E815" s="460" t="s">
        <v>1812</v>
      </c>
      <c r="F815" s="460" t="s">
        <v>2612</v>
      </c>
      <c r="G815" s="460"/>
      <c r="H815" s="461"/>
      <c r="I815" s="460"/>
      <c r="J815" s="460"/>
      <c r="K815" s="460" t="s">
        <v>2613</v>
      </c>
    </row>
    <row r="816" spans="1:11" ht="14.4">
      <c r="A816" s="460" t="s">
        <v>1810</v>
      </c>
      <c r="B816" s="460" t="s">
        <v>1503</v>
      </c>
      <c r="C816" s="460"/>
      <c r="D816" s="460" t="s">
        <v>1835</v>
      </c>
      <c r="E816" s="460" t="s">
        <v>1812</v>
      </c>
      <c r="F816" s="460" t="s">
        <v>2612</v>
      </c>
      <c r="G816" s="460"/>
      <c r="H816" s="461"/>
      <c r="I816" s="460"/>
      <c r="J816" s="460"/>
      <c r="K816" s="460" t="s">
        <v>2613</v>
      </c>
    </row>
    <row r="817" spans="1:11" ht="14.4">
      <c r="A817" s="460" t="s">
        <v>1810</v>
      </c>
      <c r="B817" s="460" t="s">
        <v>1503</v>
      </c>
      <c r="C817" s="460"/>
      <c r="D817" s="460" t="s">
        <v>1835</v>
      </c>
      <c r="E817" s="460" t="s">
        <v>1812</v>
      </c>
      <c r="F817" s="460" t="s">
        <v>2614</v>
      </c>
      <c r="G817" s="460"/>
      <c r="H817" s="461" t="s">
        <v>2615</v>
      </c>
      <c r="I817" s="547">
        <f>ROUND(7,2)</f>
        <v>7</v>
      </c>
      <c r="J817" s="460" t="s">
        <v>2615</v>
      </c>
      <c r="K817" s="460" t="s">
        <v>2613</v>
      </c>
    </row>
    <row r="818" spans="1:11" ht="14.4">
      <c r="A818" s="460" t="s">
        <v>1810</v>
      </c>
      <c r="B818" s="460" t="s">
        <v>1503</v>
      </c>
      <c r="C818" s="460"/>
      <c r="D818" s="460" t="s">
        <v>1835</v>
      </c>
      <c r="E818" s="460" t="s">
        <v>1812</v>
      </c>
      <c r="F818" s="460" t="s">
        <v>2616</v>
      </c>
      <c r="G818" s="460"/>
      <c r="H818" s="461"/>
      <c r="I818" s="460"/>
      <c r="J818" s="460"/>
      <c r="K818" s="460" t="s">
        <v>2613</v>
      </c>
    </row>
    <row r="819" spans="1:11" ht="14.4">
      <c r="A819" s="460" t="s">
        <v>1810</v>
      </c>
      <c r="B819" s="460" t="s">
        <v>1320</v>
      </c>
      <c r="C819" s="460"/>
      <c r="D819" s="460" t="s">
        <v>1814</v>
      </c>
      <c r="E819" s="460" t="s">
        <v>1812</v>
      </c>
      <c r="F819" s="460" t="s">
        <v>2625</v>
      </c>
      <c r="G819" s="547">
        <f>ROUND(50,2)</f>
        <v>50</v>
      </c>
      <c r="H819" s="461"/>
      <c r="I819" s="547">
        <f>ROUND(50,2)</f>
        <v>50</v>
      </c>
      <c r="J819" s="460"/>
      <c r="K819" s="460" t="s">
        <v>2613</v>
      </c>
    </row>
    <row r="820" spans="1:11" ht="14.4">
      <c r="A820" s="460" t="s">
        <v>1810</v>
      </c>
      <c r="B820" s="460" t="s">
        <v>1320</v>
      </c>
      <c r="C820" s="460"/>
      <c r="D820" s="460" t="s">
        <v>1814</v>
      </c>
      <c r="E820" s="460" t="s">
        <v>1812</v>
      </c>
      <c r="F820" s="460" t="s">
        <v>2612</v>
      </c>
      <c r="G820" s="460"/>
      <c r="H820" s="461"/>
      <c r="I820" s="460"/>
      <c r="J820" s="460"/>
      <c r="K820" s="460" t="s">
        <v>2613</v>
      </c>
    </row>
    <row r="821" spans="1:11" ht="14.4">
      <c r="A821" s="460" t="s">
        <v>1810</v>
      </c>
      <c r="B821" s="460" t="s">
        <v>1320</v>
      </c>
      <c r="C821" s="460"/>
      <c r="D821" s="460" t="s">
        <v>1814</v>
      </c>
      <c r="E821" s="460" t="s">
        <v>1812</v>
      </c>
      <c r="F821" s="460" t="s">
        <v>2619</v>
      </c>
      <c r="G821" s="547">
        <f>ROUND(100,2)</f>
        <v>100</v>
      </c>
      <c r="H821" s="461"/>
      <c r="I821" s="547">
        <f>ROUND(100,2)</f>
        <v>100</v>
      </c>
      <c r="J821" s="460"/>
      <c r="K821" s="460" t="s">
        <v>2613</v>
      </c>
    </row>
    <row r="822" spans="1:11" ht="14.4">
      <c r="A822" s="460" t="s">
        <v>1810</v>
      </c>
      <c r="B822" s="460" t="s">
        <v>1320</v>
      </c>
      <c r="C822" s="460"/>
      <c r="D822" s="460" t="s">
        <v>1814</v>
      </c>
      <c r="E822" s="460" t="s">
        <v>1812</v>
      </c>
      <c r="F822" s="460" t="s">
        <v>2614</v>
      </c>
      <c r="G822" s="460"/>
      <c r="H822" s="461" t="s">
        <v>2615</v>
      </c>
      <c r="I822" s="547">
        <f>ROUND(7,2)</f>
        <v>7</v>
      </c>
      <c r="J822" s="460" t="s">
        <v>2615</v>
      </c>
      <c r="K822" s="460" t="s">
        <v>2613</v>
      </c>
    </row>
    <row r="823" spans="1:11" ht="14.4">
      <c r="A823" s="460" t="s">
        <v>1810</v>
      </c>
      <c r="B823" s="460" t="s">
        <v>1320</v>
      </c>
      <c r="C823" s="460"/>
      <c r="D823" s="460" t="s">
        <v>1814</v>
      </c>
      <c r="E823" s="460" t="s">
        <v>1812</v>
      </c>
      <c r="F823" s="460" t="s">
        <v>2616</v>
      </c>
      <c r="G823" s="460"/>
      <c r="H823" s="461"/>
      <c r="I823" s="460"/>
      <c r="J823" s="460"/>
      <c r="K823" s="460" t="s">
        <v>2613</v>
      </c>
    </row>
    <row r="824" spans="1:11" ht="14.4">
      <c r="A824" s="460" t="s">
        <v>1810</v>
      </c>
      <c r="B824" s="460" t="s">
        <v>2504</v>
      </c>
      <c r="C824" s="460"/>
      <c r="D824" s="460" t="s">
        <v>1816</v>
      </c>
      <c r="E824" s="460" t="s">
        <v>2611</v>
      </c>
      <c r="F824" s="460" t="s">
        <v>2612</v>
      </c>
      <c r="G824" s="460"/>
      <c r="H824" s="461"/>
      <c r="I824" s="460"/>
      <c r="J824" s="460"/>
      <c r="K824" s="460" t="s">
        <v>2613</v>
      </c>
    </row>
    <row r="825" spans="1:11" ht="14.4">
      <c r="A825" s="460" t="s">
        <v>1810</v>
      </c>
      <c r="B825" s="460" t="s">
        <v>1943</v>
      </c>
      <c r="C825" s="460"/>
      <c r="D825" s="460" t="s">
        <v>1816</v>
      </c>
      <c r="E825" s="460" t="s">
        <v>2611</v>
      </c>
      <c r="F825" s="460" t="s">
        <v>2623</v>
      </c>
      <c r="G825" s="460"/>
      <c r="H825" s="461"/>
      <c r="I825" s="460"/>
      <c r="J825" s="460"/>
      <c r="K825" s="460" t="s">
        <v>2613</v>
      </c>
    </row>
    <row r="826" spans="1:11" ht="14.4">
      <c r="A826" s="460" t="s">
        <v>1810</v>
      </c>
      <c r="B826" s="460" t="s">
        <v>1373</v>
      </c>
      <c r="C826" s="460"/>
      <c r="D826" s="460" t="s">
        <v>1821</v>
      </c>
      <c r="E826" s="460" t="s">
        <v>1812</v>
      </c>
      <c r="F826" s="460" t="s">
        <v>2625</v>
      </c>
      <c r="G826" s="547">
        <f>ROUND(50,2)</f>
        <v>50</v>
      </c>
      <c r="H826" s="461"/>
      <c r="I826" s="547">
        <f>ROUND(50,2)</f>
        <v>50</v>
      </c>
      <c r="J826" s="460"/>
      <c r="K826" s="460" t="s">
        <v>2613</v>
      </c>
    </row>
    <row r="827" spans="1:11" ht="14.4">
      <c r="A827" s="460" t="s">
        <v>1810</v>
      </c>
      <c r="B827" s="460" t="s">
        <v>1373</v>
      </c>
      <c r="C827" s="460"/>
      <c r="D827" s="460" t="s">
        <v>1821</v>
      </c>
      <c r="E827" s="460" t="s">
        <v>1812</v>
      </c>
      <c r="F827" s="460" t="s">
        <v>2612</v>
      </c>
      <c r="G827" s="460"/>
      <c r="H827" s="461"/>
      <c r="I827" s="460"/>
      <c r="J827" s="460"/>
      <c r="K827" s="460" t="s">
        <v>2613</v>
      </c>
    </row>
    <row r="828" spans="1:11" ht="14.4">
      <c r="A828" s="460" t="s">
        <v>1810</v>
      </c>
      <c r="B828" s="460" t="s">
        <v>1373</v>
      </c>
      <c r="C828" s="460"/>
      <c r="D828" s="460" t="s">
        <v>1821</v>
      </c>
      <c r="E828" s="460" t="s">
        <v>1812</v>
      </c>
      <c r="F828" s="460" t="s">
        <v>2634</v>
      </c>
      <c r="G828" s="547">
        <f>ROUND(24,2)</f>
        <v>24</v>
      </c>
      <c r="H828" s="461"/>
      <c r="I828" s="547">
        <f>ROUND(24,2)</f>
        <v>24</v>
      </c>
      <c r="J828" s="460"/>
      <c r="K828" s="460" t="s">
        <v>2613</v>
      </c>
    </row>
    <row r="829" spans="1:11" ht="14.4">
      <c r="A829" s="460" t="s">
        <v>1810</v>
      </c>
      <c r="B829" s="460" t="s">
        <v>1373</v>
      </c>
      <c r="C829" s="460"/>
      <c r="D829" s="460" t="s">
        <v>1821</v>
      </c>
      <c r="E829" s="460" t="s">
        <v>1812</v>
      </c>
      <c r="F829" s="460" t="s">
        <v>2614</v>
      </c>
      <c r="G829" s="460"/>
      <c r="H829" s="461" t="s">
        <v>2615</v>
      </c>
      <c r="I829" s="547">
        <f>ROUND(7,2)</f>
        <v>7</v>
      </c>
      <c r="J829" s="460" t="s">
        <v>2615</v>
      </c>
      <c r="K829" s="460" t="s">
        <v>2613</v>
      </c>
    </row>
    <row r="830" spans="1:11" ht="14.4">
      <c r="A830" s="460" t="s">
        <v>1810</v>
      </c>
      <c r="B830" s="460" t="s">
        <v>1373</v>
      </c>
      <c r="C830" s="460"/>
      <c r="D830" s="460" t="s">
        <v>1821</v>
      </c>
      <c r="E830" s="460" t="s">
        <v>1812</v>
      </c>
      <c r="F830" s="460" t="s">
        <v>2627</v>
      </c>
      <c r="G830" s="547">
        <f>ROUND(270,2)</f>
        <v>270</v>
      </c>
      <c r="H830" s="461"/>
      <c r="I830" s="547">
        <f>ROUND(270,2)</f>
        <v>270</v>
      </c>
      <c r="J830" s="460"/>
      <c r="K830" s="460" t="s">
        <v>2613</v>
      </c>
    </row>
    <row r="831" spans="1:11" ht="14.4">
      <c r="A831" s="460" t="s">
        <v>1810</v>
      </c>
      <c r="B831" s="460" t="s">
        <v>1373</v>
      </c>
      <c r="C831" s="460"/>
      <c r="D831" s="460" t="s">
        <v>1821</v>
      </c>
      <c r="E831" s="460" t="s">
        <v>1812</v>
      </c>
      <c r="F831" s="460" t="s">
        <v>2620</v>
      </c>
      <c r="G831" s="547">
        <f>ROUND(10.22,2)</f>
        <v>10.220000000000001</v>
      </c>
      <c r="H831" s="461"/>
      <c r="I831" s="547">
        <f>ROUND(10.22,2)</f>
        <v>10.220000000000001</v>
      </c>
      <c r="J831" s="460"/>
      <c r="K831" s="460" t="s">
        <v>2613</v>
      </c>
    </row>
    <row r="832" spans="1:11" ht="14.4">
      <c r="A832" s="460" t="s">
        <v>1810</v>
      </c>
      <c r="B832" s="460" t="s">
        <v>1373</v>
      </c>
      <c r="C832" s="460"/>
      <c r="D832" s="460" t="s">
        <v>1821</v>
      </c>
      <c r="E832" s="460" t="s">
        <v>1812</v>
      </c>
      <c r="F832" s="460" t="s">
        <v>2616</v>
      </c>
      <c r="G832" s="460"/>
      <c r="H832" s="461"/>
      <c r="I832" s="460"/>
      <c r="J832" s="460"/>
      <c r="K832" s="460" t="s">
        <v>2613</v>
      </c>
    </row>
    <row r="833" spans="1:11" ht="14.4">
      <c r="A833" s="460" t="s">
        <v>1810</v>
      </c>
      <c r="B833" s="460" t="s">
        <v>1373</v>
      </c>
      <c r="C833" s="460"/>
      <c r="D833" s="460" t="s">
        <v>1821</v>
      </c>
      <c r="E833" s="460" t="s">
        <v>1812</v>
      </c>
      <c r="F833" s="460" t="s">
        <v>2617</v>
      </c>
      <c r="G833" s="547">
        <f>ROUND(75,2)</f>
        <v>75</v>
      </c>
      <c r="H833" s="461"/>
      <c r="I833" s="547">
        <f>ROUND(75,2)</f>
        <v>75</v>
      </c>
      <c r="J833" s="460"/>
      <c r="K833" s="460" t="s">
        <v>2613</v>
      </c>
    </row>
    <row r="834" spans="1:11" ht="14.4">
      <c r="A834" s="460" t="s">
        <v>1810</v>
      </c>
      <c r="B834" s="460" t="s">
        <v>1373</v>
      </c>
      <c r="C834" s="460"/>
      <c r="D834" s="460" t="s">
        <v>1821</v>
      </c>
      <c r="E834" s="460" t="s">
        <v>1812</v>
      </c>
      <c r="F834" s="460" t="s">
        <v>2618</v>
      </c>
      <c r="G834" s="547">
        <f>ROUND(22.5,2)</f>
        <v>22.5</v>
      </c>
      <c r="H834" s="461"/>
      <c r="I834" s="547">
        <f>ROUND(22.5,2)</f>
        <v>22.5</v>
      </c>
      <c r="J834" s="460"/>
      <c r="K834" s="460" t="s">
        <v>2613</v>
      </c>
    </row>
    <row r="835" spans="1:11" ht="14.4">
      <c r="A835" s="460" t="s">
        <v>1810</v>
      </c>
      <c r="B835" s="460" t="s">
        <v>1769</v>
      </c>
      <c r="C835" s="460"/>
      <c r="D835" s="460" t="s">
        <v>1816</v>
      </c>
      <c r="E835" s="460" t="s">
        <v>2611</v>
      </c>
      <c r="F835" s="460" t="s">
        <v>2612</v>
      </c>
      <c r="G835" s="460"/>
      <c r="H835" s="461"/>
      <c r="I835" s="460"/>
      <c r="J835" s="460"/>
      <c r="K835" s="460" t="s">
        <v>2613</v>
      </c>
    </row>
    <row r="836" spans="1:11" ht="14.4">
      <c r="A836" s="460" t="s">
        <v>1810</v>
      </c>
      <c r="B836" s="460" t="s">
        <v>2589</v>
      </c>
      <c r="C836" s="460"/>
      <c r="D836" s="460" t="s">
        <v>1816</v>
      </c>
      <c r="E836" s="460" t="s">
        <v>2611</v>
      </c>
      <c r="F836" s="460" t="s">
        <v>2623</v>
      </c>
      <c r="G836" s="460"/>
      <c r="H836" s="461"/>
      <c r="I836" s="460"/>
      <c r="J836" s="460"/>
      <c r="K836" s="460" t="s">
        <v>2613</v>
      </c>
    </row>
    <row r="837" spans="1:11" ht="14.4">
      <c r="A837" s="460" t="s">
        <v>1810</v>
      </c>
      <c r="B837" s="460" t="s">
        <v>1377</v>
      </c>
      <c r="C837" s="460"/>
      <c r="D837" s="460" t="s">
        <v>1814</v>
      </c>
      <c r="E837" s="460" t="s">
        <v>1812</v>
      </c>
      <c r="F837" s="460" t="s">
        <v>2617</v>
      </c>
      <c r="G837" s="547">
        <f>ROUND(75,2)</f>
        <v>75</v>
      </c>
      <c r="H837" s="461"/>
      <c r="I837" s="547">
        <f>ROUND(75,2)</f>
        <v>75</v>
      </c>
      <c r="J837" s="460"/>
      <c r="K837" s="460" t="s">
        <v>2613</v>
      </c>
    </row>
    <row r="838" spans="1:11" ht="14.4">
      <c r="A838" s="460" t="s">
        <v>1810</v>
      </c>
      <c r="B838" s="460" t="s">
        <v>1377</v>
      </c>
      <c r="C838" s="460"/>
      <c r="D838" s="460" t="s">
        <v>1814</v>
      </c>
      <c r="E838" s="460" t="s">
        <v>1812</v>
      </c>
      <c r="F838" s="460" t="s">
        <v>2618</v>
      </c>
      <c r="G838" s="547">
        <f>ROUND(40,2)</f>
        <v>40</v>
      </c>
      <c r="H838" s="461"/>
      <c r="I838" s="547">
        <f>ROUND(40,2)</f>
        <v>40</v>
      </c>
      <c r="J838" s="460"/>
      <c r="K838" s="460" t="s">
        <v>2613</v>
      </c>
    </row>
    <row r="839" spans="1:11" ht="14.4">
      <c r="A839" s="460" t="s">
        <v>1810</v>
      </c>
      <c r="B839" s="460" t="s">
        <v>1377</v>
      </c>
      <c r="C839" s="460"/>
      <c r="D839" s="460" t="s">
        <v>1814</v>
      </c>
      <c r="E839" s="460" t="s">
        <v>1812</v>
      </c>
      <c r="F839" s="460" t="s">
        <v>2625</v>
      </c>
      <c r="G839" s="547">
        <f>ROUND(50,2)</f>
        <v>50</v>
      </c>
      <c r="H839" s="461"/>
      <c r="I839" s="547">
        <f>ROUND(50,2)</f>
        <v>50</v>
      </c>
      <c r="J839" s="460"/>
      <c r="K839" s="460" t="s">
        <v>2613</v>
      </c>
    </row>
    <row r="840" spans="1:11" ht="14.4">
      <c r="A840" s="460" t="s">
        <v>1810</v>
      </c>
      <c r="B840" s="460" t="s">
        <v>1377</v>
      </c>
      <c r="C840" s="460"/>
      <c r="D840" s="460" t="s">
        <v>1814</v>
      </c>
      <c r="E840" s="460" t="s">
        <v>1812</v>
      </c>
      <c r="F840" s="460" t="s">
        <v>2612</v>
      </c>
      <c r="G840" s="460"/>
      <c r="H840" s="461"/>
      <c r="I840" s="460"/>
      <c r="J840" s="460"/>
      <c r="K840" s="460" t="s">
        <v>2613</v>
      </c>
    </row>
    <row r="841" spans="1:11" ht="14.4">
      <c r="A841" s="460" t="s">
        <v>1810</v>
      </c>
      <c r="B841" s="460" t="s">
        <v>1377</v>
      </c>
      <c r="C841" s="460"/>
      <c r="D841" s="460" t="s">
        <v>1814</v>
      </c>
      <c r="E841" s="460" t="s">
        <v>1812</v>
      </c>
      <c r="F841" s="460" t="s">
        <v>2626</v>
      </c>
      <c r="G841" s="547">
        <f>ROUND(10,2)</f>
        <v>10</v>
      </c>
      <c r="H841" s="461"/>
      <c r="I841" s="547">
        <f>ROUND(10,2)</f>
        <v>10</v>
      </c>
      <c r="J841" s="460"/>
      <c r="K841" s="460" t="s">
        <v>2613</v>
      </c>
    </row>
    <row r="842" spans="1:11" ht="14.4">
      <c r="A842" s="460" t="s">
        <v>1810</v>
      </c>
      <c r="B842" s="460" t="s">
        <v>1377</v>
      </c>
      <c r="C842" s="460"/>
      <c r="D842" s="460" t="s">
        <v>1814</v>
      </c>
      <c r="E842" s="460" t="s">
        <v>1812</v>
      </c>
      <c r="F842" s="460" t="s">
        <v>2614</v>
      </c>
      <c r="G842" s="460"/>
      <c r="H842" s="461" t="s">
        <v>2615</v>
      </c>
      <c r="I842" s="547">
        <f>ROUND(7,2)</f>
        <v>7</v>
      </c>
      <c r="J842" s="460" t="s">
        <v>2615</v>
      </c>
      <c r="K842" s="460" t="s">
        <v>2613</v>
      </c>
    </row>
    <row r="843" spans="1:11" ht="14.4">
      <c r="A843" s="460" t="s">
        <v>1810</v>
      </c>
      <c r="B843" s="460" t="s">
        <v>1377</v>
      </c>
      <c r="C843" s="460"/>
      <c r="D843" s="460" t="s">
        <v>1814</v>
      </c>
      <c r="E843" s="460" t="s">
        <v>1812</v>
      </c>
      <c r="F843" s="460" t="s">
        <v>2616</v>
      </c>
      <c r="G843" s="460"/>
      <c r="H843" s="461"/>
      <c r="I843" s="460"/>
      <c r="J843" s="460"/>
      <c r="K843" s="460" t="s">
        <v>2613</v>
      </c>
    </row>
    <row r="844" spans="1:11" ht="14.4">
      <c r="A844" s="460" t="s">
        <v>1810</v>
      </c>
      <c r="B844" s="460" t="s">
        <v>1377</v>
      </c>
      <c r="C844" s="460"/>
      <c r="D844" s="460" t="s">
        <v>1814</v>
      </c>
      <c r="E844" s="460" t="s">
        <v>1812</v>
      </c>
      <c r="F844" s="460" t="s">
        <v>2640</v>
      </c>
      <c r="G844" s="460"/>
      <c r="H844" s="461" t="s">
        <v>2655</v>
      </c>
      <c r="I844" s="547">
        <f>ROUND(15,2)</f>
        <v>15</v>
      </c>
      <c r="J844" s="460" t="s">
        <v>2655</v>
      </c>
      <c r="K844" s="460" t="s">
        <v>2613</v>
      </c>
    </row>
    <row r="845" spans="1:11" ht="14.4">
      <c r="A845" s="460" t="s">
        <v>1810</v>
      </c>
      <c r="B845" s="460" t="s">
        <v>1648</v>
      </c>
      <c r="C845" s="460"/>
      <c r="D845" s="460" t="s">
        <v>1816</v>
      </c>
      <c r="E845" s="460" t="s">
        <v>2611</v>
      </c>
      <c r="F845" s="460" t="s">
        <v>2612</v>
      </c>
      <c r="G845" s="460"/>
      <c r="H845" s="461"/>
      <c r="I845" s="460"/>
      <c r="J845" s="460"/>
      <c r="K845" s="460" t="s">
        <v>2613</v>
      </c>
    </row>
    <row r="846" spans="1:11" ht="14.4">
      <c r="A846" s="460" t="s">
        <v>1810</v>
      </c>
      <c r="B846" s="460" t="s">
        <v>1492</v>
      </c>
      <c r="C846" s="460"/>
      <c r="D846" s="460" t="s">
        <v>1816</v>
      </c>
      <c r="E846" s="460" t="s">
        <v>2611</v>
      </c>
      <c r="F846" s="460" t="s">
        <v>2612</v>
      </c>
      <c r="G846" s="460"/>
      <c r="H846" s="461"/>
      <c r="I846" s="460"/>
      <c r="J846" s="460"/>
      <c r="K846" s="460" t="s">
        <v>2613</v>
      </c>
    </row>
    <row r="847" spans="1:11" ht="14.4">
      <c r="A847" s="460" t="s">
        <v>1810</v>
      </c>
      <c r="B847" s="460" t="s">
        <v>1378</v>
      </c>
      <c r="C847" s="460"/>
      <c r="D847" s="460" t="s">
        <v>1821</v>
      </c>
      <c r="E847" s="460" t="s">
        <v>1812</v>
      </c>
      <c r="F847" s="460" t="s">
        <v>2625</v>
      </c>
      <c r="G847" s="547">
        <f>ROUND(50,2)</f>
        <v>50</v>
      </c>
      <c r="H847" s="461"/>
      <c r="I847" s="547">
        <f>ROUND(50,2)</f>
        <v>50</v>
      </c>
      <c r="J847" s="460"/>
      <c r="K847" s="460" t="s">
        <v>2613</v>
      </c>
    </row>
    <row r="848" spans="1:11" ht="14.4">
      <c r="A848" s="460" t="s">
        <v>1810</v>
      </c>
      <c r="B848" s="460" t="s">
        <v>1378</v>
      </c>
      <c r="C848" s="460"/>
      <c r="D848" s="460" t="s">
        <v>1821</v>
      </c>
      <c r="E848" s="460" t="s">
        <v>1812</v>
      </c>
      <c r="F848" s="460" t="s">
        <v>2612</v>
      </c>
      <c r="G848" s="460"/>
      <c r="H848" s="461"/>
      <c r="I848" s="460"/>
      <c r="J848" s="460"/>
      <c r="K848" s="460" t="s">
        <v>2613</v>
      </c>
    </row>
    <row r="849" spans="1:11" ht="14.4">
      <c r="A849" s="460" t="s">
        <v>1810</v>
      </c>
      <c r="B849" s="460" t="s">
        <v>1378</v>
      </c>
      <c r="C849" s="460"/>
      <c r="D849" s="460" t="s">
        <v>1821</v>
      </c>
      <c r="E849" s="460" t="s">
        <v>1812</v>
      </c>
      <c r="F849" s="460" t="s">
        <v>2634</v>
      </c>
      <c r="G849" s="547">
        <f>ROUND(54,2)</f>
        <v>54</v>
      </c>
      <c r="H849" s="461"/>
      <c r="I849" s="547">
        <f>ROUND(54,2)</f>
        <v>54</v>
      </c>
      <c r="J849" s="460"/>
      <c r="K849" s="460" t="s">
        <v>2613</v>
      </c>
    </row>
    <row r="850" spans="1:11" ht="14.4">
      <c r="A850" s="460" t="s">
        <v>1810</v>
      </c>
      <c r="B850" s="460" t="s">
        <v>1378</v>
      </c>
      <c r="C850" s="460"/>
      <c r="D850" s="460" t="s">
        <v>1821</v>
      </c>
      <c r="E850" s="460" t="s">
        <v>1812</v>
      </c>
      <c r="F850" s="460" t="s">
        <v>2614</v>
      </c>
      <c r="G850" s="460"/>
      <c r="H850" s="461" t="s">
        <v>2615</v>
      </c>
      <c r="I850" s="547">
        <f>ROUND(7,2)</f>
        <v>7</v>
      </c>
      <c r="J850" s="460" t="s">
        <v>2615</v>
      </c>
      <c r="K850" s="460" t="s">
        <v>2613</v>
      </c>
    </row>
    <row r="851" spans="1:11" ht="14.4">
      <c r="A851" s="460" t="s">
        <v>1810</v>
      </c>
      <c r="B851" s="460" t="s">
        <v>1378</v>
      </c>
      <c r="C851" s="460"/>
      <c r="D851" s="460" t="s">
        <v>1821</v>
      </c>
      <c r="E851" s="460" t="s">
        <v>1812</v>
      </c>
      <c r="F851" s="460" t="s">
        <v>2627</v>
      </c>
      <c r="G851" s="547">
        <f>ROUND(150,2)</f>
        <v>150</v>
      </c>
      <c r="H851" s="461"/>
      <c r="I851" s="547">
        <f>ROUND(150,2)</f>
        <v>150</v>
      </c>
      <c r="J851" s="460"/>
      <c r="K851" s="460" t="s">
        <v>2613</v>
      </c>
    </row>
    <row r="852" spans="1:11" ht="14.4">
      <c r="A852" s="460" t="s">
        <v>1810</v>
      </c>
      <c r="B852" s="460" t="s">
        <v>1378</v>
      </c>
      <c r="C852" s="460"/>
      <c r="D852" s="460" t="s">
        <v>1821</v>
      </c>
      <c r="E852" s="460" t="s">
        <v>1812</v>
      </c>
      <c r="F852" s="460" t="s">
        <v>2616</v>
      </c>
      <c r="G852" s="460"/>
      <c r="H852" s="461"/>
      <c r="I852" s="460"/>
      <c r="J852" s="460"/>
      <c r="K852" s="460" t="s">
        <v>2613</v>
      </c>
    </row>
    <row r="853" spans="1:11" ht="14.4">
      <c r="A853" s="460" t="s">
        <v>1810</v>
      </c>
      <c r="B853" s="460" t="s">
        <v>1379</v>
      </c>
      <c r="C853" s="460"/>
      <c r="D853" s="460" t="s">
        <v>1811</v>
      </c>
      <c r="E853" s="460" t="s">
        <v>1812</v>
      </c>
      <c r="F853" s="460" t="s">
        <v>2612</v>
      </c>
      <c r="G853" s="460"/>
      <c r="H853" s="461"/>
      <c r="I853" s="460"/>
      <c r="J853" s="460"/>
      <c r="K853" s="460" t="s">
        <v>2613</v>
      </c>
    </row>
    <row r="854" spans="1:11" ht="14.4">
      <c r="A854" s="460" t="s">
        <v>1810</v>
      </c>
      <c r="B854" s="460" t="s">
        <v>1379</v>
      </c>
      <c r="C854" s="460"/>
      <c r="D854" s="460" t="s">
        <v>1811</v>
      </c>
      <c r="E854" s="460" t="s">
        <v>1812</v>
      </c>
      <c r="F854" s="460" t="s">
        <v>2614</v>
      </c>
      <c r="G854" s="460"/>
      <c r="H854" s="461" t="s">
        <v>2615</v>
      </c>
      <c r="I854" s="547">
        <f>ROUND(7,2)</f>
        <v>7</v>
      </c>
      <c r="J854" s="460" t="s">
        <v>2615</v>
      </c>
      <c r="K854" s="460" t="s">
        <v>2613</v>
      </c>
    </row>
    <row r="855" spans="1:11" ht="14.4">
      <c r="A855" s="460" t="s">
        <v>1810</v>
      </c>
      <c r="B855" s="460" t="s">
        <v>1379</v>
      </c>
      <c r="C855" s="460"/>
      <c r="D855" s="460" t="s">
        <v>1811</v>
      </c>
      <c r="E855" s="460" t="s">
        <v>1812</v>
      </c>
      <c r="F855" s="460" t="s">
        <v>2617</v>
      </c>
      <c r="G855" s="547">
        <f>ROUND(75,2)</f>
        <v>75</v>
      </c>
      <c r="H855" s="461"/>
      <c r="I855" s="547">
        <f>ROUND(75,2)</f>
        <v>75</v>
      </c>
      <c r="J855" s="460"/>
      <c r="K855" s="460" t="s">
        <v>2613</v>
      </c>
    </row>
    <row r="856" spans="1:11" ht="14.4">
      <c r="A856" s="460" t="s">
        <v>1810</v>
      </c>
      <c r="B856" s="460" t="s">
        <v>1379</v>
      </c>
      <c r="C856" s="460"/>
      <c r="D856" s="460" t="s">
        <v>1811</v>
      </c>
      <c r="E856" s="460" t="s">
        <v>1812</v>
      </c>
      <c r="F856" s="460" t="s">
        <v>2618</v>
      </c>
      <c r="G856" s="547">
        <f>ROUND(22.5,2)</f>
        <v>22.5</v>
      </c>
      <c r="H856" s="461"/>
      <c r="I856" s="547">
        <f>ROUND(22.5,2)</f>
        <v>22.5</v>
      </c>
      <c r="J856" s="460"/>
      <c r="K856" s="460" t="s">
        <v>2613</v>
      </c>
    </row>
    <row r="857" spans="1:11" ht="14.4">
      <c r="A857" s="460" t="s">
        <v>1810</v>
      </c>
      <c r="B857" s="460" t="s">
        <v>2579</v>
      </c>
      <c r="C857" s="460"/>
      <c r="D857" s="460" t="s">
        <v>1816</v>
      </c>
      <c r="E857" s="460" t="s">
        <v>2611</v>
      </c>
      <c r="F857" s="460" t="s">
        <v>2612</v>
      </c>
      <c r="G857" s="460"/>
      <c r="H857" s="461"/>
      <c r="I857" s="460"/>
      <c r="J857" s="460"/>
      <c r="K857" s="460" t="s">
        <v>2613</v>
      </c>
    </row>
    <row r="858" spans="1:11" ht="14.4">
      <c r="A858" s="460" t="s">
        <v>1810</v>
      </c>
      <c r="B858" s="460" t="s">
        <v>1511</v>
      </c>
      <c r="C858" s="460"/>
      <c r="D858" s="460" t="s">
        <v>1814</v>
      </c>
      <c r="E858" s="460" t="s">
        <v>1812</v>
      </c>
      <c r="F858" s="460" t="s">
        <v>2625</v>
      </c>
      <c r="G858" s="547">
        <f>ROUND(37.5,2)</f>
        <v>37.5</v>
      </c>
      <c r="H858" s="461"/>
      <c r="I858" s="547">
        <f>ROUND(37.5,2)</f>
        <v>37.5</v>
      </c>
      <c r="J858" s="460"/>
      <c r="K858" s="460" t="s">
        <v>2613</v>
      </c>
    </row>
    <row r="859" spans="1:11" ht="14.4">
      <c r="A859" s="460" t="s">
        <v>1810</v>
      </c>
      <c r="B859" s="460" t="s">
        <v>1511</v>
      </c>
      <c r="C859" s="460"/>
      <c r="D859" s="460" t="s">
        <v>1814</v>
      </c>
      <c r="E859" s="460" t="s">
        <v>1812</v>
      </c>
      <c r="F859" s="460" t="s">
        <v>2629</v>
      </c>
      <c r="G859" s="547">
        <f>ROUND(52,2)</f>
        <v>52</v>
      </c>
      <c r="H859" s="461"/>
      <c r="I859" s="547">
        <f>ROUND(52,2)</f>
        <v>52</v>
      </c>
      <c r="J859" s="460"/>
      <c r="K859" s="460" t="s">
        <v>2613</v>
      </c>
    </row>
    <row r="860" spans="1:11" ht="14.4">
      <c r="A860" s="460" t="s">
        <v>1810</v>
      </c>
      <c r="B860" s="460" t="s">
        <v>1511</v>
      </c>
      <c r="C860" s="460"/>
      <c r="D860" s="460" t="s">
        <v>1814</v>
      </c>
      <c r="E860" s="460" t="s">
        <v>1812</v>
      </c>
      <c r="F860" s="460" t="s">
        <v>2612</v>
      </c>
      <c r="G860" s="460"/>
      <c r="H860" s="461"/>
      <c r="I860" s="460"/>
      <c r="J860" s="460"/>
      <c r="K860" s="460" t="s">
        <v>2613</v>
      </c>
    </row>
    <row r="861" spans="1:11" ht="14.4">
      <c r="A861" s="460" t="s">
        <v>1810</v>
      </c>
      <c r="B861" s="460" t="s">
        <v>1511</v>
      </c>
      <c r="C861" s="460"/>
      <c r="D861" s="460" t="s">
        <v>1814</v>
      </c>
      <c r="E861" s="460" t="s">
        <v>1812</v>
      </c>
      <c r="F861" s="460" t="s">
        <v>2626</v>
      </c>
      <c r="G861" s="547">
        <f>ROUND(10,2)</f>
        <v>10</v>
      </c>
      <c r="H861" s="461"/>
      <c r="I861" s="547">
        <f>ROUND(10,2)</f>
        <v>10</v>
      </c>
      <c r="J861" s="460"/>
      <c r="K861" s="460" t="s">
        <v>2613</v>
      </c>
    </row>
    <row r="862" spans="1:11" ht="14.4">
      <c r="A862" s="460" t="s">
        <v>1810</v>
      </c>
      <c r="B862" s="460" t="s">
        <v>1511</v>
      </c>
      <c r="C862" s="460"/>
      <c r="D862" s="460" t="s">
        <v>1814</v>
      </c>
      <c r="E862" s="460" t="s">
        <v>1812</v>
      </c>
      <c r="F862" s="460" t="s">
        <v>2614</v>
      </c>
      <c r="G862" s="460"/>
      <c r="H862" s="461" t="s">
        <v>2615</v>
      </c>
      <c r="I862" s="547">
        <f>ROUND(7,2)</f>
        <v>7</v>
      </c>
      <c r="J862" s="460" t="s">
        <v>2615</v>
      </c>
      <c r="K862" s="460" t="s">
        <v>2613</v>
      </c>
    </row>
    <row r="863" spans="1:11" ht="14.4">
      <c r="A863" s="460" t="s">
        <v>1810</v>
      </c>
      <c r="B863" s="460" t="s">
        <v>1511</v>
      </c>
      <c r="C863" s="460"/>
      <c r="D863" s="460" t="s">
        <v>1814</v>
      </c>
      <c r="E863" s="460" t="s">
        <v>1812</v>
      </c>
      <c r="F863" s="460" t="s">
        <v>2616</v>
      </c>
      <c r="G863" s="460"/>
      <c r="H863" s="461"/>
      <c r="I863" s="460"/>
      <c r="J863" s="460"/>
      <c r="K863" s="460" t="s">
        <v>2613</v>
      </c>
    </row>
    <row r="864" spans="1:11" ht="14.4">
      <c r="A864" s="460" t="s">
        <v>1810</v>
      </c>
      <c r="B864" s="460" t="s">
        <v>2426</v>
      </c>
      <c r="C864" s="460"/>
      <c r="D864" s="460" t="s">
        <v>1816</v>
      </c>
      <c r="E864" s="460" t="s">
        <v>2611</v>
      </c>
      <c r="F864" s="460" t="s">
        <v>2612</v>
      </c>
      <c r="G864" s="460"/>
      <c r="H864" s="461"/>
      <c r="I864" s="460"/>
      <c r="J864" s="460"/>
      <c r="K864" s="460" t="s">
        <v>2613</v>
      </c>
    </row>
    <row r="865" spans="1:11" ht="14.4">
      <c r="A865" s="460" t="s">
        <v>1810</v>
      </c>
      <c r="B865" s="460" t="s">
        <v>1578</v>
      </c>
      <c r="C865" s="460"/>
      <c r="D865" s="460" t="s">
        <v>1816</v>
      </c>
      <c r="E865" s="460" t="s">
        <v>2611</v>
      </c>
      <c r="F865" s="460" t="s">
        <v>2612</v>
      </c>
      <c r="G865" s="460"/>
      <c r="H865" s="461"/>
      <c r="I865" s="460"/>
      <c r="J865" s="460"/>
      <c r="K865" s="460" t="s">
        <v>2613</v>
      </c>
    </row>
    <row r="866" spans="1:11" ht="22.8">
      <c r="A866" s="460" t="s">
        <v>1810</v>
      </c>
      <c r="B866" s="460" t="s">
        <v>1381</v>
      </c>
      <c r="C866" s="460"/>
      <c r="D866" s="460" t="s">
        <v>1819</v>
      </c>
      <c r="E866" s="460" t="s">
        <v>2015</v>
      </c>
      <c r="F866" s="460" t="s">
        <v>2625</v>
      </c>
      <c r="G866" s="547">
        <f>ROUND(43.75,2)</f>
        <v>43.75</v>
      </c>
      <c r="H866" s="461"/>
      <c r="I866" s="547">
        <f>ROUND(43.75,2)</f>
        <v>43.75</v>
      </c>
      <c r="J866" s="460"/>
      <c r="K866" s="460" t="s">
        <v>2613</v>
      </c>
    </row>
    <row r="867" spans="1:11" ht="22.8">
      <c r="A867" s="460" t="s">
        <v>1810</v>
      </c>
      <c r="B867" s="460" t="s">
        <v>1381</v>
      </c>
      <c r="C867" s="460"/>
      <c r="D867" s="460" t="s">
        <v>1819</v>
      </c>
      <c r="E867" s="460" t="s">
        <v>2015</v>
      </c>
      <c r="F867" s="460" t="s">
        <v>2612</v>
      </c>
      <c r="G867" s="460"/>
      <c r="H867" s="461"/>
      <c r="I867" s="460"/>
      <c r="J867" s="460"/>
      <c r="K867" s="460" t="s">
        <v>2613</v>
      </c>
    </row>
    <row r="868" spans="1:11" ht="22.8">
      <c r="A868" s="460" t="s">
        <v>1810</v>
      </c>
      <c r="B868" s="460" t="s">
        <v>1381</v>
      </c>
      <c r="C868" s="460"/>
      <c r="D868" s="460" t="s">
        <v>1819</v>
      </c>
      <c r="E868" s="460" t="s">
        <v>2015</v>
      </c>
      <c r="F868" s="460" t="s">
        <v>2614</v>
      </c>
      <c r="G868" s="460"/>
      <c r="H868" s="461" t="s">
        <v>2615</v>
      </c>
      <c r="I868" s="547">
        <f>ROUND(7,2)</f>
        <v>7</v>
      </c>
      <c r="J868" s="460" t="s">
        <v>2615</v>
      </c>
      <c r="K868" s="460" t="s">
        <v>2613</v>
      </c>
    </row>
    <row r="869" spans="1:11" ht="22.8">
      <c r="A869" s="460" t="s">
        <v>1810</v>
      </c>
      <c r="B869" s="460" t="s">
        <v>1381</v>
      </c>
      <c r="C869" s="460"/>
      <c r="D869" s="460" t="s">
        <v>1819</v>
      </c>
      <c r="E869" s="460" t="s">
        <v>2015</v>
      </c>
      <c r="F869" s="460" t="s">
        <v>2616</v>
      </c>
      <c r="G869" s="460"/>
      <c r="H869" s="461"/>
      <c r="I869" s="460"/>
      <c r="J869" s="460"/>
      <c r="K869" s="460" t="s">
        <v>2613</v>
      </c>
    </row>
    <row r="870" spans="1:11" ht="22.8">
      <c r="A870" s="460" t="s">
        <v>1810</v>
      </c>
      <c r="B870" s="460" t="s">
        <v>1381</v>
      </c>
      <c r="C870" s="460"/>
      <c r="D870" s="460" t="s">
        <v>1819</v>
      </c>
      <c r="E870" s="460" t="s">
        <v>2015</v>
      </c>
      <c r="F870" s="460" t="s">
        <v>2618</v>
      </c>
      <c r="G870" s="547">
        <f>ROUND(40,2)</f>
        <v>40</v>
      </c>
      <c r="H870" s="461"/>
      <c r="I870" s="547">
        <f>ROUND(40,2)</f>
        <v>40</v>
      </c>
      <c r="J870" s="460"/>
      <c r="K870" s="460" t="s">
        <v>2613</v>
      </c>
    </row>
    <row r="871" spans="1:11" ht="22.8">
      <c r="A871" s="460" t="s">
        <v>1810</v>
      </c>
      <c r="B871" s="460" t="s">
        <v>1381</v>
      </c>
      <c r="C871" s="460"/>
      <c r="D871" s="460" t="s">
        <v>1819</v>
      </c>
      <c r="E871" s="460" t="s">
        <v>2015</v>
      </c>
      <c r="F871" s="460" t="s">
        <v>2617</v>
      </c>
      <c r="G871" s="547">
        <f>ROUND(75,2)</f>
        <v>75</v>
      </c>
      <c r="H871" s="461"/>
      <c r="I871" s="547">
        <f>ROUND(75,2)</f>
        <v>75</v>
      </c>
      <c r="J871" s="460"/>
      <c r="K871" s="460" t="s">
        <v>2613</v>
      </c>
    </row>
    <row r="872" spans="1:11" ht="22.8">
      <c r="A872" s="460" t="s">
        <v>1810</v>
      </c>
      <c r="B872" s="460" t="s">
        <v>1701</v>
      </c>
      <c r="C872" s="460"/>
      <c r="D872" s="460" t="s">
        <v>1834</v>
      </c>
      <c r="E872" s="460" t="s">
        <v>1812</v>
      </c>
      <c r="F872" s="460" t="s">
        <v>2612</v>
      </c>
      <c r="G872" s="460"/>
      <c r="H872" s="461"/>
      <c r="I872" s="460"/>
      <c r="J872" s="460"/>
      <c r="K872" s="460" t="s">
        <v>2613</v>
      </c>
    </row>
    <row r="873" spans="1:11" ht="22.8">
      <c r="A873" s="460" t="s">
        <v>1810</v>
      </c>
      <c r="B873" s="460" t="s">
        <v>1701</v>
      </c>
      <c r="C873" s="460"/>
      <c r="D873" s="460" t="s">
        <v>1834</v>
      </c>
      <c r="E873" s="460" t="s">
        <v>1812</v>
      </c>
      <c r="F873" s="460" t="s">
        <v>2614</v>
      </c>
      <c r="G873" s="460"/>
      <c r="H873" s="461" t="s">
        <v>2615</v>
      </c>
      <c r="I873" s="547">
        <f>ROUND(7,2)</f>
        <v>7</v>
      </c>
      <c r="J873" s="460" t="s">
        <v>2615</v>
      </c>
      <c r="K873" s="460" t="s">
        <v>2613</v>
      </c>
    </row>
    <row r="874" spans="1:11" ht="22.8">
      <c r="A874" s="460" t="s">
        <v>1810</v>
      </c>
      <c r="B874" s="460" t="s">
        <v>1701</v>
      </c>
      <c r="C874" s="460"/>
      <c r="D874" s="460" t="s">
        <v>1834</v>
      </c>
      <c r="E874" s="460" t="s">
        <v>1812</v>
      </c>
      <c r="F874" s="460" t="s">
        <v>2621</v>
      </c>
      <c r="G874" s="460"/>
      <c r="H874" s="461" t="s">
        <v>2622</v>
      </c>
      <c r="I874" s="547">
        <f>ROUND(5,2)</f>
        <v>5</v>
      </c>
      <c r="J874" s="460" t="s">
        <v>2622</v>
      </c>
      <c r="K874" s="460" t="s">
        <v>2613</v>
      </c>
    </row>
    <row r="875" spans="1:11" ht="22.8">
      <c r="A875" s="460" t="s">
        <v>1810</v>
      </c>
      <c r="B875" s="460" t="s">
        <v>1701</v>
      </c>
      <c r="C875" s="460"/>
      <c r="D875" s="460" t="s">
        <v>1834</v>
      </c>
      <c r="E875" s="460" t="s">
        <v>1812</v>
      </c>
      <c r="F875" s="460" t="s">
        <v>2616</v>
      </c>
      <c r="G875" s="460"/>
      <c r="H875" s="461"/>
      <c r="I875" s="460"/>
      <c r="J875" s="460"/>
      <c r="K875" s="460" t="s">
        <v>2613</v>
      </c>
    </row>
    <row r="876" spans="1:11" ht="14.4">
      <c r="A876" s="460" t="s">
        <v>1810</v>
      </c>
      <c r="B876" s="460" t="s">
        <v>1636</v>
      </c>
      <c r="C876" s="460"/>
      <c r="D876" s="460" t="s">
        <v>1835</v>
      </c>
      <c r="E876" s="460" t="s">
        <v>1812</v>
      </c>
      <c r="F876" s="460" t="s">
        <v>2623</v>
      </c>
      <c r="G876" s="460"/>
      <c r="H876" s="461"/>
      <c r="I876" s="460"/>
      <c r="J876" s="460"/>
      <c r="K876" s="460" t="s">
        <v>2613</v>
      </c>
    </row>
    <row r="877" spans="1:11" ht="14.4">
      <c r="A877" s="460" t="s">
        <v>1810</v>
      </c>
      <c r="B877" s="460" t="s">
        <v>1636</v>
      </c>
      <c r="C877" s="460"/>
      <c r="D877" s="460" t="s">
        <v>1835</v>
      </c>
      <c r="E877" s="460" t="s">
        <v>1812</v>
      </c>
      <c r="F877" s="460" t="s">
        <v>2614</v>
      </c>
      <c r="G877" s="460"/>
      <c r="H877" s="461" t="s">
        <v>2615</v>
      </c>
      <c r="I877" s="547">
        <f>ROUND(7,2)</f>
        <v>7</v>
      </c>
      <c r="J877" s="460" t="s">
        <v>2615</v>
      </c>
      <c r="K877" s="460" t="s">
        <v>2613</v>
      </c>
    </row>
    <row r="878" spans="1:11" ht="14.4">
      <c r="A878" s="460" t="s">
        <v>1810</v>
      </c>
      <c r="B878" s="460" t="s">
        <v>1636</v>
      </c>
      <c r="C878" s="460"/>
      <c r="D878" s="460" t="s">
        <v>1835</v>
      </c>
      <c r="E878" s="460" t="s">
        <v>1812</v>
      </c>
      <c r="F878" s="460" t="s">
        <v>2620</v>
      </c>
      <c r="G878" s="547">
        <f>ROUND(10.22,2)</f>
        <v>10.220000000000001</v>
      </c>
      <c r="H878" s="461"/>
      <c r="I878" s="547">
        <f>ROUND(10.22,2)</f>
        <v>10.220000000000001</v>
      </c>
      <c r="J878" s="460"/>
      <c r="K878" s="460" t="s">
        <v>2613</v>
      </c>
    </row>
    <row r="879" spans="1:11" ht="14.4">
      <c r="A879" s="460" t="s">
        <v>1810</v>
      </c>
      <c r="B879" s="460" t="s">
        <v>1636</v>
      </c>
      <c r="C879" s="460"/>
      <c r="D879" s="460" t="s">
        <v>1835</v>
      </c>
      <c r="E879" s="460" t="s">
        <v>1812</v>
      </c>
      <c r="F879" s="460" t="s">
        <v>2616</v>
      </c>
      <c r="G879" s="460"/>
      <c r="H879" s="461"/>
      <c r="I879" s="460"/>
      <c r="J879" s="460"/>
      <c r="K879" s="460" t="s">
        <v>2613</v>
      </c>
    </row>
    <row r="880" spans="1:11" ht="14.4">
      <c r="A880" s="460" t="s">
        <v>1810</v>
      </c>
      <c r="B880" s="460" t="s">
        <v>2486</v>
      </c>
      <c r="C880" s="460"/>
      <c r="D880" s="460" t="s">
        <v>1816</v>
      </c>
      <c r="E880" s="460" t="s">
        <v>2611</v>
      </c>
      <c r="F880" s="460" t="s">
        <v>2612</v>
      </c>
      <c r="G880" s="460"/>
      <c r="H880" s="461"/>
      <c r="I880" s="460"/>
      <c r="J880" s="460"/>
      <c r="K880" s="460" t="s">
        <v>2613</v>
      </c>
    </row>
    <row r="881" spans="1:11" ht="14.4">
      <c r="A881" s="460" t="s">
        <v>1810</v>
      </c>
      <c r="B881" s="460" t="s">
        <v>1518</v>
      </c>
      <c r="C881" s="460"/>
      <c r="D881" s="460" t="s">
        <v>1814</v>
      </c>
      <c r="E881" s="460" t="s">
        <v>1812</v>
      </c>
      <c r="F881" s="460" t="s">
        <v>2612</v>
      </c>
      <c r="G881" s="460"/>
      <c r="H881" s="461"/>
      <c r="I881" s="460"/>
      <c r="J881" s="460"/>
      <c r="K881" s="460" t="s">
        <v>2613</v>
      </c>
    </row>
    <row r="882" spans="1:11" ht="14.4">
      <c r="A882" s="460" t="s">
        <v>1810</v>
      </c>
      <c r="B882" s="460" t="s">
        <v>1518</v>
      </c>
      <c r="C882" s="460"/>
      <c r="D882" s="460" t="s">
        <v>1814</v>
      </c>
      <c r="E882" s="460" t="s">
        <v>1812</v>
      </c>
      <c r="F882" s="460" t="s">
        <v>2626</v>
      </c>
      <c r="G882" s="547">
        <f>ROUND(10,2)</f>
        <v>10</v>
      </c>
      <c r="H882" s="461"/>
      <c r="I882" s="547">
        <f>ROUND(10,2)</f>
        <v>10</v>
      </c>
      <c r="J882" s="460"/>
      <c r="K882" s="460" t="s">
        <v>2613</v>
      </c>
    </row>
    <row r="883" spans="1:11" ht="14.4">
      <c r="A883" s="460" t="s">
        <v>1810</v>
      </c>
      <c r="B883" s="460" t="s">
        <v>1518</v>
      </c>
      <c r="C883" s="460"/>
      <c r="D883" s="460" t="s">
        <v>1814</v>
      </c>
      <c r="E883" s="460" t="s">
        <v>1812</v>
      </c>
      <c r="F883" s="460" t="s">
        <v>2614</v>
      </c>
      <c r="G883" s="460"/>
      <c r="H883" s="461" t="s">
        <v>2615</v>
      </c>
      <c r="I883" s="547">
        <f>ROUND(7,2)</f>
        <v>7</v>
      </c>
      <c r="J883" s="460" t="s">
        <v>2615</v>
      </c>
      <c r="K883" s="460" t="s">
        <v>2613</v>
      </c>
    </row>
    <row r="884" spans="1:11" ht="14.4">
      <c r="A884" s="460" t="s">
        <v>1810</v>
      </c>
      <c r="B884" s="460" t="s">
        <v>1518</v>
      </c>
      <c r="C884" s="460"/>
      <c r="D884" s="460" t="s">
        <v>1814</v>
      </c>
      <c r="E884" s="460" t="s">
        <v>1812</v>
      </c>
      <c r="F884" s="460" t="s">
        <v>2624</v>
      </c>
      <c r="G884" s="547">
        <f>ROUND(20,2)</f>
        <v>20</v>
      </c>
      <c r="H884" s="461"/>
      <c r="I884" s="547">
        <f>ROUND(20,2)</f>
        <v>20</v>
      </c>
      <c r="J884" s="460"/>
      <c r="K884" s="460" t="s">
        <v>2613</v>
      </c>
    </row>
    <row r="885" spans="1:11" ht="14.4">
      <c r="A885" s="460" t="s">
        <v>1810</v>
      </c>
      <c r="B885" s="460" t="s">
        <v>1518</v>
      </c>
      <c r="C885" s="460"/>
      <c r="D885" s="460" t="s">
        <v>1814</v>
      </c>
      <c r="E885" s="460" t="s">
        <v>1812</v>
      </c>
      <c r="F885" s="460" t="s">
        <v>2625</v>
      </c>
      <c r="G885" s="547">
        <f>ROUND(37.5,2)</f>
        <v>37.5</v>
      </c>
      <c r="H885" s="461"/>
      <c r="I885" s="547">
        <f>ROUND(37.5,2)</f>
        <v>37.5</v>
      </c>
      <c r="J885" s="460"/>
      <c r="K885" s="460" t="s">
        <v>2613</v>
      </c>
    </row>
    <row r="886" spans="1:11" ht="14.4">
      <c r="A886" s="460" t="s">
        <v>1810</v>
      </c>
      <c r="B886" s="460" t="s">
        <v>1518</v>
      </c>
      <c r="C886" s="460"/>
      <c r="D886" s="460" t="s">
        <v>1814</v>
      </c>
      <c r="E886" s="460" t="s">
        <v>1812</v>
      </c>
      <c r="F886" s="460" t="s">
        <v>2616</v>
      </c>
      <c r="G886" s="460"/>
      <c r="H886" s="461"/>
      <c r="I886" s="460"/>
      <c r="J886" s="460"/>
      <c r="K886" s="460" t="s">
        <v>2613</v>
      </c>
    </row>
    <row r="887" spans="1:11" ht="14.4">
      <c r="A887" s="460" t="s">
        <v>1810</v>
      </c>
      <c r="B887" s="460" t="s">
        <v>2895</v>
      </c>
      <c r="C887" s="460"/>
      <c r="D887" s="460" t="s">
        <v>1816</v>
      </c>
      <c r="E887" s="460" t="s">
        <v>2611</v>
      </c>
      <c r="F887" s="460" t="s">
        <v>2612</v>
      </c>
      <c r="G887" s="460"/>
      <c r="H887" s="461"/>
      <c r="I887" s="460"/>
      <c r="J887" s="460"/>
      <c r="K887" s="460" t="s">
        <v>2613</v>
      </c>
    </row>
    <row r="888" spans="1:11" ht="14.4">
      <c r="A888" s="460" t="s">
        <v>1810</v>
      </c>
      <c r="B888" s="460" t="s">
        <v>2558</v>
      </c>
      <c r="C888" s="460"/>
      <c r="D888" s="460" t="s">
        <v>1816</v>
      </c>
      <c r="E888" s="460" t="s">
        <v>2611</v>
      </c>
      <c r="F888" s="460" t="s">
        <v>2612</v>
      </c>
      <c r="G888" s="460"/>
      <c r="H888" s="461"/>
      <c r="I888" s="460"/>
      <c r="J888" s="460"/>
      <c r="K888" s="460" t="s">
        <v>2613</v>
      </c>
    </row>
    <row r="889" spans="1:11" ht="14.4">
      <c r="A889" s="460" t="s">
        <v>1810</v>
      </c>
      <c r="B889" s="460" t="s">
        <v>1728</v>
      </c>
      <c r="C889" s="460"/>
      <c r="D889" s="460" t="s">
        <v>1821</v>
      </c>
      <c r="E889" s="460" t="s">
        <v>1812</v>
      </c>
      <c r="F889" s="460" t="s">
        <v>2633</v>
      </c>
      <c r="G889" s="547">
        <f>ROUND(125,2)</f>
        <v>125</v>
      </c>
      <c r="H889" s="461"/>
      <c r="I889" s="547">
        <f>ROUND(125,2)</f>
        <v>125</v>
      </c>
      <c r="J889" s="460"/>
      <c r="K889" s="460" t="s">
        <v>2613</v>
      </c>
    </row>
    <row r="890" spans="1:11" ht="14.4">
      <c r="A890" s="460" t="s">
        <v>1810</v>
      </c>
      <c r="B890" s="460" t="s">
        <v>1728</v>
      </c>
      <c r="C890" s="460"/>
      <c r="D890" s="460" t="s">
        <v>1821</v>
      </c>
      <c r="E890" s="460" t="s">
        <v>1812</v>
      </c>
      <c r="F890" s="460" t="s">
        <v>2614</v>
      </c>
      <c r="G890" s="460"/>
      <c r="H890" s="461" t="s">
        <v>2615</v>
      </c>
      <c r="I890" s="547">
        <f>ROUND(7,2)</f>
        <v>7</v>
      </c>
      <c r="J890" s="460" t="s">
        <v>2615</v>
      </c>
      <c r="K890" s="460" t="s">
        <v>2613</v>
      </c>
    </row>
    <row r="891" spans="1:11" ht="14.4">
      <c r="A891" s="460" t="s">
        <v>1810</v>
      </c>
      <c r="B891" s="460" t="s">
        <v>1728</v>
      </c>
      <c r="C891" s="460"/>
      <c r="D891" s="460" t="s">
        <v>1821</v>
      </c>
      <c r="E891" s="460" t="s">
        <v>1812</v>
      </c>
      <c r="F891" s="460" t="s">
        <v>2612</v>
      </c>
      <c r="G891" s="460"/>
      <c r="H891" s="461"/>
      <c r="I891" s="460"/>
      <c r="J891" s="460"/>
      <c r="K891" s="460" t="s">
        <v>2613</v>
      </c>
    </row>
    <row r="892" spans="1:11" ht="14.4">
      <c r="A892" s="460" t="s">
        <v>1810</v>
      </c>
      <c r="B892" s="460" t="s">
        <v>1728</v>
      </c>
      <c r="C892" s="460"/>
      <c r="D892" s="460" t="s">
        <v>1821</v>
      </c>
      <c r="E892" s="460" t="s">
        <v>1812</v>
      </c>
      <c r="F892" s="460" t="s">
        <v>2634</v>
      </c>
      <c r="G892" s="547">
        <f>ROUND(37,2)</f>
        <v>37</v>
      </c>
      <c r="H892" s="461"/>
      <c r="I892" s="547">
        <f>ROUND(37,2)</f>
        <v>37</v>
      </c>
      <c r="J892" s="460"/>
      <c r="K892" s="460" t="s">
        <v>2613</v>
      </c>
    </row>
    <row r="893" spans="1:11" ht="14.4">
      <c r="A893" s="460" t="s">
        <v>1810</v>
      </c>
      <c r="B893" s="460" t="s">
        <v>1728</v>
      </c>
      <c r="C893" s="460"/>
      <c r="D893" s="460" t="s">
        <v>1821</v>
      </c>
      <c r="E893" s="460" t="s">
        <v>1812</v>
      </c>
      <c r="F893" s="460" t="s">
        <v>2616</v>
      </c>
      <c r="G893" s="460"/>
      <c r="H893" s="461"/>
      <c r="I893" s="460"/>
      <c r="J893" s="460"/>
      <c r="K893" s="460" t="s">
        <v>2613</v>
      </c>
    </row>
    <row r="894" spans="1:11" ht="14.4">
      <c r="A894" s="460" t="s">
        <v>1810</v>
      </c>
      <c r="B894" s="460" t="s">
        <v>2456</v>
      </c>
      <c r="C894" s="460"/>
      <c r="D894" s="460" t="s">
        <v>1814</v>
      </c>
      <c r="E894" s="460" t="s">
        <v>1812</v>
      </c>
      <c r="F894" s="460" t="s">
        <v>2619</v>
      </c>
      <c r="G894" s="460"/>
      <c r="H894" s="461" t="s">
        <v>2647</v>
      </c>
      <c r="I894" s="547">
        <f>ROUND(70,2)</f>
        <v>70</v>
      </c>
      <c r="J894" s="460" t="s">
        <v>2647</v>
      </c>
      <c r="K894" s="460" t="s">
        <v>2613</v>
      </c>
    </row>
    <row r="895" spans="1:11" ht="14.4">
      <c r="A895" s="460" t="s">
        <v>1810</v>
      </c>
      <c r="B895" s="460" t="s">
        <v>2456</v>
      </c>
      <c r="C895" s="460"/>
      <c r="D895" s="460" t="s">
        <v>1814</v>
      </c>
      <c r="E895" s="460" t="s">
        <v>1812</v>
      </c>
      <c r="F895" s="460" t="s">
        <v>2612</v>
      </c>
      <c r="G895" s="460"/>
      <c r="H895" s="461" t="s">
        <v>2646</v>
      </c>
      <c r="I895" s="547">
        <f>ROUND(30,2)</f>
        <v>30</v>
      </c>
      <c r="J895" s="460" t="s">
        <v>2646</v>
      </c>
      <c r="K895" s="460" t="s">
        <v>2613</v>
      </c>
    </row>
    <row r="896" spans="1:11" ht="14.4">
      <c r="A896" s="460" t="s">
        <v>1810</v>
      </c>
      <c r="B896" s="460" t="s">
        <v>2456</v>
      </c>
      <c r="C896" s="460"/>
      <c r="D896" s="460" t="s">
        <v>1814</v>
      </c>
      <c r="E896" s="460" t="s">
        <v>1812</v>
      </c>
      <c r="F896" s="460" t="s">
        <v>2626</v>
      </c>
      <c r="G896" s="547">
        <f>ROUND(10,2)</f>
        <v>10</v>
      </c>
      <c r="H896" s="461"/>
      <c r="I896" s="547">
        <f>ROUND(10,2)</f>
        <v>10</v>
      </c>
      <c r="J896" s="460"/>
      <c r="K896" s="460" t="s">
        <v>2613</v>
      </c>
    </row>
    <row r="897" spans="1:11" ht="14.4">
      <c r="A897" s="460" t="s">
        <v>1810</v>
      </c>
      <c r="B897" s="460" t="s">
        <v>2456</v>
      </c>
      <c r="C897" s="460"/>
      <c r="D897" s="460" t="s">
        <v>1814</v>
      </c>
      <c r="E897" s="460" t="s">
        <v>1812</v>
      </c>
      <c r="F897" s="460" t="s">
        <v>2618</v>
      </c>
      <c r="G897" s="547">
        <f>ROUND(40,2)</f>
        <v>40</v>
      </c>
      <c r="H897" s="461"/>
      <c r="I897" s="547">
        <f>ROUND(40,2)</f>
        <v>40</v>
      </c>
      <c r="J897" s="460"/>
      <c r="K897" s="460" t="s">
        <v>2613</v>
      </c>
    </row>
    <row r="898" spans="1:11" ht="14.4">
      <c r="A898" s="460" t="s">
        <v>1810</v>
      </c>
      <c r="B898" s="460" t="s">
        <v>2456</v>
      </c>
      <c r="C898" s="460"/>
      <c r="D898" s="460" t="s">
        <v>1814</v>
      </c>
      <c r="E898" s="460" t="s">
        <v>1812</v>
      </c>
      <c r="F898" s="460" t="s">
        <v>2620</v>
      </c>
      <c r="G898" s="547">
        <f>ROUND(10.22,2)</f>
        <v>10.220000000000001</v>
      </c>
      <c r="H898" s="461"/>
      <c r="I898" s="547">
        <f>ROUND(10.22,2)</f>
        <v>10.220000000000001</v>
      </c>
      <c r="J898" s="460"/>
      <c r="K898" s="460" t="s">
        <v>2613</v>
      </c>
    </row>
    <row r="899" spans="1:11" ht="14.4">
      <c r="A899" s="460" t="s">
        <v>1810</v>
      </c>
      <c r="B899" s="460" t="s">
        <v>2456</v>
      </c>
      <c r="C899" s="460"/>
      <c r="D899" s="460" t="s">
        <v>1814</v>
      </c>
      <c r="E899" s="460" t="s">
        <v>1812</v>
      </c>
      <c r="F899" s="460" t="s">
        <v>2640</v>
      </c>
      <c r="G899" s="460"/>
      <c r="H899" s="461" t="s">
        <v>2622</v>
      </c>
      <c r="I899" s="547">
        <f>ROUND(5,2)</f>
        <v>5</v>
      </c>
      <c r="J899" s="460" t="s">
        <v>2622</v>
      </c>
      <c r="K899" s="460" t="s">
        <v>2613</v>
      </c>
    </row>
    <row r="900" spans="1:11" ht="14.4">
      <c r="A900" s="460" t="s">
        <v>1810</v>
      </c>
      <c r="B900" s="460" t="s">
        <v>2456</v>
      </c>
      <c r="C900" s="460"/>
      <c r="D900" s="460" t="s">
        <v>1814</v>
      </c>
      <c r="E900" s="460" t="s">
        <v>1812</v>
      </c>
      <c r="F900" s="460" t="s">
        <v>2614</v>
      </c>
      <c r="G900" s="460"/>
      <c r="H900" s="461" t="s">
        <v>2615</v>
      </c>
      <c r="I900" s="547">
        <f>ROUND(7,2)</f>
        <v>7</v>
      </c>
      <c r="J900" s="460" t="s">
        <v>2615</v>
      </c>
      <c r="K900" s="460" t="s">
        <v>2613</v>
      </c>
    </row>
    <row r="901" spans="1:11" ht="14.4">
      <c r="A901" s="460" t="s">
        <v>1810</v>
      </c>
      <c r="B901" s="460" t="s">
        <v>2456</v>
      </c>
      <c r="C901" s="460"/>
      <c r="D901" s="460" t="s">
        <v>1814</v>
      </c>
      <c r="E901" s="460" t="s">
        <v>1812</v>
      </c>
      <c r="F901" s="460" t="s">
        <v>2616</v>
      </c>
      <c r="G901" s="460"/>
      <c r="H901" s="461"/>
      <c r="I901" s="460"/>
      <c r="J901" s="460"/>
      <c r="K901" s="460" t="s">
        <v>2613</v>
      </c>
    </row>
    <row r="902" spans="1:11" ht="14.4">
      <c r="A902" s="460" t="s">
        <v>1810</v>
      </c>
      <c r="B902" s="460" t="s">
        <v>2456</v>
      </c>
      <c r="C902" s="460"/>
      <c r="D902" s="460" t="s">
        <v>1814</v>
      </c>
      <c r="E902" s="460" t="s">
        <v>1812</v>
      </c>
      <c r="F902" s="460" t="s">
        <v>2632</v>
      </c>
      <c r="G902" s="547">
        <f>ROUND(166.67,2)</f>
        <v>166.67</v>
      </c>
      <c r="H902" s="461"/>
      <c r="I902" s="547">
        <f>ROUND(166.67,2)</f>
        <v>166.67</v>
      </c>
      <c r="J902" s="460"/>
      <c r="K902" s="460" t="s">
        <v>2613</v>
      </c>
    </row>
    <row r="903" spans="1:11" ht="14.4">
      <c r="A903" s="460" t="s">
        <v>1810</v>
      </c>
      <c r="B903" s="460" t="s">
        <v>2456</v>
      </c>
      <c r="C903" s="460"/>
      <c r="D903" s="460" t="s">
        <v>1814</v>
      </c>
      <c r="E903" s="460" t="s">
        <v>1812</v>
      </c>
      <c r="F903" s="460" t="s">
        <v>2617</v>
      </c>
      <c r="G903" s="547">
        <f>ROUND(75,2)</f>
        <v>75</v>
      </c>
      <c r="H903" s="461"/>
      <c r="I903" s="547">
        <f>ROUND(75,2)</f>
        <v>75</v>
      </c>
      <c r="J903" s="460"/>
      <c r="K903" s="460" t="s">
        <v>2613</v>
      </c>
    </row>
    <row r="904" spans="1:11" ht="14.4">
      <c r="A904" s="460" t="s">
        <v>1810</v>
      </c>
      <c r="B904" s="460" t="s">
        <v>2458</v>
      </c>
      <c r="C904" s="460"/>
      <c r="D904" s="460" t="s">
        <v>1821</v>
      </c>
      <c r="E904" s="460" t="s">
        <v>1812</v>
      </c>
      <c r="F904" s="460" t="s">
        <v>2612</v>
      </c>
      <c r="G904" s="460"/>
      <c r="H904" s="461"/>
      <c r="I904" s="460"/>
      <c r="J904" s="460"/>
      <c r="K904" s="460" t="s">
        <v>2613</v>
      </c>
    </row>
    <row r="905" spans="1:11" ht="14.4">
      <c r="A905" s="460" t="s">
        <v>1810</v>
      </c>
      <c r="B905" s="460" t="s">
        <v>2458</v>
      </c>
      <c r="C905" s="460"/>
      <c r="D905" s="460" t="s">
        <v>1821</v>
      </c>
      <c r="E905" s="460" t="s">
        <v>1812</v>
      </c>
      <c r="F905" s="460" t="s">
        <v>2645</v>
      </c>
      <c r="G905" s="547">
        <f>ROUND(75,2)</f>
        <v>75</v>
      </c>
      <c r="H905" s="461"/>
      <c r="I905" s="547">
        <f>ROUND(75,2)</f>
        <v>75</v>
      </c>
      <c r="J905" s="460"/>
      <c r="K905" s="460" t="s">
        <v>2613</v>
      </c>
    </row>
    <row r="906" spans="1:11" ht="14.4">
      <c r="A906" s="460" t="s">
        <v>1810</v>
      </c>
      <c r="B906" s="460" t="s">
        <v>2458</v>
      </c>
      <c r="C906" s="460"/>
      <c r="D906" s="460" t="s">
        <v>1821</v>
      </c>
      <c r="E906" s="460" t="s">
        <v>1812</v>
      </c>
      <c r="F906" s="460" t="s">
        <v>2634</v>
      </c>
      <c r="G906" s="547">
        <f>ROUND(24,2)</f>
        <v>24</v>
      </c>
      <c r="H906" s="461"/>
      <c r="I906" s="547">
        <f>ROUND(24,2)</f>
        <v>24</v>
      </c>
      <c r="J906" s="460"/>
      <c r="K906" s="460" t="s">
        <v>2613</v>
      </c>
    </row>
    <row r="907" spans="1:11" ht="14.4">
      <c r="A907" s="460" t="s">
        <v>1810</v>
      </c>
      <c r="B907" s="460" t="s">
        <v>2458</v>
      </c>
      <c r="C907" s="460"/>
      <c r="D907" s="460" t="s">
        <v>1821</v>
      </c>
      <c r="E907" s="460" t="s">
        <v>1812</v>
      </c>
      <c r="F907" s="460" t="s">
        <v>2616</v>
      </c>
      <c r="G907" s="460"/>
      <c r="H907" s="461"/>
      <c r="I907" s="460"/>
      <c r="J907" s="460"/>
      <c r="K907" s="460" t="s">
        <v>2613</v>
      </c>
    </row>
    <row r="908" spans="1:11" ht="14.4">
      <c r="A908" s="460" t="s">
        <v>1810</v>
      </c>
      <c r="B908" s="460" t="s">
        <v>2458</v>
      </c>
      <c r="C908" s="460"/>
      <c r="D908" s="460" t="s">
        <v>1821</v>
      </c>
      <c r="E908" s="460" t="s">
        <v>1812</v>
      </c>
      <c r="F908" s="460" t="s">
        <v>2614</v>
      </c>
      <c r="G908" s="460"/>
      <c r="H908" s="461" t="s">
        <v>2615</v>
      </c>
      <c r="I908" s="547">
        <f>ROUND(7,2)</f>
        <v>7</v>
      </c>
      <c r="J908" s="460" t="s">
        <v>2615</v>
      </c>
      <c r="K908" s="460" t="s">
        <v>2613</v>
      </c>
    </row>
    <row r="909" spans="1:11" ht="22.8">
      <c r="A909" s="460" t="s">
        <v>1810</v>
      </c>
      <c r="B909" s="460" t="s">
        <v>1385</v>
      </c>
      <c r="C909" s="460"/>
      <c r="D909" s="460" t="s">
        <v>1844</v>
      </c>
      <c r="E909" s="460" t="s">
        <v>1812</v>
      </c>
      <c r="F909" s="460" t="s">
        <v>2612</v>
      </c>
      <c r="G909" s="460"/>
      <c r="H909" s="461"/>
      <c r="I909" s="460"/>
      <c r="J909" s="460"/>
      <c r="K909" s="460" t="s">
        <v>2613</v>
      </c>
    </row>
    <row r="910" spans="1:11" ht="22.8">
      <c r="A910" s="460" t="s">
        <v>1810</v>
      </c>
      <c r="B910" s="460" t="s">
        <v>1385</v>
      </c>
      <c r="C910" s="460"/>
      <c r="D910" s="460" t="s">
        <v>1844</v>
      </c>
      <c r="E910" s="460" t="s">
        <v>1812</v>
      </c>
      <c r="F910" s="460" t="s">
        <v>2614</v>
      </c>
      <c r="G910" s="460"/>
      <c r="H910" s="461" t="s">
        <v>2615</v>
      </c>
      <c r="I910" s="547">
        <f>ROUND(7,2)</f>
        <v>7</v>
      </c>
      <c r="J910" s="460" t="s">
        <v>2615</v>
      </c>
      <c r="K910" s="460" t="s">
        <v>2613</v>
      </c>
    </row>
    <row r="911" spans="1:11" ht="22.8">
      <c r="A911" s="460" t="s">
        <v>1810</v>
      </c>
      <c r="B911" s="460" t="s">
        <v>1385</v>
      </c>
      <c r="C911" s="460"/>
      <c r="D911" s="460" t="s">
        <v>1844</v>
      </c>
      <c r="E911" s="460" t="s">
        <v>1812</v>
      </c>
      <c r="F911" s="460" t="s">
        <v>2616</v>
      </c>
      <c r="G911" s="460"/>
      <c r="H911" s="461"/>
      <c r="I911" s="460"/>
      <c r="J911" s="460"/>
      <c r="K911" s="460" t="s">
        <v>2613</v>
      </c>
    </row>
    <row r="912" spans="1:11" ht="14.4">
      <c r="A912" s="460" t="s">
        <v>1810</v>
      </c>
      <c r="B912" s="460" t="s">
        <v>1944</v>
      </c>
      <c r="C912" s="460"/>
      <c r="D912" s="460" t="s">
        <v>1816</v>
      </c>
      <c r="E912" s="460" t="s">
        <v>2611</v>
      </c>
      <c r="F912" s="460" t="s">
        <v>2612</v>
      </c>
      <c r="G912" s="460"/>
      <c r="H912" s="461"/>
      <c r="I912" s="460"/>
      <c r="J912" s="460"/>
      <c r="K912" s="460" t="s">
        <v>2613</v>
      </c>
    </row>
    <row r="913" spans="1:11" ht="14.4">
      <c r="A913" s="460" t="s">
        <v>1810</v>
      </c>
      <c r="B913" s="460" t="s">
        <v>1384</v>
      </c>
      <c r="C913" s="460"/>
      <c r="D913" s="460" t="s">
        <v>1814</v>
      </c>
      <c r="E913" s="460" t="s">
        <v>1812</v>
      </c>
      <c r="F913" s="460" t="s">
        <v>2632</v>
      </c>
      <c r="G913" s="547">
        <f>ROUND(166.67,2)</f>
        <v>166.67</v>
      </c>
      <c r="H913" s="461"/>
      <c r="I913" s="547">
        <f>ROUND(166.67,2)</f>
        <v>166.67</v>
      </c>
      <c r="J913" s="460"/>
      <c r="K913" s="460" t="s">
        <v>2613</v>
      </c>
    </row>
    <row r="914" spans="1:11" ht="14.4">
      <c r="A914" s="460" t="s">
        <v>1810</v>
      </c>
      <c r="B914" s="460" t="s">
        <v>1384</v>
      </c>
      <c r="C914" s="460"/>
      <c r="D914" s="460" t="s">
        <v>1814</v>
      </c>
      <c r="E914" s="460" t="s">
        <v>1812</v>
      </c>
      <c r="F914" s="460" t="s">
        <v>2625</v>
      </c>
      <c r="G914" s="547">
        <f>ROUND(50,2)</f>
        <v>50</v>
      </c>
      <c r="H914" s="461"/>
      <c r="I914" s="547">
        <f>ROUND(50,2)</f>
        <v>50</v>
      </c>
      <c r="J914" s="460"/>
      <c r="K914" s="460" t="s">
        <v>2613</v>
      </c>
    </row>
    <row r="915" spans="1:11" ht="14.4">
      <c r="A915" s="460" t="s">
        <v>1810</v>
      </c>
      <c r="B915" s="460" t="s">
        <v>1384</v>
      </c>
      <c r="C915" s="460"/>
      <c r="D915" s="460" t="s">
        <v>1814</v>
      </c>
      <c r="E915" s="460" t="s">
        <v>1812</v>
      </c>
      <c r="F915" s="460" t="s">
        <v>2612</v>
      </c>
      <c r="G915" s="460"/>
      <c r="H915" s="461"/>
      <c r="I915" s="460"/>
      <c r="J915" s="460"/>
      <c r="K915" s="460" t="s">
        <v>2613</v>
      </c>
    </row>
    <row r="916" spans="1:11" ht="14.4">
      <c r="A916" s="460" t="s">
        <v>1810</v>
      </c>
      <c r="B916" s="460" t="s">
        <v>1384</v>
      </c>
      <c r="C916" s="460"/>
      <c r="D916" s="460" t="s">
        <v>1814</v>
      </c>
      <c r="E916" s="460" t="s">
        <v>1812</v>
      </c>
      <c r="F916" s="460" t="s">
        <v>2623</v>
      </c>
      <c r="G916" s="547">
        <f>ROUND(50,2)</f>
        <v>50</v>
      </c>
      <c r="H916" s="461"/>
      <c r="I916" s="547">
        <f>ROUND(50,2)</f>
        <v>50</v>
      </c>
      <c r="J916" s="460"/>
      <c r="K916" s="460" t="s">
        <v>2613</v>
      </c>
    </row>
    <row r="917" spans="1:11" ht="14.4">
      <c r="A917" s="460" t="s">
        <v>1810</v>
      </c>
      <c r="B917" s="460" t="s">
        <v>1384</v>
      </c>
      <c r="C917" s="460"/>
      <c r="D917" s="460" t="s">
        <v>1814</v>
      </c>
      <c r="E917" s="460" t="s">
        <v>1812</v>
      </c>
      <c r="F917" s="460" t="s">
        <v>2614</v>
      </c>
      <c r="G917" s="460"/>
      <c r="H917" s="461" t="s">
        <v>2615</v>
      </c>
      <c r="I917" s="547">
        <f>ROUND(7,2)</f>
        <v>7</v>
      </c>
      <c r="J917" s="460" t="s">
        <v>2615</v>
      </c>
      <c r="K917" s="460" t="s">
        <v>2613</v>
      </c>
    </row>
    <row r="918" spans="1:11" ht="14.4">
      <c r="A918" s="460" t="s">
        <v>1810</v>
      </c>
      <c r="B918" s="460" t="s">
        <v>1384</v>
      </c>
      <c r="C918" s="460"/>
      <c r="D918" s="460" t="s">
        <v>1814</v>
      </c>
      <c r="E918" s="460" t="s">
        <v>1812</v>
      </c>
      <c r="F918" s="460" t="s">
        <v>2624</v>
      </c>
      <c r="G918" s="547">
        <f>ROUND(25,2)</f>
        <v>25</v>
      </c>
      <c r="H918" s="461"/>
      <c r="I918" s="547">
        <f>ROUND(25,2)</f>
        <v>25</v>
      </c>
      <c r="J918" s="460"/>
      <c r="K918" s="460" t="s">
        <v>2613</v>
      </c>
    </row>
    <row r="919" spans="1:11" ht="14.4">
      <c r="A919" s="460" t="s">
        <v>1810</v>
      </c>
      <c r="B919" s="460" t="s">
        <v>1384</v>
      </c>
      <c r="C919" s="460"/>
      <c r="D919" s="460" t="s">
        <v>1814</v>
      </c>
      <c r="E919" s="460" t="s">
        <v>1812</v>
      </c>
      <c r="F919" s="460" t="s">
        <v>2616</v>
      </c>
      <c r="G919" s="460"/>
      <c r="H919" s="461"/>
      <c r="I919" s="460"/>
      <c r="J919" s="460"/>
      <c r="K919" s="460" t="s">
        <v>2613</v>
      </c>
    </row>
    <row r="920" spans="1:11" ht="14.4">
      <c r="A920" s="460" t="s">
        <v>1810</v>
      </c>
      <c r="B920" s="460" t="s">
        <v>1696</v>
      </c>
      <c r="C920" s="460"/>
      <c r="D920" s="460" t="s">
        <v>1816</v>
      </c>
      <c r="E920" s="460" t="s">
        <v>2611</v>
      </c>
      <c r="F920" s="460" t="s">
        <v>2612</v>
      </c>
      <c r="G920" s="460"/>
      <c r="H920" s="461"/>
      <c r="I920" s="460"/>
      <c r="J920" s="460"/>
      <c r="K920" s="460" t="s">
        <v>2613</v>
      </c>
    </row>
    <row r="921" spans="1:11" ht="14.4">
      <c r="A921" s="460" t="s">
        <v>1810</v>
      </c>
      <c r="B921" s="460" t="s">
        <v>1490</v>
      </c>
      <c r="C921" s="460"/>
      <c r="D921" s="460" t="s">
        <v>1816</v>
      </c>
      <c r="E921" s="460" t="s">
        <v>2611</v>
      </c>
      <c r="F921" s="460" t="s">
        <v>2612</v>
      </c>
      <c r="G921" s="460"/>
      <c r="H921" s="461"/>
      <c r="I921" s="460"/>
      <c r="J921" s="460"/>
      <c r="K921" s="460" t="s">
        <v>2613</v>
      </c>
    </row>
    <row r="922" spans="1:11" ht="14.4">
      <c r="A922" s="460" t="s">
        <v>1810</v>
      </c>
      <c r="B922" s="460" t="s">
        <v>1683</v>
      </c>
      <c r="C922" s="460"/>
      <c r="D922" s="460" t="s">
        <v>1816</v>
      </c>
      <c r="E922" s="460" t="s">
        <v>2611</v>
      </c>
      <c r="F922" s="460" t="s">
        <v>2612</v>
      </c>
      <c r="G922" s="460"/>
      <c r="H922" s="461"/>
      <c r="I922" s="460"/>
      <c r="J922" s="460"/>
      <c r="K922" s="460" t="s">
        <v>2613</v>
      </c>
    </row>
    <row r="923" spans="1:11" ht="14.4">
      <c r="A923" s="460" t="s">
        <v>1810</v>
      </c>
      <c r="B923" s="460" t="s">
        <v>2447</v>
      </c>
      <c r="C923" s="460"/>
      <c r="D923" s="460" t="s">
        <v>1816</v>
      </c>
      <c r="E923" s="460" t="s">
        <v>2611</v>
      </c>
      <c r="F923" s="460" t="s">
        <v>2612</v>
      </c>
      <c r="G923" s="460"/>
      <c r="H923" s="461"/>
      <c r="I923" s="460"/>
      <c r="J923" s="460"/>
      <c r="K923" s="460" t="s">
        <v>2613</v>
      </c>
    </row>
    <row r="924" spans="1:11" ht="14.4">
      <c r="A924" s="460" t="s">
        <v>1810</v>
      </c>
      <c r="B924" s="460" t="s">
        <v>1395</v>
      </c>
      <c r="C924" s="460"/>
      <c r="D924" s="460" t="s">
        <v>1821</v>
      </c>
      <c r="E924" s="460" t="s">
        <v>1812</v>
      </c>
      <c r="F924" s="460" t="s">
        <v>2625</v>
      </c>
      <c r="G924" s="547">
        <f>ROUND(37.5,2)</f>
        <v>37.5</v>
      </c>
      <c r="H924" s="461"/>
      <c r="I924" s="547">
        <f>ROUND(37.5,2)</f>
        <v>37.5</v>
      </c>
      <c r="J924" s="460"/>
      <c r="K924" s="460" t="s">
        <v>2613</v>
      </c>
    </row>
    <row r="925" spans="1:11" ht="14.4">
      <c r="A925" s="460" t="s">
        <v>1810</v>
      </c>
      <c r="B925" s="460" t="s">
        <v>1395</v>
      </c>
      <c r="C925" s="460"/>
      <c r="D925" s="460" t="s">
        <v>1821</v>
      </c>
      <c r="E925" s="460" t="s">
        <v>1812</v>
      </c>
      <c r="F925" s="460" t="s">
        <v>2612</v>
      </c>
      <c r="G925" s="460"/>
      <c r="H925" s="461"/>
      <c r="I925" s="460"/>
      <c r="J925" s="460"/>
      <c r="K925" s="460" t="s">
        <v>2613</v>
      </c>
    </row>
    <row r="926" spans="1:11" ht="14.4">
      <c r="A926" s="460" t="s">
        <v>1810</v>
      </c>
      <c r="B926" s="460" t="s">
        <v>1395</v>
      </c>
      <c r="C926" s="460"/>
      <c r="D926" s="460" t="s">
        <v>1821</v>
      </c>
      <c r="E926" s="460" t="s">
        <v>1812</v>
      </c>
      <c r="F926" s="460" t="s">
        <v>2634</v>
      </c>
      <c r="G926" s="547">
        <f>ROUND(29,2)</f>
        <v>29</v>
      </c>
      <c r="H926" s="461"/>
      <c r="I926" s="547">
        <f>ROUND(29,2)</f>
        <v>29</v>
      </c>
      <c r="J926" s="460"/>
      <c r="K926" s="460" t="s">
        <v>2613</v>
      </c>
    </row>
    <row r="927" spans="1:11" ht="14.4">
      <c r="A927" s="460" t="s">
        <v>1810</v>
      </c>
      <c r="B927" s="460" t="s">
        <v>1395</v>
      </c>
      <c r="C927" s="460"/>
      <c r="D927" s="460" t="s">
        <v>1821</v>
      </c>
      <c r="E927" s="460" t="s">
        <v>1812</v>
      </c>
      <c r="F927" s="460" t="s">
        <v>2614</v>
      </c>
      <c r="G927" s="460"/>
      <c r="H927" s="461" t="s">
        <v>2615</v>
      </c>
      <c r="I927" s="547">
        <f>ROUND(7,2)</f>
        <v>7</v>
      </c>
      <c r="J927" s="460" t="s">
        <v>2615</v>
      </c>
      <c r="K927" s="460" t="s">
        <v>2613</v>
      </c>
    </row>
    <row r="928" spans="1:11" ht="14.4">
      <c r="A928" s="460" t="s">
        <v>1810</v>
      </c>
      <c r="B928" s="460" t="s">
        <v>1395</v>
      </c>
      <c r="C928" s="460"/>
      <c r="D928" s="460" t="s">
        <v>1821</v>
      </c>
      <c r="E928" s="460" t="s">
        <v>1812</v>
      </c>
      <c r="F928" s="460" t="s">
        <v>2616</v>
      </c>
      <c r="G928" s="460"/>
      <c r="H928" s="461"/>
      <c r="I928" s="460"/>
      <c r="J928" s="460"/>
      <c r="K928" s="460" t="s">
        <v>2613</v>
      </c>
    </row>
    <row r="929" spans="1:11" ht="22.8">
      <c r="A929" s="460" t="s">
        <v>1810</v>
      </c>
      <c r="B929" s="460" t="s">
        <v>1393</v>
      </c>
      <c r="C929" s="460"/>
      <c r="D929" s="460" t="s">
        <v>1829</v>
      </c>
      <c r="E929" s="460" t="s">
        <v>1812</v>
      </c>
      <c r="F929" s="460" t="s">
        <v>2612</v>
      </c>
      <c r="G929" s="460"/>
      <c r="H929" s="461"/>
      <c r="I929" s="460"/>
      <c r="J929" s="460"/>
      <c r="K929" s="460" t="s">
        <v>2613</v>
      </c>
    </row>
    <row r="930" spans="1:11" ht="22.8">
      <c r="A930" s="460" t="s">
        <v>1810</v>
      </c>
      <c r="B930" s="460" t="s">
        <v>1393</v>
      </c>
      <c r="C930" s="460"/>
      <c r="D930" s="460" t="s">
        <v>1829</v>
      </c>
      <c r="E930" s="460" t="s">
        <v>1812</v>
      </c>
      <c r="F930" s="460" t="s">
        <v>2614</v>
      </c>
      <c r="G930" s="460"/>
      <c r="H930" s="461" t="s">
        <v>2615</v>
      </c>
      <c r="I930" s="547">
        <f>ROUND(7,2)</f>
        <v>7</v>
      </c>
      <c r="J930" s="460" t="s">
        <v>2615</v>
      </c>
      <c r="K930" s="460" t="s">
        <v>2613</v>
      </c>
    </row>
    <row r="931" spans="1:11" ht="22.8">
      <c r="A931" s="460" t="s">
        <v>1810</v>
      </c>
      <c r="B931" s="460" t="s">
        <v>1393</v>
      </c>
      <c r="C931" s="460"/>
      <c r="D931" s="460" t="s">
        <v>1829</v>
      </c>
      <c r="E931" s="460" t="s">
        <v>1812</v>
      </c>
      <c r="F931" s="460" t="s">
        <v>2616</v>
      </c>
      <c r="G931" s="460"/>
      <c r="H931" s="461"/>
      <c r="I931" s="460"/>
      <c r="J931" s="460"/>
      <c r="K931" s="460" t="s">
        <v>2613</v>
      </c>
    </row>
    <row r="932" spans="1:11" ht="22.8">
      <c r="A932" s="460" t="s">
        <v>1810</v>
      </c>
      <c r="B932" s="460" t="s">
        <v>1393</v>
      </c>
      <c r="C932" s="460"/>
      <c r="D932" s="460" t="s">
        <v>1829</v>
      </c>
      <c r="E932" s="460" t="s">
        <v>1812</v>
      </c>
      <c r="F932" s="460" t="s">
        <v>2618</v>
      </c>
      <c r="G932" s="547">
        <f>ROUND(22.5,2)</f>
        <v>22.5</v>
      </c>
      <c r="H932" s="461"/>
      <c r="I932" s="547">
        <f>ROUND(22.5,2)</f>
        <v>22.5</v>
      </c>
      <c r="J932" s="460"/>
      <c r="K932" s="460" t="s">
        <v>2613</v>
      </c>
    </row>
    <row r="933" spans="1:11" ht="22.8">
      <c r="A933" s="460" t="s">
        <v>1810</v>
      </c>
      <c r="B933" s="460" t="s">
        <v>1393</v>
      </c>
      <c r="C933" s="460"/>
      <c r="D933" s="460" t="s">
        <v>1829</v>
      </c>
      <c r="E933" s="460" t="s">
        <v>1812</v>
      </c>
      <c r="F933" s="460" t="s">
        <v>2617</v>
      </c>
      <c r="G933" s="547">
        <f>ROUND(75,2)</f>
        <v>75</v>
      </c>
      <c r="H933" s="461"/>
      <c r="I933" s="547">
        <f>ROUND(75,2)</f>
        <v>75</v>
      </c>
      <c r="J933" s="460"/>
      <c r="K933" s="460" t="s">
        <v>2613</v>
      </c>
    </row>
    <row r="934" spans="1:11" ht="14.4">
      <c r="A934" s="460" t="s">
        <v>1810</v>
      </c>
      <c r="B934" s="460" t="s">
        <v>1396</v>
      </c>
      <c r="C934" s="460"/>
      <c r="D934" s="460" t="s">
        <v>1814</v>
      </c>
      <c r="E934" s="460" t="s">
        <v>1812</v>
      </c>
      <c r="F934" s="460" t="s">
        <v>2629</v>
      </c>
      <c r="G934" s="547">
        <f>ROUND(31,2)</f>
        <v>31</v>
      </c>
      <c r="H934" s="461"/>
      <c r="I934" s="547">
        <f>ROUND(31,2)</f>
        <v>31</v>
      </c>
      <c r="J934" s="460"/>
      <c r="K934" s="460" t="s">
        <v>2613</v>
      </c>
    </row>
    <row r="935" spans="1:11" ht="14.4">
      <c r="A935" s="460" t="s">
        <v>1810</v>
      </c>
      <c r="B935" s="460" t="s">
        <v>1396</v>
      </c>
      <c r="C935" s="460"/>
      <c r="D935" s="460" t="s">
        <v>1814</v>
      </c>
      <c r="E935" s="460" t="s">
        <v>1812</v>
      </c>
      <c r="F935" s="460" t="s">
        <v>2626</v>
      </c>
      <c r="G935" s="547">
        <f>ROUND(10,2)</f>
        <v>10</v>
      </c>
      <c r="H935" s="461"/>
      <c r="I935" s="547">
        <f>ROUND(10,2)</f>
        <v>10</v>
      </c>
      <c r="J935" s="460"/>
      <c r="K935" s="460" t="s">
        <v>2613</v>
      </c>
    </row>
    <row r="936" spans="1:11" ht="14.4">
      <c r="A936" s="460" t="s">
        <v>1810</v>
      </c>
      <c r="B936" s="460" t="s">
        <v>1396</v>
      </c>
      <c r="C936" s="460"/>
      <c r="D936" s="460" t="s">
        <v>1814</v>
      </c>
      <c r="E936" s="460" t="s">
        <v>1812</v>
      </c>
      <c r="F936" s="460" t="s">
        <v>2620</v>
      </c>
      <c r="G936" s="547">
        <f>ROUND(10.22,2)</f>
        <v>10.220000000000001</v>
      </c>
      <c r="H936" s="461"/>
      <c r="I936" s="547">
        <f>ROUND(10.22,2)</f>
        <v>10.220000000000001</v>
      </c>
      <c r="J936" s="460"/>
      <c r="K936" s="460" t="s">
        <v>2613</v>
      </c>
    </row>
    <row r="937" spans="1:11" ht="14.4">
      <c r="A937" s="460" t="s">
        <v>1810</v>
      </c>
      <c r="B937" s="460" t="s">
        <v>1396</v>
      </c>
      <c r="C937" s="460"/>
      <c r="D937" s="460" t="s">
        <v>1814</v>
      </c>
      <c r="E937" s="460" t="s">
        <v>1812</v>
      </c>
      <c r="F937" s="460" t="s">
        <v>2616</v>
      </c>
      <c r="G937" s="460"/>
      <c r="H937" s="461"/>
      <c r="I937" s="460"/>
      <c r="J937" s="460"/>
      <c r="K937" s="460" t="s">
        <v>2613</v>
      </c>
    </row>
    <row r="938" spans="1:11" ht="14.4">
      <c r="A938" s="460" t="s">
        <v>1810</v>
      </c>
      <c r="B938" s="460" t="s">
        <v>1396</v>
      </c>
      <c r="C938" s="460"/>
      <c r="D938" s="460" t="s">
        <v>1814</v>
      </c>
      <c r="E938" s="460" t="s">
        <v>1812</v>
      </c>
      <c r="F938" s="460" t="s">
        <v>2612</v>
      </c>
      <c r="G938" s="460"/>
      <c r="H938" s="461"/>
      <c r="I938" s="460"/>
      <c r="J938" s="460"/>
      <c r="K938" s="460" t="s">
        <v>2613</v>
      </c>
    </row>
    <row r="939" spans="1:11" ht="14.4">
      <c r="A939" s="460" t="s">
        <v>1810</v>
      </c>
      <c r="B939" s="460" t="s">
        <v>1396</v>
      </c>
      <c r="C939" s="460"/>
      <c r="D939" s="460" t="s">
        <v>1814</v>
      </c>
      <c r="E939" s="460" t="s">
        <v>1812</v>
      </c>
      <c r="F939" s="460" t="s">
        <v>2614</v>
      </c>
      <c r="G939" s="460"/>
      <c r="H939" s="461" t="s">
        <v>2615</v>
      </c>
      <c r="I939" s="547">
        <f>ROUND(7,2)</f>
        <v>7</v>
      </c>
      <c r="J939" s="460" t="s">
        <v>2615</v>
      </c>
      <c r="K939" s="460" t="s">
        <v>2613</v>
      </c>
    </row>
    <row r="940" spans="1:11" ht="14.4">
      <c r="A940" s="460" t="s">
        <v>1810</v>
      </c>
      <c r="B940" s="460" t="s">
        <v>1389</v>
      </c>
      <c r="C940" s="460"/>
      <c r="D940" s="460" t="s">
        <v>1814</v>
      </c>
      <c r="E940" s="460" t="s">
        <v>2015</v>
      </c>
      <c r="F940" s="460" t="s">
        <v>2625</v>
      </c>
      <c r="G940" s="547">
        <f>ROUND(50,2)</f>
        <v>50</v>
      </c>
      <c r="H940" s="461"/>
      <c r="I940" s="547">
        <f>ROUND(50,2)</f>
        <v>50</v>
      </c>
      <c r="J940" s="460"/>
      <c r="K940" s="460" t="s">
        <v>2613</v>
      </c>
    </row>
    <row r="941" spans="1:11" ht="14.4">
      <c r="A941" s="460" t="s">
        <v>1810</v>
      </c>
      <c r="B941" s="460" t="s">
        <v>1389</v>
      </c>
      <c r="C941" s="460"/>
      <c r="D941" s="460" t="s">
        <v>1814</v>
      </c>
      <c r="E941" s="460" t="s">
        <v>2015</v>
      </c>
      <c r="F941" s="460" t="s">
        <v>2612</v>
      </c>
      <c r="G941" s="460"/>
      <c r="H941" s="461"/>
      <c r="I941" s="460"/>
      <c r="J941" s="460"/>
      <c r="K941" s="460" t="s">
        <v>2613</v>
      </c>
    </row>
    <row r="942" spans="1:11" ht="14.4">
      <c r="A942" s="460" t="s">
        <v>1810</v>
      </c>
      <c r="B942" s="460" t="s">
        <v>1389</v>
      </c>
      <c r="C942" s="460"/>
      <c r="D942" s="460" t="s">
        <v>1814</v>
      </c>
      <c r="E942" s="460" t="s">
        <v>2015</v>
      </c>
      <c r="F942" s="460" t="s">
        <v>2626</v>
      </c>
      <c r="G942" s="547">
        <f>ROUND(10,2)</f>
        <v>10</v>
      </c>
      <c r="H942" s="461"/>
      <c r="I942" s="547">
        <f>ROUND(10,2)</f>
        <v>10</v>
      </c>
      <c r="J942" s="460"/>
      <c r="K942" s="460" t="s">
        <v>2613</v>
      </c>
    </row>
    <row r="943" spans="1:11" ht="14.4">
      <c r="A943" s="460" t="s">
        <v>1810</v>
      </c>
      <c r="B943" s="460" t="s">
        <v>1389</v>
      </c>
      <c r="C943" s="460"/>
      <c r="D943" s="460" t="s">
        <v>1814</v>
      </c>
      <c r="E943" s="460" t="s">
        <v>2015</v>
      </c>
      <c r="F943" s="460" t="s">
        <v>2614</v>
      </c>
      <c r="G943" s="460"/>
      <c r="H943" s="461" t="s">
        <v>2615</v>
      </c>
      <c r="I943" s="547">
        <f>ROUND(7,2)</f>
        <v>7</v>
      </c>
      <c r="J943" s="460" t="s">
        <v>2615</v>
      </c>
      <c r="K943" s="460" t="s">
        <v>2613</v>
      </c>
    </row>
    <row r="944" spans="1:11" ht="14.4">
      <c r="A944" s="460" t="s">
        <v>1810</v>
      </c>
      <c r="B944" s="460" t="s">
        <v>1389</v>
      </c>
      <c r="C944" s="460"/>
      <c r="D944" s="460" t="s">
        <v>1814</v>
      </c>
      <c r="E944" s="460" t="s">
        <v>2015</v>
      </c>
      <c r="F944" s="460" t="s">
        <v>2629</v>
      </c>
      <c r="G944" s="547">
        <f>ROUND(26,2)</f>
        <v>26</v>
      </c>
      <c r="H944" s="461"/>
      <c r="I944" s="547">
        <f>ROUND(26,2)</f>
        <v>26</v>
      </c>
      <c r="J944" s="460"/>
      <c r="K944" s="460" t="s">
        <v>2613</v>
      </c>
    </row>
    <row r="945" spans="1:11" ht="14.4">
      <c r="A945" s="460" t="s">
        <v>1810</v>
      </c>
      <c r="B945" s="460" t="s">
        <v>1389</v>
      </c>
      <c r="C945" s="460"/>
      <c r="D945" s="460" t="s">
        <v>1814</v>
      </c>
      <c r="E945" s="460" t="s">
        <v>2015</v>
      </c>
      <c r="F945" s="460" t="s">
        <v>2616</v>
      </c>
      <c r="G945" s="460"/>
      <c r="H945" s="461"/>
      <c r="I945" s="460"/>
      <c r="J945" s="460"/>
      <c r="K945" s="460" t="s">
        <v>2613</v>
      </c>
    </row>
    <row r="946" spans="1:11" ht="14.4">
      <c r="A946" s="460" t="s">
        <v>1810</v>
      </c>
      <c r="B946" s="460" t="s">
        <v>1389</v>
      </c>
      <c r="C946" s="460"/>
      <c r="D946" s="460" t="s">
        <v>1814</v>
      </c>
      <c r="E946" s="460" t="s">
        <v>2015</v>
      </c>
      <c r="F946" s="460" t="s">
        <v>2618</v>
      </c>
      <c r="G946" s="547">
        <f>ROUND(47.5,2)</f>
        <v>47.5</v>
      </c>
      <c r="H946" s="461"/>
      <c r="I946" s="547">
        <f>ROUND(47.5,2)</f>
        <v>47.5</v>
      </c>
      <c r="J946" s="460"/>
      <c r="K946" s="460" t="s">
        <v>2613</v>
      </c>
    </row>
    <row r="947" spans="1:11" ht="14.4">
      <c r="A947" s="460" t="s">
        <v>1810</v>
      </c>
      <c r="B947" s="460" t="s">
        <v>1389</v>
      </c>
      <c r="C947" s="460"/>
      <c r="D947" s="460" t="s">
        <v>1814</v>
      </c>
      <c r="E947" s="460" t="s">
        <v>2015</v>
      </c>
      <c r="F947" s="460" t="s">
        <v>2617</v>
      </c>
      <c r="G947" s="547">
        <f>ROUND(75,2)</f>
        <v>75</v>
      </c>
      <c r="H947" s="461"/>
      <c r="I947" s="547">
        <f>ROUND(75,2)</f>
        <v>75</v>
      </c>
      <c r="J947" s="460"/>
      <c r="K947" s="460" t="s">
        <v>2613</v>
      </c>
    </row>
    <row r="948" spans="1:11" ht="14.4">
      <c r="A948" s="460" t="s">
        <v>1810</v>
      </c>
      <c r="B948" s="460" t="s">
        <v>2478</v>
      </c>
      <c r="C948" s="460"/>
      <c r="D948" s="460" t="s">
        <v>1814</v>
      </c>
      <c r="E948" s="460" t="s">
        <v>2611</v>
      </c>
      <c r="F948" s="460" t="s">
        <v>2612</v>
      </c>
      <c r="G948" s="460"/>
      <c r="H948" s="461"/>
      <c r="I948" s="460"/>
      <c r="J948" s="460"/>
      <c r="K948" s="460" t="s">
        <v>2613</v>
      </c>
    </row>
    <row r="949" spans="1:11" ht="14.4">
      <c r="A949" s="460" t="s">
        <v>1810</v>
      </c>
      <c r="B949" s="460" t="s">
        <v>1594</v>
      </c>
      <c r="C949" s="460"/>
      <c r="D949" s="460" t="s">
        <v>1814</v>
      </c>
      <c r="E949" s="460" t="s">
        <v>1812</v>
      </c>
      <c r="F949" s="460" t="s">
        <v>2619</v>
      </c>
      <c r="G949" s="460"/>
      <c r="H949" s="461"/>
      <c r="I949" s="460"/>
      <c r="J949" s="460"/>
      <c r="K949" s="460" t="s">
        <v>2613</v>
      </c>
    </row>
    <row r="950" spans="1:11" ht="14.4">
      <c r="A950" s="460" t="s">
        <v>1810</v>
      </c>
      <c r="B950" s="460" t="s">
        <v>1594</v>
      </c>
      <c r="C950" s="460"/>
      <c r="D950" s="460" t="s">
        <v>1814</v>
      </c>
      <c r="E950" s="460" t="s">
        <v>1812</v>
      </c>
      <c r="F950" s="460" t="s">
        <v>2629</v>
      </c>
      <c r="G950" s="547">
        <f>ROUND(72,2)</f>
        <v>72</v>
      </c>
      <c r="H950" s="461"/>
      <c r="I950" s="547">
        <f>ROUND(72,2)</f>
        <v>72</v>
      </c>
      <c r="J950" s="460"/>
      <c r="K950" s="460" t="s">
        <v>2613</v>
      </c>
    </row>
    <row r="951" spans="1:11" ht="14.4">
      <c r="A951" s="460" t="s">
        <v>1810</v>
      </c>
      <c r="B951" s="460" t="s">
        <v>1594</v>
      </c>
      <c r="C951" s="460"/>
      <c r="D951" s="460" t="s">
        <v>1814</v>
      </c>
      <c r="E951" s="460" t="s">
        <v>1812</v>
      </c>
      <c r="F951" s="460" t="s">
        <v>2614</v>
      </c>
      <c r="G951" s="460"/>
      <c r="H951" s="461" t="s">
        <v>2615</v>
      </c>
      <c r="I951" s="547">
        <f>ROUND(7,2)</f>
        <v>7</v>
      </c>
      <c r="J951" s="460" t="s">
        <v>2615</v>
      </c>
      <c r="K951" s="460" t="s">
        <v>2613</v>
      </c>
    </row>
    <row r="952" spans="1:11" ht="14.4">
      <c r="A952" s="460" t="s">
        <v>1810</v>
      </c>
      <c r="B952" s="460" t="s">
        <v>1594</v>
      </c>
      <c r="C952" s="460"/>
      <c r="D952" s="460" t="s">
        <v>1814</v>
      </c>
      <c r="E952" s="460" t="s">
        <v>1812</v>
      </c>
      <c r="F952" s="460" t="s">
        <v>2626</v>
      </c>
      <c r="G952" s="547">
        <f>ROUND(10,2)</f>
        <v>10</v>
      </c>
      <c r="H952" s="461"/>
      <c r="I952" s="547">
        <f>ROUND(10,2)</f>
        <v>10</v>
      </c>
      <c r="J952" s="460"/>
      <c r="K952" s="460" t="s">
        <v>2613</v>
      </c>
    </row>
    <row r="953" spans="1:11" ht="14.4">
      <c r="A953" s="460" t="s">
        <v>1810</v>
      </c>
      <c r="B953" s="460" t="s">
        <v>1594</v>
      </c>
      <c r="C953" s="460"/>
      <c r="D953" s="460" t="s">
        <v>1814</v>
      </c>
      <c r="E953" s="460" t="s">
        <v>1812</v>
      </c>
      <c r="F953" s="460" t="s">
        <v>2620</v>
      </c>
      <c r="G953" s="547">
        <f>ROUND(10.22,2)</f>
        <v>10.220000000000001</v>
      </c>
      <c r="H953" s="461"/>
      <c r="I953" s="547">
        <f>ROUND(10.22,2)</f>
        <v>10.220000000000001</v>
      </c>
      <c r="J953" s="460"/>
      <c r="K953" s="460" t="s">
        <v>2613</v>
      </c>
    </row>
    <row r="954" spans="1:11" ht="14.4">
      <c r="A954" s="460" t="s">
        <v>1810</v>
      </c>
      <c r="B954" s="460" t="s">
        <v>1594</v>
      </c>
      <c r="C954" s="460"/>
      <c r="D954" s="460" t="s">
        <v>1814</v>
      </c>
      <c r="E954" s="460" t="s">
        <v>1812</v>
      </c>
      <c r="F954" s="460" t="s">
        <v>2616</v>
      </c>
      <c r="G954" s="460"/>
      <c r="H954" s="461"/>
      <c r="I954" s="460"/>
      <c r="J954" s="460"/>
      <c r="K954" s="460" t="s">
        <v>2613</v>
      </c>
    </row>
    <row r="955" spans="1:11" ht="22.8">
      <c r="A955" s="460" t="s">
        <v>1810</v>
      </c>
      <c r="B955" s="460" t="s">
        <v>1670</v>
      </c>
      <c r="C955" s="460"/>
      <c r="D955" s="460" t="s">
        <v>1819</v>
      </c>
      <c r="E955" s="460" t="s">
        <v>2015</v>
      </c>
      <c r="F955" s="460" t="s">
        <v>2620</v>
      </c>
      <c r="G955" s="547">
        <f>ROUND(10.22,2)</f>
        <v>10.220000000000001</v>
      </c>
      <c r="H955" s="461"/>
      <c r="I955" s="547">
        <f>ROUND(10.22,2)</f>
        <v>10.220000000000001</v>
      </c>
      <c r="J955" s="460"/>
      <c r="K955" s="460" t="s">
        <v>2613</v>
      </c>
    </row>
    <row r="956" spans="1:11" ht="22.8">
      <c r="A956" s="460" t="s">
        <v>1810</v>
      </c>
      <c r="B956" s="460" t="s">
        <v>1670</v>
      </c>
      <c r="C956" s="460"/>
      <c r="D956" s="460" t="s">
        <v>1819</v>
      </c>
      <c r="E956" s="460" t="s">
        <v>2015</v>
      </c>
      <c r="F956" s="460" t="s">
        <v>2631</v>
      </c>
      <c r="G956" s="547">
        <f>ROUND(200,2)</f>
        <v>200</v>
      </c>
      <c r="H956" s="461"/>
      <c r="I956" s="547">
        <f>ROUND(200,2)</f>
        <v>200</v>
      </c>
      <c r="J956" s="460"/>
      <c r="K956" s="460" t="s">
        <v>2613</v>
      </c>
    </row>
    <row r="957" spans="1:11" ht="22.8">
      <c r="A957" s="460" t="s">
        <v>1810</v>
      </c>
      <c r="B957" s="460" t="s">
        <v>1670</v>
      </c>
      <c r="C957" s="460"/>
      <c r="D957" s="460" t="s">
        <v>1819</v>
      </c>
      <c r="E957" s="460" t="s">
        <v>2015</v>
      </c>
      <c r="F957" s="460" t="s">
        <v>2612</v>
      </c>
      <c r="G957" s="460"/>
      <c r="H957" s="461"/>
      <c r="I957" s="460"/>
      <c r="J957" s="460"/>
      <c r="K957" s="460" t="s">
        <v>2613</v>
      </c>
    </row>
    <row r="958" spans="1:11" ht="22.8">
      <c r="A958" s="460" t="s">
        <v>1810</v>
      </c>
      <c r="B958" s="460" t="s">
        <v>1670</v>
      </c>
      <c r="C958" s="460"/>
      <c r="D958" s="460" t="s">
        <v>1819</v>
      </c>
      <c r="E958" s="460" t="s">
        <v>2015</v>
      </c>
      <c r="F958" s="460" t="s">
        <v>2614</v>
      </c>
      <c r="G958" s="460"/>
      <c r="H958" s="461" t="s">
        <v>2615</v>
      </c>
      <c r="I958" s="547">
        <f>ROUND(7,2)</f>
        <v>7</v>
      </c>
      <c r="J958" s="460" t="s">
        <v>2615</v>
      </c>
      <c r="K958" s="460" t="s">
        <v>2613</v>
      </c>
    </row>
    <row r="959" spans="1:11" ht="22.8">
      <c r="A959" s="460" t="s">
        <v>1810</v>
      </c>
      <c r="B959" s="460" t="s">
        <v>1670</v>
      </c>
      <c r="C959" s="460"/>
      <c r="D959" s="460" t="s">
        <v>1819</v>
      </c>
      <c r="E959" s="460" t="s">
        <v>2015</v>
      </c>
      <c r="F959" s="460" t="s">
        <v>2616</v>
      </c>
      <c r="G959" s="460"/>
      <c r="H959" s="461"/>
      <c r="I959" s="460"/>
      <c r="J959" s="460"/>
      <c r="K959" s="460" t="s">
        <v>2613</v>
      </c>
    </row>
    <row r="960" spans="1:11" ht="22.8">
      <c r="A960" s="460" t="s">
        <v>1810</v>
      </c>
      <c r="B960" s="460" t="s">
        <v>1670</v>
      </c>
      <c r="C960" s="460"/>
      <c r="D960" s="460" t="s">
        <v>1819</v>
      </c>
      <c r="E960" s="460" t="s">
        <v>2015</v>
      </c>
      <c r="F960" s="460" t="s">
        <v>2617</v>
      </c>
      <c r="G960" s="547">
        <f>ROUND(75,2)</f>
        <v>75</v>
      </c>
      <c r="H960" s="461"/>
      <c r="I960" s="547">
        <f>ROUND(75,2)</f>
        <v>75</v>
      </c>
      <c r="J960" s="460"/>
      <c r="K960" s="460" t="s">
        <v>2613</v>
      </c>
    </row>
    <row r="961" spans="1:11" ht="22.8">
      <c r="A961" s="460" t="s">
        <v>1810</v>
      </c>
      <c r="B961" s="460" t="s">
        <v>1670</v>
      </c>
      <c r="C961" s="460"/>
      <c r="D961" s="460" t="s">
        <v>1819</v>
      </c>
      <c r="E961" s="460" t="s">
        <v>2015</v>
      </c>
      <c r="F961" s="460" t="s">
        <v>2618</v>
      </c>
      <c r="G961" s="547">
        <f>ROUND(47.5,2)</f>
        <v>47.5</v>
      </c>
      <c r="H961" s="461"/>
      <c r="I961" s="547">
        <f>ROUND(47.5,2)</f>
        <v>47.5</v>
      </c>
      <c r="J961" s="460"/>
      <c r="K961" s="460" t="s">
        <v>2613</v>
      </c>
    </row>
    <row r="962" spans="1:11" ht="14.4">
      <c r="A962" s="460" t="s">
        <v>1810</v>
      </c>
      <c r="B962" s="460" t="s">
        <v>1743</v>
      </c>
      <c r="C962" s="460"/>
      <c r="D962" s="460" t="s">
        <v>1816</v>
      </c>
      <c r="E962" s="460" t="s">
        <v>2611</v>
      </c>
      <c r="F962" s="460" t="s">
        <v>2612</v>
      </c>
      <c r="G962" s="460"/>
      <c r="H962" s="461"/>
      <c r="I962" s="460"/>
      <c r="J962" s="460"/>
      <c r="K962" s="460" t="s">
        <v>2613</v>
      </c>
    </row>
    <row r="963" spans="1:11" ht="14.4">
      <c r="A963" s="460" t="s">
        <v>1810</v>
      </c>
      <c r="B963" s="460" t="s">
        <v>1770</v>
      </c>
      <c r="C963" s="460"/>
      <c r="D963" s="460" t="s">
        <v>1816</v>
      </c>
      <c r="E963" s="460" t="s">
        <v>2611</v>
      </c>
      <c r="F963" s="460" t="s">
        <v>2623</v>
      </c>
      <c r="G963" s="460"/>
      <c r="H963" s="461"/>
      <c r="I963" s="460"/>
      <c r="J963" s="460"/>
      <c r="K963" s="460" t="s">
        <v>2613</v>
      </c>
    </row>
    <row r="964" spans="1:11" ht="14.4">
      <c r="A964" s="460" t="s">
        <v>1810</v>
      </c>
      <c r="B964" s="460" t="s">
        <v>2581</v>
      </c>
      <c r="C964" s="460"/>
      <c r="D964" s="460" t="s">
        <v>1816</v>
      </c>
      <c r="E964" s="460" t="s">
        <v>2611</v>
      </c>
      <c r="F964" s="460" t="s">
        <v>2612</v>
      </c>
      <c r="G964" s="460"/>
      <c r="H964" s="461"/>
      <c r="I964" s="460"/>
      <c r="J964" s="460"/>
      <c r="K964" s="460" t="s">
        <v>2613</v>
      </c>
    </row>
    <row r="965" spans="1:11" ht="14.4">
      <c r="A965" s="460" t="s">
        <v>1810</v>
      </c>
      <c r="B965" s="460" t="s">
        <v>2506</v>
      </c>
      <c r="C965" s="460"/>
      <c r="D965" s="460" t="s">
        <v>1816</v>
      </c>
      <c r="E965" s="460" t="s">
        <v>2611</v>
      </c>
      <c r="F965" s="460" t="s">
        <v>2612</v>
      </c>
      <c r="G965" s="460"/>
      <c r="H965" s="461"/>
      <c r="I965" s="460"/>
      <c r="J965" s="460"/>
      <c r="K965" s="460" t="s">
        <v>2613</v>
      </c>
    </row>
    <row r="966" spans="1:11" ht="14.4">
      <c r="A966" s="460" t="s">
        <v>1810</v>
      </c>
      <c r="B966" s="460" t="s">
        <v>1515</v>
      </c>
      <c r="C966" s="460"/>
      <c r="D966" s="460" t="s">
        <v>1816</v>
      </c>
      <c r="E966" s="460" t="s">
        <v>1812</v>
      </c>
      <c r="F966" s="460" t="s">
        <v>2612</v>
      </c>
      <c r="G966" s="460"/>
      <c r="H966" s="461"/>
      <c r="I966" s="460"/>
      <c r="J966" s="460"/>
      <c r="K966" s="460" t="s">
        <v>2613</v>
      </c>
    </row>
    <row r="967" spans="1:11" ht="14.4">
      <c r="A967" s="460" t="s">
        <v>1810</v>
      </c>
      <c r="B967" s="460" t="s">
        <v>1515</v>
      </c>
      <c r="C967" s="460"/>
      <c r="D967" s="460" t="s">
        <v>1816</v>
      </c>
      <c r="E967" s="460" t="s">
        <v>1812</v>
      </c>
      <c r="F967" s="460" t="s">
        <v>2614</v>
      </c>
      <c r="G967" s="460"/>
      <c r="H967" s="461" t="s">
        <v>2615</v>
      </c>
      <c r="I967" s="547">
        <f>ROUND(7,2)</f>
        <v>7</v>
      </c>
      <c r="J967" s="460" t="s">
        <v>2615</v>
      </c>
      <c r="K967" s="460" t="s">
        <v>2613</v>
      </c>
    </row>
    <row r="968" spans="1:11" ht="14.4">
      <c r="A968" s="460" t="s">
        <v>1810</v>
      </c>
      <c r="B968" s="460" t="s">
        <v>1515</v>
      </c>
      <c r="C968" s="460"/>
      <c r="D968" s="460" t="s">
        <v>1816</v>
      </c>
      <c r="E968" s="460" t="s">
        <v>1812</v>
      </c>
      <c r="F968" s="460" t="s">
        <v>2616</v>
      </c>
      <c r="G968" s="460"/>
      <c r="H968" s="461"/>
      <c r="I968" s="460"/>
      <c r="J968" s="460"/>
      <c r="K968" s="460" t="s">
        <v>2613</v>
      </c>
    </row>
    <row r="969" spans="1:11" ht="14.4">
      <c r="A969" s="460" t="s">
        <v>1810</v>
      </c>
      <c r="B969" s="460" t="s">
        <v>1515</v>
      </c>
      <c r="C969" s="460"/>
      <c r="D969" s="460" t="s">
        <v>1816</v>
      </c>
      <c r="E969" s="460" t="s">
        <v>1812</v>
      </c>
      <c r="F969" s="460" t="s">
        <v>2617</v>
      </c>
      <c r="G969" s="547">
        <f>ROUND(75,2)</f>
        <v>75</v>
      </c>
      <c r="H969" s="461"/>
      <c r="I969" s="547">
        <f>ROUND(75,2)</f>
        <v>75</v>
      </c>
      <c r="J969" s="460"/>
      <c r="K969" s="460" t="s">
        <v>2613</v>
      </c>
    </row>
    <row r="970" spans="1:11" ht="14.4">
      <c r="A970" s="460" t="s">
        <v>1810</v>
      </c>
      <c r="B970" s="460" t="s">
        <v>1515</v>
      </c>
      <c r="C970" s="460"/>
      <c r="D970" s="460" t="s">
        <v>1816</v>
      </c>
      <c r="E970" s="460" t="s">
        <v>1812</v>
      </c>
      <c r="F970" s="460" t="s">
        <v>2618</v>
      </c>
      <c r="G970" s="547">
        <f>ROUND(40,2)</f>
        <v>40</v>
      </c>
      <c r="H970" s="461"/>
      <c r="I970" s="547">
        <f>ROUND(40,2)</f>
        <v>40</v>
      </c>
      <c r="J970" s="460"/>
      <c r="K970" s="460" t="s">
        <v>2613</v>
      </c>
    </row>
    <row r="971" spans="1:11" ht="14.4">
      <c r="A971" s="460" t="s">
        <v>1810</v>
      </c>
      <c r="B971" s="460" t="s">
        <v>2949</v>
      </c>
      <c r="C971" s="460"/>
      <c r="D971" s="460" t="s">
        <v>1816</v>
      </c>
      <c r="E971" s="460" t="s">
        <v>2611</v>
      </c>
      <c r="F971" s="460" t="s">
        <v>2612</v>
      </c>
      <c r="G971" s="460"/>
      <c r="H971" s="461"/>
      <c r="I971" s="460"/>
      <c r="J971" s="460"/>
      <c r="K971" s="460" t="s">
        <v>2613</v>
      </c>
    </row>
    <row r="972" spans="1:11" ht="22.8">
      <c r="A972" s="460" t="s">
        <v>1810</v>
      </c>
      <c r="B972" s="460" t="s">
        <v>1295</v>
      </c>
      <c r="C972" s="460"/>
      <c r="D972" s="460" t="s">
        <v>1841</v>
      </c>
      <c r="E972" s="460" t="s">
        <v>1812</v>
      </c>
      <c r="F972" s="460" t="s">
        <v>2640</v>
      </c>
      <c r="G972" s="460"/>
      <c r="H972" s="461" t="s">
        <v>2654</v>
      </c>
      <c r="I972" s="547">
        <f>ROUND(8,2)</f>
        <v>8</v>
      </c>
      <c r="J972" s="460" t="s">
        <v>2654</v>
      </c>
      <c r="K972" s="460" t="s">
        <v>2613</v>
      </c>
    </row>
    <row r="973" spans="1:11" ht="22.8">
      <c r="A973" s="460" t="s">
        <v>1810</v>
      </c>
      <c r="B973" s="460" t="s">
        <v>1295</v>
      </c>
      <c r="C973" s="460"/>
      <c r="D973" s="460" t="s">
        <v>1841</v>
      </c>
      <c r="E973" s="460" t="s">
        <v>1812</v>
      </c>
      <c r="F973" s="460" t="s">
        <v>2632</v>
      </c>
      <c r="G973" s="547">
        <f>ROUND(62.5,2)</f>
        <v>62.5</v>
      </c>
      <c r="H973" s="461"/>
      <c r="I973" s="547">
        <f>ROUND(62.5,2)</f>
        <v>62.5</v>
      </c>
      <c r="J973" s="460"/>
      <c r="K973" s="460" t="s">
        <v>2613</v>
      </c>
    </row>
    <row r="974" spans="1:11" ht="22.8">
      <c r="A974" s="460" t="s">
        <v>1810</v>
      </c>
      <c r="B974" s="460" t="s">
        <v>1295</v>
      </c>
      <c r="C974" s="460"/>
      <c r="D974" s="460" t="s">
        <v>1841</v>
      </c>
      <c r="E974" s="460" t="s">
        <v>1812</v>
      </c>
      <c r="F974" s="460" t="s">
        <v>2612</v>
      </c>
      <c r="G974" s="460"/>
      <c r="H974" s="461"/>
      <c r="I974" s="460"/>
      <c r="J974" s="460"/>
      <c r="K974" s="460" t="s">
        <v>2613</v>
      </c>
    </row>
    <row r="975" spans="1:11" ht="22.8">
      <c r="A975" s="460" t="s">
        <v>1810</v>
      </c>
      <c r="B975" s="460" t="s">
        <v>1295</v>
      </c>
      <c r="C975" s="460"/>
      <c r="D975" s="460" t="s">
        <v>1841</v>
      </c>
      <c r="E975" s="460" t="s">
        <v>1812</v>
      </c>
      <c r="F975" s="460" t="s">
        <v>2623</v>
      </c>
      <c r="G975" s="547">
        <f>ROUND(500,2)</f>
        <v>500</v>
      </c>
      <c r="H975" s="461"/>
      <c r="I975" s="547">
        <f>ROUND(500,2)</f>
        <v>500</v>
      </c>
      <c r="J975" s="460"/>
      <c r="K975" s="460" t="s">
        <v>2613</v>
      </c>
    </row>
    <row r="976" spans="1:11" ht="22.8">
      <c r="A976" s="460" t="s">
        <v>1810</v>
      </c>
      <c r="B976" s="460" t="s">
        <v>1295</v>
      </c>
      <c r="C976" s="460"/>
      <c r="D976" s="460" t="s">
        <v>1841</v>
      </c>
      <c r="E976" s="460" t="s">
        <v>1812</v>
      </c>
      <c r="F976" s="460" t="s">
        <v>2614</v>
      </c>
      <c r="G976" s="460"/>
      <c r="H976" s="461" t="s">
        <v>2615</v>
      </c>
      <c r="I976" s="547">
        <f>ROUND(7,2)</f>
        <v>7</v>
      </c>
      <c r="J976" s="460" t="s">
        <v>2615</v>
      </c>
      <c r="K976" s="460" t="s">
        <v>2613</v>
      </c>
    </row>
    <row r="977" spans="1:11" ht="22.8">
      <c r="A977" s="460" t="s">
        <v>1810</v>
      </c>
      <c r="B977" s="460" t="s">
        <v>1295</v>
      </c>
      <c r="C977" s="460"/>
      <c r="D977" s="460" t="s">
        <v>1841</v>
      </c>
      <c r="E977" s="460" t="s">
        <v>1812</v>
      </c>
      <c r="F977" s="460" t="s">
        <v>2616</v>
      </c>
      <c r="G977" s="460"/>
      <c r="H977" s="461"/>
      <c r="I977" s="460"/>
      <c r="J977" s="460"/>
      <c r="K977" s="460" t="s">
        <v>2613</v>
      </c>
    </row>
    <row r="978" spans="1:11" ht="22.8">
      <c r="A978" s="460" t="s">
        <v>1810</v>
      </c>
      <c r="B978" s="460" t="s">
        <v>1295</v>
      </c>
      <c r="C978" s="460"/>
      <c r="D978" s="460" t="s">
        <v>1841</v>
      </c>
      <c r="E978" s="460" t="s">
        <v>1812</v>
      </c>
      <c r="F978" s="460" t="s">
        <v>2618</v>
      </c>
      <c r="G978" s="547">
        <f>ROUND(40,2)</f>
        <v>40</v>
      </c>
      <c r="H978" s="461"/>
      <c r="I978" s="547">
        <f>ROUND(40,2)</f>
        <v>40</v>
      </c>
      <c r="J978" s="460"/>
      <c r="K978" s="460" t="s">
        <v>2613</v>
      </c>
    </row>
    <row r="979" spans="1:11" ht="22.8">
      <c r="A979" s="460" t="s">
        <v>1810</v>
      </c>
      <c r="B979" s="460" t="s">
        <v>1295</v>
      </c>
      <c r="C979" s="460"/>
      <c r="D979" s="460" t="s">
        <v>1841</v>
      </c>
      <c r="E979" s="460" t="s">
        <v>1812</v>
      </c>
      <c r="F979" s="460" t="s">
        <v>2617</v>
      </c>
      <c r="G979" s="547">
        <f>ROUND(75,2)</f>
        <v>75</v>
      </c>
      <c r="H979" s="461"/>
      <c r="I979" s="547">
        <f>ROUND(75,2)</f>
        <v>75</v>
      </c>
      <c r="J979" s="460"/>
      <c r="K979" s="460" t="s">
        <v>2613</v>
      </c>
    </row>
    <row r="980" spans="1:11" ht="14.4">
      <c r="A980" s="460" t="s">
        <v>1810</v>
      </c>
      <c r="B980" s="460" t="s">
        <v>1924</v>
      </c>
      <c r="C980" s="460"/>
      <c r="D980" s="460" t="s">
        <v>1821</v>
      </c>
      <c r="E980" s="460" t="s">
        <v>1812</v>
      </c>
      <c r="F980" s="460" t="s">
        <v>2634</v>
      </c>
      <c r="G980" s="547">
        <f>ROUND(44,2)</f>
        <v>44</v>
      </c>
      <c r="H980" s="461"/>
      <c r="I980" s="547">
        <f>ROUND(44,2)</f>
        <v>44</v>
      </c>
      <c r="J980" s="460"/>
      <c r="K980" s="460" t="s">
        <v>2613</v>
      </c>
    </row>
    <row r="981" spans="1:11" ht="14.4">
      <c r="A981" s="460" t="s">
        <v>1810</v>
      </c>
      <c r="B981" s="460" t="s">
        <v>1924</v>
      </c>
      <c r="C981" s="460"/>
      <c r="D981" s="460" t="s">
        <v>1821</v>
      </c>
      <c r="E981" s="460" t="s">
        <v>1812</v>
      </c>
      <c r="F981" s="460" t="s">
        <v>2616</v>
      </c>
      <c r="G981" s="460"/>
      <c r="H981" s="461"/>
      <c r="I981" s="460"/>
      <c r="J981" s="460"/>
      <c r="K981" s="460" t="s">
        <v>2613</v>
      </c>
    </row>
    <row r="982" spans="1:11" ht="14.4">
      <c r="A982" s="460" t="s">
        <v>1810</v>
      </c>
      <c r="B982" s="460" t="s">
        <v>1924</v>
      </c>
      <c r="C982" s="460"/>
      <c r="D982" s="460" t="s">
        <v>1821</v>
      </c>
      <c r="E982" s="460" t="s">
        <v>1812</v>
      </c>
      <c r="F982" s="460" t="s">
        <v>2614</v>
      </c>
      <c r="G982" s="460"/>
      <c r="H982" s="461" t="s">
        <v>2615</v>
      </c>
      <c r="I982" s="547">
        <f>ROUND(7,2)</f>
        <v>7</v>
      </c>
      <c r="J982" s="460" t="s">
        <v>2615</v>
      </c>
      <c r="K982" s="460" t="s">
        <v>2613</v>
      </c>
    </row>
    <row r="983" spans="1:11" ht="14.4">
      <c r="A983" s="460" t="s">
        <v>1810</v>
      </c>
      <c r="B983" s="460" t="s">
        <v>1924</v>
      </c>
      <c r="C983" s="460"/>
      <c r="D983" s="460" t="s">
        <v>1821</v>
      </c>
      <c r="E983" s="460" t="s">
        <v>1812</v>
      </c>
      <c r="F983" s="460" t="s">
        <v>2612</v>
      </c>
      <c r="G983" s="460"/>
      <c r="H983" s="461"/>
      <c r="I983" s="460"/>
      <c r="J983" s="460"/>
      <c r="K983" s="460" t="s">
        <v>2613</v>
      </c>
    </row>
    <row r="984" spans="1:11" ht="14.4">
      <c r="A984" s="460" t="s">
        <v>1810</v>
      </c>
      <c r="B984" s="460" t="s">
        <v>1924</v>
      </c>
      <c r="C984" s="460"/>
      <c r="D984" s="460" t="s">
        <v>1821</v>
      </c>
      <c r="E984" s="460" t="s">
        <v>1812</v>
      </c>
      <c r="F984" s="460" t="s">
        <v>2633</v>
      </c>
      <c r="G984" s="547">
        <f>ROUND(50,2)</f>
        <v>50</v>
      </c>
      <c r="H984" s="461"/>
      <c r="I984" s="547">
        <f>ROUND(50,2)</f>
        <v>50</v>
      </c>
      <c r="J984" s="460"/>
      <c r="K984" s="460" t="s">
        <v>2613</v>
      </c>
    </row>
    <row r="985" spans="1:11" ht="14.4">
      <c r="A985" s="460" t="s">
        <v>1810</v>
      </c>
      <c r="B985" s="460" t="s">
        <v>1412</v>
      </c>
      <c r="C985" s="460"/>
      <c r="D985" s="460" t="s">
        <v>1811</v>
      </c>
      <c r="E985" s="460" t="s">
        <v>2015</v>
      </c>
      <c r="F985" s="460" t="s">
        <v>2612</v>
      </c>
      <c r="G985" s="460"/>
      <c r="H985" s="461"/>
      <c r="I985" s="460"/>
      <c r="J985" s="460"/>
      <c r="K985" s="460" t="s">
        <v>2613</v>
      </c>
    </row>
    <row r="986" spans="1:11" ht="14.4">
      <c r="A986" s="460" t="s">
        <v>1810</v>
      </c>
      <c r="B986" s="460" t="s">
        <v>1412</v>
      </c>
      <c r="C986" s="460"/>
      <c r="D986" s="460" t="s">
        <v>1811</v>
      </c>
      <c r="E986" s="460" t="s">
        <v>2015</v>
      </c>
      <c r="F986" s="460" t="s">
        <v>2623</v>
      </c>
      <c r="G986" s="547">
        <f>ROUND(350,2)</f>
        <v>350</v>
      </c>
      <c r="H986" s="461"/>
      <c r="I986" s="547">
        <f>ROUND(350,2)</f>
        <v>350</v>
      </c>
      <c r="J986" s="460"/>
      <c r="K986" s="460" t="s">
        <v>2613</v>
      </c>
    </row>
    <row r="987" spans="1:11" ht="14.4">
      <c r="A987" s="460" t="s">
        <v>1810</v>
      </c>
      <c r="B987" s="460" t="s">
        <v>1412</v>
      </c>
      <c r="C987" s="460"/>
      <c r="D987" s="460" t="s">
        <v>1811</v>
      </c>
      <c r="E987" s="460" t="s">
        <v>2015</v>
      </c>
      <c r="F987" s="460" t="s">
        <v>2614</v>
      </c>
      <c r="G987" s="460"/>
      <c r="H987" s="461" t="s">
        <v>2615</v>
      </c>
      <c r="I987" s="547">
        <f>ROUND(7,2)</f>
        <v>7</v>
      </c>
      <c r="J987" s="460" t="s">
        <v>2615</v>
      </c>
      <c r="K987" s="460" t="s">
        <v>2613</v>
      </c>
    </row>
    <row r="988" spans="1:11" ht="14.4">
      <c r="A988" s="460" t="s">
        <v>1810</v>
      </c>
      <c r="B988" s="460" t="s">
        <v>1412</v>
      </c>
      <c r="C988" s="460"/>
      <c r="D988" s="460" t="s">
        <v>1811</v>
      </c>
      <c r="E988" s="460" t="s">
        <v>2015</v>
      </c>
      <c r="F988" s="460" t="s">
        <v>2621</v>
      </c>
      <c r="G988" s="460"/>
      <c r="H988" s="461" t="s">
        <v>2651</v>
      </c>
      <c r="I988" s="547">
        <f>ROUND(10,2)</f>
        <v>10</v>
      </c>
      <c r="J988" s="460" t="s">
        <v>2651</v>
      </c>
      <c r="K988" s="460" t="s">
        <v>2613</v>
      </c>
    </row>
    <row r="989" spans="1:11" ht="14.4">
      <c r="A989" s="460" t="s">
        <v>1810</v>
      </c>
      <c r="B989" s="460" t="s">
        <v>1412</v>
      </c>
      <c r="C989" s="460"/>
      <c r="D989" s="460" t="s">
        <v>1811</v>
      </c>
      <c r="E989" s="460" t="s">
        <v>2015</v>
      </c>
      <c r="F989" s="460" t="s">
        <v>2616</v>
      </c>
      <c r="G989" s="460"/>
      <c r="H989" s="461"/>
      <c r="I989" s="460"/>
      <c r="J989" s="460"/>
      <c r="K989" s="460" t="s">
        <v>2613</v>
      </c>
    </row>
    <row r="990" spans="1:11" ht="14.4">
      <c r="A990" s="460" t="s">
        <v>1810</v>
      </c>
      <c r="B990" s="460" t="s">
        <v>1412</v>
      </c>
      <c r="C990" s="460"/>
      <c r="D990" s="460" t="s">
        <v>1811</v>
      </c>
      <c r="E990" s="460" t="s">
        <v>2015</v>
      </c>
      <c r="F990" s="460" t="s">
        <v>2617</v>
      </c>
      <c r="G990" s="547">
        <f>ROUND(75,2)</f>
        <v>75</v>
      </c>
      <c r="H990" s="461"/>
      <c r="I990" s="547">
        <f>ROUND(75,2)</f>
        <v>75</v>
      </c>
      <c r="J990" s="460"/>
      <c r="K990" s="460" t="s">
        <v>2613</v>
      </c>
    </row>
    <row r="991" spans="1:11" ht="14.4">
      <c r="A991" s="460" t="s">
        <v>1810</v>
      </c>
      <c r="B991" s="460" t="s">
        <v>1412</v>
      </c>
      <c r="C991" s="460"/>
      <c r="D991" s="460" t="s">
        <v>1811</v>
      </c>
      <c r="E991" s="460" t="s">
        <v>2015</v>
      </c>
      <c r="F991" s="460" t="s">
        <v>2618</v>
      </c>
      <c r="G991" s="547">
        <f>ROUND(40,2)</f>
        <v>40</v>
      </c>
      <c r="H991" s="461"/>
      <c r="I991" s="547">
        <f>ROUND(40,2)</f>
        <v>40</v>
      </c>
      <c r="J991" s="460"/>
      <c r="K991" s="460" t="s">
        <v>2613</v>
      </c>
    </row>
    <row r="992" spans="1:11" ht="22.8">
      <c r="A992" s="460" t="s">
        <v>1810</v>
      </c>
      <c r="B992" s="460" t="s">
        <v>1617</v>
      </c>
      <c r="C992" s="460"/>
      <c r="D992" s="460" t="s">
        <v>1834</v>
      </c>
      <c r="E992" s="460" t="s">
        <v>1812</v>
      </c>
      <c r="F992" s="460" t="s">
        <v>2624</v>
      </c>
      <c r="G992" s="547">
        <f>ROUND(200,2)</f>
        <v>200</v>
      </c>
      <c r="H992" s="461"/>
      <c r="I992" s="547">
        <f>ROUND(200,2)</f>
        <v>200</v>
      </c>
      <c r="J992" s="460"/>
      <c r="K992" s="460" t="s">
        <v>2613</v>
      </c>
    </row>
    <row r="993" spans="1:11" ht="22.8">
      <c r="A993" s="460" t="s">
        <v>1810</v>
      </c>
      <c r="B993" s="460" t="s">
        <v>1617</v>
      </c>
      <c r="C993" s="460"/>
      <c r="D993" s="460" t="s">
        <v>1834</v>
      </c>
      <c r="E993" s="460" t="s">
        <v>1812</v>
      </c>
      <c r="F993" s="460" t="s">
        <v>2612</v>
      </c>
      <c r="G993" s="460"/>
      <c r="H993" s="461"/>
      <c r="I993" s="460"/>
      <c r="J993" s="460"/>
      <c r="K993" s="460" t="s">
        <v>2613</v>
      </c>
    </row>
    <row r="994" spans="1:11" ht="22.8">
      <c r="A994" s="460" t="s">
        <v>1810</v>
      </c>
      <c r="B994" s="460" t="s">
        <v>1617</v>
      </c>
      <c r="C994" s="460"/>
      <c r="D994" s="460" t="s">
        <v>1834</v>
      </c>
      <c r="E994" s="460" t="s">
        <v>1812</v>
      </c>
      <c r="F994" s="460" t="s">
        <v>2614</v>
      </c>
      <c r="G994" s="460"/>
      <c r="H994" s="461" t="s">
        <v>2615</v>
      </c>
      <c r="I994" s="547">
        <f>ROUND(7,2)</f>
        <v>7</v>
      </c>
      <c r="J994" s="460" t="s">
        <v>2615</v>
      </c>
      <c r="K994" s="460" t="s">
        <v>2613</v>
      </c>
    </row>
    <row r="995" spans="1:11" ht="22.8">
      <c r="A995" s="460" t="s">
        <v>1810</v>
      </c>
      <c r="B995" s="460" t="s">
        <v>1617</v>
      </c>
      <c r="C995" s="460"/>
      <c r="D995" s="460" t="s">
        <v>1834</v>
      </c>
      <c r="E995" s="460" t="s">
        <v>1812</v>
      </c>
      <c r="F995" s="460" t="s">
        <v>2619</v>
      </c>
      <c r="G995" s="547">
        <f>ROUND(115,2)</f>
        <v>115</v>
      </c>
      <c r="H995" s="461"/>
      <c r="I995" s="547">
        <f>ROUND(115,2)</f>
        <v>115</v>
      </c>
      <c r="J995" s="460"/>
      <c r="K995" s="460" t="s">
        <v>2613</v>
      </c>
    </row>
    <row r="996" spans="1:11" ht="22.8">
      <c r="A996" s="460" t="s">
        <v>1810</v>
      </c>
      <c r="B996" s="460" t="s">
        <v>1617</v>
      </c>
      <c r="C996" s="460"/>
      <c r="D996" s="460" t="s">
        <v>1834</v>
      </c>
      <c r="E996" s="460" t="s">
        <v>1812</v>
      </c>
      <c r="F996" s="460" t="s">
        <v>2620</v>
      </c>
      <c r="G996" s="547">
        <f>ROUND(10.22,2)</f>
        <v>10.220000000000001</v>
      </c>
      <c r="H996" s="461"/>
      <c r="I996" s="547">
        <f>ROUND(10.22,2)</f>
        <v>10.220000000000001</v>
      </c>
      <c r="J996" s="460"/>
      <c r="K996" s="460" t="s">
        <v>2613</v>
      </c>
    </row>
    <row r="997" spans="1:11" ht="22.8">
      <c r="A997" s="460" t="s">
        <v>1810</v>
      </c>
      <c r="B997" s="460" t="s">
        <v>1617</v>
      </c>
      <c r="C997" s="460"/>
      <c r="D997" s="460" t="s">
        <v>1834</v>
      </c>
      <c r="E997" s="460" t="s">
        <v>1812</v>
      </c>
      <c r="F997" s="460" t="s">
        <v>2616</v>
      </c>
      <c r="G997" s="460"/>
      <c r="H997" s="461"/>
      <c r="I997" s="460"/>
      <c r="J997" s="460"/>
      <c r="K997" s="460" t="s">
        <v>2613</v>
      </c>
    </row>
    <row r="998" spans="1:11" ht="14.4">
      <c r="A998" s="460" t="s">
        <v>1810</v>
      </c>
      <c r="B998" s="460" t="s">
        <v>1497</v>
      </c>
      <c r="C998" s="460"/>
      <c r="D998" s="460" t="s">
        <v>1821</v>
      </c>
      <c r="E998" s="460" t="s">
        <v>1812</v>
      </c>
      <c r="F998" s="460" t="s">
        <v>2625</v>
      </c>
      <c r="G998" s="547">
        <f>ROUND(37.5,2)</f>
        <v>37.5</v>
      </c>
      <c r="H998" s="461"/>
      <c r="I998" s="547">
        <f>ROUND(37.5,2)</f>
        <v>37.5</v>
      </c>
      <c r="J998" s="460"/>
      <c r="K998" s="460" t="s">
        <v>2613</v>
      </c>
    </row>
    <row r="999" spans="1:11" ht="14.4">
      <c r="A999" s="460" t="s">
        <v>1810</v>
      </c>
      <c r="B999" s="460" t="s">
        <v>1497</v>
      </c>
      <c r="C999" s="460"/>
      <c r="D999" s="460" t="s">
        <v>1821</v>
      </c>
      <c r="E999" s="460" t="s">
        <v>1812</v>
      </c>
      <c r="F999" s="460" t="s">
        <v>2612</v>
      </c>
      <c r="G999" s="460"/>
      <c r="H999" s="461"/>
      <c r="I999" s="460"/>
      <c r="J999" s="460"/>
      <c r="K999" s="460" t="s">
        <v>2613</v>
      </c>
    </row>
    <row r="1000" spans="1:11" ht="14.4">
      <c r="A1000" s="460" t="s">
        <v>1810</v>
      </c>
      <c r="B1000" s="460" t="s">
        <v>1497</v>
      </c>
      <c r="C1000" s="460"/>
      <c r="D1000" s="460" t="s">
        <v>1821</v>
      </c>
      <c r="E1000" s="460" t="s">
        <v>1812</v>
      </c>
      <c r="F1000" s="460" t="s">
        <v>2634</v>
      </c>
      <c r="G1000" s="547">
        <f>ROUND(60,2)</f>
        <v>60</v>
      </c>
      <c r="H1000" s="461"/>
      <c r="I1000" s="547">
        <f>ROUND(60,2)</f>
        <v>60</v>
      </c>
      <c r="J1000" s="460"/>
      <c r="K1000" s="460" t="s">
        <v>2613</v>
      </c>
    </row>
    <row r="1001" spans="1:11" ht="14.4">
      <c r="A1001" s="460" t="s">
        <v>1810</v>
      </c>
      <c r="B1001" s="460" t="s">
        <v>1497</v>
      </c>
      <c r="C1001" s="460"/>
      <c r="D1001" s="460" t="s">
        <v>1821</v>
      </c>
      <c r="E1001" s="460" t="s">
        <v>1812</v>
      </c>
      <c r="F1001" s="460" t="s">
        <v>2614</v>
      </c>
      <c r="G1001" s="460"/>
      <c r="H1001" s="461" t="s">
        <v>2615</v>
      </c>
      <c r="I1001" s="547">
        <f>ROUND(7,2)</f>
        <v>7</v>
      </c>
      <c r="J1001" s="460" t="s">
        <v>2615</v>
      </c>
      <c r="K1001" s="460" t="s">
        <v>2613</v>
      </c>
    </row>
    <row r="1002" spans="1:11" ht="14.4">
      <c r="A1002" s="460" t="s">
        <v>1810</v>
      </c>
      <c r="B1002" s="460" t="s">
        <v>1497</v>
      </c>
      <c r="C1002" s="460"/>
      <c r="D1002" s="460" t="s">
        <v>1821</v>
      </c>
      <c r="E1002" s="460" t="s">
        <v>1812</v>
      </c>
      <c r="F1002" s="460" t="s">
        <v>2616</v>
      </c>
      <c r="G1002" s="460"/>
      <c r="H1002" s="461"/>
      <c r="I1002" s="460"/>
      <c r="J1002" s="460"/>
      <c r="K1002" s="460" t="s">
        <v>2613</v>
      </c>
    </row>
    <row r="1003" spans="1:11" ht="22.8">
      <c r="A1003" s="460" t="s">
        <v>1810</v>
      </c>
      <c r="B1003" s="460" t="s">
        <v>1409</v>
      </c>
      <c r="C1003" s="460"/>
      <c r="D1003" s="460" t="s">
        <v>1819</v>
      </c>
      <c r="E1003" s="460" t="s">
        <v>1812</v>
      </c>
      <c r="F1003" s="460" t="s">
        <v>2612</v>
      </c>
      <c r="G1003" s="460"/>
      <c r="H1003" s="461"/>
      <c r="I1003" s="460"/>
      <c r="J1003" s="460"/>
      <c r="K1003" s="460" t="s">
        <v>2613</v>
      </c>
    </row>
    <row r="1004" spans="1:11" ht="22.8">
      <c r="A1004" s="460" t="s">
        <v>1810</v>
      </c>
      <c r="B1004" s="460" t="s">
        <v>1409</v>
      </c>
      <c r="C1004" s="460"/>
      <c r="D1004" s="460" t="s">
        <v>1819</v>
      </c>
      <c r="E1004" s="460" t="s">
        <v>1812</v>
      </c>
      <c r="F1004" s="460" t="s">
        <v>2645</v>
      </c>
      <c r="G1004" s="547">
        <f>ROUND(15,2)</f>
        <v>15</v>
      </c>
      <c r="H1004" s="461"/>
      <c r="I1004" s="547">
        <f>ROUND(15,2)</f>
        <v>15</v>
      </c>
      <c r="J1004" s="460"/>
      <c r="K1004" s="460" t="s">
        <v>2613</v>
      </c>
    </row>
    <row r="1005" spans="1:11" ht="22.8">
      <c r="A1005" s="460" t="s">
        <v>1810</v>
      </c>
      <c r="B1005" s="460" t="s">
        <v>1409</v>
      </c>
      <c r="C1005" s="460"/>
      <c r="D1005" s="460" t="s">
        <v>1819</v>
      </c>
      <c r="E1005" s="460" t="s">
        <v>1812</v>
      </c>
      <c r="F1005" s="460" t="s">
        <v>2614</v>
      </c>
      <c r="G1005" s="460"/>
      <c r="H1005" s="461" t="s">
        <v>2615</v>
      </c>
      <c r="I1005" s="547">
        <f>ROUND(7,2)</f>
        <v>7</v>
      </c>
      <c r="J1005" s="460" t="s">
        <v>2615</v>
      </c>
      <c r="K1005" s="460" t="s">
        <v>2613</v>
      </c>
    </row>
    <row r="1006" spans="1:11" ht="22.8">
      <c r="A1006" s="460" t="s">
        <v>1810</v>
      </c>
      <c r="B1006" s="460" t="s">
        <v>1409</v>
      </c>
      <c r="C1006" s="460"/>
      <c r="D1006" s="460" t="s">
        <v>1819</v>
      </c>
      <c r="E1006" s="460" t="s">
        <v>1812</v>
      </c>
      <c r="F1006" s="460" t="s">
        <v>2616</v>
      </c>
      <c r="G1006" s="460"/>
      <c r="H1006" s="461"/>
      <c r="I1006" s="460"/>
      <c r="J1006" s="460"/>
      <c r="K1006" s="460" t="s">
        <v>2613</v>
      </c>
    </row>
    <row r="1007" spans="1:11" ht="14.4">
      <c r="A1007" s="460" t="s">
        <v>1810</v>
      </c>
      <c r="B1007" s="460" t="s">
        <v>2442</v>
      </c>
      <c r="C1007" s="460"/>
      <c r="D1007" s="460" t="s">
        <v>1816</v>
      </c>
      <c r="E1007" s="460" t="s">
        <v>2611</v>
      </c>
      <c r="F1007" s="460" t="s">
        <v>2612</v>
      </c>
      <c r="G1007" s="460"/>
      <c r="H1007" s="461"/>
      <c r="I1007" s="460"/>
      <c r="J1007" s="460"/>
      <c r="K1007" s="460" t="s">
        <v>2613</v>
      </c>
    </row>
    <row r="1008" spans="1:11" ht="14.4">
      <c r="A1008" s="460" t="s">
        <v>1810</v>
      </c>
      <c r="B1008" s="460" t="s">
        <v>1601</v>
      </c>
      <c r="C1008" s="460"/>
      <c r="D1008" s="460" t="s">
        <v>1816</v>
      </c>
      <c r="E1008" s="460" t="s">
        <v>2611</v>
      </c>
      <c r="F1008" s="460" t="s">
        <v>2612</v>
      </c>
      <c r="G1008" s="460"/>
      <c r="H1008" s="461"/>
      <c r="I1008" s="460"/>
      <c r="J1008" s="460"/>
      <c r="K1008" s="460" t="s">
        <v>2613</v>
      </c>
    </row>
    <row r="1009" spans="1:11" ht="22.8">
      <c r="A1009" s="460" t="s">
        <v>1810</v>
      </c>
      <c r="B1009" s="460" t="s">
        <v>1639</v>
      </c>
      <c r="C1009" s="460"/>
      <c r="D1009" s="460" t="s">
        <v>1813</v>
      </c>
      <c r="E1009" s="460" t="s">
        <v>1812</v>
      </c>
      <c r="F1009" s="460" t="s">
        <v>2616</v>
      </c>
      <c r="G1009" s="460"/>
      <c r="H1009" s="461"/>
      <c r="I1009" s="460"/>
      <c r="J1009" s="460"/>
      <c r="K1009" s="460" t="s">
        <v>2613</v>
      </c>
    </row>
    <row r="1010" spans="1:11" ht="22.8">
      <c r="A1010" s="460" t="s">
        <v>1810</v>
      </c>
      <c r="B1010" s="460" t="s">
        <v>1639</v>
      </c>
      <c r="C1010" s="460"/>
      <c r="D1010" s="460" t="s">
        <v>1813</v>
      </c>
      <c r="E1010" s="460" t="s">
        <v>1812</v>
      </c>
      <c r="F1010" s="460" t="s">
        <v>2614</v>
      </c>
      <c r="G1010" s="460"/>
      <c r="H1010" s="461" t="s">
        <v>2615</v>
      </c>
      <c r="I1010" s="547">
        <f>ROUND(7,2)</f>
        <v>7</v>
      </c>
      <c r="J1010" s="460" t="s">
        <v>2615</v>
      </c>
      <c r="K1010" s="460" t="s">
        <v>2613</v>
      </c>
    </row>
    <row r="1011" spans="1:11" ht="22.8">
      <c r="A1011" s="460" t="s">
        <v>1810</v>
      </c>
      <c r="B1011" s="460" t="s">
        <v>1639</v>
      </c>
      <c r="C1011" s="460"/>
      <c r="D1011" s="460" t="s">
        <v>1813</v>
      </c>
      <c r="E1011" s="460" t="s">
        <v>1812</v>
      </c>
      <c r="F1011" s="460" t="s">
        <v>2612</v>
      </c>
      <c r="G1011" s="460"/>
      <c r="H1011" s="461"/>
      <c r="I1011" s="460"/>
      <c r="J1011" s="460"/>
      <c r="K1011" s="460" t="s">
        <v>2613</v>
      </c>
    </row>
    <row r="1012" spans="1:11" ht="14.4">
      <c r="A1012" s="460" t="s">
        <v>1810</v>
      </c>
      <c r="B1012" s="460" t="s">
        <v>1652</v>
      </c>
      <c r="C1012" s="460"/>
      <c r="D1012" s="460" t="s">
        <v>1814</v>
      </c>
      <c r="E1012" s="460" t="s">
        <v>1812</v>
      </c>
      <c r="F1012" s="460" t="s">
        <v>2632</v>
      </c>
      <c r="G1012" s="547">
        <f>ROUND(41.67,2)</f>
        <v>41.67</v>
      </c>
      <c r="H1012" s="461"/>
      <c r="I1012" s="547">
        <f>ROUND(41.67,2)</f>
        <v>41.67</v>
      </c>
      <c r="J1012" s="460"/>
      <c r="K1012" s="460" t="s">
        <v>2613</v>
      </c>
    </row>
    <row r="1013" spans="1:11" ht="14.4">
      <c r="A1013" s="460" t="s">
        <v>1810</v>
      </c>
      <c r="B1013" s="460" t="s">
        <v>1652</v>
      </c>
      <c r="C1013" s="460"/>
      <c r="D1013" s="460" t="s">
        <v>1814</v>
      </c>
      <c r="E1013" s="460" t="s">
        <v>1812</v>
      </c>
      <c r="F1013" s="460" t="s">
        <v>2612</v>
      </c>
      <c r="G1013" s="460"/>
      <c r="H1013" s="461"/>
      <c r="I1013" s="460"/>
      <c r="J1013" s="460"/>
      <c r="K1013" s="460" t="s">
        <v>2613</v>
      </c>
    </row>
    <row r="1014" spans="1:11" ht="14.4">
      <c r="A1014" s="460" t="s">
        <v>1810</v>
      </c>
      <c r="B1014" s="460" t="s">
        <v>1652</v>
      </c>
      <c r="C1014" s="460"/>
      <c r="D1014" s="460" t="s">
        <v>1814</v>
      </c>
      <c r="E1014" s="460" t="s">
        <v>1812</v>
      </c>
      <c r="F1014" s="460" t="s">
        <v>2614</v>
      </c>
      <c r="G1014" s="460"/>
      <c r="H1014" s="461" t="s">
        <v>2615</v>
      </c>
      <c r="I1014" s="547">
        <f>ROUND(7,2)</f>
        <v>7</v>
      </c>
      <c r="J1014" s="460" t="s">
        <v>2615</v>
      </c>
      <c r="K1014" s="460" t="s">
        <v>2613</v>
      </c>
    </row>
    <row r="1015" spans="1:11" ht="14.4">
      <c r="A1015" s="460" t="s">
        <v>1810</v>
      </c>
      <c r="B1015" s="460" t="s">
        <v>2583</v>
      </c>
      <c r="C1015" s="460"/>
      <c r="D1015" s="460" t="s">
        <v>1816</v>
      </c>
      <c r="E1015" s="460" t="s">
        <v>2611</v>
      </c>
      <c r="F1015" s="460" t="s">
        <v>2623</v>
      </c>
      <c r="G1015" s="460"/>
      <c r="H1015" s="461"/>
      <c r="I1015" s="460"/>
      <c r="J1015" s="460"/>
      <c r="K1015" s="460" t="s">
        <v>2613</v>
      </c>
    </row>
    <row r="1016" spans="1:11" ht="22.8">
      <c r="A1016" s="460" t="s">
        <v>1810</v>
      </c>
      <c r="B1016" s="460" t="s">
        <v>1665</v>
      </c>
      <c r="C1016" s="460"/>
      <c r="D1016" s="460" t="s">
        <v>1840</v>
      </c>
      <c r="E1016" s="460" t="s">
        <v>1812</v>
      </c>
      <c r="F1016" s="460" t="s">
        <v>2612</v>
      </c>
      <c r="G1016" s="460"/>
      <c r="H1016" s="461"/>
      <c r="I1016" s="460"/>
      <c r="J1016" s="460"/>
      <c r="K1016" s="460" t="s">
        <v>2613</v>
      </c>
    </row>
    <row r="1017" spans="1:11" ht="22.8">
      <c r="A1017" s="460" t="s">
        <v>1810</v>
      </c>
      <c r="B1017" s="460" t="s">
        <v>1665</v>
      </c>
      <c r="C1017" s="460"/>
      <c r="D1017" s="460" t="s">
        <v>1840</v>
      </c>
      <c r="E1017" s="460" t="s">
        <v>1812</v>
      </c>
      <c r="F1017" s="460" t="s">
        <v>2614</v>
      </c>
      <c r="G1017" s="460"/>
      <c r="H1017" s="461" t="s">
        <v>2615</v>
      </c>
      <c r="I1017" s="547">
        <f>ROUND(7,2)</f>
        <v>7</v>
      </c>
      <c r="J1017" s="460" t="s">
        <v>2615</v>
      </c>
      <c r="K1017" s="460" t="s">
        <v>2613</v>
      </c>
    </row>
    <row r="1018" spans="1:11" ht="22.8">
      <c r="A1018" s="460" t="s">
        <v>1810</v>
      </c>
      <c r="B1018" s="460" t="s">
        <v>1665</v>
      </c>
      <c r="C1018" s="460"/>
      <c r="D1018" s="460" t="s">
        <v>1840</v>
      </c>
      <c r="E1018" s="460" t="s">
        <v>1812</v>
      </c>
      <c r="F1018" s="460" t="s">
        <v>2616</v>
      </c>
      <c r="G1018" s="460"/>
      <c r="H1018" s="461"/>
      <c r="I1018" s="460"/>
      <c r="J1018" s="460"/>
      <c r="K1018" s="460" t="s">
        <v>2613</v>
      </c>
    </row>
    <row r="1019" spans="1:11" ht="14.4">
      <c r="A1019" s="460" t="s">
        <v>1810</v>
      </c>
      <c r="B1019" s="460" t="s">
        <v>2904</v>
      </c>
      <c r="C1019" s="460"/>
      <c r="D1019" s="460" t="s">
        <v>1816</v>
      </c>
      <c r="E1019" s="460" t="s">
        <v>2611</v>
      </c>
      <c r="F1019" s="460" t="s">
        <v>2612</v>
      </c>
      <c r="G1019" s="460"/>
      <c r="H1019" s="461"/>
      <c r="I1019" s="460"/>
      <c r="J1019" s="460"/>
      <c r="K1019" s="460" t="s">
        <v>2613</v>
      </c>
    </row>
    <row r="1020" spans="1:11" ht="22.8">
      <c r="A1020" s="460" t="s">
        <v>1810</v>
      </c>
      <c r="B1020" s="460" t="s">
        <v>1339</v>
      </c>
      <c r="C1020" s="460"/>
      <c r="D1020" s="460" t="s">
        <v>1834</v>
      </c>
      <c r="E1020" s="460" t="s">
        <v>2015</v>
      </c>
      <c r="F1020" s="460" t="s">
        <v>2612</v>
      </c>
      <c r="G1020" s="460"/>
      <c r="H1020" s="461"/>
      <c r="I1020" s="460"/>
      <c r="J1020" s="460"/>
      <c r="K1020" s="460" t="s">
        <v>2613</v>
      </c>
    </row>
    <row r="1021" spans="1:11" ht="22.8">
      <c r="A1021" s="460" t="s">
        <v>1810</v>
      </c>
      <c r="B1021" s="460" t="s">
        <v>1339</v>
      </c>
      <c r="C1021" s="460"/>
      <c r="D1021" s="460" t="s">
        <v>1834</v>
      </c>
      <c r="E1021" s="460" t="s">
        <v>2015</v>
      </c>
      <c r="F1021" s="460" t="s">
        <v>2619</v>
      </c>
      <c r="G1021" s="547">
        <f>ROUND(1300,2)</f>
        <v>1300</v>
      </c>
      <c r="H1021" s="461"/>
      <c r="I1021" s="547">
        <f>ROUND(1300,2)</f>
        <v>1300</v>
      </c>
      <c r="J1021" s="460"/>
      <c r="K1021" s="460" t="s">
        <v>2613</v>
      </c>
    </row>
    <row r="1022" spans="1:11" ht="22.8">
      <c r="A1022" s="460" t="s">
        <v>1810</v>
      </c>
      <c r="B1022" s="460" t="s">
        <v>1339</v>
      </c>
      <c r="C1022" s="460"/>
      <c r="D1022" s="460" t="s">
        <v>1834</v>
      </c>
      <c r="E1022" s="460" t="s">
        <v>2015</v>
      </c>
      <c r="F1022" s="460" t="s">
        <v>2614</v>
      </c>
      <c r="G1022" s="460"/>
      <c r="H1022" s="461" t="s">
        <v>2615</v>
      </c>
      <c r="I1022" s="547">
        <f>ROUND(7,2)</f>
        <v>7</v>
      </c>
      <c r="J1022" s="460" t="s">
        <v>2615</v>
      </c>
      <c r="K1022" s="460" t="s">
        <v>2613</v>
      </c>
    </row>
    <row r="1023" spans="1:11" ht="22.8">
      <c r="A1023" s="460" t="s">
        <v>1810</v>
      </c>
      <c r="B1023" s="460" t="s">
        <v>1339</v>
      </c>
      <c r="C1023" s="460"/>
      <c r="D1023" s="460" t="s">
        <v>1834</v>
      </c>
      <c r="E1023" s="460" t="s">
        <v>2015</v>
      </c>
      <c r="F1023" s="460" t="s">
        <v>2624</v>
      </c>
      <c r="G1023" s="547">
        <f>ROUND(400,2)</f>
        <v>400</v>
      </c>
      <c r="H1023" s="461"/>
      <c r="I1023" s="547">
        <f>ROUND(400,2)</f>
        <v>400</v>
      </c>
      <c r="J1023" s="460"/>
      <c r="K1023" s="460" t="s">
        <v>2613</v>
      </c>
    </row>
    <row r="1024" spans="1:11" ht="22.8">
      <c r="A1024" s="460" t="s">
        <v>1810</v>
      </c>
      <c r="B1024" s="460" t="s">
        <v>1339</v>
      </c>
      <c r="C1024" s="460"/>
      <c r="D1024" s="460" t="s">
        <v>1834</v>
      </c>
      <c r="E1024" s="460" t="s">
        <v>2015</v>
      </c>
      <c r="F1024" s="460" t="s">
        <v>2616</v>
      </c>
      <c r="G1024" s="460"/>
      <c r="H1024" s="461"/>
      <c r="I1024" s="460"/>
      <c r="J1024" s="460"/>
      <c r="K1024" s="460" t="s">
        <v>2613</v>
      </c>
    </row>
    <row r="1025" spans="1:11" ht="22.8">
      <c r="A1025" s="460" t="s">
        <v>1810</v>
      </c>
      <c r="B1025" s="460" t="s">
        <v>1339</v>
      </c>
      <c r="C1025" s="460"/>
      <c r="D1025" s="460" t="s">
        <v>1834</v>
      </c>
      <c r="E1025" s="460" t="s">
        <v>2015</v>
      </c>
      <c r="F1025" s="460" t="s">
        <v>2618</v>
      </c>
      <c r="G1025" s="547">
        <f>ROUND(40,2)</f>
        <v>40</v>
      </c>
      <c r="H1025" s="461"/>
      <c r="I1025" s="547">
        <f>ROUND(40,2)</f>
        <v>40</v>
      </c>
      <c r="J1025" s="460"/>
      <c r="K1025" s="460" t="s">
        <v>2613</v>
      </c>
    </row>
    <row r="1026" spans="1:11" ht="22.8">
      <c r="A1026" s="460" t="s">
        <v>1810</v>
      </c>
      <c r="B1026" s="460" t="s">
        <v>1339</v>
      </c>
      <c r="C1026" s="460"/>
      <c r="D1026" s="460" t="s">
        <v>1834</v>
      </c>
      <c r="E1026" s="460" t="s">
        <v>2015</v>
      </c>
      <c r="F1026" s="460" t="s">
        <v>2617</v>
      </c>
      <c r="G1026" s="547">
        <f>ROUND(75,2)</f>
        <v>75</v>
      </c>
      <c r="H1026" s="461"/>
      <c r="I1026" s="547">
        <f>ROUND(75,2)</f>
        <v>75</v>
      </c>
      <c r="J1026" s="460"/>
      <c r="K1026" s="460" t="s">
        <v>2613</v>
      </c>
    </row>
    <row r="1027" spans="1:11" ht="14.4">
      <c r="A1027" s="460" t="s">
        <v>1810</v>
      </c>
      <c r="B1027" s="460" t="s">
        <v>1608</v>
      </c>
      <c r="C1027" s="460"/>
      <c r="D1027" s="460" t="s">
        <v>1816</v>
      </c>
      <c r="E1027" s="460" t="s">
        <v>2611</v>
      </c>
      <c r="F1027" s="460" t="s">
        <v>2612</v>
      </c>
      <c r="G1027" s="460"/>
      <c r="H1027" s="461"/>
      <c r="I1027" s="460"/>
      <c r="J1027" s="460"/>
      <c r="K1027" s="460" t="s">
        <v>2613</v>
      </c>
    </row>
    <row r="1028" spans="1:11" ht="14.4">
      <c r="A1028" s="460" t="s">
        <v>1810</v>
      </c>
      <c r="B1028" s="460" t="s">
        <v>2487</v>
      </c>
      <c r="C1028" s="460"/>
      <c r="D1028" s="460" t="s">
        <v>1816</v>
      </c>
      <c r="E1028" s="460" t="s">
        <v>2611</v>
      </c>
      <c r="F1028" s="460" t="s">
        <v>2612</v>
      </c>
      <c r="G1028" s="460"/>
      <c r="H1028" s="461"/>
      <c r="I1028" s="460"/>
      <c r="J1028" s="460"/>
      <c r="K1028" s="460" t="s">
        <v>2613</v>
      </c>
    </row>
    <row r="1029" spans="1:11" ht="14.4">
      <c r="A1029" s="460" t="s">
        <v>1810</v>
      </c>
      <c r="B1029" s="460" t="s">
        <v>2454</v>
      </c>
      <c r="C1029" s="460"/>
      <c r="D1029" s="460" t="s">
        <v>1816</v>
      </c>
      <c r="E1029" s="460" t="s">
        <v>2611</v>
      </c>
      <c r="F1029" s="460" t="s">
        <v>2612</v>
      </c>
      <c r="G1029" s="460"/>
      <c r="H1029" s="461"/>
      <c r="I1029" s="460"/>
      <c r="J1029" s="460"/>
      <c r="K1029" s="460" t="s">
        <v>2613</v>
      </c>
    </row>
    <row r="1030" spans="1:11" ht="14.4">
      <c r="A1030" s="460" t="s">
        <v>1810</v>
      </c>
      <c r="B1030" s="460" t="s">
        <v>2950</v>
      </c>
      <c r="C1030" s="460"/>
      <c r="D1030" s="460" t="s">
        <v>1816</v>
      </c>
      <c r="E1030" s="460" t="s">
        <v>2611</v>
      </c>
      <c r="F1030" s="460" t="s">
        <v>2612</v>
      </c>
      <c r="G1030" s="460"/>
      <c r="H1030" s="461"/>
      <c r="I1030" s="460"/>
      <c r="J1030" s="460"/>
      <c r="K1030" s="460" t="s">
        <v>2613</v>
      </c>
    </row>
    <row r="1031" spans="1:11" ht="14.4">
      <c r="A1031" s="460" t="s">
        <v>1810</v>
      </c>
      <c r="B1031" s="460" t="s">
        <v>1764</v>
      </c>
      <c r="C1031" s="460"/>
      <c r="D1031" s="460" t="s">
        <v>1816</v>
      </c>
      <c r="E1031" s="460" t="s">
        <v>2611</v>
      </c>
      <c r="F1031" s="460" t="s">
        <v>2612</v>
      </c>
      <c r="G1031" s="460"/>
      <c r="H1031" s="461"/>
      <c r="I1031" s="460"/>
      <c r="J1031" s="460"/>
      <c r="K1031" s="460" t="s">
        <v>2613</v>
      </c>
    </row>
    <row r="1032" spans="1:11" ht="22.8">
      <c r="A1032" s="460" t="s">
        <v>1810</v>
      </c>
      <c r="B1032" s="460" t="s">
        <v>1407</v>
      </c>
      <c r="C1032" s="460"/>
      <c r="D1032" s="460" t="s">
        <v>1844</v>
      </c>
      <c r="E1032" s="460" t="s">
        <v>1812</v>
      </c>
      <c r="F1032" s="460" t="s">
        <v>2612</v>
      </c>
      <c r="G1032" s="460"/>
      <c r="H1032" s="461"/>
      <c r="I1032" s="460"/>
      <c r="J1032" s="460"/>
      <c r="K1032" s="460" t="s">
        <v>2613</v>
      </c>
    </row>
    <row r="1033" spans="1:11" ht="22.8">
      <c r="A1033" s="460" t="s">
        <v>1810</v>
      </c>
      <c r="B1033" s="460" t="s">
        <v>1407</v>
      </c>
      <c r="C1033" s="460"/>
      <c r="D1033" s="460" t="s">
        <v>1844</v>
      </c>
      <c r="E1033" s="460" t="s">
        <v>1812</v>
      </c>
      <c r="F1033" s="460" t="s">
        <v>2623</v>
      </c>
      <c r="G1033" s="547">
        <f>ROUND(25,2)</f>
        <v>25</v>
      </c>
      <c r="H1033" s="461"/>
      <c r="I1033" s="547">
        <f>ROUND(25,2)</f>
        <v>25</v>
      </c>
      <c r="J1033" s="460"/>
      <c r="K1033" s="460" t="s">
        <v>2613</v>
      </c>
    </row>
    <row r="1034" spans="1:11" ht="22.8">
      <c r="A1034" s="460" t="s">
        <v>1810</v>
      </c>
      <c r="B1034" s="460" t="s">
        <v>1407</v>
      </c>
      <c r="C1034" s="460"/>
      <c r="D1034" s="460" t="s">
        <v>1844</v>
      </c>
      <c r="E1034" s="460" t="s">
        <v>1812</v>
      </c>
      <c r="F1034" s="460" t="s">
        <v>2614</v>
      </c>
      <c r="G1034" s="460"/>
      <c r="H1034" s="461" t="s">
        <v>2615</v>
      </c>
      <c r="I1034" s="547">
        <f>ROUND(7,2)</f>
        <v>7</v>
      </c>
      <c r="J1034" s="460" t="s">
        <v>2615</v>
      </c>
      <c r="K1034" s="460" t="s">
        <v>2613</v>
      </c>
    </row>
    <row r="1035" spans="1:11" ht="22.8">
      <c r="A1035" s="460" t="s">
        <v>1810</v>
      </c>
      <c r="B1035" s="460" t="s">
        <v>1407</v>
      </c>
      <c r="C1035" s="460"/>
      <c r="D1035" s="460" t="s">
        <v>1844</v>
      </c>
      <c r="E1035" s="460" t="s">
        <v>1812</v>
      </c>
      <c r="F1035" s="460" t="s">
        <v>2616</v>
      </c>
      <c r="G1035" s="460"/>
      <c r="H1035" s="461"/>
      <c r="I1035" s="460"/>
      <c r="J1035" s="460"/>
      <c r="K1035" s="460" t="s">
        <v>2613</v>
      </c>
    </row>
    <row r="1036" spans="1:11" ht="14.4">
      <c r="A1036" s="460" t="s">
        <v>1810</v>
      </c>
      <c r="B1036" s="460" t="s">
        <v>2902</v>
      </c>
      <c r="C1036" s="460"/>
      <c r="D1036" s="460" t="s">
        <v>1816</v>
      </c>
      <c r="E1036" s="460" t="s">
        <v>2611</v>
      </c>
      <c r="F1036" s="460" t="s">
        <v>2612</v>
      </c>
      <c r="G1036" s="460"/>
      <c r="H1036" s="461"/>
      <c r="I1036" s="460"/>
      <c r="J1036" s="460"/>
      <c r="K1036" s="460" t="s">
        <v>2613</v>
      </c>
    </row>
    <row r="1037" spans="1:11" ht="14.4">
      <c r="A1037" s="460" t="s">
        <v>1810</v>
      </c>
      <c r="B1037" s="460" t="s">
        <v>2919</v>
      </c>
      <c r="C1037" s="460"/>
      <c r="D1037" s="460" t="s">
        <v>1816</v>
      </c>
      <c r="E1037" s="460" t="s">
        <v>2611</v>
      </c>
      <c r="F1037" s="460" t="s">
        <v>2612</v>
      </c>
      <c r="G1037" s="460"/>
      <c r="H1037" s="461"/>
      <c r="I1037" s="460"/>
      <c r="J1037" s="460"/>
      <c r="K1037" s="460" t="s">
        <v>2613</v>
      </c>
    </row>
    <row r="1038" spans="1:11" ht="22.8">
      <c r="A1038" s="460" t="s">
        <v>1810</v>
      </c>
      <c r="B1038" s="460" t="s">
        <v>1535</v>
      </c>
      <c r="C1038" s="460"/>
      <c r="D1038" s="460" t="s">
        <v>1813</v>
      </c>
      <c r="E1038" s="460" t="s">
        <v>2611</v>
      </c>
      <c r="F1038" s="460" t="s">
        <v>2623</v>
      </c>
      <c r="G1038" s="460"/>
      <c r="H1038" s="461"/>
      <c r="I1038" s="460"/>
      <c r="J1038" s="460"/>
      <c r="K1038" s="460" t="s">
        <v>2613</v>
      </c>
    </row>
    <row r="1039" spans="1:11" ht="14.4">
      <c r="A1039" s="460" t="s">
        <v>1810</v>
      </c>
      <c r="B1039" s="460" t="s">
        <v>1717</v>
      </c>
      <c r="C1039" s="460"/>
      <c r="D1039" s="460" t="s">
        <v>1816</v>
      </c>
      <c r="E1039" s="460" t="s">
        <v>2611</v>
      </c>
      <c r="F1039" s="460" t="s">
        <v>2612</v>
      </c>
      <c r="G1039" s="460"/>
      <c r="H1039" s="461"/>
      <c r="I1039" s="460"/>
      <c r="J1039" s="460"/>
      <c r="K1039" s="460" t="s">
        <v>2613</v>
      </c>
    </row>
    <row r="1040" spans="1:11" ht="14.4">
      <c r="A1040" s="460" t="s">
        <v>1810</v>
      </c>
      <c r="B1040" s="460" t="s">
        <v>1673</v>
      </c>
      <c r="C1040" s="460"/>
      <c r="D1040" s="460" t="s">
        <v>1816</v>
      </c>
      <c r="E1040" s="460" t="s">
        <v>2611</v>
      </c>
      <c r="F1040" s="460" t="s">
        <v>2612</v>
      </c>
      <c r="G1040" s="460"/>
      <c r="H1040" s="461"/>
      <c r="I1040" s="460"/>
      <c r="J1040" s="460"/>
      <c r="K1040" s="460" t="s">
        <v>2613</v>
      </c>
    </row>
    <row r="1041" spans="1:11" ht="14.4">
      <c r="A1041" s="460" t="s">
        <v>1810</v>
      </c>
      <c r="B1041" s="460" t="s">
        <v>1399</v>
      </c>
      <c r="C1041" s="460"/>
      <c r="D1041" s="460" t="s">
        <v>1811</v>
      </c>
      <c r="E1041" s="460" t="s">
        <v>2015</v>
      </c>
      <c r="F1041" s="460" t="s">
        <v>2620</v>
      </c>
      <c r="G1041" s="547">
        <f>ROUND(10.22,2)</f>
        <v>10.220000000000001</v>
      </c>
      <c r="H1041" s="461"/>
      <c r="I1041" s="547">
        <f>ROUND(10.22,2)</f>
        <v>10.220000000000001</v>
      </c>
      <c r="J1041" s="460"/>
      <c r="K1041" s="460" t="s">
        <v>2613</v>
      </c>
    </row>
    <row r="1042" spans="1:11" ht="14.4">
      <c r="A1042" s="460" t="s">
        <v>1810</v>
      </c>
      <c r="B1042" s="460" t="s">
        <v>1399</v>
      </c>
      <c r="C1042" s="460"/>
      <c r="D1042" s="460" t="s">
        <v>1811</v>
      </c>
      <c r="E1042" s="460" t="s">
        <v>2015</v>
      </c>
      <c r="F1042" s="460" t="s">
        <v>2612</v>
      </c>
      <c r="G1042" s="460"/>
      <c r="H1042" s="461"/>
      <c r="I1042" s="460"/>
      <c r="J1042" s="460"/>
      <c r="K1042" s="460" t="s">
        <v>2613</v>
      </c>
    </row>
    <row r="1043" spans="1:11" ht="14.4">
      <c r="A1043" s="460" t="s">
        <v>1810</v>
      </c>
      <c r="B1043" s="460" t="s">
        <v>1399</v>
      </c>
      <c r="C1043" s="460"/>
      <c r="D1043" s="460" t="s">
        <v>1811</v>
      </c>
      <c r="E1043" s="460" t="s">
        <v>2015</v>
      </c>
      <c r="F1043" s="460" t="s">
        <v>2614</v>
      </c>
      <c r="G1043" s="460"/>
      <c r="H1043" s="461" t="s">
        <v>2615</v>
      </c>
      <c r="I1043" s="547">
        <f>ROUND(7,2)</f>
        <v>7</v>
      </c>
      <c r="J1043" s="460" t="s">
        <v>2615</v>
      </c>
      <c r="K1043" s="460" t="s">
        <v>2613</v>
      </c>
    </row>
    <row r="1044" spans="1:11" ht="14.4">
      <c r="A1044" s="460" t="s">
        <v>1810</v>
      </c>
      <c r="B1044" s="460" t="s">
        <v>1399</v>
      </c>
      <c r="C1044" s="460"/>
      <c r="D1044" s="460" t="s">
        <v>1811</v>
      </c>
      <c r="E1044" s="460" t="s">
        <v>2015</v>
      </c>
      <c r="F1044" s="460" t="s">
        <v>2616</v>
      </c>
      <c r="G1044" s="460"/>
      <c r="H1044" s="461"/>
      <c r="I1044" s="460"/>
      <c r="J1044" s="460"/>
      <c r="K1044" s="460" t="s">
        <v>2613</v>
      </c>
    </row>
    <row r="1045" spans="1:11" ht="14.4">
      <c r="A1045" s="460" t="s">
        <v>1810</v>
      </c>
      <c r="B1045" s="460" t="s">
        <v>1399</v>
      </c>
      <c r="C1045" s="460"/>
      <c r="D1045" s="460" t="s">
        <v>1811</v>
      </c>
      <c r="E1045" s="460" t="s">
        <v>2015</v>
      </c>
      <c r="F1045" s="460" t="s">
        <v>2617</v>
      </c>
      <c r="G1045" s="547">
        <f>ROUND(75,2)</f>
        <v>75</v>
      </c>
      <c r="H1045" s="461"/>
      <c r="I1045" s="547">
        <f>ROUND(75,2)</f>
        <v>75</v>
      </c>
      <c r="J1045" s="460"/>
      <c r="K1045" s="460" t="s">
        <v>2613</v>
      </c>
    </row>
    <row r="1046" spans="1:11" ht="14.4">
      <c r="A1046" s="460" t="s">
        <v>1810</v>
      </c>
      <c r="B1046" s="460" t="s">
        <v>1399</v>
      </c>
      <c r="C1046" s="460"/>
      <c r="D1046" s="460" t="s">
        <v>1811</v>
      </c>
      <c r="E1046" s="460" t="s">
        <v>2015</v>
      </c>
      <c r="F1046" s="460" t="s">
        <v>2618</v>
      </c>
      <c r="G1046" s="547">
        <f>ROUND(40,2)</f>
        <v>40</v>
      </c>
      <c r="H1046" s="461"/>
      <c r="I1046" s="547">
        <f>ROUND(40,2)</f>
        <v>40</v>
      </c>
      <c r="J1046" s="460"/>
      <c r="K1046" s="460" t="s">
        <v>2613</v>
      </c>
    </row>
    <row r="1047" spans="1:11" ht="14.4">
      <c r="A1047" s="460" t="s">
        <v>1810</v>
      </c>
      <c r="B1047" s="460" t="s">
        <v>1765</v>
      </c>
      <c r="C1047" s="460"/>
      <c r="D1047" s="460" t="s">
        <v>1816</v>
      </c>
      <c r="E1047" s="460" t="s">
        <v>2611</v>
      </c>
      <c r="F1047" s="460" t="s">
        <v>2623</v>
      </c>
      <c r="G1047" s="460"/>
      <c r="H1047" s="461"/>
      <c r="I1047" s="460"/>
      <c r="J1047" s="460"/>
      <c r="K1047" s="460" t="s">
        <v>2613</v>
      </c>
    </row>
    <row r="1048" spans="1:11" ht="14.4">
      <c r="A1048" s="460" t="s">
        <v>1810</v>
      </c>
      <c r="B1048" s="460" t="s">
        <v>1419</v>
      </c>
      <c r="C1048" s="460"/>
      <c r="D1048" s="460" t="s">
        <v>1821</v>
      </c>
      <c r="E1048" s="460" t="s">
        <v>1812</v>
      </c>
      <c r="F1048" s="460" t="s">
        <v>2625</v>
      </c>
      <c r="G1048" s="547">
        <f>ROUND(50,2)</f>
        <v>50</v>
      </c>
      <c r="H1048" s="461"/>
      <c r="I1048" s="547">
        <f>ROUND(50,2)</f>
        <v>50</v>
      </c>
      <c r="J1048" s="460"/>
      <c r="K1048" s="460" t="s">
        <v>2613</v>
      </c>
    </row>
    <row r="1049" spans="1:11" ht="14.4">
      <c r="A1049" s="460" t="s">
        <v>1810</v>
      </c>
      <c r="B1049" s="460" t="s">
        <v>1419</v>
      </c>
      <c r="C1049" s="460"/>
      <c r="D1049" s="460" t="s">
        <v>1821</v>
      </c>
      <c r="E1049" s="460" t="s">
        <v>1812</v>
      </c>
      <c r="F1049" s="460" t="s">
        <v>2612</v>
      </c>
      <c r="G1049" s="460"/>
      <c r="H1049" s="461"/>
      <c r="I1049" s="460"/>
      <c r="J1049" s="460"/>
      <c r="K1049" s="460" t="s">
        <v>2613</v>
      </c>
    </row>
    <row r="1050" spans="1:11" ht="14.4">
      <c r="A1050" s="460" t="s">
        <v>1810</v>
      </c>
      <c r="B1050" s="460" t="s">
        <v>1419</v>
      </c>
      <c r="C1050" s="460"/>
      <c r="D1050" s="460" t="s">
        <v>1821</v>
      </c>
      <c r="E1050" s="460" t="s">
        <v>1812</v>
      </c>
      <c r="F1050" s="460" t="s">
        <v>2623</v>
      </c>
      <c r="G1050" s="547">
        <f>ROUND(375,2)</f>
        <v>375</v>
      </c>
      <c r="H1050" s="461"/>
      <c r="I1050" s="547">
        <f>ROUND(375,2)</f>
        <v>375</v>
      </c>
      <c r="J1050" s="460"/>
      <c r="K1050" s="460" t="s">
        <v>2613</v>
      </c>
    </row>
    <row r="1051" spans="1:11" ht="14.4">
      <c r="A1051" s="460" t="s">
        <v>1810</v>
      </c>
      <c r="B1051" s="460" t="s">
        <v>1419</v>
      </c>
      <c r="C1051" s="460"/>
      <c r="D1051" s="460" t="s">
        <v>1821</v>
      </c>
      <c r="E1051" s="460" t="s">
        <v>1812</v>
      </c>
      <c r="F1051" s="460" t="s">
        <v>2627</v>
      </c>
      <c r="G1051" s="547">
        <f>ROUND(64,2)</f>
        <v>64</v>
      </c>
      <c r="H1051" s="461"/>
      <c r="I1051" s="547">
        <f>ROUND(64,2)</f>
        <v>64</v>
      </c>
      <c r="J1051" s="460"/>
      <c r="K1051" s="460" t="s">
        <v>2613</v>
      </c>
    </row>
    <row r="1052" spans="1:11" ht="14.4">
      <c r="A1052" s="460" t="s">
        <v>1810</v>
      </c>
      <c r="B1052" s="460" t="s">
        <v>1419</v>
      </c>
      <c r="C1052" s="460"/>
      <c r="D1052" s="460" t="s">
        <v>1821</v>
      </c>
      <c r="E1052" s="460" t="s">
        <v>1812</v>
      </c>
      <c r="F1052" s="460" t="s">
        <v>2634</v>
      </c>
      <c r="G1052" s="547">
        <f>ROUND(46,2)</f>
        <v>46</v>
      </c>
      <c r="H1052" s="461"/>
      <c r="I1052" s="547">
        <f>ROUND(46,2)</f>
        <v>46</v>
      </c>
      <c r="J1052" s="460"/>
      <c r="K1052" s="460" t="s">
        <v>2613</v>
      </c>
    </row>
    <row r="1053" spans="1:11" ht="14.4">
      <c r="A1053" s="460" t="s">
        <v>1810</v>
      </c>
      <c r="B1053" s="460" t="s">
        <v>1419</v>
      </c>
      <c r="C1053" s="460"/>
      <c r="D1053" s="460" t="s">
        <v>1821</v>
      </c>
      <c r="E1053" s="460" t="s">
        <v>1812</v>
      </c>
      <c r="F1053" s="460" t="s">
        <v>2614</v>
      </c>
      <c r="G1053" s="460"/>
      <c r="H1053" s="461" t="s">
        <v>2615</v>
      </c>
      <c r="I1053" s="547">
        <f>ROUND(7,2)</f>
        <v>7</v>
      </c>
      <c r="J1053" s="460" t="s">
        <v>2615</v>
      </c>
      <c r="K1053" s="460" t="s">
        <v>2613</v>
      </c>
    </row>
    <row r="1054" spans="1:11" ht="14.4">
      <c r="A1054" s="460" t="s">
        <v>1810</v>
      </c>
      <c r="B1054" s="460" t="s">
        <v>1419</v>
      </c>
      <c r="C1054" s="460"/>
      <c r="D1054" s="460" t="s">
        <v>1821</v>
      </c>
      <c r="E1054" s="460" t="s">
        <v>1812</v>
      </c>
      <c r="F1054" s="460" t="s">
        <v>2616</v>
      </c>
      <c r="G1054" s="460"/>
      <c r="H1054" s="461"/>
      <c r="I1054" s="460"/>
      <c r="J1054" s="460"/>
      <c r="K1054" s="460" t="s">
        <v>2613</v>
      </c>
    </row>
    <row r="1055" spans="1:11" ht="14.4">
      <c r="A1055" s="460" t="s">
        <v>1810</v>
      </c>
      <c r="B1055" s="460" t="s">
        <v>1419</v>
      </c>
      <c r="C1055" s="460"/>
      <c r="D1055" s="460" t="s">
        <v>1821</v>
      </c>
      <c r="E1055" s="460" t="s">
        <v>1812</v>
      </c>
      <c r="F1055" s="460" t="s">
        <v>2617</v>
      </c>
      <c r="G1055" s="547">
        <f>ROUND(75,2)</f>
        <v>75</v>
      </c>
      <c r="H1055" s="461"/>
      <c r="I1055" s="547">
        <f>ROUND(75,2)</f>
        <v>75</v>
      </c>
      <c r="J1055" s="460"/>
      <c r="K1055" s="460" t="s">
        <v>2613</v>
      </c>
    </row>
    <row r="1056" spans="1:11" ht="14.4">
      <c r="A1056" s="460" t="s">
        <v>1810</v>
      </c>
      <c r="B1056" s="460" t="s">
        <v>1419</v>
      </c>
      <c r="C1056" s="460"/>
      <c r="D1056" s="460" t="s">
        <v>1821</v>
      </c>
      <c r="E1056" s="460" t="s">
        <v>1812</v>
      </c>
      <c r="F1056" s="460" t="s">
        <v>2618</v>
      </c>
      <c r="G1056" s="547">
        <f>ROUND(17.5,2)</f>
        <v>17.5</v>
      </c>
      <c r="H1056" s="461"/>
      <c r="I1056" s="547">
        <f>ROUND(17.5,2)</f>
        <v>17.5</v>
      </c>
      <c r="J1056" s="460"/>
      <c r="K1056" s="460" t="s">
        <v>2613</v>
      </c>
    </row>
    <row r="1057" spans="1:11" ht="14.4">
      <c r="A1057" s="460" t="s">
        <v>1810</v>
      </c>
      <c r="B1057" s="460" t="s">
        <v>1742</v>
      </c>
      <c r="C1057" s="460"/>
      <c r="D1057" s="460" t="s">
        <v>1814</v>
      </c>
      <c r="E1057" s="460" t="s">
        <v>1812</v>
      </c>
      <c r="F1057" s="460" t="s">
        <v>2616</v>
      </c>
      <c r="G1057" s="460"/>
      <c r="H1057" s="461"/>
      <c r="I1057" s="460"/>
      <c r="J1057" s="460"/>
      <c r="K1057" s="460" t="s">
        <v>2613</v>
      </c>
    </row>
    <row r="1058" spans="1:11" ht="14.4">
      <c r="A1058" s="460" t="s">
        <v>1810</v>
      </c>
      <c r="B1058" s="460" t="s">
        <v>1742</v>
      </c>
      <c r="C1058" s="460"/>
      <c r="D1058" s="460" t="s">
        <v>1814</v>
      </c>
      <c r="E1058" s="460" t="s">
        <v>1812</v>
      </c>
      <c r="F1058" s="460" t="s">
        <v>2612</v>
      </c>
      <c r="G1058" s="460"/>
      <c r="H1058" s="461"/>
      <c r="I1058" s="460"/>
      <c r="J1058" s="460"/>
      <c r="K1058" s="460" t="s">
        <v>2613</v>
      </c>
    </row>
    <row r="1059" spans="1:11" ht="14.4">
      <c r="A1059" s="460" t="s">
        <v>1810</v>
      </c>
      <c r="B1059" s="460" t="s">
        <v>1742</v>
      </c>
      <c r="C1059" s="460"/>
      <c r="D1059" s="460" t="s">
        <v>1814</v>
      </c>
      <c r="E1059" s="460" t="s">
        <v>1812</v>
      </c>
      <c r="F1059" s="460" t="s">
        <v>2614</v>
      </c>
      <c r="G1059" s="460"/>
      <c r="H1059" s="461" t="s">
        <v>2615</v>
      </c>
      <c r="I1059" s="547">
        <f>ROUND(7,2)</f>
        <v>7</v>
      </c>
      <c r="J1059" s="460" t="s">
        <v>2615</v>
      </c>
      <c r="K1059" s="460" t="s">
        <v>2613</v>
      </c>
    </row>
    <row r="1060" spans="1:11" ht="14.4">
      <c r="A1060" s="460" t="s">
        <v>1810</v>
      </c>
      <c r="B1060" s="460" t="s">
        <v>1742</v>
      </c>
      <c r="C1060" s="460"/>
      <c r="D1060" s="460" t="s">
        <v>1814</v>
      </c>
      <c r="E1060" s="460" t="s">
        <v>1812</v>
      </c>
      <c r="F1060" s="460" t="s">
        <v>2624</v>
      </c>
      <c r="G1060" s="547">
        <f>ROUND(50,2)</f>
        <v>50</v>
      </c>
      <c r="H1060" s="461"/>
      <c r="I1060" s="547">
        <f>ROUND(50,2)</f>
        <v>50</v>
      </c>
      <c r="J1060" s="460"/>
      <c r="K1060" s="460" t="s">
        <v>2613</v>
      </c>
    </row>
    <row r="1061" spans="1:11" ht="14.4">
      <c r="A1061" s="460" t="s">
        <v>1810</v>
      </c>
      <c r="B1061" s="460" t="s">
        <v>1742</v>
      </c>
      <c r="C1061" s="460"/>
      <c r="D1061" s="460" t="s">
        <v>1814</v>
      </c>
      <c r="E1061" s="460" t="s">
        <v>1812</v>
      </c>
      <c r="F1061" s="460" t="s">
        <v>2632</v>
      </c>
      <c r="G1061" s="547">
        <f>ROUND(166.67,2)</f>
        <v>166.67</v>
      </c>
      <c r="H1061" s="461"/>
      <c r="I1061" s="547">
        <f>ROUND(166.67,2)</f>
        <v>166.67</v>
      </c>
      <c r="J1061" s="460"/>
      <c r="K1061" s="460" t="s">
        <v>2613</v>
      </c>
    </row>
    <row r="1062" spans="1:11" ht="22.8">
      <c r="A1062" s="460" t="s">
        <v>1810</v>
      </c>
      <c r="B1062" s="460" t="s">
        <v>1756</v>
      </c>
      <c r="C1062" s="460"/>
      <c r="D1062" s="460" t="s">
        <v>1819</v>
      </c>
      <c r="E1062" s="460" t="s">
        <v>1812</v>
      </c>
      <c r="F1062" s="460" t="s">
        <v>2616</v>
      </c>
      <c r="G1062" s="460"/>
      <c r="H1062" s="461"/>
      <c r="I1062" s="460"/>
      <c r="J1062" s="460"/>
      <c r="K1062" s="460" t="s">
        <v>2613</v>
      </c>
    </row>
    <row r="1063" spans="1:11" ht="22.8">
      <c r="A1063" s="460" t="s">
        <v>1810</v>
      </c>
      <c r="B1063" s="460" t="s">
        <v>1756</v>
      </c>
      <c r="C1063" s="460"/>
      <c r="D1063" s="460" t="s">
        <v>1819</v>
      </c>
      <c r="E1063" s="460" t="s">
        <v>1812</v>
      </c>
      <c r="F1063" s="460" t="s">
        <v>2620</v>
      </c>
      <c r="G1063" s="547">
        <f>ROUND(10.22,2)</f>
        <v>10.220000000000001</v>
      </c>
      <c r="H1063" s="461"/>
      <c r="I1063" s="547">
        <f>ROUND(10.22,2)</f>
        <v>10.220000000000001</v>
      </c>
      <c r="J1063" s="460"/>
      <c r="K1063" s="460" t="s">
        <v>2613</v>
      </c>
    </row>
    <row r="1064" spans="1:11" ht="22.8">
      <c r="A1064" s="460" t="s">
        <v>1810</v>
      </c>
      <c r="B1064" s="460" t="s">
        <v>1756</v>
      </c>
      <c r="C1064" s="460"/>
      <c r="D1064" s="460" t="s">
        <v>1819</v>
      </c>
      <c r="E1064" s="460" t="s">
        <v>1812</v>
      </c>
      <c r="F1064" s="460" t="s">
        <v>2612</v>
      </c>
      <c r="G1064" s="460"/>
      <c r="H1064" s="461"/>
      <c r="I1064" s="460"/>
      <c r="J1064" s="460"/>
      <c r="K1064" s="460" t="s">
        <v>2613</v>
      </c>
    </row>
    <row r="1065" spans="1:11" ht="22.8">
      <c r="A1065" s="460" t="s">
        <v>1810</v>
      </c>
      <c r="B1065" s="460" t="s">
        <v>1756</v>
      </c>
      <c r="C1065" s="460"/>
      <c r="D1065" s="460" t="s">
        <v>1819</v>
      </c>
      <c r="E1065" s="460" t="s">
        <v>1812</v>
      </c>
      <c r="F1065" s="460" t="s">
        <v>2614</v>
      </c>
      <c r="G1065" s="460"/>
      <c r="H1065" s="461" t="s">
        <v>2615</v>
      </c>
      <c r="I1065" s="547">
        <f>ROUND(7,2)</f>
        <v>7</v>
      </c>
      <c r="J1065" s="460" t="s">
        <v>2615</v>
      </c>
      <c r="K1065" s="460" t="s">
        <v>2613</v>
      </c>
    </row>
    <row r="1066" spans="1:11" ht="14.4">
      <c r="A1066" s="460" t="s">
        <v>1810</v>
      </c>
      <c r="B1066" s="460" t="s">
        <v>2552</v>
      </c>
      <c r="C1066" s="460"/>
      <c r="D1066" s="460" t="s">
        <v>1816</v>
      </c>
      <c r="E1066" s="460" t="s">
        <v>2611</v>
      </c>
      <c r="F1066" s="460" t="s">
        <v>2612</v>
      </c>
      <c r="G1066" s="460"/>
      <c r="H1066" s="461"/>
      <c r="I1066" s="460"/>
      <c r="J1066" s="460"/>
      <c r="K1066" s="460" t="s">
        <v>2613</v>
      </c>
    </row>
    <row r="1067" spans="1:11" ht="14.4">
      <c r="A1067" s="460" t="s">
        <v>1810</v>
      </c>
      <c r="B1067" s="460" t="s">
        <v>1549</v>
      </c>
      <c r="C1067" s="460"/>
      <c r="D1067" s="460" t="s">
        <v>1814</v>
      </c>
      <c r="E1067" s="460" t="s">
        <v>1812</v>
      </c>
      <c r="F1067" s="460" t="s">
        <v>2619</v>
      </c>
      <c r="G1067" s="460"/>
      <c r="H1067" s="461"/>
      <c r="I1067" s="460"/>
      <c r="J1067" s="460"/>
      <c r="K1067" s="460" t="s">
        <v>2613</v>
      </c>
    </row>
    <row r="1068" spans="1:11" ht="14.4">
      <c r="A1068" s="460" t="s">
        <v>1810</v>
      </c>
      <c r="B1068" s="460" t="s">
        <v>1549</v>
      </c>
      <c r="C1068" s="460"/>
      <c r="D1068" s="460" t="s">
        <v>1814</v>
      </c>
      <c r="E1068" s="460" t="s">
        <v>1812</v>
      </c>
      <c r="F1068" s="460" t="s">
        <v>2625</v>
      </c>
      <c r="G1068" s="547">
        <f>ROUND(25,2)</f>
        <v>25</v>
      </c>
      <c r="H1068" s="461"/>
      <c r="I1068" s="547">
        <f>ROUND(25,2)</f>
        <v>25</v>
      </c>
      <c r="J1068" s="460"/>
      <c r="K1068" s="460" t="s">
        <v>2613</v>
      </c>
    </row>
    <row r="1069" spans="1:11" ht="14.4">
      <c r="A1069" s="460" t="s">
        <v>1810</v>
      </c>
      <c r="B1069" s="460" t="s">
        <v>1549</v>
      </c>
      <c r="C1069" s="460"/>
      <c r="D1069" s="460" t="s">
        <v>1814</v>
      </c>
      <c r="E1069" s="460" t="s">
        <v>1812</v>
      </c>
      <c r="F1069" s="460" t="s">
        <v>2614</v>
      </c>
      <c r="G1069" s="460"/>
      <c r="H1069" s="461" t="s">
        <v>2615</v>
      </c>
      <c r="I1069" s="547">
        <f>ROUND(7,2)</f>
        <v>7</v>
      </c>
      <c r="J1069" s="460" t="s">
        <v>2615</v>
      </c>
      <c r="K1069" s="460" t="s">
        <v>2613</v>
      </c>
    </row>
    <row r="1070" spans="1:11" ht="14.4">
      <c r="A1070" s="460" t="s">
        <v>1810</v>
      </c>
      <c r="B1070" s="460" t="s">
        <v>1549</v>
      </c>
      <c r="C1070" s="460"/>
      <c r="D1070" s="460" t="s">
        <v>1814</v>
      </c>
      <c r="E1070" s="460" t="s">
        <v>1812</v>
      </c>
      <c r="F1070" s="460" t="s">
        <v>2626</v>
      </c>
      <c r="G1070" s="547">
        <f>ROUND(10,2)</f>
        <v>10</v>
      </c>
      <c r="H1070" s="461"/>
      <c r="I1070" s="547">
        <f>ROUND(10,2)</f>
        <v>10</v>
      </c>
      <c r="J1070" s="460"/>
      <c r="K1070" s="460" t="s">
        <v>2613</v>
      </c>
    </row>
    <row r="1071" spans="1:11" ht="14.4">
      <c r="A1071" s="460" t="s">
        <v>1810</v>
      </c>
      <c r="B1071" s="460" t="s">
        <v>1549</v>
      </c>
      <c r="C1071" s="460"/>
      <c r="D1071" s="460" t="s">
        <v>1814</v>
      </c>
      <c r="E1071" s="460" t="s">
        <v>1812</v>
      </c>
      <c r="F1071" s="460" t="s">
        <v>2620</v>
      </c>
      <c r="G1071" s="547">
        <f>ROUND(10.22,2)</f>
        <v>10.220000000000001</v>
      </c>
      <c r="H1071" s="461"/>
      <c r="I1071" s="547">
        <f>ROUND(10.22,2)</f>
        <v>10.220000000000001</v>
      </c>
      <c r="J1071" s="460"/>
      <c r="K1071" s="460" t="s">
        <v>2613</v>
      </c>
    </row>
    <row r="1072" spans="1:11" ht="14.4">
      <c r="A1072" s="460" t="s">
        <v>1810</v>
      </c>
      <c r="B1072" s="460" t="s">
        <v>1549</v>
      </c>
      <c r="C1072" s="460"/>
      <c r="D1072" s="460" t="s">
        <v>1814</v>
      </c>
      <c r="E1072" s="460" t="s">
        <v>1812</v>
      </c>
      <c r="F1072" s="460" t="s">
        <v>2616</v>
      </c>
      <c r="G1072" s="460"/>
      <c r="H1072" s="461"/>
      <c r="I1072" s="460"/>
      <c r="J1072" s="460"/>
      <c r="K1072" s="460" t="s">
        <v>2613</v>
      </c>
    </row>
    <row r="1073" spans="1:11" ht="14.4">
      <c r="A1073" s="460" t="s">
        <v>1810</v>
      </c>
      <c r="B1073" s="460" t="s">
        <v>1420</v>
      </c>
      <c r="C1073" s="460"/>
      <c r="D1073" s="460" t="s">
        <v>1814</v>
      </c>
      <c r="E1073" s="460" t="s">
        <v>1812</v>
      </c>
      <c r="F1073" s="460" t="s">
        <v>2619</v>
      </c>
      <c r="G1073" s="547">
        <f>ROUND(750,2)</f>
        <v>750</v>
      </c>
      <c r="H1073" s="461"/>
      <c r="I1073" s="547">
        <f>ROUND(750,2)</f>
        <v>750</v>
      </c>
      <c r="J1073" s="460"/>
      <c r="K1073" s="460" t="s">
        <v>2613</v>
      </c>
    </row>
    <row r="1074" spans="1:11" ht="14.4">
      <c r="A1074" s="460" t="s">
        <v>1810</v>
      </c>
      <c r="B1074" s="460" t="s">
        <v>1420</v>
      </c>
      <c r="C1074" s="460"/>
      <c r="D1074" s="460" t="s">
        <v>1814</v>
      </c>
      <c r="E1074" s="460" t="s">
        <v>1812</v>
      </c>
      <c r="F1074" s="460" t="s">
        <v>2625</v>
      </c>
      <c r="G1074" s="547">
        <f>ROUND(50,2)</f>
        <v>50</v>
      </c>
      <c r="H1074" s="461"/>
      <c r="I1074" s="547">
        <f>ROUND(50,2)</f>
        <v>50</v>
      </c>
      <c r="J1074" s="460"/>
      <c r="K1074" s="460" t="s">
        <v>2613</v>
      </c>
    </row>
    <row r="1075" spans="1:11" ht="14.4">
      <c r="A1075" s="460" t="s">
        <v>1810</v>
      </c>
      <c r="B1075" s="460" t="s">
        <v>1420</v>
      </c>
      <c r="C1075" s="460"/>
      <c r="D1075" s="460" t="s">
        <v>1814</v>
      </c>
      <c r="E1075" s="460" t="s">
        <v>1812</v>
      </c>
      <c r="F1075" s="460" t="s">
        <v>2624</v>
      </c>
      <c r="G1075" s="547">
        <f>ROUND(40,2)</f>
        <v>40</v>
      </c>
      <c r="H1075" s="461"/>
      <c r="I1075" s="547">
        <f>ROUND(40,2)</f>
        <v>40</v>
      </c>
      <c r="J1075" s="460"/>
      <c r="K1075" s="460" t="s">
        <v>2613</v>
      </c>
    </row>
    <row r="1076" spans="1:11" ht="14.4">
      <c r="A1076" s="460" t="s">
        <v>1810</v>
      </c>
      <c r="B1076" s="460" t="s">
        <v>1420</v>
      </c>
      <c r="C1076" s="460"/>
      <c r="D1076" s="460" t="s">
        <v>1814</v>
      </c>
      <c r="E1076" s="460" t="s">
        <v>1812</v>
      </c>
      <c r="F1076" s="460" t="s">
        <v>2612</v>
      </c>
      <c r="G1076" s="460"/>
      <c r="H1076" s="461"/>
      <c r="I1076" s="460"/>
      <c r="J1076" s="460"/>
      <c r="K1076" s="460" t="s">
        <v>2613</v>
      </c>
    </row>
    <row r="1077" spans="1:11" ht="14.4">
      <c r="A1077" s="460" t="s">
        <v>1810</v>
      </c>
      <c r="B1077" s="460" t="s">
        <v>1420</v>
      </c>
      <c r="C1077" s="460"/>
      <c r="D1077" s="460" t="s">
        <v>1814</v>
      </c>
      <c r="E1077" s="460" t="s">
        <v>1812</v>
      </c>
      <c r="F1077" s="460" t="s">
        <v>2614</v>
      </c>
      <c r="G1077" s="460"/>
      <c r="H1077" s="461" t="s">
        <v>2615</v>
      </c>
      <c r="I1077" s="547">
        <f>ROUND(7,2)</f>
        <v>7</v>
      </c>
      <c r="J1077" s="460" t="s">
        <v>2615</v>
      </c>
      <c r="K1077" s="460" t="s">
        <v>2613</v>
      </c>
    </row>
    <row r="1078" spans="1:11" ht="14.4">
      <c r="A1078" s="460" t="s">
        <v>1810</v>
      </c>
      <c r="B1078" s="460" t="s">
        <v>1420</v>
      </c>
      <c r="C1078" s="460"/>
      <c r="D1078" s="460" t="s">
        <v>1814</v>
      </c>
      <c r="E1078" s="460" t="s">
        <v>1812</v>
      </c>
      <c r="F1078" s="460" t="s">
        <v>2620</v>
      </c>
      <c r="G1078" s="547">
        <f>ROUND(10.22,2)</f>
        <v>10.220000000000001</v>
      </c>
      <c r="H1078" s="461"/>
      <c r="I1078" s="547">
        <f>ROUND(10.22,2)</f>
        <v>10.220000000000001</v>
      </c>
      <c r="J1078" s="460"/>
      <c r="K1078" s="460" t="s">
        <v>2613</v>
      </c>
    </row>
    <row r="1079" spans="1:11" ht="14.4">
      <c r="A1079" s="460" t="s">
        <v>1810</v>
      </c>
      <c r="B1079" s="460" t="s">
        <v>1420</v>
      </c>
      <c r="C1079" s="460"/>
      <c r="D1079" s="460" t="s">
        <v>1814</v>
      </c>
      <c r="E1079" s="460" t="s">
        <v>1812</v>
      </c>
      <c r="F1079" s="460" t="s">
        <v>2616</v>
      </c>
      <c r="G1079" s="460"/>
      <c r="H1079" s="461"/>
      <c r="I1079" s="460"/>
      <c r="J1079" s="460"/>
      <c r="K1079" s="460" t="s">
        <v>2613</v>
      </c>
    </row>
    <row r="1080" spans="1:11" ht="22.8">
      <c r="A1080" s="460" t="s">
        <v>1810</v>
      </c>
      <c r="B1080" s="460" t="s">
        <v>1768</v>
      </c>
      <c r="C1080" s="460"/>
      <c r="D1080" s="460" t="s">
        <v>1823</v>
      </c>
      <c r="E1080" s="460" t="s">
        <v>1812</v>
      </c>
      <c r="F1080" s="460" t="s">
        <v>2612</v>
      </c>
      <c r="G1080" s="460"/>
      <c r="H1080" s="461"/>
      <c r="I1080" s="460"/>
      <c r="J1080" s="460"/>
      <c r="K1080" s="460" t="s">
        <v>2613</v>
      </c>
    </row>
    <row r="1081" spans="1:11" ht="22.8">
      <c r="A1081" s="460" t="s">
        <v>1810</v>
      </c>
      <c r="B1081" s="460" t="s">
        <v>1768</v>
      </c>
      <c r="C1081" s="460"/>
      <c r="D1081" s="460" t="s">
        <v>1823</v>
      </c>
      <c r="E1081" s="460" t="s">
        <v>1812</v>
      </c>
      <c r="F1081" s="460" t="s">
        <v>2618</v>
      </c>
      <c r="G1081" s="547">
        <f>ROUND(40,2)</f>
        <v>40</v>
      </c>
      <c r="H1081" s="461"/>
      <c r="I1081" s="547">
        <f>ROUND(40,2)</f>
        <v>40</v>
      </c>
      <c r="J1081" s="460"/>
      <c r="K1081" s="460" t="s">
        <v>2613</v>
      </c>
    </row>
    <row r="1082" spans="1:11" ht="22.8">
      <c r="A1082" s="460" t="s">
        <v>1810</v>
      </c>
      <c r="B1082" s="460" t="s">
        <v>1768</v>
      </c>
      <c r="C1082" s="460"/>
      <c r="D1082" s="460" t="s">
        <v>1823</v>
      </c>
      <c r="E1082" s="460" t="s">
        <v>1812</v>
      </c>
      <c r="F1082" s="460" t="s">
        <v>2617</v>
      </c>
      <c r="G1082" s="547">
        <f>ROUND(75,2)</f>
        <v>75</v>
      </c>
      <c r="H1082" s="461"/>
      <c r="I1082" s="547">
        <f>ROUND(75,2)</f>
        <v>75</v>
      </c>
      <c r="J1082" s="460"/>
      <c r="K1082" s="460" t="s">
        <v>2613</v>
      </c>
    </row>
    <row r="1083" spans="1:11" ht="22.8">
      <c r="A1083" s="460" t="s">
        <v>1810</v>
      </c>
      <c r="B1083" s="460" t="s">
        <v>1768</v>
      </c>
      <c r="C1083" s="460"/>
      <c r="D1083" s="460" t="s">
        <v>1823</v>
      </c>
      <c r="E1083" s="460" t="s">
        <v>1812</v>
      </c>
      <c r="F1083" s="460" t="s">
        <v>2616</v>
      </c>
      <c r="G1083" s="460"/>
      <c r="H1083" s="461"/>
      <c r="I1083" s="460"/>
      <c r="J1083" s="460"/>
      <c r="K1083" s="460" t="s">
        <v>2613</v>
      </c>
    </row>
    <row r="1084" spans="1:11" ht="22.8">
      <c r="A1084" s="460" t="s">
        <v>1810</v>
      </c>
      <c r="B1084" s="460" t="s">
        <v>1768</v>
      </c>
      <c r="C1084" s="460"/>
      <c r="D1084" s="460" t="s">
        <v>1823</v>
      </c>
      <c r="E1084" s="460" t="s">
        <v>1812</v>
      </c>
      <c r="F1084" s="460" t="s">
        <v>2624</v>
      </c>
      <c r="G1084" s="547">
        <f>ROUND(50,2)</f>
        <v>50</v>
      </c>
      <c r="H1084" s="461"/>
      <c r="I1084" s="547">
        <f>ROUND(50,2)</f>
        <v>50</v>
      </c>
      <c r="J1084" s="460"/>
      <c r="K1084" s="460" t="s">
        <v>2613</v>
      </c>
    </row>
    <row r="1085" spans="1:11" ht="22.8">
      <c r="A1085" s="460" t="s">
        <v>1810</v>
      </c>
      <c r="B1085" s="460" t="s">
        <v>1768</v>
      </c>
      <c r="C1085" s="460"/>
      <c r="D1085" s="460" t="s">
        <v>1823</v>
      </c>
      <c r="E1085" s="460" t="s">
        <v>1812</v>
      </c>
      <c r="F1085" s="460" t="s">
        <v>2614</v>
      </c>
      <c r="G1085" s="460"/>
      <c r="H1085" s="461" t="s">
        <v>2615</v>
      </c>
      <c r="I1085" s="547">
        <f>ROUND(7,2)</f>
        <v>7</v>
      </c>
      <c r="J1085" s="460" t="s">
        <v>2615</v>
      </c>
      <c r="K1085" s="460" t="s">
        <v>2613</v>
      </c>
    </row>
    <row r="1086" spans="1:11" ht="22.8">
      <c r="A1086" s="460" t="s">
        <v>1810</v>
      </c>
      <c r="B1086" s="460" t="s">
        <v>1768</v>
      </c>
      <c r="C1086" s="460"/>
      <c r="D1086" s="460" t="s">
        <v>1823</v>
      </c>
      <c r="E1086" s="460" t="s">
        <v>1812</v>
      </c>
      <c r="F1086" s="460" t="s">
        <v>2637</v>
      </c>
      <c r="G1086" s="547">
        <f>ROUND(478.15,2)</f>
        <v>478.15</v>
      </c>
      <c r="H1086" s="461"/>
      <c r="I1086" s="547">
        <f>ROUND(478.15,2)</f>
        <v>478.15</v>
      </c>
      <c r="J1086" s="460"/>
      <c r="K1086" s="460" t="s">
        <v>2613</v>
      </c>
    </row>
    <row r="1087" spans="1:11" ht="22.8">
      <c r="A1087" s="460" t="s">
        <v>1810</v>
      </c>
      <c r="B1087" s="460" t="s">
        <v>2460</v>
      </c>
      <c r="C1087" s="460"/>
      <c r="D1087" s="460" t="s">
        <v>1828</v>
      </c>
      <c r="E1087" s="460" t="s">
        <v>1812</v>
      </c>
      <c r="F1087" s="460" t="s">
        <v>2612</v>
      </c>
      <c r="G1087" s="460"/>
      <c r="H1087" s="461"/>
      <c r="I1087" s="460"/>
      <c r="J1087" s="460"/>
      <c r="K1087" s="460" t="s">
        <v>2613</v>
      </c>
    </row>
    <row r="1088" spans="1:11" ht="22.8">
      <c r="A1088" s="460" t="s">
        <v>1810</v>
      </c>
      <c r="B1088" s="460" t="s">
        <v>2460</v>
      </c>
      <c r="C1088" s="460"/>
      <c r="D1088" s="460" t="s">
        <v>1828</v>
      </c>
      <c r="E1088" s="460" t="s">
        <v>1812</v>
      </c>
      <c r="F1088" s="460" t="s">
        <v>2645</v>
      </c>
      <c r="G1088" s="547">
        <f>ROUND(75,2)</f>
        <v>75</v>
      </c>
      <c r="H1088" s="461"/>
      <c r="I1088" s="547">
        <f>ROUND(75,2)</f>
        <v>75</v>
      </c>
      <c r="J1088" s="460"/>
      <c r="K1088" s="460" t="s">
        <v>2613</v>
      </c>
    </row>
    <row r="1089" spans="1:11" ht="22.8">
      <c r="A1089" s="460" t="s">
        <v>1810</v>
      </c>
      <c r="B1089" s="460" t="s">
        <v>2460</v>
      </c>
      <c r="C1089" s="460"/>
      <c r="D1089" s="460" t="s">
        <v>1828</v>
      </c>
      <c r="E1089" s="460" t="s">
        <v>1812</v>
      </c>
      <c r="F1089" s="460" t="s">
        <v>2614</v>
      </c>
      <c r="G1089" s="460"/>
      <c r="H1089" s="461" t="s">
        <v>2615</v>
      </c>
      <c r="I1089" s="547">
        <f>ROUND(7,2)</f>
        <v>7</v>
      </c>
      <c r="J1089" s="460" t="s">
        <v>2615</v>
      </c>
      <c r="K1089" s="460" t="s">
        <v>2613</v>
      </c>
    </row>
    <row r="1090" spans="1:11" ht="14.4">
      <c r="A1090" s="460" t="s">
        <v>1810</v>
      </c>
      <c r="B1090" s="460" t="s">
        <v>2501</v>
      </c>
      <c r="C1090" s="460"/>
      <c r="D1090" s="460" t="s">
        <v>1814</v>
      </c>
      <c r="E1090" s="460" t="s">
        <v>1812</v>
      </c>
      <c r="F1090" s="460" t="s">
        <v>2616</v>
      </c>
      <c r="G1090" s="460"/>
      <c r="H1090" s="461"/>
      <c r="I1090" s="460"/>
      <c r="J1090" s="460"/>
      <c r="K1090" s="460" t="s">
        <v>2613</v>
      </c>
    </row>
    <row r="1091" spans="1:11" ht="14.4">
      <c r="A1091" s="460" t="s">
        <v>1810</v>
      </c>
      <c r="B1091" s="460" t="s">
        <v>2501</v>
      </c>
      <c r="C1091" s="460"/>
      <c r="D1091" s="460" t="s">
        <v>1814</v>
      </c>
      <c r="E1091" s="460" t="s">
        <v>1812</v>
      </c>
      <c r="F1091" s="460" t="s">
        <v>2614</v>
      </c>
      <c r="G1091" s="460"/>
      <c r="H1091" s="461" t="s">
        <v>2615</v>
      </c>
      <c r="I1091" s="547">
        <f>ROUND(7,2)</f>
        <v>7</v>
      </c>
      <c r="J1091" s="460" t="s">
        <v>2615</v>
      </c>
      <c r="K1091" s="460" t="s">
        <v>2613</v>
      </c>
    </row>
    <row r="1092" spans="1:11" ht="14.4">
      <c r="A1092" s="460" t="s">
        <v>1810</v>
      </c>
      <c r="B1092" s="460" t="s">
        <v>2501</v>
      </c>
      <c r="C1092" s="460"/>
      <c r="D1092" s="460" t="s">
        <v>1814</v>
      </c>
      <c r="E1092" s="460" t="s">
        <v>1812</v>
      </c>
      <c r="F1092" s="460" t="s">
        <v>2632</v>
      </c>
      <c r="G1092" s="547">
        <f>ROUND(166.67,2)</f>
        <v>166.67</v>
      </c>
      <c r="H1092" s="461"/>
      <c r="I1092" s="547">
        <f>ROUND(166.67,2)</f>
        <v>166.67</v>
      </c>
      <c r="J1092" s="460"/>
      <c r="K1092" s="460" t="s">
        <v>2613</v>
      </c>
    </row>
    <row r="1093" spans="1:11" ht="14.4">
      <c r="A1093" s="460" t="s">
        <v>1810</v>
      </c>
      <c r="B1093" s="460" t="s">
        <v>2501</v>
      </c>
      <c r="C1093" s="460"/>
      <c r="D1093" s="460" t="s">
        <v>1814</v>
      </c>
      <c r="E1093" s="460" t="s">
        <v>1812</v>
      </c>
      <c r="F1093" s="460" t="s">
        <v>2612</v>
      </c>
      <c r="G1093" s="460"/>
      <c r="H1093" s="461"/>
      <c r="I1093" s="460"/>
      <c r="J1093" s="460"/>
      <c r="K1093" s="460" t="s">
        <v>2613</v>
      </c>
    </row>
    <row r="1094" spans="1:11" ht="14.4">
      <c r="A1094" s="460" t="s">
        <v>1810</v>
      </c>
      <c r="B1094" s="460" t="s">
        <v>2566</v>
      </c>
      <c r="C1094" s="460"/>
      <c r="D1094" s="460" t="s">
        <v>1816</v>
      </c>
      <c r="E1094" s="460" t="s">
        <v>2611</v>
      </c>
      <c r="F1094" s="460" t="s">
        <v>2612</v>
      </c>
      <c r="G1094" s="460"/>
      <c r="H1094" s="461"/>
      <c r="I1094" s="460"/>
      <c r="J1094" s="460"/>
      <c r="K1094" s="460" t="s">
        <v>2613</v>
      </c>
    </row>
    <row r="1095" spans="1:11" ht="14.4">
      <c r="A1095" s="460" t="s">
        <v>1810</v>
      </c>
      <c r="B1095" s="460" t="s">
        <v>1423</v>
      </c>
      <c r="C1095" s="460"/>
      <c r="D1095" s="460" t="s">
        <v>1817</v>
      </c>
      <c r="E1095" s="460" t="s">
        <v>1812</v>
      </c>
      <c r="F1095" s="460" t="s">
        <v>2619</v>
      </c>
      <c r="G1095" s="547">
        <f>ROUND(200,2)</f>
        <v>200</v>
      </c>
      <c r="H1095" s="461"/>
      <c r="I1095" s="547">
        <f>ROUND(200,2)</f>
        <v>200</v>
      </c>
      <c r="J1095" s="460"/>
      <c r="K1095" s="460" t="s">
        <v>2613</v>
      </c>
    </row>
    <row r="1096" spans="1:11" ht="14.4">
      <c r="A1096" s="460" t="s">
        <v>1810</v>
      </c>
      <c r="B1096" s="460" t="s">
        <v>1423</v>
      </c>
      <c r="C1096" s="460"/>
      <c r="D1096" s="460" t="s">
        <v>1817</v>
      </c>
      <c r="E1096" s="460" t="s">
        <v>1812</v>
      </c>
      <c r="F1096" s="460" t="s">
        <v>2612</v>
      </c>
      <c r="G1096" s="460"/>
      <c r="H1096" s="461"/>
      <c r="I1096" s="460"/>
      <c r="J1096" s="460"/>
      <c r="K1096" s="460" t="s">
        <v>2613</v>
      </c>
    </row>
    <row r="1097" spans="1:11" ht="14.4">
      <c r="A1097" s="460" t="s">
        <v>1810</v>
      </c>
      <c r="B1097" s="460" t="s">
        <v>1423</v>
      </c>
      <c r="C1097" s="460"/>
      <c r="D1097" s="460" t="s">
        <v>1817</v>
      </c>
      <c r="E1097" s="460" t="s">
        <v>1812</v>
      </c>
      <c r="F1097" s="460" t="s">
        <v>2614</v>
      </c>
      <c r="G1097" s="460"/>
      <c r="H1097" s="461" t="s">
        <v>2615</v>
      </c>
      <c r="I1097" s="547">
        <f>ROUND(7,2)</f>
        <v>7</v>
      </c>
      <c r="J1097" s="460" t="s">
        <v>2615</v>
      </c>
      <c r="K1097" s="460" t="s">
        <v>2613</v>
      </c>
    </row>
    <row r="1098" spans="1:11" ht="14.4">
      <c r="A1098" s="460" t="s">
        <v>1810</v>
      </c>
      <c r="B1098" s="460" t="s">
        <v>1423</v>
      </c>
      <c r="C1098" s="460"/>
      <c r="D1098" s="460" t="s">
        <v>1817</v>
      </c>
      <c r="E1098" s="460" t="s">
        <v>1812</v>
      </c>
      <c r="F1098" s="460" t="s">
        <v>2616</v>
      </c>
      <c r="G1098" s="460"/>
      <c r="H1098" s="461"/>
      <c r="I1098" s="460"/>
      <c r="J1098" s="460"/>
      <c r="K1098" s="460" t="s">
        <v>2613</v>
      </c>
    </row>
    <row r="1099" spans="1:11" ht="22.8">
      <c r="A1099" s="460" t="s">
        <v>1810</v>
      </c>
      <c r="B1099" s="460" t="s">
        <v>2450</v>
      </c>
      <c r="C1099" s="460"/>
      <c r="D1099" s="460" t="s">
        <v>1829</v>
      </c>
      <c r="E1099" s="460" t="s">
        <v>2611</v>
      </c>
      <c r="F1099" s="460" t="s">
        <v>2612</v>
      </c>
      <c r="G1099" s="460"/>
      <c r="H1099" s="461"/>
      <c r="I1099" s="460"/>
      <c r="J1099" s="460"/>
      <c r="K1099" s="460" t="s">
        <v>2613</v>
      </c>
    </row>
    <row r="1100" spans="1:11" ht="14.4">
      <c r="A1100" s="460" t="s">
        <v>1810</v>
      </c>
      <c r="B1100" s="460" t="s">
        <v>1425</v>
      </c>
      <c r="C1100" s="460"/>
      <c r="D1100" s="460" t="s">
        <v>1814</v>
      </c>
      <c r="E1100" s="460" t="s">
        <v>1812</v>
      </c>
      <c r="F1100" s="460" t="s">
        <v>2632</v>
      </c>
      <c r="G1100" s="547">
        <f>ROUND(166.67,2)</f>
        <v>166.67</v>
      </c>
      <c r="H1100" s="461"/>
      <c r="I1100" s="547">
        <f>ROUND(166.67,2)</f>
        <v>166.67</v>
      </c>
      <c r="J1100" s="460"/>
      <c r="K1100" s="460" t="s">
        <v>2613</v>
      </c>
    </row>
    <row r="1101" spans="1:11" ht="14.4">
      <c r="A1101" s="460" t="s">
        <v>1810</v>
      </c>
      <c r="B1101" s="460" t="s">
        <v>1425</v>
      </c>
      <c r="C1101" s="460"/>
      <c r="D1101" s="460" t="s">
        <v>1814</v>
      </c>
      <c r="E1101" s="460" t="s">
        <v>1812</v>
      </c>
      <c r="F1101" s="460" t="s">
        <v>2625</v>
      </c>
      <c r="G1101" s="547">
        <f>ROUND(50,2)</f>
        <v>50</v>
      </c>
      <c r="H1101" s="461"/>
      <c r="I1101" s="547">
        <f>ROUND(50,2)</f>
        <v>50</v>
      </c>
      <c r="J1101" s="460"/>
      <c r="K1101" s="460" t="s">
        <v>2613</v>
      </c>
    </row>
    <row r="1102" spans="1:11" ht="14.4">
      <c r="A1102" s="460" t="s">
        <v>1810</v>
      </c>
      <c r="B1102" s="460" t="s">
        <v>1425</v>
      </c>
      <c r="C1102" s="460"/>
      <c r="D1102" s="460" t="s">
        <v>1814</v>
      </c>
      <c r="E1102" s="460" t="s">
        <v>1812</v>
      </c>
      <c r="F1102" s="460" t="s">
        <v>2612</v>
      </c>
      <c r="G1102" s="460"/>
      <c r="H1102" s="461"/>
      <c r="I1102" s="460"/>
      <c r="J1102" s="460"/>
      <c r="K1102" s="460" t="s">
        <v>2613</v>
      </c>
    </row>
    <row r="1103" spans="1:11" ht="14.4">
      <c r="A1103" s="460" t="s">
        <v>1810</v>
      </c>
      <c r="B1103" s="460" t="s">
        <v>1425</v>
      </c>
      <c r="C1103" s="460"/>
      <c r="D1103" s="460" t="s">
        <v>1814</v>
      </c>
      <c r="E1103" s="460" t="s">
        <v>1812</v>
      </c>
      <c r="F1103" s="460" t="s">
        <v>2614</v>
      </c>
      <c r="G1103" s="460"/>
      <c r="H1103" s="461" t="s">
        <v>2615</v>
      </c>
      <c r="I1103" s="547">
        <f>ROUND(7,2)</f>
        <v>7</v>
      </c>
      <c r="J1103" s="460" t="s">
        <v>2615</v>
      </c>
      <c r="K1103" s="460" t="s">
        <v>2613</v>
      </c>
    </row>
    <row r="1104" spans="1:11" ht="14.4">
      <c r="A1104" s="460" t="s">
        <v>1810</v>
      </c>
      <c r="B1104" s="460" t="s">
        <v>1425</v>
      </c>
      <c r="C1104" s="460"/>
      <c r="D1104" s="460" t="s">
        <v>1814</v>
      </c>
      <c r="E1104" s="460" t="s">
        <v>1812</v>
      </c>
      <c r="F1104" s="460" t="s">
        <v>2626</v>
      </c>
      <c r="G1104" s="547">
        <f>ROUND(10,2)</f>
        <v>10</v>
      </c>
      <c r="H1104" s="461"/>
      <c r="I1104" s="547">
        <f>ROUND(10,2)</f>
        <v>10</v>
      </c>
      <c r="J1104" s="460"/>
      <c r="K1104" s="460" t="s">
        <v>2613</v>
      </c>
    </row>
    <row r="1105" spans="1:11" ht="14.4">
      <c r="A1105" s="460" t="s">
        <v>1810</v>
      </c>
      <c r="B1105" s="460" t="s">
        <v>1425</v>
      </c>
      <c r="C1105" s="460"/>
      <c r="D1105" s="460" t="s">
        <v>1814</v>
      </c>
      <c r="E1105" s="460" t="s">
        <v>1812</v>
      </c>
      <c r="F1105" s="460" t="s">
        <v>2616</v>
      </c>
      <c r="G1105" s="460"/>
      <c r="H1105" s="461"/>
      <c r="I1105" s="460"/>
      <c r="J1105" s="460"/>
      <c r="K1105" s="460" t="s">
        <v>2613</v>
      </c>
    </row>
    <row r="1106" spans="1:11" ht="14.4">
      <c r="A1106" s="460" t="s">
        <v>1810</v>
      </c>
      <c r="B1106" s="460" t="s">
        <v>1570</v>
      </c>
      <c r="C1106" s="460"/>
      <c r="D1106" s="460" t="s">
        <v>1814</v>
      </c>
      <c r="E1106" s="460" t="s">
        <v>1812</v>
      </c>
      <c r="F1106" s="460" t="s">
        <v>2612</v>
      </c>
      <c r="G1106" s="460"/>
      <c r="H1106" s="461"/>
      <c r="I1106" s="460"/>
      <c r="J1106" s="460"/>
      <c r="K1106" s="460" t="s">
        <v>2613</v>
      </c>
    </row>
    <row r="1107" spans="1:11" ht="14.4">
      <c r="A1107" s="460" t="s">
        <v>1810</v>
      </c>
      <c r="B1107" s="460" t="s">
        <v>1570</v>
      </c>
      <c r="C1107" s="460"/>
      <c r="D1107" s="460" t="s">
        <v>1814</v>
      </c>
      <c r="E1107" s="460" t="s">
        <v>1812</v>
      </c>
      <c r="F1107" s="460" t="s">
        <v>2614</v>
      </c>
      <c r="G1107" s="460"/>
      <c r="H1107" s="461" t="s">
        <v>2615</v>
      </c>
      <c r="I1107" s="547">
        <f>ROUND(7,2)</f>
        <v>7</v>
      </c>
      <c r="J1107" s="460" t="s">
        <v>2615</v>
      </c>
      <c r="K1107" s="460" t="s">
        <v>2613</v>
      </c>
    </row>
    <row r="1108" spans="1:11" ht="14.4">
      <c r="A1108" s="460" t="s">
        <v>1810</v>
      </c>
      <c r="B1108" s="460" t="s">
        <v>1570</v>
      </c>
      <c r="C1108" s="460"/>
      <c r="D1108" s="460" t="s">
        <v>1814</v>
      </c>
      <c r="E1108" s="460" t="s">
        <v>1812</v>
      </c>
      <c r="F1108" s="460" t="s">
        <v>2626</v>
      </c>
      <c r="G1108" s="547">
        <f>ROUND(10,2)</f>
        <v>10</v>
      </c>
      <c r="H1108" s="461"/>
      <c r="I1108" s="547">
        <f>ROUND(10,2)</f>
        <v>10</v>
      </c>
      <c r="J1108" s="460"/>
      <c r="K1108" s="460" t="s">
        <v>2613</v>
      </c>
    </row>
    <row r="1109" spans="1:11" ht="14.4">
      <c r="A1109" s="460" t="s">
        <v>1810</v>
      </c>
      <c r="B1109" s="460" t="s">
        <v>1570</v>
      </c>
      <c r="C1109" s="460"/>
      <c r="D1109" s="460" t="s">
        <v>1814</v>
      </c>
      <c r="E1109" s="460" t="s">
        <v>1812</v>
      </c>
      <c r="F1109" s="460" t="s">
        <v>2625</v>
      </c>
      <c r="G1109" s="547">
        <f>ROUND(25,2)</f>
        <v>25</v>
      </c>
      <c r="H1109" s="461"/>
      <c r="I1109" s="547">
        <f>ROUND(25,2)</f>
        <v>25</v>
      </c>
      <c r="J1109" s="460"/>
      <c r="K1109" s="460" t="s">
        <v>2613</v>
      </c>
    </row>
    <row r="1110" spans="1:11" ht="14.4">
      <c r="A1110" s="460" t="s">
        <v>1810</v>
      </c>
      <c r="B1110" s="460" t="s">
        <v>1570</v>
      </c>
      <c r="C1110" s="460"/>
      <c r="D1110" s="460" t="s">
        <v>1814</v>
      </c>
      <c r="E1110" s="460" t="s">
        <v>1812</v>
      </c>
      <c r="F1110" s="460" t="s">
        <v>2632</v>
      </c>
      <c r="G1110" s="547">
        <f>ROUND(166.67,2)</f>
        <v>166.67</v>
      </c>
      <c r="H1110" s="461"/>
      <c r="I1110" s="547">
        <f>ROUND(166.67,2)</f>
        <v>166.67</v>
      </c>
      <c r="J1110" s="460"/>
      <c r="K1110" s="460" t="s">
        <v>2613</v>
      </c>
    </row>
    <row r="1111" spans="1:11" ht="14.4">
      <c r="A1111" s="460" t="s">
        <v>1810</v>
      </c>
      <c r="B1111" s="460" t="s">
        <v>1570</v>
      </c>
      <c r="C1111" s="460"/>
      <c r="D1111" s="460" t="s">
        <v>1814</v>
      </c>
      <c r="E1111" s="460" t="s">
        <v>1812</v>
      </c>
      <c r="F1111" s="460" t="s">
        <v>2618</v>
      </c>
      <c r="G1111" s="547">
        <f>ROUND(40,2)</f>
        <v>40</v>
      </c>
      <c r="H1111" s="461"/>
      <c r="I1111" s="547">
        <f>ROUND(40,2)</f>
        <v>40</v>
      </c>
      <c r="J1111" s="460"/>
      <c r="K1111" s="460" t="s">
        <v>2613</v>
      </c>
    </row>
    <row r="1112" spans="1:11" ht="14.4">
      <c r="A1112" s="460" t="s">
        <v>1810</v>
      </c>
      <c r="B1112" s="460" t="s">
        <v>1570</v>
      </c>
      <c r="C1112" s="460"/>
      <c r="D1112" s="460" t="s">
        <v>1814</v>
      </c>
      <c r="E1112" s="460" t="s">
        <v>1812</v>
      </c>
      <c r="F1112" s="460" t="s">
        <v>2617</v>
      </c>
      <c r="G1112" s="547">
        <f>ROUND(75,2)</f>
        <v>75</v>
      </c>
      <c r="H1112" s="461"/>
      <c r="I1112" s="547">
        <f>ROUND(75,2)</f>
        <v>75</v>
      </c>
      <c r="J1112" s="460"/>
      <c r="K1112" s="460" t="s">
        <v>2613</v>
      </c>
    </row>
    <row r="1113" spans="1:11" ht="14.4">
      <c r="A1113" s="460" t="s">
        <v>1810</v>
      </c>
      <c r="B1113" s="460" t="s">
        <v>1570</v>
      </c>
      <c r="C1113" s="460"/>
      <c r="D1113" s="460" t="s">
        <v>1814</v>
      </c>
      <c r="E1113" s="460" t="s">
        <v>1812</v>
      </c>
      <c r="F1113" s="460" t="s">
        <v>2616</v>
      </c>
      <c r="G1113" s="460"/>
      <c r="H1113" s="461"/>
      <c r="I1113" s="460"/>
      <c r="J1113" s="460"/>
      <c r="K1113" s="460" t="s">
        <v>2613</v>
      </c>
    </row>
    <row r="1114" spans="1:11" ht="14.4">
      <c r="A1114" s="460" t="s">
        <v>1810</v>
      </c>
      <c r="B1114" s="460" t="s">
        <v>1483</v>
      </c>
      <c r="C1114" s="460"/>
      <c r="D1114" s="460" t="s">
        <v>1816</v>
      </c>
      <c r="E1114" s="460" t="s">
        <v>1812</v>
      </c>
      <c r="F1114" s="460" t="s">
        <v>2612</v>
      </c>
      <c r="G1114" s="460"/>
      <c r="H1114" s="461"/>
      <c r="I1114" s="460"/>
      <c r="J1114" s="460"/>
      <c r="K1114" s="460" t="s">
        <v>2613</v>
      </c>
    </row>
    <row r="1115" spans="1:11" ht="14.4">
      <c r="A1115" s="460" t="s">
        <v>1810</v>
      </c>
      <c r="B1115" s="460" t="s">
        <v>1483</v>
      </c>
      <c r="C1115" s="460"/>
      <c r="D1115" s="460" t="s">
        <v>1816</v>
      </c>
      <c r="E1115" s="460" t="s">
        <v>1812</v>
      </c>
      <c r="F1115" s="460" t="s">
        <v>2614</v>
      </c>
      <c r="G1115" s="460"/>
      <c r="H1115" s="461" t="s">
        <v>2615</v>
      </c>
      <c r="I1115" s="547">
        <f>ROUND(7,2)</f>
        <v>7</v>
      </c>
      <c r="J1115" s="460" t="s">
        <v>2615</v>
      </c>
      <c r="K1115" s="460" t="s">
        <v>2613</v>
      </c>
    </row>
    <row r="1116" spans="1:11" ht="14.4">
      <c r="A1116" s="460" t="s">
        <v>1810</v>
      </c>
      <c r="B1116" s="460" t="s">
        <v>1483</v>
      </c>
      <c r="C1116" s="460"/>
      <c r="D1116" s="460" t="s">
        <v>1816</v>
      </c>
      <c r="E1116" s="460" t="s">
        <v>1812</v>
      </c>
      <c r="F1116" s="460" t="s">
        <v>2618</v>
      </c>
      <c r="G1116" s="547">
        <f>ROUND(30,2)</f>
        <v>30</v>
      </c>
      <c r="H1116" s="461"/>
      <c r="I1116" s="547">
        <f>ROUND(30,2)</f>
        <v>30</v>
      </c>
      <c r="J1116" s="460"/>
      <c r="K1116" s="460" t="s">
        <v>2613</v>
      </c>
    </row>
    <row r="1117" spans="1:11" ht="14.4">
      <c r="A1117" s="460" t="s">
        <v>1810</v>
      </c>
      <c r="B1117" s="460" t="s">
        <v>1483</v>
      </c>
      <c r="C1117" s="460"/>
      <c r="D1117" s="460" t="s">
        <v>1816</v>
      </c>
      <c r="E1117" s="460" t="s">
        <v>1812</v>
      </c>
      <c r="F1117" s="460" t="s">
        <v>2617</v>
      </c>
      <c r="G1117" s="547">
        <f>ROUND(75,2)</f>
        <v>75</v>
      </c>
      <c r="H1117" s="461"/>
      <c r="I1117" s="547">
        <f>ROUND(75,2)</f>
        <v>75</v>
      </c>
      <c r="J1117" s="460"/>
      <c r="K1117" s="460" t="s">
        <v>2613</v>
      </c>
    </row>
    <row r="1118" spans="1:11" ht="14.4">
      <c r="A1118" s="460" t="s">
        <v>1810</v>
      </c>
      <c r="B1118" s="460" t="s">
        <v>1427</v>
      </c>
      <c r="C1118" s="460"/>
      <c r="D1118" s="460" t="s">
        <v>1821</v>
      </c>
      <c r="E1118" s="460" t="s">
        <v>1812</v>
      </c>
      <c r="F1118" s="460" t="s">
        <v>2633</v>
      </c>
      <c r="G1118" s="547">
        <f>ROUND(200,2)</f>
        <v>200</v>
      </c>
      <c r="H1118" s="461"/>
      <c r="I1118" s="547">
        <f>ROUND(200,2)</f>
        <v>200</v>
      </c>
      <c r="J1118" s="460"/>
      <c r="K1118" s="460" t="s">
        <v>2613</v>
      </c>
    </row>
    <row r="1119" spans="1:11" ht="14.4">
      <c r="A1119" s="460" t="s">
        <v>1810</v>
      </c>
      <c r="B1119" s="460" t="s">
        <v>1427</v>
      </c>
      <c r="C1119" s="460"/>
      <c r="D1119" s="460" t="s">
        <v>1821</v>
      </c>
      <c r="E1119" s="460" t="s">
        <v>1812</v>
      </c>
      <c r="F1119" s="460" t="s">
        <v>2612</v>
      </c>
      <c r="G1119" s="460"/>
      <c r="H1119" s="461"/>
      <c r="I1119" s="460"/>
      <c r="J1119" s="460"/>
      <c r="K1119" s="460" t="s">
        <v>2613</v>
      </c>
    </row>
    <row r="1120" spans="1:11" ht="14.4">
      <c r="A1120" s="460" t="s">
        <v>1810</v>
      </c>
      <c r="B1120" s="460" t="s">
        <v>1427</v>
      </c>
      <c r="C1120" s="460"/>
      <c r="D1120" s="460" t="s">
        <v>1821</v>
      </c>
      <c r="E1120" s="460" t="s">
        <v>1812</v>
      </c>
      <c r="F1120" s="460" t="s">
        <v>2614</v>
      </c>
      <c r="G1120" s="460"/>
      <c r="H1120" s="461" t="s">
        <v>2615</v>
      </c>
      <c r="I1120" s="547">
        <f>ROUND(7,2)</f>
        <v>7</v>
      </c>
      <c r="J1120" s="460" t="s">
        <v>2615</v>
      </c>
      <c r="K1120" s="460" t="s">
        <v>2613</v>
      </c>
    </row>
    <row r="1121" spans="1:11" ht="14.4">
      <c r="A1121" s="460" t="s">
        <v>1810</v>
      </c>
      <c r="B1121" s="460" t="s">
        <v>1427</v>
      </c>
      <c r="C1121" s="460"/>
      <c r="D1121" s="460" t="s">
        <v>1821</v>
      </c>
      <c r="E1121" s="460" t="s">
        <v>1812</v>
      </c>
      <c r="F1121" s="460" t="s">
        <v>2634</v>
      </c>
      <c r="G1121" s="547">
        <f>ROUND(44,2)</f>
        <v>44</v>
      </c>
      <c r="H1121" s="461"/>
      <c r="I1121" s="547">
        <f>ROUND(44,2)</f>
        <v>44</v>
      </c>
      <c r="J1121" s="460"/>
      <c r="K1121" s="460" t="s">
        <v>2613</v>
      </c>
    </row>
    <row r="1122" spans="1:11" ht="14.4">
      <c r="A1122" s="460" t="s">
        <v>1810</v>
      </c>
      <c r="B1122" s="460" t="s">
        <v>1427</v>
      </c>
      <c r="C1122" s="460"/>
      <c r="D1122" s="460" t="s">
        <v>1821</v>
      </c>
      <c r="E1122" s="460" t="s">
        <v>1812</v>
      </c>
      <c r="F1122" s="460" t="s">
        <v>2625</v>
      </c>
      <c r="G1122" s="547">
        <f>ROUND(37.5,2)</f>
        <v>37.5</v>
      </c>
      <c r="H1122" s="461"/>
      <c r="I1122" s="547">
        <f>ROUND(37.5,2)</f>
        <v>37.5</v>
      </c>
      <c r="J1122" s="460"/>
      <c r="K1122" s="460" t="s">
        <v>2613</v>
      </c>
    </row>
    <row r="1123" spans="1:11" ht="14.4">
      <c r="A1123" s="460" t="s">
        <v>1810</v>
      </c>
      <c r="B1123" s="460" t="s">
        <v>1427</v>
      </c>
      <c r="C1123" s="460"/>
      <c r="D1123" s="460" t="s">
        <v>1821</v>
      </c>
      <c r="E1123" s="460" t="s">
        <v>1812</v>
      </c>
      <c r="F1123" s="460" t="s">
        <v>2616</v>
      </c>
      <c r="G1123" s="460"/>
      <c r="H1123" s="461"/>
      <c r="I1123" s="460"/>
      <c r="J1123" s="460"/>
      <c r="K1123" s="460" t="s">
        <v>2613</v>
      </c>
    </row>
    <row r="1124" spans="1:11" ht="14.4">
      <c r="A1124" s="460" t="s">
        <v>1810</v>
      </c>
      <c r="B1124" s="460" t="s">
        <v>1426</v>
      </c>
      <c r="C1124" s="460"/>
      <c r="D1124" s="460" t="s">
        <v>1835</v>
      </c>
      <c r="E1124" s="460" t="s">
        <v>1812</v>
      </c>
      <c r="F1124" s="460" t="s">
        <v>2625</v>
      </c>
      <c r="G1124" s="547">
        <f>ROUND(37.5,2)</f>
        <v>37.5</v>
      </c>
      <c r="H1124" s="461"/>
      <c r="I1124" s="547">
        <f>ROUND(37.5,2)</f>
        <v>37.5</v>
      </c>
      <c r="J1124" s="460"/>
      <c r="K1124" s="460" t="s">
        <v>2613</v>
      </c>
    </row>
    <row r="1125" spans="1:11" ht="14.4">
      <c r="A1125" s="460" t="s">
        <v>1810</v>
      </c>
      <c r="B1125" s="460" t="s">
        <v>1426</v>
      </c>
      <c r="C1125" s="460"/>
      <c r="D1125" s="460" t="s">
        <v>1835</v>
      </c>
      <c r="E1125" s="460" t="s">
        <v>1812</v>
      </c>
      <c r="F1125" s="460" t="s">
        <v>2612</v>
      </c>
      <c r="G1125" s="460"/>
      <c r="H1125" s="461"/>
      <c r="I1125" s="460"/>
      <c r="J1125" s="460"/>
      <c r="K1125" s="460" t="s">
        <v>2613</v>
      </c>
    </row>
    <row r="1126" spans="1:11" ht="14.4">
      <c r="A1126" s="460" t="s">
        <v>1810</v>
      </c>
      <c r="B1126" s="460" t="s">
        <v>1426</v>
      </c>
      <c r="C1126" s="460"/>
      <c r="D1126" s="460" t="s">
        <v>1835</v>
      </c>
      <c r="E1126" s="460" t="s">
        <v>1812</v>
      </c>
      <c r="F1126" s="460" t="s">
        <v>2614</v>
      </c>
      <c r="G1126" s="460"/>
      <c r="H1126" s="461" t="s">
        <v>2615</v>
      </c>
      <c r="I1126" s="547">
        <f>ROUND(7,2)</f>
        <v>7</v>
      </c>
      <c r="J1126" s="460" t="s">
        <v>2615</v>
      </c>
      <c r="K1126" s="460" t="s">
        <v>2613</v>
      </c>
    </row>
    <row r="1127" spans="1:11" ht="14.4">
      <c r="A1127" s="460" t="s">
        <v>1810</v>
      </c>
      <c r="B1127" s="460" t="s">
        <v>1426</v>
      </c>
      <c r="C1127" s="460"/>
      <c r="D1127" s="460" t="s">
        <v>1835</v>
      </c>
      <c r="E1127" s="460" t="s">
        <v>1812</v>
      </c>
      <c r="F1127" s="460" t="s">
        <v>2620</v>
      </c>
      <c r="G1127" s="547">
        <f>ROUND(10.22,2)</f>
        <v>10.220000000000001</v>
      </c>
      <c r="H1127" s="461"/>
      <c r="I1127" s="547">
        <f>ROUND(10.22,2)</f>
        <v>10.220000000000001</v>
      </c>
      <c r="J1127" s="460"/>
      <c r="K1127" s="460" t="s">
        <v>2613</v>
      </c>
    </row>
    <row r="1128" spans="1:11" ht="14.4">
      <c r="A1128" s="460" t="s">
        <v>1810</v>
      </c>
      <c r="B1128" s="460" t="s">
        <v>1426</v>
      </c>
      <c r="C1128" s="460"/>
      <c r="D1128" s="460" t="s">
        <v>1835</v>
      </c>
      <c r="E1128" s="460" t="s">
        <v>1812</v>
      </c>
      <c r="F1128" s="460" t="s">
        <v>2616</v>
      </c>
      <c r="G1128" s="460"/>
      <c r="H1128" s="461"/>
      <c r="I1128" s="460"/>
      <c r="J1128" s="460"/>
      <c r="K1128" s="460" t="s">
        <v>2613</v>
      </c>
    </row>
    <row r="1129" spans="1:11" ht="14.4">
      <c r="A1129" s="460" t="s">
        <v>1810</v>
      </c>
      <c r="B1129" s="460" t="s">
        <v>1619</v>
      </c>
      <c r="C1129" s="460"/>
      <c r="D1129" s="460" t="s">
        <v>1816</v>
      </c>
      <c r="E1129" s="460" t="s">
        <v>2611</v>
      </c>
      <c r="F1129" s="460" t="s">
        <v>2612</v>
      </c>
      <c r="G1129" s="460"/>
      <c r="H1129" s="461"/>
      <c r="I1129" s="460"/>
      <c r="J1129" s="460"/>
      <c r="K1129" s="460" t="s">
        <v>2613</v>
      </c>
    </row>
    <row r="1130" spans="1:11" ht="14.4">
      <c r="A1130" s="460" t="s">
        <v>1810</v>
      </c>
      <c r="B1130" s="460" t="s">
        <v>2565</v>
      </c>
      <c r="C1130" s="460"/>
      <c r="D1130" s="460" t="s">
        <v>1816</v>
      </c>
      <c r="E1130" s="460" t="s">
        <v>2611</v>
      </c>
      <c r="F1130" s="460" t="s">
        <v>2612</v>
      </c>
      <c r="G1130" s="460"/>
      <c r="H1130" s="461"/>
      <c r="I1130" s="460"/>
      <c r="J1130" s="460"/>
      <c r="K1130" s="460" t="s">
        <v>2613</v>
      </c>
    </row>
    <row r="1131" spans="1:11" ht="14.4">
      <c r="A1131" s="460" t="s">
        <v>1810</v>
      </c>
      <c r="B1131" s="460" t="s">
        <v>2905</v>
      </c>
      <c r="C1131" s="460"/>
      <c r="D1131" s="460" t="s">
        <v>1816</v>
      </c>
      <c r="E1131" s="460" t="s">
        <v>2611</v>
      </c>
      <c r="F1131" s="460" t="s">
        <v>2612</v>
      </c>
      <c r="G1131" s="460"/>
      <c r="H1131" s="461"/>
      <c r="I1131" s="460"/>
      <c r="J1131" s="460"/>
      <c r="K1131" s="460" t="s">
        <v>2613</v>
      </c>
    </row>
    <row r="1132" spans="1:11" ht="14.4">
      <c r="A1132" s="460" t="s">
        <v>1810</v>
      </c>
      <c r="B1132" s="460" t="s">
        <v>1766</v>
      </c>
      <c r="C1132" s="460"/>
      <c r="D1132" s="460" t="s">
        <v>1816</v>
      </c>
      <c r="E1132" s="460" t="s">
        <v>2611</v>
      </c>
      <c r="F1132" s="460" t="s">
        <v>2612</v>
      </c>
      <c r="G1132" s="460"/>
      <c r="H1132" s="461"/>
      <c r="I1132" s="460"/>
      <c r="J1132" s="460"/>
      <c r="K1132" s="460" t="s">
        <v>2613</v>
      </c>
    </row>
    <row r="1133" spans="1:11" ht="14.4">
      <c r="A1133" s="460" t="s">
        <v>1810</v>
      </c>
      <c r="B1133" s="460" t="s">
        <v>1536</v>
      </c>
      <c r="C1133" s="460"/>
      <c r="D1133" s="460" t="s">
        <v>1818</v>
      </c>
      <c r="E1133" s="460" t="s">
        <v>2015</v>
      </c>
      <c r="F1133" s="460" t="s">
        <v>2612</v>
      </c>
      <c r="G1133" s="460"/>
      <c r="H1133" s="461"/>
      <c r="I1133" s="460"/>
      <c r="J1133" s="460"/>
      <c r="K1133" s="460" t="s">
        <v>2613</v>
      </c>
    </row>
    <row r="1134" spans="1:11" ht="14.4">
      <c r="A1134" s="460" t="s">
        <v>1810</v>
      </c>
      <c r="B1134" s="460" t="s">
        <v>1536</v>
      </c>
      <c r="C1134" s="460"/>
      <c r="D1134" s="460" t="s">
        <v>1818</v>
      </c>
      <c r="E1134" s="460" t="s">
        <v>2015</v>
      </c>
      <c r="F1134" s="460" t="s">
        <v>2614</v>
      </c>
      <c r="G1134" s="460"/>
      <c r="H1134" s="461" t="s">
        <v>2615</v>
      </c>
      <c r="I1134" s="547">
        <f>ROUND(7,2)</f>
        <v>7</v>
      </c>
      <c r="J1134" s="460" t="s">
        <v>2615</v>
      </c>
      <c r="K1134" s="460" t="s">
        <v>2613</v>
      </c>
    </row>
    <row r="1135" spans="1:11" ht="14.4">
      <c r="A1135" s="460" t="s">
        <v>1810</v>
      </c>
      <c r="B1135" s="460" t="s">
        <v>1536</v>
      </c>
      <c r="C1135" s="460"/>
      <c r="D1135" s="460" t="s">
        <v>1818</v>
      </c>
      <c r="E1135" s="460" t="s">
        <v>2015</v>
      </c>
      <c r="F1135" s="460" t="s">
        <v>2624</v>
      </c>
      <c r="G1135" s="547">
        <f>ROUND(150,2)</f>
        <v>150</v>
      </c>
      <c r="H1135" s="461"/>
      <c r="I1135" s="547">
        <f>ROUND(150,2)</f>
        <v>150</v>
      </c>
      <c r="J1135" s="460"/>
      <c r="K1135" s="460" t="s">
        <v>2613</v>
      </c>
    </row>
    <row r="1136" spans="1:11" ht="14.4">
      <c r="A1136" s="460" t="s">
        <v>1810</v>
      </c>
      <c r="B1136" s="460" t="s">
        <v>1536</v>
      </c>
      <c r="C1136" s="460"/>
      <c r="D1136" s="460" t="s">
        <v>1818</v>
      </c>
      <c r="E1136" s="460" t="s">
        <v>2015</v>
      </c>
      <c r="F1136" s="460" t="s">
        <v>2616</v>
      </c>
      <c r="G1136" s="460"/>
      <c r="H1136" s="461"/>
      <c r="I1136" s="460"/>
      <c r="J1136" s="460"/>
      <c r="K1136" s="460" t="s">
        <v>2613</v>
      </c>
    </row>
    <row r="1137" spans="1:11" ht="14.4">
      <c r="A1137" s="460" t="s">
        <v>1810</v>
      </c>
      <c r="B1137" s="460" t="s">
        <v>1536</v>
      </c>
      <c r="C1137" s="460"/>
      <c r="D1137" s="460" t="s">
        <v>1818</v>
      </c>
      <c r="E1137" s="460" t="s">
        <v>2015</v>
      </c>
      <c r="F1137" s="460" t="s">
        <v>2618</v>
      </c>
      <c r="G1137" s="547">
        <f>ROUND(40,2)</f>
        <v>40</v>
      </c>
      <c r="H1137" s="461"/>
      <c r="I1137" s="547">
        <f>ROUND(40,2)</f>
        <v>40</v>
      </c>
      <c r="J1137" s="460"/>
      <c r="K1137" s="460" t="s">
        <v>2613</v>
      </c>
    </row>
    <row r="1138" spans="1:11" ht="14.4">
      <c r="A1138" s="460" t="s">
        <v>1810</v>
      </c>
      <c r="B1138" s="460" t="s">
        <v>1536</v>
      </c>
      <c r="C1138" s="460"/>
      <c r="D1138" s="460" t="s">
        <v>1818</v>
      </c>
      <c r="E1138" s="460" t="s">
        <v>2015</v>
      </c>
      <c r="F1138" s="460" t="s">
        <v>2617</v>
      </c>
      <c r="G1138" s="547">
        <f>ROUND(75,2)</f>
        <v>75</v>
      </c>
      <c r="H1138" s="461"/>
      <c r="I1138" s="547">
        <f>ROUND(75,2)</f>
        <v>75</v>
      </c>
      <c r="J1138" s="460"/>
      <c r="K1138" s="460" t="s">
        <v>2613</v>
      </c>
    </row>
    <row r="1139" spans="1:11" ht="14.4">
      <c r="A1139" s="460" t="s">
        <v>1810</v>
      </c>
      <c r="B1139" s="460" t="s">
        <v>2951</v>
      </c>
      <c r="C1139" s="460"/>
      <c r="D1139" s="460" t="s">
        <v>1816</v>
      </c>
      <c r="E1139" s="460" t="s">
        <v>2611</v>
      </c>
      <c r="F1139" s="460" t="s">
        <v>2612</v>
      </c>
      <c r="G1139" s="460"/>
      <c r="H1139" s="461"/>
      <c r="I1139" s="460"/>
      <c r="J1139" s="460"/>
      <c r="K1139" s="460" t="s">
        <v>2613</v>
      </c>
    </row>
    <row r="1140" spans="1:11" ht="22.8">
      <c r="A1140" s="460" t="s">
        <v>1810</v>
      </c>
      <c r="B1140" s="460" t="s">
        <v>1616</v>
      </c>
      <c r="C1140" s="460"/>
      <c r="D1140" s="460" t="s">
        <v>1813</v>
      </c>
      <c r="E1140" s="460" t="s">
        <v>1812</v>
      </c>
      <c r="F1140" s="460" t="s">
        <v>2612</v>
      </c>
      <c r="G1140" s="460"/>
      <c r="H1140" s="461" t="s">
        <v>347</v>
      </c>
      <c r="I1140" s="547">
        <f>ROUND(50,2)</f>
        <v>50</v>
      </c>
      <c r="J1140" s="460" t="s">
        <v>347</v>
      </c>
      <c r="K1140" s="460" t="s">
        <v>2613</v>
      </c>
    </row>
    <row r="1141" spans="1:11" ht="22.8">
      <c r="A1141" s="460" t="s">
        <v>1810</v>
      </c>
      <c r="B1141" s="460" t="s">
        <v>1616</v>
      </c>
      <c r="C1141" s="460"/>
      <c r="D1141" s="460" t="s">
        <v>1813</v>
      </c>
      <c r="E1141" s="460" t="s">
        <v>1812</v>
      </c>
      <c r="F1141" s="460" t="s">
        <v>2614</v>
      </c>
      <c r="G1141" s="460"/>
      <c r="H1141" s="461" t="s">
        <v>2615</v>
      </c>
      <c r="I1141" s="547">
        <f>ROUND(7,2)</f>
        <v>7</v>
      </c>
      <c r="J1141" s="460" t="s">
        <v>2615</v>
      </c>
      <c r="K1141" s="460" t="s">
        <v>2613</v>
      </c>
    </row>
    <row r="1142" spans="1:11" ht="22.8">
      <c r="A1142" s="460" t="s">
        <v>1810</v>
      </c>
      <c r="B1142" s="460" t="s">
        <v>1616</v>
      </c>
      <c r="C1142" s="460"/>
      <c r="D1142" s="460" t="s">
        <v>1813</v>
      </c>
      <c r="E1142" s="460" t="s">
        <v>1812</v>
      </c>
      <c r="F1142" s="460" t="s">
        <v>2623</v>
      </c>
      <c r="G1142" s="460"/>
      <c r="H1142" s="461"/>
      <c r="I1142" s="460"/>
      <c r="J1142" s="460"/>
      <c r="K1142" s="460" t="s">
        <v>2613</v>
      </c>
    </row>
    <row r="1143" spans="1:11" ht="22.8">
      <c r="A1143" s="460" t="s">
        <v>1810</v>
      </c>
      <c r="B1143" s="460" t="s">
        <v>1616</v>
      </c>
      <c r="C1143" s="460"/>
      <c r="D1143" s="460" t="s">
        <v>1813</v>
      </c>
      <c r="E1143" s="460" t="s">
        <v>1812</v>
      </c>
      <c r="F1143" s="460" t="s">
        <v>2616</v>
      </c>
      <c r="G1143" s="460"/>
      <c r="H1143" s="461"/>
      <c r="I1143" s="460"/>
      <c r="J1143" s="460"/>
      <c r="K1143" s="460" t="s">
        <v>2613</v>
      </c>
    </row>
    <row r="1144" spans="1:11" ht="22.8">
      <c r="A1144" s="460" t="s">
        <v>1810</v>
      </c>
      <c r="B1144" s="460" t="s">
        <v>1428</v>
      </c>
      <c r="C1144" s="460"/>
      <c r="D1144" s="460" t="s">
        <v>1834</v>
      </c>
      <c r="E1144" s="460" t="s">
        <v>1812</v>
      </c>
      <c r="F1144" s="460" t="s">
        <v>2612</v>
      </c>
      <c r="G1144" s="460"/>
      <c r="H1144" s="461"/>
      <c r="I1144" s="460"/>
      <c r="J1144" s="460"/>
      <c r="K1144" s="460" t="s">
        <v>2613</v>
      </c>
    </row>
    <row r="1145" spans="1:11" ht="22.8">
      <c r="A1145" s="460" t="s">
        <v>1810</v>
      </c>
      <c r="B1145" s="460" t="s">
        <v>1428</v>
      </c>
      <c r="C1145" s="460"/>
      <c r="D1145" s="460" t="s">
        <v>1834</v>
      </c>
      <c r="E1145" s="460" t="s">
        <v>1812</v>
      </c>
      <c r="F1145" s="460" t="s">
        <v>2614</v>
      </c>
      <c r="G1145" s="460"/>
      <c r="H1145" s="461" t="s">
        <v>2615</v>
      </c>
      <c r="I1145" s="547">
        <f>ROUND(7,2)</f>
        <v>7</v>
      </c>
      <c r="J1145" s="460" t="s">
        <v>2615</v>
      </c>
      <c r="K1145" s="460" t="s">
        <v>2613</v>
      </c>
    </row>
    <row r="1146" spans="1:11" ht="22.8">
      <c r="A1146" s="460" t="s">
        <v>1810</v>
      </c>
      <c r="B1146" s="460" t="s">
        <v>1428</v>
      </c>
      <c r="C1146" s="460"/>
      <c r="D1146" s="460" t="s">
        <v>1834</v>
      </c>
      <c r="E1146" s="460" t="s">
        <v>1812</v>
      </c>
      <c r="F1146" s="460" t="s">
        <v>2624</v>
      </c>
      <c r="G1146" s="547">
        <f>ROUND(150,2)</f>
        <v>150</v>
      </c>
      <c r="H1146" s="461"/>
      <c r="I1146" s="547">
        <f>ROUND(150,2)</f>
        <v>150</v>
      </c>
      <c r="J1146" s="460"/>
      <c r="K1146" s="460" t="s">
        <v>2613</v>
      </c>
    </row>
    <row r="1147" spans="1:11" ht="22.8">
      <c r="A1147" s="460" t="s">
        <v>1810</v>
      </c>
      <c r="B1147" s="460" t="s">
        <v>1428</v>
      </c>
      <c r="C1147" s="460"/>
      <c r="D1147" s="460" t="s">
        <v>1834</v>
      </c>
      <c r="E1147" s="460" t="s">
        <v>1812</v>
      </c>
      <c r="F1147" s="460" t="s">
        <v>2616</v>
      </c>
      <c r="G1147" s="460"/>
      <c r="H1147" s="461"/>
      <c r="I1147" s="460"/>
      <c r="J1147" s="460"/>
      <c r="K1147" s="460" t="s">
        <v>2613</v>
      </c>
    </row>
    <row r="1148" spans="1:11" ht="14.4">
      <c r="A1148" s="460" t="s">
        <v>1810</v>
      </c>
      <c r="B1148" s="460" t="s">
        <v>2575</v>
      </c>
      <c r="C1148" s="460"/>
      <c r="D1148" s="460" t="s">
        <v>1816</v>
      </c>
      <c r="E1148" s="460" t="s">
        <v>2611</v>
      </c>
      <c r="F1148" s="460" t="s">
        <v>2612</v>
      </c>
      <c r="G1148" s="460"/>
      <c r="H1148" s="461"/>
      <c r="I1148" s="460"/>
      <c r="J1148" s="460"/>
      <c r="K1148" s="460" t="s">
        <v>2613</v>
      </c>
    </row>
    <row r="1149" spans="1:11" ht="22.8">
      <c r="A1149" s="460" t="s">
        <v>1810</v>
      </c>
      <c r="B1149" s="460" t="s">
        <v>1577</v>
      </c>
      <c r="C1149" s="460"/>
      <c r="D1149" s="460" t="s">
        <v>1840</v>
      </c>
      <c r="E1149" s="460" t="s">
        <v>1812</v>
      </c>
      <c r="F1149" s="460" t="s">
        <v>2612</v>
      </c>
      <c r="G1149" s="460"/>
      <c r="H1149" s="461"/>
      <c r="I1149" s="460"/>
      <c r="J1149" s="460"/>
      <c r="K1149" s="460" t="s">
        <v>2613</v>
      </c>
    </row>
    <row r="1150" spans="1:11" ht="22.8">
      <c r="A1150" s="460" t="s">
        <v>1810</v>
      </c>
      <c r="B1150" s="460" t="s">
        <v>1577</v>
      </c>
      <c r="C1150" s="460"/>
      <c r="D1150" s="460" t="s">
        <v>1840</v>
      </c>
      <c r="E1150" s="460" t="s">
        <v>1812</v>
      </c>
      <c r="F1150" s="460" t="s">
        <v>2614</v>
      </c>
      <c r="G1150" s="460"/>
      <c r="H1150" s="461" t="s">
        <v>2615</v>
      </c>
      <c r="I1150" s="547">
        <f>ROUND(7,2)</f>
        <v>7</v>
      </c>
      <c r="J1150" s="460" t="s">
        <v>2615</v>
      </c>
      <c r="K1150" s="460" t="s">
        <v>2613</v>
      </c>
    </row>
    <row r="1151" spans="1:11" ht="22.8">
      <c r="A1151" s="460" t="s">
        <v>1810</v>
      </c>
      <c r="B1151" s="460" t="s">
        <v>1577</v>
      </c>
      <c r="C1151" s="460"/>
      <c r="D1151" s="460" t="s">
        <v>1840</v>
      </c>
      <c r="E1151" s="460" t="s">
        <v>1812</v>
      </c>
      <c r="F1151" s="460" t="s">
        <v>2620</v>
      </c>
      <c r="G1151" s="547">
        <f>ROUND(10.22,2)</f>
        <v>10.220000000000001</v>
      </c>
      <c r="H1151" s="461"/>
      <c r="I1151" s="547">
        <f>ROUND(10.22,2)</f>
        <v>10.220000000000001</v>
      </c>
      <c r="J1151" s="460"/>
      <c r="K1151" s="460" t="s">
        <v>2613</v>
      </c>
    </row>
    <row r="1152" spans="1:11" ht="22.8">
      <c r="A1152" s="460" t="s">
        <v>1810</v>
      </c>
      <c r="B1152" s="460" t="s">
        <v>1577</v>
      </c>
      <c r="C1152" s="460"/>
      <c r="D1152" s="460" t="s">
        <v>1840</v>
      </c>
      <c r="E1152" s="460" t="s">
        <v>1812</v>
      </c>
      <c r="F1152" s="460" t="s">
        <v>2616</v>
      </c>
      <c r="G1152" s="460"/>
      <c r="H1152" s="461"/>
      <c r="I1152" s="460"/>
      <c r="J1152" s="460"/>
      <c r="K1152" s="460" t="s">
        <v>2613</v>
      </c>
    </row>
    <row r="1153" spans="1:11" ht="14.4">
      <c r="A1153" s="460" t="s">
        <v>1810</v>
      </c>
      <c r="B1153" s="460" t="s">
        <v>2952</v>
      </c>
      <c r="C1153" s="460"/>
      <c r="D1153" s="460" t="s">
        <v>1816</v>
      </c>
      <c r="E1153" s="460" t="s">
        <v>2611</v>
      </c>
      <c r="F1153" s="460" t="s">
        <v>2612</v>
      </c>
      <c r="G1153" s="460"/>
      <c r="H1153" s="461"/>
      <c r="I1153" s="460"/>
      <c r="J1153" s="460"/>
      <c r="K1153" s="460" t="s">
        <v>2613</v>
      </c>
    </row>
    <row r="1154" spans="1:11" ht="14.4">
      <c r="A1154" s="460" t="s">
        <v>1810</v>
      </c>
      <c r="B1154" s="460" t="s">
        <v>2515</v>
      </c>
      <c r="C1154" s="460"/>
      <c r="D1154" s="460" t="s">
        <v>1816</v>
      </c>
      <c r="E1154" s="460" t="s">
        <v>2611</v>
      </c>
      <c r="F1154" s="460" t="s">
        <v>2612</v>
      </c>
      <c r="G1154" s="460"/>
      <c r="H1154" s="461"/>
      <c r="I1154" s="460"/>
      <c r="J1154" s="460"/>
      <c r="K1154" s="460" t="s">
        <v>2613</v>
      </c>
    </row>
    <row r="1155" spans="1:11" ht="14.4">
      <c r="A1155" s="460" t="s">
        <v>1810</v>
      </c>
      <c r="B1155" s="460" t="s">
        <v>1599</v>
      </c>
      <c r="C1155" s="460"/>
      <c r="D1155" s="460" t="s">
        <v>1814</v>
      </c>
      <c r="E1155" s="460" t="s">
        <v>1812</v>
      </c>
      <c r="F1155" s="460" t="s">
        <v>2617</v>
      </c>
      <c r="G1155" s="547">
        <f>ROUND(75,2)</f>
        <v>75</v>
      </c>
      <c r="H1155" s="461"/>
      <c r="I1155" s="547">
        <f>ROUND(75,2)</f>
        <v>75</v>
      </c>
      <c r="J1155" s="460"/>
      <c r="K1155" s="460" t="s">
        <v>2613</v>
      </c>
    </row>
    <row r="1156" spans="1:11" ht="14.4">
      <c r="A1156" s="460" t="s">
        <v>1810</v>
      </c>
      <c r="B1156" s="460" t="s">
        <v>1599</v>
      </c>
      <c r="C1156" s="460"/>
      <c r="D1156" s="460" t="s">
        <v>1814</v>
      </c>
      <c r="E1156" s="460" t="s">
        <v>1812</v>
      </c>
      <c r="F1156" s="460" t="s">
        <v>2618</v>
      </c>
      <c r="G1156" s="547">
        <f>ROUND(40,2)</f>
        <v>40</v>
      </c>
      <c r="H1156" s="461"/>
      <c r="I1156" s="547">
        <f>ROUND(40,2)</f>
        <v>40</v>
      </c>
      <c r="J1156" s="460"/>
      <c r="K1156" s="460" t="s">
        <v>2613</v>
      </c>
    </row>
    <row r="1157" spans="1:11" ht="14.4">
      <c r="A1157" s="460" t="s">
        <v>1810</v>
      </c>
      <c r="B1157" s="460" t="s">
        <v>1599</v>
      </c>
      <c r="C1157" s="460"/>
      <c r="D1157" s="460" t="s">
        <v>1814</v>
      </c>
      <c r="E1157" s="460" t="s">
        <v>1812</v>
      </c>
      <c r="F1157" s="460" t="s">
        <v>2619</v>
      </c>
      <c r="G1157" s="547">
        <f>ROUND(85,2)</f>
        <v>85</v>
      </c>
      <c r="H1157" s="461"/>
      <c r="I1157" s="547">
        <f>ROUND(85,2)</f>
        <v>85</v>
      </c>
      <c r="J1157" s="460"/>
      <c r="K1157" s="460" t="s">
        <v>2613</v>
      </c>
    </row>
    <row r="1158" spans="1:11" ht="14.4">
      <c r="A1158" s="460" t="s">
        <v>1810</v>
      </c>
      <c r="B1158" s="460" t="s">
        <v>1599</v>
      </c>
      <c r="C1158" s="460"/>
      <c r="D1158" s="460" t="s">
        <v>1814</v>
      </c>
      <c r="E1158" s="460" t="s">
        <v>1812</v>
      </c>
      <c r="F1158" s="460" t="s">
        <v>2616</v>
      </c>
      <c r="G1158" s="547">
        <f>ROUND(95,2)</f>
        <v>95</v>
      </c>
      <c r="H1158" s="461"/>
      <c r="I1158" s="547">
        <f>ROUND(95,2)</f>
        <v>95</v>
      </c>
      <c r="J1158" s="460"/>
      <c r="K1158" s="460" t="s">
        <v>2613</v>
      </c>
    </row>
    <row r="1159" spans="1:11" ht="14.4">
      <c r="A1159" s="460" t="s">
        <v>1810</v>
      </c>
      <c r="B1159" s="460" t="s">
        <v>1599</v>
      </c>
      <c r="C1159" s="460"/>
      <c r="D1159" s="460" t="s">
        <v>1814</v>
      </c>
      <c r="E1159" s="460" t="s">
        <v>1812</v>
      </c>
      <c r="F1159" s="460" t="s">
        <v>2612</v>
      </c>
      <c r="G1159" s="460"/>
      <c r="H1159" s="461"/>
      <c r="I1159" s="460"/>
      <c r="J1159" s="460"/>
      <c r="K1159" s="460" t="s">
        <v>2613</v>
      </c>
    </row>
    <row r="1160" spans="1:11" ht="14.4">
      <c r="A1160" s="460" t="s">
        <v>1810</v>
      </c>
      <c r="B1160" s="460" t="s">
        <v>1599</v>
      </c>
      <c r="C1160" s="460"/>
      <c r="D1160" s="460" t="s">
        <v>1814</v>
      </c>
      <c r="E1160" s="460" t="s">
        <v>1812</v>
      </c>
      <c r="F1160" s="460" t="s">
        <v>2614</v>
      </c>
      <c r="G1160" s="460"/>
      <c r="H1160" s="461" t="s">
        <v>2615</v>
      </c>
      <c r="I1160" s="547">
        <f>ROUND(7,2)</f>
        <v>7</v>
      </c>
      <c r="J1160" s="460" t="s">
        <v>2615</v>
      </c>
      <c r="K1160" s="460" t="s">
        <v>2613</v>
      </c>
    </row>
    <row r="1161" spans="1:11" ht="14.4">
      <c r="A1161" s="460" t="s">
        <v>1810</v>
      </c>
      <c r="B1161" s="460" t="s">
        <v>1599</v>
      </c>
      <c r="C1161" s="460"/>
      <c r="D1161" s="460" t="s">
        <v>1814</v>
      </c>
      <c r="E1161" s="460" t="s">
        <v>1812</v>
      </c>
      <c r="F1161" s="460" t="s">
        <v>2625</v>
      </c>
      <c r="G1161" s="547">
        <f>ROUND(25,2)</f>
        <v>25</v>
      </c>
      <c r="H1161" s="461"/>
      <c r="I1161" s="547">
        <f>ROUND(25,2)</f>
        <v>25</v>
      </c>
      <c r="J1161" s="460"/>
      <c r="K1161" s="460" t="s">
        <v>2613</v>
      </c>
    </row>
    <row r="1162" spans="1:11" ht="14.4">
      <c r="A1162" s="460" t="s">
        <v>1810</v>
      </c>
      <c r="B1162" s="460" t="s">
        <v>1599</v>
      </c>
      <c r="C1162" s="460"/>
      <c r="D1162" s="460" t="s">
        <v>1814</v>
      </c>
      <c r="E1162" s="460" t="s">
        <v>1812</v>
      </c>
      <c r="F1162" s="460" t="s">
        <v>2626</v>
      </c>
      <c r="G1162" s="547">
        <f>ROUND(10,2)</f>
        <v>10</v>
      </c>
      <c r="H1162" s="461"/>
      <c r="I1162" s="547">
        <f>ROUND(10,2)</f>
        <v>10</v>
      </c>
      <c r="J1162" s="460"/>
      <c r="K1162" s="460" t="s">
        <v>2613</v>
      </c>
    </row>
    <row r="1163" spans="1:11" ht="14.4">
      <c r="A1163" s="460" t="s">
        <v>1810</v>
      </c>
      <c r="B1163" s="460" t="s">
        <v>1599</v>
      </c>
      <c r="C1163" s="460"/>
      <c r="D1163" s="460" t="s">
        <v>1814</v>
      </c>
      <c r="E1163" s="460" t="s">
        <v>1812</v>
      </c>
      <c r="F1163" s="460" t="s">
        <v>2620</v>
      </c>
      <c r="G1163" s="547">
        <f>ROUND(10.22,2)</f>
        <v>10.220000000000001</v>
      </c>
      <c r="H1163" s="461"/>
      <c r="I1163" s="547">
        <f>ROUND(10.22,2)</f>
        <v>10.220000000000001</v>
      </c>
      <c r="J1163" s="460"/>
      <c r="K1163" s="460" t="s">
        <v>2613</v>
      </c>
    </row>
    <row r="1164" spans="1:11" ht="14.4">
      <c r="A1164" s="460" t="s">
        <v>1810</v>
      </c>
      <c r="B1164" s="460" t="s">
        <v>1591</v>
      </c>
      <c r="C1164" s="460"/>
      <c r="D1164" s="460" t="s">
        <v>1814</v>
      </c>
      <c r="E1164" s="460" t="s">
        <v>1812</v>
      </c>
      <c r="F1164" s="460" t="s">
        <v>2632</v>
      </c>
      <c r="G1164" s="547">
        <f>ROUND(166.67,2)</f>
        <v>166.67</v>
      </c>
      <c r="H1164" s="461"/>
      <c r="I1164" s="547">
        <f>ROUND(166.67,2)</f>
        <v>166.67</v>
      </c>
      <c r="J1164" s="460"/>
      <c r="K1164" s="460" t="s">
        <v>2613</v>
      </c>
    </row>
    <row r="1165" spans="1:11" ht="14.4">
      <c r="A1165" s="460" t="s">
        <v>1810</v>
      </c>
      <c r="B1165" s="460" t="s">
        <v>1591</v>
      </c>
      <c r="C1165" s="460"/>
      <c r="D1165" s="460" t="s">
        <v>1814</v>
      </c>
      <c r="E1165" s="460" t="s">
        <v>1812</v>
      </c>
      <c r="F1165" s="460" t="s">
        <v>2612</v>
      </c>
      <c r="G1165" s="460"/>
      <c r="H1165" s="461"/>
      <c r="I1165" s="460"/>
      <c r="J1165" s="460"/>
      <c r="K1165" s="460" t="s">
        <v>2613</v>
      </c>
    </row>
    <row r="1166" spans="1:11" ht="14.4">
      <c r="A1166" s="460" t="s">
        <v>1810</v>
      </c>
      <c r="B1166" s="460" t="s">
        <v>1591</v>
      </c>
      <c r="C1166" s="460"/>
      <c r="D1166" s="460" t="s">
        <v>1814</v>
      </c>
      <c r="E1166" s="460" t="s">
        <v>1812</v>
      </c>
      <c r="F1166" s="460" t="s">
        <v>2614</v>
      </c>
      <c r="G1166" s="460"/>
      <c r="H1166" s="461" t="s">
        <v>2615</v>
      </c>
      <c r="I1166" s="547">
        <f>ROUND(7,2)</f>
        <v>7</v>
      </c>
      <c r="J1166" s="460" t="s">
        <v>2615</v>
      </c>
      <c r="K1166" s="460" t="s">
        <v>2613</v>
      </c>
    </row>
    <row r="1167" spans="1:11" ht="14.4">
      <c r="A1167" s="460" t="s">
        <v>1810</v>
      </c>
      <c r="B1167" s="460" t="s">
        <v>1591</v>
      </c>
      <c r="C1167" s="460"/>
      <c r="D1167" s="460" t="s">
        <v>1814</v>
      </c>
      <c r="E1167" s="460" t="s">
        <v>1812</v>
      </c>
      <c r="F1167" s="460" t="s">
        <v>2625</v>
      </c>
      <c r="G1167" s="547">
        <f>ROUND(37.5,2)</f>
        <v>37.5</v>
      </c>
      <c r="H1167" s="461"/>
      <c r="I1167" s="547">
        <f>ROUND(37.5,2)</f>
        <v>37.5</v>
      </c>
      <c r="J1167" s="460"/>
      <c r="K1167" s="460" t="s">
        <v>2613</v>
      </c>
    </row>
    <row r="1168" spans="1:11" ht="14.4">
      <c r="A1168" s="460" t="s">
        <v>1810</v>
      </c>
      <c r="B1168" s="460" t="s">
        <v>1591</v>
      </c>
      <c r="C1168" s="460"/>
      <c r="D1168" s="460" t="s">
        <v>1814</v>
      </c>
      <c r="E1168" s="460" t="s">
        <v>1812</v>
      </c>
      <c r="F1168" s="460" t="s">
        <v>2616</v>
      </c>
      <c r="G1168" s="460"/>
      <c r="H1168" s="461"/>
      <c r="I1168" s="460"/>
      <c r="J1168" s="460"/>
      <c r="K1168" s="460" t="s">
        <v>2613</v>
      </c>
    </row>
    <row r="1169" spans="1:11" ht="14.4">
      <c r="A1169" s="460" t="s">
        <v>1810</v>
      </c>
      <c r="B1169" s="460" t="s">
        <v>1715</v>
      </c>
      <c r="C1169" s="460"/>
      <c r="D1169" s="460" t="s">
        <v>1816</v>
      </c>
      <c r="E1169" s="460" t="s">
        <v>2611</v>
      </c>
      <c r="F1169" s="460" t="s">
        <v>2612</v>
      </c>
      <c r="G1169" s="460"/>
      <c r="H1169" s="461"/>
      <c r="I1169" s="460"/>
      <c r="J1169" s="460"/>
      <c r="K1169" s="460" t="s">
        <v>2613</v>
      </c>
    </row>
    <row r="1170" spans="1:11" ht="22.8">
      <c r="A1170" s="460" t="s">
        <v>1810</v>
      </c>
      <c r="B1170" s="460" t="s">
        <v>2577</v>
      </c>
      <c r="C1170" s="460"/>
      <c r="D1170" s="460" t="s">
        <v>1819</v>
      </c>
      <c r="E1170" s="460" t="s">
        <v>1812</v>
      </c>
      <c r="F1170" s="460" t="s">
        <v>2616</v>
      </c>
      <c r="G1170" s="460"/>
      <c r="H1170" s="461"/>
      <c r="I1170" s="460"/>
      <c r="J1170" s="460"/>
      <c r="K1170" s="460" t="s">
        <v>2613</v>
      </c>
    </row>
    <row r="1171" spans="1:11" ht="22.8">
      <c r="A1171" s="460" t="s">
        <v>1810</v>
      </c>
      <c r="B1171" s="460" t="s">
        <v>2577</v>
      </c>
      <c r="C1171" s="460"/>
      <c r="D1171" s="460" t="s">
        <v>1819</v>
      </c>
      <c r="E1171" s="460" t="s">
        <v>1812</v>
      </c>
      <c r="F1171" s="460" t="s">
        <v>2620</v>
      </c>
      <c r="G1171" s="547">
        <f>ROUND(10.22,2)</f>
        <v>10.220000000000001</v>
      </c>
      <c r="H1171" s="461"/>
      <c r="I1171" s="547">
        <f>ROUND(10.22,2)</f>
        <v>10.220000000000001</v>
      </c>
      <c r="J1171" s="460"/>
      <c r="K1171" s="460" t="s">
        <v>2613</v>
      </c>
    </row>
    <row r="1172" spans="1:11" ht="22.8">
      <c r="A1172" s="460" t="s">
        <v>1810</v>
      </c>
      <c r="B1172" s="460" t="s">
        <v>2577</v>
      </c>
      <c r="C1172" s="460"/>
      <c r="D1172" s="460" t="s">
        <v>1819</v>
      </c>
      <c r="E1172" s="460" t="s">
        <v>1812</v>
      </c>
      <c r="F1172" s="460" t="s">
        <v>2612</v>
      </c>
      <c r="G1172" s="460"/>
      <c r="H1172" s="461"/>
      <c r="I1172" s="460"/>
      <c r="J1172" s="460"/>
      <c r="K1172" s="460" t="s">
        <v>2613</v>
      </c>
    </row>
    <row r="1173" spans="1:11" ht="22.8">
      <c r="A1173" s="460" t="s">
        <v>1810</v>
      </c>
      <c r="B1173" s="460" t="s">
        <v>2577</v>
      </c>
      <c r="C1173" s="460"/>
      <c r="D1173" s="460" t="s">
        <v>1819</v>
      </c>
      <c r="E1173" s="460" t="s">
        <v>1812</v>
      </c>
      <c r="F1173" s="460" t="s">
        <v>2614</v>
      </c>
      <c r="G1173" s="460"/>
      <c r="H1173" s="461" t="s">
        <v>2615</v>
      </c>
      <c r="I1173" s="547">
        <f>ROUND(7,2)</f>
        <v>7</v>
      </c>
      <c r="J1173" s="460" t="s">
        <v>2615</v>
      </c>
      <c r="K1173" s="460" t="s">
        <v>2613</v>
      </c>
    </row>
    <row r="1174" spans="1:11" ht="22.8">
      <c r="A1174" s="460" t="s">
        <v>1810</v>
      </c>
      <c r="B1174" s="460" t="s">
        <v>2577</v>
      </c>
      <c r="C1174" s="460"/>
      <c r="D1174" s="460" t="s">
        <v>1819</v>
      </c>
      <c r="E1174" s="460" t="s">
        <v>1812</v>
      </c>
      <c r="F1174" s="460" t="s">
        <v>2640</v>
      </c>
      <c r="G1174" s="460"/>
      <c r="H1174" s="461" t="s">
        <v>2642</v>
      </c>
      <c r="I1174" s="547">
        <f>ROUND(3,2)</f>
        <v>3</v>
      </c>
      <c r="J1174" s="460" t="s">
        <v>2642</v>
      </c>
      <c r="K1174" s="460" t="s">
        <v>2613</v>
      </c>
    </row>
    <row r="1175" spans="1:11" ht="14.4">
      <c r="A1175" s="460" t="s">
        <v>1810</v>
      </c>
      <c r="B1175" s="460" t="s">
        <v>1678</v>
      </c>
      <c r="C1175" s="460"/>
      <c r="D1175" s="460" t="s">
        <v>1816</v>
      </c>
      <c r="E1175" s="460" t="s">
        <v>2611</v>
      </c>
      <c r="F1175" s="460" t="s">
        <v>2612</v>
      </c>
      <c r="G1175" s="460"/>
      <c r="H1175" s="461"/>
      <c r="I1175" s="460"/>
      <c r="J1175" s="460"/>
      <c r="K1175" s="460" t="s">
        <v>2613</v>
      </c>
    </row>
    <row r="1176" spans="1:11" ht="14.4">
      <c r="A1176" s="460" t="s">
        <v>1810</v>
      </c>
      <c r="B1176" s="460" t="s">
        <v>1430</v>
      </c>
      <c r="C1176" s="460"/>
      <c r="D1176" s="460" t="s">
        <v>1821</v>
      </c>
      <c r="E1176" s="460" t="s">
        <v>1812</v>
      </c>
      <c r="F1176" s="460" t="s">
        <v>2625</v>
      </c>
      <c r="G1176" s="547">
        <f>ROUND(50,2)</f>
        <v>50</v>
      </c>
      <c r="H1176" s="461"/>
      <c r="I1176" s="547">
        <f>ROUND(50,2)</f>
        <v>50</v>
      </c>
      <c r="J1176" s="460"/>
      <c r="K1176" s="460" t="s">
        <v>2613</v>
      </c>
    </row>
    <row r="1177" spans="1:11" ht="14.4">
      <c r="A1177" s="460" t="s">
        <v>1810</v>
      </c>
      <c r="B1177" s="460" t="s">
        <v>1430</v>
      </c>
      <c r="C1177" s="460"/>
      <c r="D1177" s="460" t="s">
        <v>1821</v>
      </c>
      <c r="E1177" s="460" t="s">
        <v>1812</v>
      </c>
      <c r="F1177" s="460" t="s">
        <v>2612</v>
      </c>
      <c r="G1177" s="460"/>
      <c r="H1177" s="461"/>
      <c r="I1177" s="460"/>
      <c r="J1177" s="460"/>
      <c r="K1177" s="460" t="s">
        <v>2613</v>
      </c>
    </row>
    <row r="1178" spans="1:11" ht="14.4">
      <c r="A1178" s="460" t="s">
        <v>1810</v>
      </c>
      <c r="B1178" s="460" t="s">
        <v>1430</v>
      </c>
      <c r="C1178" s="460"/>
      <c r="D1178" s="460" t="s">
        <v>1821</v>
      </c>
      <c r="E1178" s="460" t="s">
        <v>1812</v>
      </c>
      <c r="F1178" s="460" t="s">
        <v>2623</v>
      </c>
      <c r="G1178" s="547">
        <f>ROUND(500,2)</f>
        <v>500</v>
      </c>
      <c r="H1178" s="461"/>
      <c r="I1178" s="547">
        <f>ROUND(500,2)</f>
        <v>500</v>
      </c>
      <c r="J1178" s="460"/>
      <c r="K1178" s="460" t="s">
        <v>2613</v>
      </c>
    </row>
    <row r="1179" spans="1:11" ht="14.4">
      <c r="A1179" s="460" t="s">
        <v>1810</v>
      </c>
      <c r="B1179" s="460" t="s">
        <v>1430</v>
      </c>
      <c r="C1179" s="460"/>
      <c r="D1179" s="460" t="s">
        <v>1821</v>
      </c>
      <c r="E1179" s="460" t="s">
        <v>1812</v>
      </c>
      <c r="F1179" s="460" t="s">
        <v>2614</v>
      </c>
      <c r="G1179" s="460"/>
      <c r="H1179" s="461" t="s">
        <v>2615</v>
      </c>
      <c r="I1179" s="547">
        <f>ROUND(7,2)</f>
        <v>7</v>
      </c>
      <c r="J1179" s="460" t="s">
        <v>2615</v>
      </c>
      <c r="K1179" s="460" t="s">
        <v>2613</v>
      </c>
    </row>
    <row r="1180" spans="1:11" ht="14.4">
      <c r="A1180" s="460" t="s">
        <v>1810</v>
      </c>
      <c r="B1180" s="460" t="s">
        <v>1430</v>
      </c>
      <c r="C1180" s="460"/>
      <c r="D1180" s="460" t="s">
        <v>1821</v>
      </c>
      <c r="E1180" s="460" t="s">
        <v>1812</v>
      </c>
      <c r="F1180" s="460" t="s">
        <v>2634</v>
      </c>
      <c r="G1180" s="547">
        <f>ROUND(39,2)</f>
        <v>39</v>
      </c>
      <c r="H1180" s="461"/>
      <c r="I1180" s="547">
        <f>ROUND(39,2)</f>
        <v>39</v>
      </c>
      <c r="J1180" s="460"/>
      <c r="K1180" s="460" t="s">
        <v>2613</v>
      </c>
    </row>
    <row r="1181" spans="1:11" ht="14.4">
      <c r="A1181" s="460" t="s">
        <v>1810</v>
      </c>
      <c r="B1181" s="460" t="s">
        <v>1430</v>
      </c>
      <c r="C1181" s="460"/>
      <c r="D1181" s="460" t="s">
        <v>1821</v>
      </c>
      <c r="E1181" s="460" t="s">
        <v>1812</v>
      </c>
      <c r="F1181" s="460" t="s">
        <v>2620</v>
      </c>
      <c r="G1181" s="547">
        <f>ROUND(10.22,2)</f>
        <v>10.220000000000001</v>
      </c>
      <c r="H1181" s="461"/>
      <c r="I1181" s="547">
        <f>ROUND(10.22,2)</f>
        <v>10.220000000000001</v>
      </c>
      <c r="J1181" s="460"/>
      <c r="K1181" s="460" t="s">
        <v>2613</v>
      </c>
    </row>
    <row r="1182" spans="1:11" ht="14.4">
      <c r="A1182" s="460" t="s">
        <v>1810</v>
      </c>
      <c r="B1182" s="460" t="s">
        <v>1430</v>
      </c>
      <c r="C1182" s="460"/>
      <c r="D1182" s="460" t="s">
        <v>1821</v>
      </c>
      <c r="E1182" s="460" t="s">
        <v>1812</v>
      </c>
      <c r="F1182" s="460" t="s">
        <v>2616</v>
      </c>
      <c r="G1182" s="460"/>
      <c r="H1182" s="461"/>
      <c r="I1182" s="460"/>
      <c r="J1182" s="460"/>
      <c r="K1182" s="460" t="s">
        <v>2613</v>
      </c>
    </row>
    <row r="1183" spans="1:11" ht="14.4">
      <c r="A1183" s="460" t="s">
        <v>1810</v>
      </c>
      <c r="B1183" s="460" t="s">
        <v>1704</v>
      </c>
      <c r="C1183" s="460"/>
      <c r="D1183" s="460" t="s">
        <v>1816</v>
      </c>
      <c r="E1183" s="460" t="s">
        <v>2611</v>
      </c>
      <c r="F1183" s="460" t="s">
        <v>2612</v>
      </c>
      <c r="G1183" s="460"/>
      <c r="H1183" s="461"/>
      <c r="I1183" s="460"/>
      <c r="J1183" s="460"/>
      <c r="K1183" s="460" t="s">
        <v>2613</v>
      </c>
    </row>
    <row r="1184" spans="1:11" ht="14.4">
      <c r="A1184" s="460" t="s">
        <v>1810</v>
      </c>
      <c r="B1184" s="460" t="s">
        <v>1674</v>
      </c>
      <c r="C1184" s="460"/>
      <c r="D1184" s="460" t="s">
        <v>1816</v>
      </c>
      <c r="E1184" s="460" t="s">
        <v>2611</v>
      </c>
      <c r="F1184" s="460" t="s">
        <v>2612</v>
      </c>
      <c r="G1184" s="460"/>
      <c r="H1184" s="461"/>
      <c r="I1184" s="460"/>
      <c r="J1184" s="460"/>
      <c r="K1184" s="460" t="s">
        <v>2613</v>
      </c>
    </row>
    <row r="1185" spans="1:11" ht="14.4">
      <c r="A1185" s="460" t="s">
        <v>1810</v>
      </c>
      <c r="B1185" s="460" t="s">
        <v>1431</v>
      </c>
      <c r="C1185" s="460"/>
      <c r="D1185" s="460" t="s">
        <v>1821</v>
      </c>
      <c r="E1185" s="460" t="s">
        <v>1812</v>
      </c>
      <c r="F1185" s="460" t="s">
        <v>2625</v>
      </c>
      <c r="G1185" s="547">
        <f>ROUND(37.5,2)</f>
        <v>37.5</v>
      </c>
      <c r="H1185" s="461"/>
      <c r="I1185" s="547">
        <f>ROUND(37.5,2)</f>
        <v>37.5</v>
      </c>
      <c r="J1185" s="460"/>
      <c r="K1185" s="460" t="s">
        <v>2613</v>
      </c>
    </row>
    <row r="1186" spans="1:11" ht="14.4">
      <c r="A1186" s="460" t="s">
        <v>1810</v>
      </c>
      <c r="B1186" s="460" t="s">
        <v>1431</v>
      </c>
      <c r="C1186" s="460"/>
      <c r="D1186" s="460" t="s">
        <v>1821</v>
      </c>
      <c r="E1186" s="460" t="s">
        <v>1812</v>
      </c>
      <c r="F1186" s="460" t="s">
        <v>2612</v>
      </c>
      <c r="G1186" s="460"/>
      <c r="H1186" s="461"/>
      <c r="I1186" s="460"/>
      <c r="J1186" s="460"/>
      <c r="K1186" s="460" t="s">
        <v>2613</v>
      </c>
    </row>
    <row r="1187" spans="1:11" ht="14.4">
      <c r="A1187" s="460" t="s">
        <v>1810</v>
      </c>
      <c r="B1187" s="460" t="s">
        <v>1431</v>
      </c>
      <c r="C1187" s="460"/>
      <c r="D1187" s="460" t="s">
        <v>1821</v>
      </c>
      <c r="E1187" s="460" t="s">
        <v>1812</v>
      </c>
      <c r="F1187" s="460" t="s">
        <v>2644</v>
      </c>
      <c r="G1187" s="547">
        <f>ROUND(1800,2)</f>
        <v>1800</v>
      </c>
      <c r="H1187" s="461"/>
      <c r="I1187" s="547">
        <f>ROUND(1800,2)</f>
        <v>1800</v>
      </c>
      <c r="J1187" s="460"/>
      <c r="K1187" s="460" t="s">
        <v>2613</v>
      </c>
    </row>
    <row r="1188" spans="1:11" ht="14.4">
      <c r="A1188" s="460" t="s">
        <v>1810</v>
      </c>
      <c r="B1188" s="460" t="s">
        <v>1431</v>
      </c>
      <c r="C1188" s="460"/>
      <c r="D1188" s="460" t="s">
        <v>1821</v>
      </c>
      <c r="E1188" s="460" t="s">
        <v>1812</v>
      </c>
      <c r="F1188" s="460" t="s">
        <v>2614</v>
      </c>
      <c r="G1188" s="460"/>
      <c r="H1188" s="461" t="s">
        <v>2615</v>
      </c>
      <c r="I1188" s="547">
        <f>ROUND(7,2)</f>
        <v>7</v>
      </c>
      <c r="J1188" s="460" t="s">
        <v>2615</v>
      </c>
      <c r="K1188" s="460" t="s">
        <v>2613</v>
      </c>
    </row>
    <row r="1189" spans="1:11" ht="14.4">
      <c r="A1189" s="460" t="s">
        <v>1810</v>
      </c>
      <c r="B1189" s="460" t="s">
        <v>1431</v>
      </c>
      <c r="C1189" s="460"/>
      <c r="D1189" s="460" t="s">
        <v>1821</v>
      </c>
      <c r="E1189" s="460" t="s">
        <v>1812</v>
      </c>
      <c r="F1189" s="460" t="s">
        <v>2620</v>
      </c>
      <c r="G1189" s="547">
        <f>ROUND(10.22,2)</f>
        <v>10.220000000000001</v>
      </c>
      <c r="H1189" s="461"/>
      <c r="I1189" s="547">
        <f>ROUND(10.22,2)</f>
        <v>10.220000000000001</v>
      </c>
      <c r="J1189" s="460"/>
      <c r="K1189" s="460" t="s">
        <v>2613</v>
      </c>
    </row>
    <row r="1190" spans="1:11" ht="14.4">
      <c r="A1190" s="460" t="s">
        <v>1810</v>
      </c>
      <c r="B1190" s="460" t="s">
        <v>1431</v>
      </c>
      <c r="C1190" s="460"/>
      <c r="D1190" s="460" t="s">
        <v>1821</v>
      </c>
      <c r="E1190" s="460" t="s">
        <v>1812</v>
      </c>
      <c r="F1190" s="460" t="s">
        <v>2616</v>
      </c>
      <c r="G1190" s="460"/>
      <c r="H1190" s="461"/>
      <c r="I1190" s="460"/>
      <c r="J1190" s="460"/>
      <c r="K1190" s="460" t="s">
        <v>2613</v>
      </c>
    </row>
    <row r="1191" spans="1:11" ht="14.4">
      <c r="A1191" s="460" t="s">
        <v>1810</v>
      </c>
      <c r="B1191" s="460" t="s">
        <v>2451</v>
      </c>
      <c r="C1191" s="460"/>
      <c r="D1191" s="460" t="s">
        <v>1816</v>
      </c>
      <c r="E1191" s="460" t="s">
        <v>2611</v>
      </c>
      <c r="F1191" s="460" t="s">
        <v>2612</v>
      </c>
      <c r="G1191" s="460"/>
      <c r="H1191" s="461"/>
      <c r="I1191" s="460"/>
      <c r="J1191" s="460"/>
      <c r="K1191" s="460" t="s">
        <v>2613</v>
      </c>
    </row>
    <row r="1192" spans="1:11" ht="14.4">
      <c r="A1192" s="460" t="s">
        <v>1810</v>
      </c>
      <c r="B1192" s="460" t="s">
        <v>2562</v>
      </c>
      <c r="C1192" s="460"/>
      <c r="D1192" s="460" t="s">
        <v>1816</v>
      </c>
      <c r="E1192" s="460" t="s">
        <v>2611</v>
      </c>
      <c r="F1192" s="460" t="s">
        <v>2612</v>
      </c>
      <c r="G1192" s="460"/>
      <c r="H1192" s="461"/>
      <c r="I1192" s="460"/>
      <c r="J1192" s="460"/>
      <c r="K1192" s="460" t="s">
        <v>2613</v>
      </c>
    </row>
    <row r="1193" spans="1:11" ht="14.4">
      <c r="A1193" s="460" t="s">
        <v>1810</v>
      </c>
      <c r="B1193" s="460" t="s">
        <v>2445</v>
      </c>
      <c r="C1193" s="460"/>
      <c r="D1193" s="460" t="s">
        <v>1816</v>
      </c>
      <c r="E1193" s="460" t="s">
        <v>2611</v>
      </c>
      <c r="F1193" s="460" t="s">
        <v>2612</v>
      </c>
      <c r="G1193" s="460"/>
      <c r="H1193" s="461"/>
      <c r="I1193" s="460"/>
      <c r="J1193" s="460"/>
      <c r="K1193" s="460" t="s">
        <v>2613</v>
      </c>
    </row>
    <row r="1194" spans="1:11" ht="14.4">
      <c r="A1194" s="460" t="s">
        <v>1810</v>
      </c>
      <c r="B1194" s="460" t="s">
        <v>2484</v>
      </c>
      <c r="C1194" s="460"/>
      <c r="D1194" s="460" t="s">
        <v>1814</v>
      </c>
      <c r="E1194" s="460" t="s">
        <v>1812</v>
      </c>
      <c r="F1194" s="460" t="s">
        <v>2619</v>
      </c>
      <c r="G1194" s="460"/>
      <c r="H1194" s="461" t="s">
        <v>2653</v>
      </c>
      <c r="I1194" s="547">
        <f>ROUND(90,2)</f>
        <v>90</v>
      </c>
      <c r="J1194" s="460" t="s">
        <v>2653</v>
      </c>
      <c r="K1194" s="460" t="s">
        <v>2613</v>
      </c>
    </row>
    <row r="1195" spans="1:11" ht="14.4">
      <c r="A1195" s="460" t="s">
        <v>1810</v>
      </c>
      <c r="B1195" s="460" t="s">
        <v>2484</v>
      </c>
      <c r="C1195" s="460"/>
      <c r="D1195" s="460" t="s">
        <v>1814</v>
      </c>
      <c r="E1195" s="460" t="s">
        <v>1812</v>
      </c>
      <c r="F1195" s="460" t="s">
        <v>2623</v>
      </c>
      <c r="G1195" s="460"/>
      <c r="H1195" s="461" t="s">
        <v>2651</v>
      </c>
      <c r="I1195" s="547">
        <f>ROUND(10,2)</f>
        <v>10</v>
      </c>
      <c r="J1195" s="460" t="s">
        <v>2651</v>
      </c>
      <c r="K1195" s="460" t="s">
        <v>2613</v>
      </c>
    </row>
    <row r="1196" spans="1:11" ht="14.4">
      <c r="A1196" s="460" t="s">
        <v>1810</v>
      </c>
      <c r="B1196" s="460" t="s">
        <v>2484</v>
      </c>
      <c r="C1196" s="460"/>
      <c r="D1196" s="460" t="s">
        <v>1814</v>
      </c>
      <c r="E1196" s="460" t="s">
        <v>1812</v>
      </c>
      <c r="F1196" s="460" t="s">
        <v>2626</v>
      </c>
      <c r="G1196" s="547">
        <f>ROUND(10,2)</f>
        <v>10</v>
      </c>
      <c r="H1196" s="461"/>
      <c r="I1196" s="547">
        <f>ROUND(10,2)</f>
        <v>10</v>
      </c>
      <c r="J1196" s="460"/>
      <c r="K1196" s="460" t="s">
        <v>2613</v>
      </c>
    </row>
    <row r="1197" spans="1:11" ht="14.4">
      <c r="A1197" s="460" t="s">
        <v>1810</v>
      </c>
      <c r="B1197" s="460" t="s">
        <v>2484</v>
      </c>
      <c r="C1197" s="460"/>
      <c r="D1197" s="460" t="s">
        <v>1814</v>
      </c>
      <c r="E1197" s="460" t="s">
        <v>1812</v>
      </c>
      <c r="F1197" s="460" t="s">
        <v>2616</v>
      </c>
      <c r="G1197" s="460"/>
      <c r="H1197" s="461"/>
      <c r="I1197" s="460"/>
      <c r="J1197" s="460"/>
      <c r="K1197" s="460" t="s">
        <v>2613</v>
      </c>
    </row>
    <row r="1198" spans="1:11" ht="14.4">
      <c r="A1198" s="460" t="s">
        <v>1810</v>
      </c>
      <c r="B1198" s="460" t="s">
        <v>2484</v>
      </c>
      <c r="C1198" s="460"/>
      <c r="D1198" s="460" t="s">
        <v>1814</v>
      </c>
      <c r="E1198" s="460" t="s">
        <v>1812</v>
      </c>
      <c r="F1198" s="460" t="s">
        <v>2632</v>
      </c>
      <c r="G1198" s="547">
        <f>ROUND(166.67,2)</f>
        <v>166.67</v>
      </c>
      <c r="H1198" s="461"/>
      <c r="I1198" s="547">
        <f>ROUND(166.67,2)</f>
        <v>166.67</v>
      </c>
      <c r="J1198" s="460"/>
      <c r="K1198" s="460" t="s">
        <v>2613</v>
      </c>
    </row>
    <row r="1199" spans="1:11" ht="14.4">
      <c r="A1199" s="460" t="s">
        <v>1810</v>
      </c>
      <c r="B1199" s="460" t="s">
        <v>2484</v>
      </c>
      <c r="C1199" s="460"/>
      <c r="D1199" s="460" t="s">
        <v>1814</v>
      </c>
      <c r="E1199" s="460" t="s">
        <v>1812</v>
      </c>
      <c r="F1199" s="460" t="s">
        <v>2620</v>
      </c>
      <c r="G1199" s="547">
        <f>ROUND(10.22,2)</f>
        <v>10.220000000000001</v>
      </c>
      <c r="H1199" s="461"/>
      <c r="I1199" s="547">
        <f>ROUND(10.22,2)</f>
        <v>10.220000000000001</v>
      </c>
      <c r="J1199" s="460"/>
      <c r="K1199" s="460" t="s">
        <v>2613</v>
      </c>
    </row>
    <row r="1200" spans="1:11" ht="14.4">
      <c r="A1200" s="460" t="s">
        <v>1810</v>
      </c>
      <c r="B1200" s="460" t="s">
        <v>2484</v>
      </c>
      <c r="C1200" s="460"/>
      <c r="D1200" s="460" t="s">
        <v>1814</v>
      </c>
      <c r="E1200" s="460" t="s">
        <v>1812</v>
      </c>
      <c r="F1200" s="460" t="s">
        <v>2614</v>
      </c>
      <c r="G1200" s="460"/>
      <c r="H1200" s="461" t="s">
        <v>2615</v>
      </c>
      <c r="I1200" s="547">
        <f>ROUND(7,2)</f>
        <v>7</v>
      </c>
      <c r="J1200" s="460" t="s">
        <v>2615</v>
      </c>
      <c r="K1200" s="460" t="s">
        <v>2613</v>
      </c>
    </row>
    <row r="1201" spans="1:11" ht="14.4">
      <c r="A1201" s="460" t="s">
        <v>1810</v>
      </c>
      <c r="B1201" s="460" t="s">
        <v>1434</v>
      </c>
      <c r="C1201" s="460"/>
      <c r="D1201" s="460" t="s">
        <v>1821</v>
      </c>
      <c r="E1201" s="460" t="s">
        <v>1812</v>
      </c>
      <c r="F1201" s="460" t="s">
        <v>2625</v>
      </c>
      <c r="G1201" s="547">
        <f>ROUND(37.5,2)</f>
        <v>37.5</v>
      </c>
      <c r="H1201" s="461"/>
      <c r="I1201" s="547">
        <f>ROUND(37.5,2)</f>
        <v>37.5</v>
      </c>
      <c r="J1201" s="460"/>
      <c r="K1201" s="460" t="s">
        <v>2613</v>
      </c>
    </row>
    <row r="1202" spans="1:11" ht="14.4">
      <c r="A1202" s="460" t="s">
        <v>1810</v>
      </c>
      <c r="B1202" s="460" t="s">
        <v>1434</v>
      </c>
      <c r="C1202" s="460"/>
      <c r="D1202" s="460" t="s">
        <v>1821</v>
      </c>
      <c r="E1202" s="460" t="s">
        <v>1812</v>
      </c>
      <c r="F1202" s="460" t="s">
        <v>2612</v>
      </c>
      <c r="G1202" s="460"/>
      <c r="H1202" s="461"/>
      <c r="I1202" s="460"/>
      <c r="J1202" s="460"/>
      <c r="K1202" s="460" t="s">
        <v>2613</v>
      </c>
    </row>
    <row r="1203" spans="1:11" ht="14.4">
      <c r="A1203" s="460" t="s">
        <v>1810</v>
      </c>
      <c r="B1203" s="460" t="s">
        <v>1434</v>
      </c>
      <c r="C1203" s="460"/>
      <c r="D1203" s="460" t="s">
        <v>1821</v>
      </c>
      <c r="E1203" s="460" t="s">
        <v>1812</v>
      </c>
      <c r="F1203" s="460" t="s">
        <v>2614</v>
      </c>
      <c r="G1203" s="460"/>
      <c r="H1203" s="461" t="s">
        <v>2615</v>
      </c>
      <c r="I1203" s="547">
        <f>ROUND(7,2)</f>
        <v>7</v>
      </c>
      <c r="J1203" s="460" t="s">
        <v>2615</v>
      </c>
      <c r="K1203" s="460" t="s">
        <v>2613</v>
      </c>
    </row>
    <row r="1204" spans="1:11" ht="14.4">
      <c r="A1204" s="460" t="s">
        <v>1810</v>
      </c>
      <c r="B1204" s="460" t="s">
        <v>1434</v>
      </c>
      <c r="C1204" s="460"/>
      <c r="D1204" s="460" t="s">
        <v>1821</v>
      </c>
      <c r="E1204" s="460" t="s">
        <v>1812</v>
      </c>
      <c r="F1204" s="460" t="s">
        <v>2634</v>
      </c>
      <c r="G1204" s="547">
        <f>ROUND(29,2)</f>
        <v>29</v>
      </c>
      <c r="H1204" s="461"/>
      <c r="I1204" s="547">
        <f>ROUND(29,2)</f>
        <v>29</v>
      </c>
      <c r="J1204" s="460"/>
      <c r="K1204" s="460" t="s">
        <v>2613</v>
      </c>
    </row>
    <row r="1205" spans="1:11" ht="14.4">
      <c r="A1205" s="460" t="s">
        <v>1810</v>
      </c>
      <c r="B1205" s="460" t="s">
        <v>1434</v>
      </c>
      <c r="C1205" s="460"/>
      <c r="D1205" s="460" t="s">
        <v>1821</v>
      </c>
      <c r="E1205" s="460" t="s">
        <v>1812</v>
      </c>
      <c r="F1205" s="460" t="s">
        <v>2616</v>
      </c>
      <c r="G1205" s="460"/>
      <c r="H1205" s="461"/>
      <c r="I1205" s="460"/>
      <c r="J1205" s="460"/>
      <c r="K1205" s="460" t="s">
        <v>2613</v>
      </c>
    </row>
    <row r="1206" spans="1:11" ht="14.4">
      <c r="A1206" s="460" t="s">
        <v>1810</v>
      </c>
      <c r="B1206" s="460" t="s">
        <v>1434</v>
      </c>
      <c r="C1206" s="460"/>
      <c r="D1206" s="460" t="s">
        <v>1821</v>
      </c>
      <c r="E1206" s="460" t="s">
        <v>1812</v>
      </c>
      <c r="F1206" s="460" t="s">
        <v>2617</v>
      </c>
      <c r="G1206" s="547">
        <f>ROUND(75,2)</f>
        <v>75</v>
      </c>
      <c r="H1206" s="461"/>
      <c r="I1206" s="547">
        <f>ROUND(75,2)</f>
        <v>75</v>
      </c>
      <c r="J1206" s="460"/>
      <c r="K1206" s="460" t="s">
        <v>2613</v>
      </c>
    </row>
    <row r="1207" spans="1:11" ht="14.4">
      <c r="A1207" s="460" t="s">
        <v>1810</v>
      </c>
      <c r="B1207" s="460" t="s">
        <v>1434</v>
      </c>
      <c r="C1207" s="460"/>
      <c r="D1207" s="460" t="s">
        <v>1821</v>
      </c>
      <c r="E1207" s="460" t="s">
        <v>1812</v>
      </c>
      <c r="F1207" s="460" t="s">
        <v>2618</v>
      </c>
      <c r="G1207" s="547">
        <f>ROUND(25,2)</f>
        <v>25</v>
      </c>
      <c r="H1207" s="461"/>
      <c r="I1207" s="547">
        <f>ROUND(25,2)</f>
        <v>25</v>
      </c>
      <c r="J1207" s="460"/>
      <c r="K1207" s="460" t="s">
        <v>2613</v>
      </c>
    </row>
    <row r="1208" spans="1:11" ht="14.4">
      <c r="A1208" s="460" t="s">
        <v>1810</v>
      </c>
      <c r="B1208" s="460" t="s">
        <v>1687</v>
      </c>
      <c r="C1208" s="460"/>
      <c r="D1208" s="460" t="s">
        <v>1816</v>
      </c>
      <c r="E1208" s="460" t="s">
        <v>2611</v>
      </c>
      <c r="F1208" s="460" t="s">
        <v>2612</v>
      </c>
      <c r="G1208" s="460"/>
      <c r="H1208" s="461"/>
      <c r="I1208" s="460"/>
      <c r="J1208" s="460"/>
      <c r="K1208" s="460" t="s">
        <v>2613</v>
      </c>
    </row>
    <row r="1209" spans="1:11" ht="22.8">
      <c r="A1209" s="460" t="s">
        <v>1810</v>
      </c>
      <c r="B1209" s="460" t="s">
        <v>1435</v>
      </c>
      <c r="C1209" s="460"/>
      <c r="D1209" s="460" t="s">
        <v>1813</v>
      </c>
      <c r="E1209" s="460" t="s">
        <v>1812</v>
      </c>
      <c r="F1209" s="460" t="s">
        <v>2612</v>
      </c>
      <c r="G1209" s="460"/>
      <c r="H1209" s="461"/>
      <c r="I1209" s="460"/>
      <c r="J1209" s="460"/>
      <c r="K1209" s="460" t="s">
        <v>2613</v>
      </c>
    </row>
    <row r="1210" spans="1:11" ht="22.8">
      <c r="A1210" s="460" t="s">
        <v>1810</v>
      </c>
      <c r="B1210" s="460" t="s">
        <v>1435</v>
      </c>
      <c r="C1210" s="460"/>
      <c r="D1210" s="460" t="s">
        <v>1813</v>
      </c>
      <c r="E1210" s="460" t="s">
        <v>1812</v>
      </c>
      <c r="F1210" s="460" t="s">
        <v>2614</v>
      </c>
      <c r="G1210" s="460"/>
      <c r="H1210" s="461" t="s">
        <v>2615</v>
      </c>
      <c r="I1210" s="547">
        <f>ROUND(7,2)</f>
        <v>7</v>
      </c>
      <c r="J1210" s="460" t="s">
        <v>2615</v>
      </c>
      <c r="K1210" s="460" t="s">
        <v>2613</v>
      </c>
    </row>
    <row r="1211" spans="1:11" ht="14.4">
      <c r="A1211" s="460" t="s">
        <v>1810</v>
      </c>
      <c r="B1211" s="460" t="s">
        <v>2920</v>
      </c>
      <c r="C1211" s="460"/>
      <c r="D1211" s="460" t="s">
        <v>1816</v>
      </c>
      <c r="E1211" s="460" t="s">
        <v>2611</v>
      </c>
      <c r="F1211" s="460" t="s">
        <v>2612</v>
      </c>
      <c r="G1211" s="460"/>
      <c r="H1211" s="461"/>
      <c r="I1211" s="460"/>
      <c r="J1211" s="460"/>
      <c r="K1211" s="460" t="s">
        <v>2613</v>
      </c>
    </row>
    <row r="1212" spans="1:11" ht="14.4">
      <c r="A1212" s="460" t="s">
        <v>1810</v>
      </c>
      <c r="B1212" s="460" t="s">
        <v>2444</v>
      </c>
      <c r="C1212" s="460"/>
      <c r="D1212" s="460" t="s">
        <v>1816</v>
      </c>
      <c r="E1212" s="460" t="s">
        <v>2611</v>
      </c>
      <c r="F1212" s="460" t="s">
        <v>2612</v>
      </c>
      <c r="G1212" s="460"/>
      <c r="H1212" s="461"/>
      <c r="I1212" s="460"/>
      <c r="J1212" s="460"/>
      <c r="K1212" s="460" t="s">
        <v>2613</v>
      </c>
    </row>
    <row r="1213" spans="1:11" ht="14.4">
      <c r="A1213" s="460" t="s">
        <v>1810</v>
      </c>
      <c r="B1213" s="460" t="s">
        <v>2422</v>
      </c>
      <c r="C1213" s="460"/>
      <c r="D1213" s="460" t="s">
        <v>1818</v>
      </c>
      <c r="E1213" s="460" t="s">
        <v>1812</v>
      </c>
      <c r="F1213" s="460" t="s">
        <v>2612</v>
      </c>
      <c r="G1213" s="460"/>
      <c r="H1213" s="461"/>
      <c r="I1213" s="460"/>
      <c r="J1213" s="460"/>
      <c r="K1213" s="460" t="s">
        <v>2613</v>
      </c>
    </row>
    <row r="1214" spans="1:11" ht="14.4">
      <c r="A1214" s="460" t="s">
        <v>1810</v>
      </c>
      <c r="B1214" s="460" t="s">
        <v>2422</v>
      </c>
      <c r="C1214" s="460"/>
      <c r="D1214" s="460" t="s">
        <v>1818</v>
      </c>
      <c r="E1214" s="460" t="s">
        <v>1812</v>
      </c>
      <c r="F1214" s="460" t="s">
        <v>2614</v>
      </c>
      <c r="G1214" s="460"/>
      <c r="H1214" s="461" t="s">
        <v>2615</v>
      </c>
      <c r="I1214" s="547">
        <f>ROUND(7,2)</f>
        <v>7</v>
      </c>
      <c r="J1214" s="460" t="s">
        <v>2615</v>
      </c>
      <c r="K1214" s="460" t="s">
        <v>2613</v>
      </c>
    </row>
    <row r="1215" spans="1:11" ht="14.4">
      <c r="A1215" s="460" t="s">
        <v>1810</v>
      </c>
      <c r="B1215" s="460" t="s">
        <v>2422</v>
      </c>
      <c r="C1215" s="460"/>
      <c r="D1215" s="460" t="s">
        <v>1818</v>
      </c>
      <c r="E1215" s="460" t="s">
        <v>1812</v>
      </c>
      <c r="F1215" s="460" t="s">
        <v>2627</v>
      </c>
      <c r="G1215" s="547">
        <f>ROUND(50,2)</f>
        <v>50</v>
      </c>
      <c r="H1215" s="461"/>
      <c r="I1215" s="547">
        <f>ROUND(50,2)</f>
        <v>50</v>
      </c>
      <c r="J1215" s="460"/>
      <c r="K1215" s="460" t="s">
        <v>2613</v>
      </c>
    </row>
    <row r="1216" spans="1:11" ht="14.4">
      <c r="A1216" s="460" t="s">
        <v>1810</v>
      </c>
      <c r="B1216" s="460" t="s">
        <v>2422</v>
      </c>
      <c r="C1216" s="460"/>
      <c r="D1216" s="460" t="s">
        <v>1818</v>
      </c>
      <c r="E1216" s="460" t="s">
        <v>1812</v>
      </c>
      <c r="F1216" s="460" t="s">
        <v>2616</v>
      </c>
      <c r="G1216" s="460"/>
      <c r="H1216" s="461"/>
      <c r="I1216" s="460"/>
      <c r="J1216" s="460"/>
      <c r="K1216" s="460" t="s">
        <v>2613</v>
      </c>
    </row>
    <row r="1217" spans="1:11" ht="14.4">
      <c r="A1217" s="460" t="s">
        <v>1810</v>
      </c>
      <c r="B1217" s="460" t="s">
        <v>1438</v>
      </c>
      <c r="C1217" s="460"/>
      <c r="D1217" s="460" t="s">
        <v>1814</v>
      </c>
      <c r="E1217" s="460" t="s">
        <v>1812</v>
      </c>
      <c r="F1217" s="460" t="s">
        <v>2625</v>
      </c>
      <c r="G1217" s="547">
        <f>ROUND(50,2)</f>
        <v>50</v>
      </c>
      <c r="H1217" s="461"/>
      <c r="I1217" s="547">
        <f>ROUND(50,2)</f>
        <v>50</v>
      </c>
      <c r="J1217" s="460"/>
      <c r="K1217" s="460" t="s">
        <v>2613</v>
      </c>
    </row>
    <row r="1218" spans="1:11" ht="14.4">
      <c r="A1218" s="460" t="s">
        <v>1810</v>
      </c>
      <c r="B1218" s="460" t="s">
        <v>1438</v>
      </c>
      <c r="C1218" s="460"/>
      <c r="D1218" s="460" t="s">
        <v>1814</v>
      </c>
      <c r="E1218" s="460" t="s">
        <v>1812</v>
      </c>
      <c r="F1218" s="460" t="s">
        <v>2629</v>
      </c>
      <c r="G1218" s="547">
        <f>ROUND(40,2)</f>
        <v>40</v>
      </c>
      <c r="H1218" s="461"/>
      <c r="I1218" s="547">
        <f>ROUND(40,2)</f>
        <v>40</v>
      </c>
      <c r="J1218" s="460"/>
      <c r="K1218" s="460" t="s">
        <v>2613</v>
      </c>
    </row>
    <row r="1219" spans="1:11" ht="14.4">
      <c r="A1219" s="460" t="s">
        <v>1810</v>
      </c>
      <c r="B1219" s="460" t="s">
        <v>1438</v>
      </c>
      <c r="C1219" s="460"/>
      <c r="D1219" s="460" t="s">
        <v>1814</v>
      </c>
      <c r="E1219" s="460" t="s">
        <v>1812</v>
      </c>
      <c r="F1219" s="460" t="s">
        <v>2612</v>
      </c>
      <c r="G1219" s="460"/>
      <c r="H1219" s="461"/>
      <c r="I1219" s="460"/>
      <c r="J1219" s="460"/>
      <c r="K1219" s="460" t="s">
        <v>2613</v>
      </c>
    </row>
    <row r="1220" spans="1:11" ht="14.4">
      <c r="A1220" s="460" t="s">
        <v>1810</v>
      </c>
      <c r="B1220" s="460" t="s">
        <v>1438</v>
      </c>
      <c r="C1220" s="460"/>
      <c r="D1220" s="460" t="s">
        <v>1814</v>
      </c>
      <c r="E1220" s="460" t="s">
        <v>1812</v>
      </c>
      <c r="F1220" s="460" t="s">
        <v>2623</v>
      </c>
      <c r="G1220" s="547">
        <f>ROUND(35,2)</f>
        <v>35</v>
      </c>
      <c r="H1220" s="461"/>
      <c r="I1220" s="547">
        <f>ROUND(35,2)</f>
        <v>35</v>
      </c>
      <c r="J1220" s="460"/>
      <c r="K1220" s="460" t="s">
        <v>2613</v>
      </c>
    </row>
    <row r="1221" spans="1:11" ht="14.4">
      <c r="A1221" s="460" t="s">
        <v>1810</v>
      </c>
      <c r="B1221" s="460" t="s">
        <v>1438</v>
      </c>
      <c r="C1221" s="460"/>
      <c r="D1221" s="460" t="s">
        <v>1814</v>
      </c>
      <c r="E1221" s="460" t="s">
        <v>1812</v>
      </c>
      <c r="F1221" s="460" t="s">
        <v>2614</v>
      </c>
      <c r="G1221" s="460"/>
      <c r="H1221" s="461" t="s">
        <v>2615</v>
      </c>
      <c r="I1221" s="547">
        <f>ROUND(7,2)</f>
        <v>7</v>
      </c>
      <c r="J1221" s="460" t="s">
        <v>2615</v>
      </c>
      <c r="K1221" s="460" t="s">
        <v>2613</v>
      </c>
    </row>
    <row r="1222" spans="1:11" ht="14.4">
      <c r="A1222" s="460" t="s">
        <v>1810</v>
      </c>
      <c r="B1222" s="460" t="s">
        <v>1438</v>
      </c>
      <c r="C1222" s="460"/>
      <c r="D1222" s="460" t="s">
        <v>1814</v>
      </c>
      <c r="E1222" s="460" t="s">
        <v>1812</v>
      </c>
      <c r="F1222" s="460" t="s">
        <v>2627</v>
      </c>
      <c r="G1222" s="547">
        <f>ROUND(175,2)</f>
        <v>175</v>
      </c>
      <c r="H1222" s="461"/>
      <c r="I1222" s="547">
        <f>ROUND(175,2)</f>
        <v>175</v>
      </c>
      <c r="J1222" s="460"/>
      <c r="K1222" s="460" t="s">
        <v>2613</v>
      </c>
    </row>
    <row r="1223" spans="1:11" ht="14.4">
      <c r="A1223" s="460" t="s">
        <v>1810</v>
      </c>
      <c r="B1223" s="460" t="s">
        <v>1438</v>
      </c>
      <c r="C1223" s="460"/>
      <c r="D1223" s="460" t="s">
        <v>1814</v>
      </c>
      <c r="E1223" s="460" t="s">
        <v>1812</v>
      </c>
      <c r="F1223" s="460" t="s">
        <v>2626</v>
      </c>
      <c r="G1223" s="547">
        <f>ROUND(10,2)</f>
        <v>10</v>
      </c>
      <c r="H1223" s="461"/>
      <c r="I1223" s="547">
        <f>ROUND(10,2)</f>
        <v>10</v>
      </c>
      <c r="J1223" s="460"/>
      <c r="K1223" s="460" t="s">
        <v>2613</v>
      </c>
    </row>
    <row r="1224" spans="1:11" ht="14.4">
      <c r="A1224" s="460" t="s">
        <v>1810</v>
      </c>
      <c r="B1224" s="460" t="s">
        <v>1438</v>
      </c>
      <c r="C1224" s="460"/>
      <c r="D1224" s="460" t="s">
        <v>1814</v>
      </c>
      <c r="E1224" s="460" t="s">
        <v>1812</v>
      </c>
      <c r="F1224" s="460" t="s">
        <v>2616</v>
      </c>
      <c r="G1224" s="460"/>
      <c r="H1224" s="461"/>
      <c r="I1224" s="460"/>
      <c r="J1224" s="460"/>
      <c r="K1224" s="460" t="s">
        <v>2613</v>
      </c>
    </row>
    <row r="1225" spans="1:11" ht="14.4">
      <c r="A1225" s="460" t="s">
        <v>1810</v>
      </c>
      <c r="B1225" s="460" t="s">
        <v>2556</v>
      </c>
      <c r="C1225" s="460"/>
      <c r="D1225" s="460" t="s">
        <v>1816</v>
      </c>
      <c r="E1225" s="460" t="s">
        <v>2611</v>
      </c>
      <c r="F1225" s="460" t="s">
        <v>2612</v>
      </c>
      <c r="G1225" s="460"/>
      <c r="H1225" s="461"/>
      <c r="I1225" s="460"/>
      <c r="J1225" s="460"/>
      <c r="K1225" s="460" t="s">
        <v>2613</v>
      </c>
    </row>
    <row r="1226" spans="1:11" ht="14.4">
      <c r="A1226" s="460" t="s">
        <v>1810</v>
      </c>
      <c r="B1226" s="460" t="s">
        <v>2913</v>
      </c>
      <c r="C1226" s="460"/>
      <c r="D1226" s="460" t="s">
        <v>1816</v>
      </c>
      <c r="E1226" s="460" t="s">
        <v>2611</v>
      </c>
      <c r="F1226" s="460" t="s">
        <v>2612</v>
      </c>
      <c r="G1226" s="460"/>
      <c r="H1226" s="461"/>
      <c r="I1226" s="460"/>
      <c r="J1226" s="460"/>
      <c r="K1226" s="460" t="s">
        <v>2613</v>
      </c>
    </row>
    <row r="1227" spans="1:11" ht="14.4">
      <c r="A1227" s="460" t="s">
        <v>1810</v>
      </c>
      <c r="B1227" s="460" t="s">
        <v>2953</v>
      </c>
      <c r="C1227" s="460"/>
      <c r="D1227" s="460" t="s">
        <v>1816</v>
      </c>
      <c r="E1227" s="460" t="s">
        <v>2611</v>
      </c>
      <c r="F1227" s="460" t="s">
        <v>2612</v>
      </c>
      <c r="G1227" s="460"/>
      <c r="H1227" s="461"/>
      <c r="I1227" s="460"/>
      <c r="J1227" s="460"/>
      <c r="K1227" s="460" t="s">
        <v>2613</v>
      </c>
    </row>
    <row r="1228" spans="1:11" ht="14.4">
      <c r="A1228" s="460" t="s">
        <v>1810</v>
      </c>
      <c r="B1228" s="460" t="s">
        <v>1686</v>
      </c>
      <c r="C1228" s="460"/>
      <c r="D1228" s="460" t="s">
        <v>1816</v>
      </c>
      <c r="E1228" s="460" t="s">
        <v>2611</v>
      </c>
      <c r="F1228" s="460" t="s">
        <v>2612</v>
      </c>
      <c r="G1228" s="460"/>
      <c r="H1228" s="461"/>
      <c r="I1228" s="460"/>
      <c r="J1228" s="460"/>
      <c r="K1228" s="460" t="s">
        <v>2613</v>
      </c>
    </row>
    <row r="1229" spans="1:11" ht="14.4">
      <c r="A1229" s="460" t="s">
        <v>1810</v>
      </c>
      <c r="B1229" s="460" t="s">
        <v>1440</v>
      </c>
      <c r="C1229" s="460"/>
      <c r="D1229" s="460" t="s">
        <v>1821</v>
      </c>
      <c r="E1229" s="460" t="s">
        <v>1812</v>
      </c>
      <c r="F1229" s="460" t="s">
        <v>2625</v>
      </c>
      <c r="G1229" s="547">
        <f>ROUND(50,2)</f>
        <v>50</v>
      </c>
      <c r="H1229" s="461"/>
      <c r="I1229" s="547">
        <f>ROUND(50,2)</f>
        <v>50</v>
      </c>
      <c r="J1229" s="460"/>
      <c r="K1229" s="460" t="s">
        <v>2613</v>
      </c>
    </row>
    <row r="1230" spans="1:11" ht="14.4">
      <c r="A1230" s="460" t="s">
        <v>1810</v>
      </c>
      <c r="B1230" s="460" t="s">
        <v>1440</v>
      </c>
      <c r="C1230" s="460"/>
      <c r="D1230" s="460" t="s">
        <v>1821</v>
      </c>
      <c r="E1230" s="460" t="s">
        <v>1812</v>
      </c>
      <c r="F1230" s="460" t="s">
        <v>2612</v>
      </c>
      <c r="G1230" s="460"/>
      <c r="H1230" s="461"/>
      <c r="I1230" s="460"/>
      <c r="J1230" s="460"/>
      <c r="K1230" s="460" t="s">
        <v>2613</v>
      </c>
    </row>
    <row r="1231" spans="1:11" ht="14.4">
      <c r="A1231" s="460" t="s">
        <v>1810</v>
      </c>
      <c r="B1231" s="460" t="s">
        <v>1440</v>
      </c>
      <c r="C1231" s="460"/>
      <c r="D1231" s="460" t="s">
        <v>1821</v>
      </c>
      <c r="E1231" s="460" t="s">
        <v>1812</v>
      </c>
      <c r="F1231" s="460" t="s">
        <v>2614</v>
      </c>
      <c r="G1231" s="460"/>
      <c r="H1231" s="461" t="s">
        <v>2615</v>
      </c>
      <c r="I1231" s="547">
        <f>ROUND(7,2)</f>
        <v>7</v>
      </c>
      <c r="J1231" s="460" t="s">
        <v>2615</v>
      </c>
      <c r="K1231" s="460" t="s">
        <v>2613</v>
      </c>
    </row>
    <row r="1232" spans="1:11" ht="14.4">
      <c r="A1232" s="460" t="s">
        <v>1810</v>
      </c>
      <c r="B1232" s="460" t="s">
        <v>1440</v>
      </c>
      <c r="C1232" s="460"/>
      <c r="D1232" s="460" t="s">
        <v>1821</v>
      </c>
      <c r="E1232" s="460" t="s">
        <v>1812</v>
      </c>
      <c r="F1232" s="460" t="s">
        <v>2634</v>
      </c>
      <c r="G1232" s="547">
        <f>ROUND(34,2)</f>
        <v>34</v>
      </c>
      <c r="H1232" s="461"/>
      <c r="I1232" s="547">
        <f>ROUND(34,2)</f>
        <v>34</v>
      </c>
      <c r="J1232" s="460"/>
      <c r="K1232" s="460" t="s">
        <v>2613</v>
      </c>
    </row>
    <row r="1233" spans="1:11" ht="14.4">
      <c r="A1233" s="460" t="s">
        <v>1810</v>
      </c>
      <c r="B1233" s="460" t="s">
        <v>1440</v>
      </c>
      <c r="C1233" s="460"/>
      <c r="D1233" s="460" t="s">
        <v>1821</v>
      </c>
      <c r="E1233" s="460" t="s">
        <v>1812</v>
      </c>
      <c r="F1233" s="460" t="s">
        <v>2627</v>
      </c>
      <c r="G1233" s="547">
        <f>ROUND(100,2)</f>
        <v>100</v>
      </c>
      <c r="H1233" s="461"/>
      <c r="I1233" s="547">
        <f>ROUND(100,2)</f>
        <v>100</v>
      </c>
      <c r="J1233" s="460"/>
      <c r="K1233" s="460" t="s">
        <v>2613</v>
      </c>
    </row>
    <row r="1234" spans="1:11" ht="14.4">
      <c r="A1234" s="460" t="s">
        <v>1810</v>
      </c>
      <c r="B1234" s="460" t="s">
        <v>1440</v>
      </c>
      <c r="C1234" s="460"/>
      <c r="D1234" s="460" t="s">
        <v>1821</v>
      </c>
      <c r="E1234" s="460" t="s">
        <v>1812</v>
      </c>
      <c r="F1234" s="460" t="s">
        <v>2633</v>
      </c>
      <c r="G1234" s="547">
        <f>ROUND(450,2)</f>
        <v>450</v>
      </c>
      <c r="H1234" s="461"/>
      <c r="I1234" s="547">
        <f>ROUND(450,2)</f>
        <v>450</v>
      </c>
      <c r="J1234" s="460"/>
      <c r="K1234" s="460" t="s">
        <v>2613</v>
      </c>
    </row>
    <row r="1235" spans="1:11" ht="14.4">
      <c r="A1235" s="460" t="s">
        <v>1810</v>
      </c>
      <c r="B1235" s="460" t="s">
        <v>1440</v>
      </c>
      <c r="C1235" s="460"/>
      <c r="D1235" s="460" t="s">
        <v>1821</v>
      </c>
      <c r="E1235" s="460" t="s">
        <v>1812</v>
      </c>
      <c r="F1235" s="460" t="s">
        <v>2616</v>
      </c>
      <c r="G1235" s="460"/>
      <c r="H1235" s="461"/>
      <c r="I1235" s="460"/>
      <c r="J1235" s="460"/>
      <c r="K1235" s="460" t="s">
        <v>2613</v>
      </c>
    </row>
    <row r="1236" spans="1:11" ht="14.4">
      <c r="A1236" s="460" t="s">
        <v>1810</v>
      </c>
      <c r="B1236" s="460" t="s">
        <v>2438</v>
      </c>
      <c r="C1236" s="460"/>
      <c r="D1236" s="460" t="s">
        <v>1816</v>
      </c>
      <c r="E1236" s="460" t="s">
        <v>2611</v>
      </c>
      <c r="F1236" s="460" t="s">
        <v>2612</v>
      </c>
      <c r="G1236" s="460"/>
      <c r="H1236" s="461"/>
      <c r="I1236" s="460"/>
      <c r="J1236" s="460"/>
      <c r="K1236" s="460" t="s">
        <v>2613</v>
      </c>
    </row>
    <row r="1237" spans="1:11" ht="14.4">
      <c r="A1237" s="460" t="s">
        <v>1810</v>
      </c>
      <c r="B1237" s="460" t="s">
        <v>1637</v>
      </c>
      <c r="C1237" s="460"/>
      <c r="D1237" s="460" t="s">
        <v>1816</v>
      </c>
      <c r="E1237" s="460" t="s">
        <v>2611</v>
      </c>
      <c r="F1237" s="460" t="s">
        <v>2612</v>
      </c>
      <c r="G1237" s="460"/>
      <c r="H1237" s="461"/>
      <c r="I1237" s="460"/>
      <c r="J1237" s="460"/>
      <c r="K1237" s="460" t="s">
        <v>2613</v>
      </c>
    </row>
    <row r="1238" spans="1:11" ht="14.4">
      <c r="A1238" s="460" t="s">
        <v>1810</v>
      </c>
      <c r="B1238" s="460" t="s">
        <v>2452</v>
      </c>
      <c r="C1238" s="460"/>
      <c r="D1238" s="460" t="s">
        <v>1816</v>
      </c>
      <c r="E1238" s="460" t="s">
        <v>2611</v>
      </c>
      <c r="F1238" s="460" t="s">
        <v>2612</v>
      </c>
      <c r="G1238" s="460"/>
      <c r="H1238" s="461"/>
      <c r="I1238" s="460"/>
      <c r="J1238" s="460"/>
      <c r="K1238" s="460" t="s">
        <v>2613</v>
      </c>
    </row>
    <row r="1239" spans="1:11" ht="14.4">
      <c r="A1239" s="460" t="s">
        <v>1810</v>
      </c>
      <c r="B1239" s="460" t="s">
        <v>1586</v>
      </c>
      <c r="C1239" s="460"/>
      <c r="D1239" s="460" t="s">
        <v>1816</v>
      </c>
      <c r="E1239" s="460" t="s">
        <v>1812</v>
      </c>
      <c r="F1239" s="460" t="s">
        <v>2612</v>
      </c>
      <c r="G1239" s="460"/>
      <c r="H1239" s="461"/>
      <c r="I1239" s="460"/>
      <c r="J1239" s="460"/>
      <c r="K1239" s="460" t="s">
        <v>2613</v>
      </c>
    </row>
    <row r="1240" spans="1:11" ht="14.4">
      <c r="A1240" s="460" t="s">
        <v>1810</v>
      </c>
      <c r="B1240" s="460" t="s">
        <v>1586</v>
      </c>
      <c r="C1240" s="460"/>
      <c r="D1240" s="460" t="s">
        <v>1816</v>
      </c>
      <c r="E1240" s="460" t="s">
        <v>1812</v>
      </c>
      <c r="F1240" s="460" t="s">
        <v>2614</v>
      </c>
      <c r="G1240" s="460"/>
      <c r="H1240" s="461" t="s">
        <v>2615</v>
      </c>
      <c r="I1240" s="547">
        <f>ROUND(7,2)</f>
        <v>7</v>
      </c>
      <c r="J1240" s="460" t="s">
        <v>2615</v>
      </c>
      <c r="K1240" s="460" t="s">
        <v>2613</v>
      </c>
    </row>
    <row r="1241" spans="1:11" ht="14.4">
      <c r="A1241" s="460" t="s">
        <v>1810</v>
      </c>
      <c r="B1241" s="460" t="s">
        <v>1586</v>
      </c>
      <c r="C1241" s="460"/>
      <c r="D1241" s="460" t="s">
        <v>1816</v>
      </c>
      <c r="E1241" s="460" t="s">
        <v>1812</v>
      </c>
      <c r="F1241" s="460" t="s">
        <v>2617</v>
      </c>
      <c r="G1241" s="547">
        <f>ROUND(75,2)</f>
        <v>75</v>
      </c>
      <c r="H1241" s="461"/>
      <c r="I1241" s="547">
        <f>ROUND(75,2)</f>
        <v>75</v>
      </c>
      <c r="J1241" s="460"/>
      <c r="K1241" s="460" t="s">
        <v>2613</v>
      </c>
    </row>
    <row r="1242" spans="1:11" ht="14.4">
      <c r="A1242" s="460" t="s">
        <v>1810</v>
      </c>
      <c r="B1242" s="460" t="s">
        <v>1586</v>
      </c>
      <c r="C1242" s="460"/>
      <c r="D1242" s="460" t="s">
        <v>1816</v>
      </c>
      <c r="E1242" s="460" t="s">
        <v>1812</v>
      </c>
      <c r="F1242" s="460" t="s">
        <v>2618</v>
      </c>
      <c r="G1242" s="547">
        <f>ROUND(30,2)</f>
        <v>30</v>
      </c>
      <c r="H1242" s="461"/>
      <c r="I1242" s="547">
        <f>ROUND(30,2)</f>
        <v>30</v>
      </c>
      <c r="J1242" s="460"/>
      <c r="K1242" s="460" t="s">
        <v>2613</v>
      </c>
    </row>
    <row r="1243" spans="1:11" ht="14.4">
      <c r="A1243" s="460" t="s">
        <v>1810</v>
      </c>
      <c r="B1243" s="460" t="s">
        <v>2488</v>
      </c>
      <c r="C1243" s="460"/>
      <c r="D1243" s="460" t="s">
        <v>1814</v>
      </c>
      <c r="E1243" s="460" t="s">
        <v>1812</v>
      </c>
      <c r="F1243" s="460" t="s">
        <v>2626</v>
      </c>
      <c r="G1243" s="547">
        <f>ROUND(10,2)</f>
        <v>10</v>
      </c>
      <c r="H1243" s="461"/>
      <c r="I1243" s="547">
        <f>ROUND(10,2)</f>
        <v>10</v>
      </c>
      <c r="J1243" s="460"/>
      <c r="K1243" s="460" t="s">
        <v>2613</v>
      </c>
    </row>
    <row r="1244" spans="1:11" ht="14.4">
      <c r="A1244" s="460" t="s">
        <v>1810</v>
      </c>
      <c r="B1244" s="460" t="s">
        <v>2488</v>
      </c>
      <c r="C1244" s="460"/>
      <c r="D1244" s="460" t="s">
        <v>1814</v>
      </c>
      <c r="E1244" s="460" t="s">
        <v>1812</v>
      </c>
      <c r="F1244" s="460" t="s">
        <v>2632</v>
      </c>
      <c r="G1244" s="547">
        <f>ROUND(166.67,2)</f>
        <v>166.67</v>
      </c>
      <c r="H1244" s="461"/>
      <c r="I1244" s="547">
        <f>ROUND(166.67,2)</f>
        <v>166.67</v>
      </c>
      <c r="J1244" s="460"/>
      <c r="K1244" s="460" t="s">
        <v>2613</v>
      </c>
    </row>
    <row r="1245" spans="1:11" ht="14.4">
      <c r="A1245" s="460" t="s">
        <v>1810</v>
      </c>
      <c r="B1245" s="460" t="s">
        <v>2488</v>
      </c>
      <c r="C1245" s="460"/>
      <c r="D1245" s="460" t="s">
        <v>1814</v>
      </c>
      <c r="E1245" s="460" t="s">
        <v>1812</v>
      </c>
      <c r="F1245" s="460" t="s">
        <v>2614</v>
      </c>
      <c r="G1245" s="460"/>
      <c r="H1245" s="461" t="s">
        <v>2615</v>
      </c>
      <c r="I1245" s="547">
        <f>ROUND(7,2)</f>
        <v>7</v>
      </c>
      <c r="J1245" s="460" t="s">
        <v>2615</v>
      </c>
      <c r="K1245" s="460" t="s">
        <v>2613</v>
      </c>
    </row>
    <row r="1246" spans="1:11" ht="14.4">
      <c r="A1246" s="460" t="s">
        <v>1810</v>
      </c>
      <c r="B1246" s="460" t="s">
        <v>2488</v>
      </c>
      <c r="C1246" s="460"/>
      <c r="D1246" s="460" t="s">
        <v>1814</v>
      </c>
      <c r="E1246" s="460" t="s">
        <v>1812</v>
      </c>
      <c r="F1246" s="460" t="s">
        <v>2612</v>
      </c>
      <c r="G1246" s="460"/>
      <c r="H1246" s="461"/>
      <c r="I1246" s="460"/>
      <c r="J1246" s="460"/>
      <c r="K1246" s="460" t="s">
        <v>2613</v>
      </c>
    </row>
    <row r="1247" spans="1:11" ht="14.4">
      <c r="A1247" s="460" t="s">
        <v>1810</v>
      </c>
      <c r="B1247" s="460" t="s">
        <v>2428</v>
      </c>
      <c r="C1247" s="460"/>
      <c r="D1247" s="460" t="s">
        <v>1816</v>
      </c>
      <c r="E1247" s="460" t="s">
        <v>2611</v>
      </c>
      <c r="F1247" s="460" t="s">
        <v>2612</v>
      </c>
      <c r="G1247" s="460"/>
      <c r="H1247" s="461" t="s">
        <v>2651</v>
      </c>
      <c r="I1247" s="547">
        <f>ROUND(10,2)</f>
        <v>10</v>
      </c>
      <c r="J1247" s="460" t="s">
        <v>2651</v>
      </c>
      <c r="K1247" s="460" t="s">
        <v>2613</v>
      </c>
    </row>
    <row r="1248" spans="1:11" ht="14.4">
      <c r="A1248" s="460" t="s">
        <v>1810</v>
      </c>
      <c r="B1248" s="460" t="s">
        <v>2428</v>
      </c>
      <c r="C1248" s="460"/>
      <c r="D1248" s="460" t="s">
        <v>1816</v>
      </c>
      <c r="E1248" s="460" t="s">
        <v>2611</v>
      </c>
      <c r="F1248" s="460" t="s">
        <v>2623</v>
      </c>
      <c r="G1248" s="460"/>
      <c r="H1248" s="461"/>
      <c r="I1248" s="460"/>
      <c r="J1248" s="460"/>
      <c r="K1248" s="460" t="s">
        <v>2613</v>
      </c>
    </row>
    <row r="1249" spans="1:11" ht="14.4">
      <c r="A1249" s="460" t="s">
        <v>1810</v>
      </c>
      <c r="B1249" s="460" t="s">
        <v>2574</v>
      </c>
      <c r="C1249" s="460"/>
      <c r="D1249" s="460" t="s">
        <v>1816</v>
      </c>
      <c r="E1249" s="460" t="s">
        <v>2611</v>
      </c>
      <c r="F1249" s="460" t="s">
        <v>2612</v>
      </c>
      <c r="G1249" s="460"/>
      <c r="H1249" s="461"/>
      <c r="I1249" s="460"/>
      <c r="J1249" s="460"/>
      <c r="K1249" s="460" t="s">
        <v>2613</v>
      </c>
    </row>
    <row r="1250" spans="1:11" ht="14.4">
      <c r="A1250" s="460" t="s">
        <v>1810</v>
      </c>
      <c r="B1250" s="460" t="s">
        <v>1941</v>
      </c>
      <c r="C1250" s="460"/>
      <c r="D1250" s="460" t="s">
        <v>1816</v>
      </c>
      <c r="E1250" s="460" t="s">
        <v>2611</v>
      </c>
      <c r="F1250" s="460" t="s">
        <v>2612</v>
      </c>
      <c r="G1250" s="460"/>
      <c r="H1250" s="461"/>
      <c r="I1250" s="460"/>
      <c r="J1250" s="460"/>
      <c r="K1250" s="460" t="s">
        <v>2613</v>
      </c>
    </row>
    <row r="1251" spans="1:11" ht="14.4">
      <c r="A1251" s="460" t="s">
        <v>1810</v>
      </c>
      <c r="B1251" s="460" t="s">
        <v>1447</v>
      </c>
      <c r="C1251" s="460"/>
      <c r="D1251" s="460" t="s">
        <v>1821</v>
      </c>
      <c r="E1251" s="460" t="s">
        <v>1812</v>
      </c>
      <c r="F1251" s="460" t="s">
        <v>2627</v>
      </c>
      <c r="G1251" s="547">
        <f>ROUND(135,2)</f>
        <v>135</v>
      </c>
      <c r="H1251" s="461"/>
      <c r="I1251" s="547">
        <f>ROUND(135,2)</f>
        <v>135</v>
      </c>
      <c r="J1251" s="460"/>
      <c r="K1251" s="460" t="s">
        <v>2613</v>
      </c>
    </row>
    <row r="1252" spans="1:11" ht="14.4">
      <c r="A1252" s="460" t="s">
        <v>1810</v>
      </c>
      <c r="B1252" s="460" t="s">
        <v>1447</v>
      </c>
      <c r="C1252" s="460"/>
      <c r="D1252" s="460" t="s">
        <v>1821</v>
      </c>
      <c r="E1252" s="460" t="s">
        <v>1812</v>
      </c>
      <c r="F1252" s="460" t="s">
        <v>2625</v>
      </c>
      <c r="G1252" s="547">
        <f>ROUND(37.5,2)</f>
        <v>37.5</v>
      </c>
      <c r="H1252" s="461"/>
      <c r="I1252" s="547">
        <f>ROUND(37.5,2)</f>
        <v>37.5</v>
      </c>
      <c r="J1252" s="460"/>
      <c r="K1252" s="460" t="s">
        <v>2613</v>
      </c>
    </row>
    <row r="1253" spans="1:11" ht="14.4">
      <c r="A1253" s="460" t="s">
        <v>1810</v>
      </c>
      <c r="B1253" s="460" t="s">
        <v>1447</v>
      </c>
      <c r="C1253" s="460"/>
      <c r="D1253" s="460" t="s">
        <v>1821</v>
      </c>
      <c r="E1253" s="460" t="s">
        <v>1812</v>
      </c>
      <c r="F1253" s="460" t="s">
        <v>2612</v>
      </c>
      <c r="G1253" s="460"/>
      <c r="H1253" s="461"/>
      <c r="I1253" s="460"/>
      <c r="J1253" s="460"/>
      <c r="K1253" s="460" t="s">
        <v>2613</v>
      </c>
    </row>
    <row r="1254" spans="1:11" ht="14.4">
      <c r="A1254" s="460" t="s">
        <v>1810</v>
      </c>
      <c r="B1254" s="460" t="s">
        <v>1447</v>
      </c>
      <c r="C1254" s="460"/>
      <c r="D1254" s="460" t="s">
        <v>1821</v>
      </c>
      <c r="E1254" s="460" t="s">
        <v>1812</v>
      </c>
      <c r="F1254" s="460" t="s">
        <v>2619</v>
      </c>
      <c r="G1254" s="547">
        <f>ROUND(150,2)</f>
        <v>150</v>
      </c>
      <c r="H1254" s="461"/>
      <c r="I1254" s="547">
        <f>ROUND(150,2)</f>
        <v>150</v>
      </c>
      <c r="J1254" s="460"/>
      <c r="K1254" s="460" t="s">
        <v>2613</v>
      </c>
    </row>
    <row r="1255" spans="1:11" ht="14.4">
      <c r="A1255" s="460" t="s">
        <v>1810</v>
      </c>
      <c r="B1255" s="460" t="s">
        <v>1447</v>
      </c>
      <c r="C1255" s="460"/>
      <c r="D1255" s="460" t="s">
        <v>1821</v>
      </c>
      <c r="E1255" s="460" t="s">
        <v>1812</v>
      </c>
      <c r="F1255" s="460" t="s">
        <v>2614</v>
      </c>
      <c r="G1255" s="460"/>
      <c r="H1255" s="461" t="s">
        <v>2615</v>
      </c>
      <c r="I1255" s="547">
        <f>ROUND(7,2)</f>
        <v>7</v>
      </c>
      <c r="J1255" s="460" t="s">
        <v>2615</v>
      </c>
      <c r="K1255" s="460" t="s">
        <v>2613</v>
      </c>
    </row>
    <row r="1256" spans="1:11" ht="14.4">
      <c r="A1256" s="460" t="s">
        <v>1810</v>
      </c>
      <c r="B1256" s="460" t="s">
        <v>1447</v>
      </c>
      <c r="C1256" s="460"/>
      <c r="D1256" s="460" t="s">
        <v>1821</v>
      </c>
      <c r="E1256" s="460" t="s">
        <v>1812</v>
      </c>
      <c r="F1256" s="460" t="s">
        <v>2634</v>
      </c>
      <c r="G1256" s="547">
        <f>ROUND(39,2)</f>
        <v>39</v>
      </c>
      <c r="H1256" s="461"/>
      <c r="I1256" s="547">
        <f>ROUND(39,2)</f>
        <v>39</v>
      </c>
      <c r="J1256" s="460"/>
      <c r="K1256" s="460" t="s">
        <v>2613</v>
      </c>
    </row>
    <row r="1257" spans="1:11" ht="14.4">
      <c r="A1257" s="460" t="s">
        <v>1810</v>
      </c>
      <c r="B1257" s="460" t="s">
        <v>1447</v>
      </c>
      <c r="C1257" s="460"/>
      <c r="D1257" s="460" t="s">
        <v>1821</v>
      </c>
      <c r="E1257" s="460" t="s">
        <v>1812</v>
      </c>
      <c r="F1257" s="460" t="s">
        <v>2620</v>
      </c>
      <c r="G1257" s="547">
        <f>ROUND(10.22,2)</f>
        <v>10.220000000000001</v>
      </c>
      <c r="H1257" s="461"/>
      <c r="I1257" s="547">
        <f>ROUND(10.22,2)</f>
        <v>10.220000000000001</v>
      </c>
      <c r="J1257" s="460"/>
      <c r="K1257" s="460" t="s">
        <v>2613</v>
      </c>
    </row>
    <row r="1258" spans="1:11" ht="14.4">
      <c r="A1258" s="460" t="s">
        <v>1810</v>
      </c>
      <c r="B1258" s="460" t="s">
        <v>1447</v>
      </c>
      <c r="C1258" s="460"/>
      <c r="D1258" s="460" t="s">
        <v>1821</v>
      </c>
      <c r="E1258" s="460" t="s">
        <v>1812</v>
      </c>
      <c r="F1258" s="460" t="s">
        <v>2616</v>
      </c>
      <c r="G1258" s="460"/>
      <c r="H1258" s="461"/>
      <c r="I1258" s="460"/>
      <c r="J1258" s="460"/>
      <c r="K1258" s="460" t="s">
        <v>2613</v>
      </c>
    </row>
    <row r="1259" spans="1:11" ht="14.4">
      <c r="A1259" s="460" t="s">
        <v>1810</v>
      </c>
      <c r="B1259" s="460" t="s">
        <v>1945</v>
      </c>
      <c r="C1259" s="460"/>
      <c r="D1259" s="460" t="s">
        <v>1816</v>
      </c>
      <c r="E1259" s="460" t="s">
        <v>2611</v>
      </c>
      <c r="F1259" s="460" t="s">
        <v>2612</v>
      </c>
      <c r="G1259" s="460"/>
      <c r="H1259" s="461"/>
      <c r="I1259" s="460"/>
      <c r="J1259" s="460"/>
      <c r="K1259" s="460" t="s">
        <v>2613</v>
      </c>
    </row>
    <row r="1260" spans="1:11" ht="14.4">
      <c r="A1260" s="460" t="s">
        <v>1810</v>
      </c>
      <c r="B1260" s="460" t="s">
        <v>2954</v>
      </c>
      <c r="C1260" s="460"/>
      <c r="D1260" s="460" t="s">
        <v>1816</v>
      </c>
      <c r="E1260" s="460" t="s">
        <v>2611</v>
      </c>
      <c r="F1260" s="460" t="s">
        <v>2612</v>
      </c>
      <c r="G1260" s="460"/>
      <c r="H1260" s="461"/>
      <c r="I1260" s="460"/>
      <c r="J1260" s="460"/>
      <c r="K1260" s="460" t="s">
        <v>2613</v>
      </c>
    </row>
    <row r="1261" spans="1:11" ht="14.4">
      <c r="A1261" s="460" t="s">
        <v>1810</v>
      </c>
      <c r="B1261" s="460" t="s">
        <v>1449</v>
      </c>
      <c r="C1261" s="460"/>
      <c r="D1261" s="460" t="s">
        <v>1821</v>
      </c>
      <c r="E1261" s="460" t="s">
        <v>1812</v>
      </c>
      <c r="F1261" s="460" t="s">
        <v>2625</v>
      </c>
      <c r="G1261" s="547">
        <f>ROUND(37.5,2)</f>
        <v>37.5</v>
      </c>
      <c r="H1261" s="461"/>
      <c r="I1261" s="547">
        <f>ROUND(37.5,2)</f>
        <v>37.5</v>
      </c>
      <c r="J1261" s="460"/>
      <c r="K1261" s="460" t="s">
        <v>2613</v>
      </c>
    </row>
    <row r="1262" spans="1:11" ht="14.4">
      <c r="A1262" s="460" t="s">
        <v>1810</v>
      </c>
      <c r="B1262" s="460" t="s">
        <v>1449</v>
      </c>
      <c r="C1262" s="460"/>
      <c r="D1262" s="460" t="s">
        <v>1821</v>
      </c>
      <c r="E1262" s="460" t="s">
        <v>1812</v>
      </c>
      <c r="F1262" s="460" t="s">
        <v>2612</v>
      </c>
      <c r="G1262" s="460"/>
      <c r="H1262" s="461"/>
      <c r="I1262" s="460"/>
      <c r="J1262" s="460"/>
      <c r="K1262" s="460" t="s">
        <v>2613</v>
      </c>
    </row>
    <row r="1263" spans="1:11" ht="14.4">
      <c r="A1263" s="460" t="s">
        <v>1810</v>
      </c>
      <c r="B1263" s="460" t="s">
        <v>1449</v>
      </c>
      <c r="C1263" s="460"/>
      <c r="D1263" s="460" t="s">
        <v>1821</v>
      </c>
      <c r="E1263" s="460" t="s">
        <v>1812</v>
      </c>
      <c r="F1263" s="460" t="s">
        <v>2614</v>
      </c>
      <c r="G1263" s="460"/>
      <c r="H1263" s="461" t="s">
        <v>2615</v>
      </c>
      <c r="I1263" s="547">
        <f>ROUND(7,2)</f>
        <v>7</v>
      </c>
      <c r="J1263" s="460" t="s">
        <v>2615</v>
      </c>
      <c r="K1263" s="460" t="s">
        <v>2613</v>
      </c>
    </row>
    <row r="1264" spans="1:11" ht="14.4">
      <c r="A1264" s="460" t="s">
        <v>1810</v>
      </c>
      <c r="B1264" s="460" t="s">
        <v>1449</v>
      </c>
      <c r="C1264" s="460"/>
      <c r="D1264" s="460" t="s">
        <v>1821</v>
      </c>
      <c r="E1264" s="460" t="s">
        <v>1812</v>
      </c>
      <c r="F1264" s="460" t="s">
        <v>2627</v>
      </c>
      <c r="G1264" s="547">
        <f>ROUND(100,2)</f>
        <v>100</v>
      </c>
      <c r="H1264" s="461"/>
      <c r="I1264" s="547">
        <f>ROUND(100,2)</f>
        <v>100</v>
      </c>
      <c r="J1264" s="460"/>
      <c r="K1264" s="460" t="s">
        <v>2613</v>
      </c>
    </row>
    <row r="1265" spans="1:11" ht="14.4">
      <c r="A1265" s="460" t="s">
        <v>1810</v>
      </c>
      <c r="B1265" s="460" t="s">
        <v>1449</v>
      </c>
      <c r="C1265" s="460"/>
      <c r="D1265" s="460" t="s">
        <v>1821</v>
      </c>
      <c r="E1265" s="460" t="s">
        <v>1812</v>
      </c>
      <c r="F1265" s="460" t="s">
        <v>2634</v>
      </c>
      <c r="G1265" s="547">
        <f>ROUND(60,2)</f>
        <v>60</v>
      </c>
      <c r="H1265" s="461"/>
      <c r="I1265" s="547">
        <f>ROUND(60,2)</f>
        <v>60</v>
      </c>
      <c r="J1265" s="460"/>
      <c r="K1265" s="460" t="s">
        <v>2613</v>
      </c>
    </row>
    <row r="1266" spans="1:11" ht="14.4">
      <c r="A1266" s="460" t="s">
        <v>1810</v>
      </c>
      <c r="B1266" s="460" t="s">
        <v>1449</v>
      </c>
      <c r="C1266" s="460"/>
      <c r="D1266" s="460" t="s">
        <v>1821</v>
      </c>
      <c r="E1266" s="460" t="s">
        <v>1812</v>
      </c>
      <c r="F1266" s="460" t="s">
        <v>2616</v>
      </c>
      <c r="G1266" s="460"/>
      <c r="H1266" s="461"/>
      <c r="I1266" s="460"/>
      <c r="J1266" s="460"/>
      <c r="K1266" s="460" t="s">
        <v>2613</v>
      </c>
    </row>
    <row r="1267" spans="1:11" ht="14.4">
      <c r="A1267" s="460" t="s">
        <v>1810</v>
      </c>
      <c r="B1267" s="460" t="s">
        <v>1923</v>
      </c>
      <c r="C1267" s="460"/>
      <c r="D1267" s="460" t="s">
        <v>1816</v>
      </c>
      <c r="E1267" s="460" t="s">
        <v>2611</v>
      </c>
      <c r="F1267" s="460" t="s">
        <v>2612</v>
      </c>
      <c r="G1267" s="460"/>
      <c r="H1267" s="461"/>
      <c r="I1267" s="460"/>
      <c r="J1267" s="460"/>
      <c r="K1267" s="460" t="s">
        <v>2613</v>
      </c>
    </row>
    <row r="1268" spans="1:11" ht="22.8">
      <c r="A1268" s="460" t="s">
        <v>1810</v>
      </c>
      <c r="B1268" s="460" t="s">
        <v>1454</v>
      </c>
      <c r="C1268" s="460"/>
      <c r="D1268" s="460" t="s">
        <v>1834</v>
      </c>
      <c r="E1268" s="460" t="s">
        <v>2015</v>
      </c>
      <c r="F1268" s="460" t="s">
        <v>2621</v>
      </c>
      <c r="G1268" s="460"/>
      <c r="H1268" s="461" t="s">
        <v>2955</v>
      </c>
      <c r="I1268" s="547">
        <f>ROUND(22.5,2)</f>
        <v>22.5</v>
      </c>
      <c r="J1268" s="460" t="s">
        <v>2955</v>
      </c>
      <c r="K1268" s="460" t="s">
        <v>2613</v>
      </c>
    </row>
    <row r="1269" spans="1:11" ht="22.8">
      <c r="A1269" s="460" t="s">
        <v>1810</v>
      </c>
      <c r="B1269" s="460" t="s">
        <v>1454</v>
      </c>
      <c r="C1269" s="460"/>
      <c r="D1269" s="460" t="s">
        <v>1834</v>
      </c>
      <c r="E1269" s="460" t="s">
        <v>2015</v>
      </c>
      <c r="F1269" s="460" t="s">
        <v>2956</v>
      </c>
      <c r="G1269" s="547">
        <f>ROUND(1500,2)</f>
        <v>1500</v>
      </c>
      <c r="H1269" s="461"/>
      <c r="I1269" s="547">
        <f>ROUND(1500,2)</f>
        <v>1500</v>
      </c>
      <c r="J1269" s="460"/>
      <c r="K1269" s="460" t="s">
        <v>2613</v>
      </c>
    </row>
    <row r="1270" spans="1:11" ht="22.8">
      <c r="A1270" s="460" t="s">
        <v>1810</v>
      </c>
      <c r="B1270" s="460" t="s">
        <v>1454</v>
      </c>
      <c r="C1270" s="460"/>
      <c r="D1270" s="460" t="s">
        <v>1834</v>
      </c>
      <c r="E1270" s="460" t="s">
        <v>2015</v>
      </c>
      <c r="F1270" s="460" t="s">
        <v>2631</v>
      </c>
      <c r="G1270" s="547">
        <f>ROUND(300,2)</f>
        <v>300</v>
      </c>
      <c r="H1270" s="461"/>
      <c r="I1270" s="547">
        <f>ROUND(300,2)</f>
        <v>300</v>
      </c>
      <c r="J1270" s="460"/>
      <c r="K1270" s="460" t="s">
        <v>2613</v>
      </c>
    </row>
    <row r="1271" spans="1:11" ht="22.8">
      <c r="A1271" s="460" t="s">
        <v>1810</v>
      </c>
      <c r="B1271" s="460" t="s">
        <v>1454</v>
      </c>
      <c r="C1271" s="460"/>
      <c r="D1271" s="460" t="s">
        <v>1834</v>
      </c>
      <c r="E1271" s="460" t="s">
        <v>2015</v>
      </c>
      <c r="F1271" s="460" t="s">
        <v>2612</v>
      </c>
      <c r="G1271" s="460"/>
      <c r="H1271" s="461"/>
      <c r="I1271" s="460"/>
      <c r="J1271" s="460"/>
      <c r="K1271" s="460" t="s">
        <v>2613</v>
      </c>
    </row>
    <row r="1272" spans="1:11" ht="22.8">
      <c r="A1272" s="460" t="s">
        <v>1810</v>
      </c>
      <c r="B1272" s="460" t="s">
        <v>1454</v>
      </c>
      <c r="C1272" s="460"/>
      <c r="D1272" s="460" t="s">
        <v>1834</v>
      </c>
      <c r="E1272" s="460" t="s">
        <v>2015</v>
      </c>
      <c r="F1272" s="460" t="s">
        <v>2614</v>
      </c>
      <c r="G1272" s="460"/>
      <c r="H1272" s="461" t="s">
        <v>2615</v>
      </c>
      <c r="I1272" s="547">
        <f>ROUND(7,2)</f>
        <v>7</v>
      </c>
      <c r="J1272" s="460" t="s">
        <v>2615</v>
      </c>
      <c r="K1272" s="460" t="s">
        <v>2613</v>
      </c>
    </row>
    <row r="1273" spans="1:11" ht="22.8">
      <c r="A1273" s="460" t="s">
        <v>1810</v>
      </c>
      <c r="B1273" s="460" t="s">
        <v>1454</v>
      </c>
      <c r="C1273" s="460"/>
      <c r="D1273" s="460" t="s">
        <v>1834</v>
      </c>
      <c r="E1273" s="460" t="s">
        <v>2015</v>
      </c>
      <c r="F1273" s="460" t="s">
        <v>2616</v>
      </c>
      <c r="G1273" s="460"/>
      <c r="H1273" s="461"/>
      <c r="I1273" s="460"/>
      <c r="J1273" s="460"/>
      <c r="K1273" s="460" t="s">
        <v>2613</v>
      </c>
    </row>
    <row r="1274" spans="1:11" ht="22.8">
      <c r="A1274" s="460" t="s">
        <v>1810</v>
      </c>
      <c r="B1274" s="460" t="s">
        <v>1454</v>
      </c>
      <c r="C1274" s="460"/>
      <c r="D1274" s="460" t="s">
        <v>1834</v>
      </c>
      <c r="E1274" s="460" t="s">
        <v>2015</v>
      </c>
      <c r="F1274" s="460" t="s">
        <v>2617</v>
      </c>
      <c r="G1274" s="547">
        <f>ROUND(75,2)</f>
        <v>75</v>
      </c>
      <c r="H1274" s="461"/>
      <c r="I1274" s="547">
        <f>ROUND(75,2)</f>
        <v>75</v>
      </c>
      <c r="J1274" s="460"/>
      <c r="K1274" s="460" t="s">
        <v>2613</v>
      </c>
    </row>
    <row r="1275" spans="1:11" ht="22.8">
      <c r="A1275" s="460" t="s">
        <v>1810</v>
      </c>
      <c r="B1275" s="460" t="s">
        <v>1454</v>
      </c>
      <c r="C1275" s="460"/>
      <c r="D1275" s="460" t="s">
        <v>1834</v>
      </c>
      <c r="E1275" s="460" t="s">
        <v>2015</v>
      </c>
      <c r="F1275" s="460" t="s">
        <v>2618</v>
      </c>
      <c r="G1275" s="547">
        <f>ROUND(40,2)</f>
        <v>40</v>
      </c>
      <c r="H1275" s="461"/>
      <c r="I1275" s="547">
        <f>ROUND(40,2)</f>
        <v>40</v>
      </c>
      <c r="J1275" s="460"/>
      <c r="K1275" s="460" t="s">
        <v>2613</v>
      </c>
    </row>
    <row r="1276" spans="1:11" ht="14.4">
      <c r="A1276" s="460" t="s">
        <v>1810</v>
      </c>
      <c r="B1276" s="460" t="s">
        <v>1679</v>
      </c>
      <c r="C1276" s="460"/>
      <c r="D1276" s="460" t="s">
        <v>1816</v>
      </c>
      <c r="E1276" s="460" t="s">
        <v>2611</v>
      </c>
      <c r="F1276" s="460" t="s">
        <v>2612</v>
      </c>
      <c r="G1276" s="460"/>
      <c r="H1276" s="461"/>
      <c r="I1276" s="460"/>
      <c r="J1276" s="460"/>
      <c r="K1276" s="460" t="s">
        <v>2613</v>
      </c>
    </row>
    <row r="1277" spans="1:11" ht="14.4">
      <c r="A1277" s="460" t="s">
        <v>1810</v>
      </c>
      <c r="B1277" s="460" t="s">
        <v>2435</v>
      </c>
      <c r="C1277" s="460"/>
      <c r="D1277" s="460" t="s">
        <v>1816</v>
      </c>
      <c r="E1277" s="460" t="s">
        <v>2611</v>
      </c>
      <c r="F1277" s="460" t="s">
        <v>2612</v>
      </c>
      <c r="G1277" s="460"/>
      <c r="H1277" s="461"/>
      <c r="I1277" s="460"/>
      <c r="J1277" s="460"/>
      <c r="K1277" s="460" t="s">
        <v>2613</v>
      </c>
    </row>
    <row r="1278" spans="1:11" ht="14.4">
      <c r="A1278" s="460" t="s">
        <v>1810</v>
      </c>
      <c r="B1278" s="460" t="s">
        <v>1448</v>
      </c>
      <c r="C1278" s="460"/>
      <c r="D1278" s="460" t="s">
        <v>1821</v>
      </c>
      <c r="E1278" s="460" t="s">
        <v>1812</v>
      </c>
      <c r="F1278" s="460" t="s">
        <v>2625</v>
      </c>
      <c r="G1278" s="547">
        <f>ROUND(50,2)</f>
        <v>50</v>
      </c>
      <c r="H1278" s="461"/>
      <c r="I1278" s="547">
        <f>ROUND(50,2)</f>
        <v>50</v>
      </c>
      <c r="J1278" s="460"/>
      <c r="K1278" s="460" t="s">
        <v>2613</v>
      </c>
    </row>
    <row r="1279" spans="1:11" ht="14.4">
      <c r="A1279" s="460" t="s">
        <v>1810</v>
      </c>
      <c r="B1279" s="460" t="s">
        <v>1448</v>
      </c>
      <c r="C1279" s="460"/>
      <c r="D1279" s="460" t="s">
        <v>1821</v>
      </c>
      <c r="E1279" s="460" t="s">
        <v>1812</v>
      </c>
      <c r="F1279" s="460" t="s">
        <v>2623</v>
      </c>
      <c r="G1279" s="547">
        <f>ROUND(750,2)</f>
        <v>750</v>
      </c>
      <c r="H1279" s="461"/>
      <c r="I1279" s="547">
        <f>ROUND(750,2)</f>
        <v>750</v>
      </c>
      <c r="J1279" s="460"/>
      <c r="K1279" s="460" t="s">
        <v>2613</v>
      </c>
    </row>
    <row r="1280" spans="1:11" ht="14.4">
      <c r="A1280" s="460" t="s">
        <v>1810</v>
      </c>
      <c r="B1280" s="460" t="s">
        <v>1448</v>
      </c>
      <c r="C1280" s="460"/>
      <c r="D1280" s="460" t="s">
        <v>1821</v>
      </c>
      <c r="E1280" s="460" t="s">
        <v>1812</v>
      </c>
      <c r="F1280" s="460" t="s">
        <v>2612</v>
      </c>
      <c r="G1280" s="460"/>
      <c r="H1280" s="461"/>
      <c r="I1280" s="460"/>
      <c r="J1280" s="460"/>
      <c r="K1280" s="460" t="s">
        <v>2613</v>
      </c>
    </row>
    <row r="1281" spans="1:11" ht="14.4">
      <c r="A1281" s="460" t="s">
        <v>1810</v>
      </c>
      <c r="B1281" s="460" t="s">
        <v>1448</v>
      </c>
      <c r="C1281" s="460"/>
      <c r="D1281" s="460" t="s">
        <v>1821</v>
      </c>
      <c r="E1281" s="460" t="s">
        <v>1812</v>
      </c>
      <c r="F1281" s="460" t="s">
        <v>2614</v>
      </c>
      <c r="G1281" s="460"/>
      <c r="H1281" s="461" t="s">
        <v>2615</v>
      </c>
      <c r="I1281" s="547">
        <f>ROUND(7,2)</f>
        <v>7</v>
      </c>
      <c r="J1281" s="460" t="s">
        <v>2615</v>
      </c>
      <c r="K1281" s="460" t="s">
        <v>2613</v>
      </c>
    </row>
    <row r="1282" spans="1:11" ht="14.4">
      <c r="A1282" s="460" t="s">
        <v>1810</v>
      </c>
      <c r="B1282" s="460" t="s">
        <v>1448</v>
      </c>
      <c r="C1282" s="460"/>
      <c r="D1282" s="460" t="s">
        <v>1821</v>
      </c>
      <c r="E1282" s="460" t="s">
        <v>1812</v>
      </c>
      <c r="F1282" s="460" t="s">
        <v>2627</v>
      </c>
      <c r="G1282" s="547">
        <f>ROUND(10,2)</f>
        <v>10</v>
      </c>
      <c r="H1282" s="461"/>
      <c r="I1282" s="547">
        <f>ROUND(10,2)</f>
        <v>10</v>
      </c>
      <c r="J1282" s="460"/>
      <c r="K1282" s="460" t="s">
        <v>2613</v>
      </c>
    </row>
    <row r="1283" spans="1:11" ht="14.4">
      <c r="A1283" s="460" t="s">
        <v>1810</v>
      </c>
      <c r="B1283" s="460" t="s">
        <v>1448</v>
      </c>
      <c r="C1283" s="460"/>
      <c r="D1283" s="460" t="s">
        <v>1821</v>
      </c>
      <c r="E1283" s="460" t="s">
        <v>1812</v>
      </c>
      <c r="F1283" s="460" t="s">
        <v>2634</v>
      </c>
      <c r="G1283" s="547">
        <f>ROUND(40,2)</f>
        <v>40</v>
      </c>
      <c r="H1283" s="461"/>
      <c r="I1283" s="547">
        <f>ROUND(40,2)</f>
        <v>40</v>
      </c>
      <c r="J1283" s="460"/>
      <c r="K1283" s="460" t="s">
        <v>2613</v>
      </c>
    </row>
    <row r="1284" spans="1:11" ht="14.4">
      <c r="A1284" s="460" t="s">
        <v>1810</v>
      </c>
      <c r="B1284" s="460" t="s">
        <v>1448</v>
      </c>
      <c r="C1284" s="460"/>
      <c r="D1284" s="460" t="s">
        <v>1821</v>
      </c>
      <c r="E1284" s="460" t="s">
        <v>1812</v>
      </c>
      <c r="F1284" s="460" t="s">
        <v>2616</v>
      </c>
      <c r="G1284" s="460"/>
      <c r="H1284" s="461"/>
      <c r="I1284" s="460"/>
      <c r="J1284" s="460"/>
      <c r="K1284" s="460" t="s">
        <v>2613</v>
      </c>
    </row>
    <row r="1285" spans="1:11" ht="14.4">
      <c r="A1285" s="460" t="s">
        <v>1810</v>
      </c>
      <c r="B1285" s="460" t="s">
        <v>2485</v>
      </c>
      <c r="C1285" s="460"/>
      <c r="D1285" s="460" t="s">
        <v>1816</v>
      </c>
      <c r="E1285" s="460" t="s">
        <v>2611</v>
      </c>
      <c r="F1285" s="460" t="s">
        <v>2623</v>
      </c>
      <c r="G1285" s="460"/>
      <c r="H1285" s="461" t="s">
        <v>2652</v>
      </c>
      <c r="I1285" s="547">
        <f>ROUND(20,2)</f>
        <v>20</v>
      </c>
      <c r="J1285" s="460" t="s">
        <v>2652</v>
      </c>
      <c r="K1285" s="460" t="s">
        <v>2613</v>
      </c>
    </row>
    <row r="1286" spans="1:11" ht="14.4">
      <c r="A1286" s="460" t="s">
        <v>1810</v>
      </c>
      <c r="B1286" s="460" t="s">
        <v>2485</v>
      </c>
      <c r="C1286" s="460"/>
      <c r="D1286" s="460" t="s">
        <v>1816</v>
      </c>
      <c r="E1286" s="460" t="s">
        <v>2611</v>
      </c>
      <c r="F1286" s="460" t="s">
        <v>2612</v>
      </c>
      <c r="G1286" s="460"/>
      <c r="H1286" s="461"/>
      <c r="I1286" s="460"/>
      <c r="J1286" s="460"/>
      <c r="K1286" s="460" t="s">
        <v>2613</v>
      </c>
    </row>
    <row r="1287" spans="1:11" ht="14.4">
      <c r="A1287" s="460" t="s">
        <v>1810</v>
      </c>
      <c r="B1287" s="460" t="s">
        <v>2503</v>
      </c>
      <c r="C1287" s="460"/>
      <c r="D1287" s="460" t="s">
        <v>1816</v>
      </c>
      <c r="E1287" s="460" t="s">
        <v>2611</v>
      </c>
      <c r="F1287" s="460" t="s">
        <v>2612</v>
      </c>
      <c r="G1287" s="460"/>
      <c r="H1287" s="461"/>
      <c r="I1287" s="460"/>
      <c r="J1287" s="460"/>
      <c r="K1287" s="460" t="s">
        <v>2613</v>
      </c>
    </row>
    <row r="1288" spans="1:11" ht="14.4">
      <c r="A1288" s="460" t="s">
        <v>1810</v>
      </c>
      <c r="B1288" s="460" t="s">
        <v>2509</v>
      </c>
      <c r="C1288" s="460"/>
      <c r="D1288" s="460" t="s">
        <v>1816</v>
      </c>
      <c r="E1288" s="460" t="s">
        <v>2611</v>
      </c>
      <c r="F1288" s="460" t="s">
        <v>2623</v>
      </c>
      <c r="G1288" s="460"/>
      <c r="H1288" s="461"/>
      <c r="I1288" s="460"/>
      <c r="J1288" s="460"/>
      <c r="K1288" s="460" t="s">
        <v>2613</v>
      </c>
    </row>
    <row r="1289" spans="1:11" ht="22.8">
      <c r="A1289" s="460" t="s">
        <v>1810</v>
      </c>
      <c r="B1289" s="460" t="s">
        <v>1445</v>
      </c>
      <c r="C1289" s="460"/>
      <c r="D1289" s="460" t="s">
        <v>1828</v>
      </c>
      <c r="E1289" s="460" t="s">
        <v>1812</v>
      </c>
      <c r="F1289" s="460" t="s">
        <v>2612</v>
      </c>
      <c r="G1289" s="460"/>
      <c r="H1289" s="461"/>
      <c r="I1289" s="460"/>
      <c r="J1289" s="460"/>
      <c r="K1289" s="460" t="s">
        <v>2613</v>
      </c>
    </row>
    <row r="1290" spans="1:11" ht="22.8">
      <c r="A1290" s="460" t="s">
        <v>1810</v>
      </c>
      <c r="B1290" s="460" t="s">
        <v>1445</v>
      </c>
      <c r="C1290" s="460"/>
      <c r="D1290" s="460" t="s">
        <v>1828</v>
      </c>
      <c r="E1290" s="460" t="s">
        <v>1812</v>
      </c>
      <c r="F1290" s="460" t="s">
        <v>2614</v>
      </c>
      <c r="G1290" s="460"/>
      <c r="H1290" s="461" t="s">
        <v>2615</v>
      </c>
      <c r="I1290" s="547">
        <f>ROUND(7,2)</f>
        <v>7</v>
      </c>
      <c r="J1290" s="460" t="s">
        <v>2615</v>
      </c>
      <c r="K1290" s="460" t="s">
        <v>2613</v>
      </c>
    </row>
    <row r="1291" spans="1:11" ht="22.8">
      <c r="A1291" s="460" t="s">
        <v>1810</v>
      </c>
      <c r="B1291" s="460" t="s">
        <v>1445</v>
      </c>
      <c r="C1291" s="460"/>
      <c r="D1291" s="460" t="s">
        <v>1828</v>
      </c>
      <c r="E1291" s="460" t="s">
        <v>1812</v>
      </c>
      <c r="F1291" s="460" t="s">
        <v>2645</v>
      </c>
      <c r="G1291" s="547">
        <f>ROUND(50,2)</f>
        <v>50</v>
      </c>
      <c r="H1291" s="461"/>
      <c r="I1291" s="547">
        <f>ROUND(50,2)</f>
        <v>50</v>
      </c>
      <c r="J1291" s="460"/>
      <c r="K1291" s="460" t="s">
        <v>2613</v>
      </c>
    </row>
    <row r="1292" spans="1:11" ht="22.8">
      <c r="A1292" s="460" t="s">
        <v>1810</v>
      </c>
      <c r="B1292" s="460" t="s">
        <v>1445</v>
      </c>
      <c r="C1292" s="460"/>
      <c r="D1292" s="460" t="s">
        <v>1828</v>
      </c>
      <c r="E1292" s="460" t="s">
        <v>1812</v>
      </c>
      <c r="F1292" s="460" t="s">
        <v>2616</v>
      </c>
      <c r="G1292" s="460"/>
      <c r="H1292" s="461"/>
      <c r="I1292" s="460"/>
      <c r="J1292" s="460"/>
      <c r="K1292" s="460" t="s">
        <v>2613</v>
      </c>
    </row>
    <row r="1293" spans="1:11" ht="22.8">
      <c r="A1293" s="460" t="s">
        <v>1810</v>
      </c>
      <c r="B1293" s="460" t="s">
        <v>1445</v>
      </c>
      <c r="C1293" s="460"/>
      <c r="D1293" s="460" t="s">
        <v>1828</v>
      </c>
      <c r="E1293" s="460" t="s">
        <v>1812</v>
      </c>
      <c r="F1293" s="460" t="s">
        <v>2618</v>
      </c>
      <c r="G1293" s="547">
        <f>ROUND(22.5,2)</f>
        <v>22.5</v>
      </c>
      <c r="H1293" s="461"/>
      <c r="I1293" s="547">
        <f>ROUND(22.5,2)</f>
        <v>22.5</v>
      </c>
      <c r="J1293" s="460"/>
      <c r="K1293" s="460" t="s">
        <v>2613</v>
      </c>
    </row>
    <row r="1294" spans="1:11" ht="22.8">
      <c r="A1294" s="460" t="s">
        <v>1810</v>
      </c>
      <c r="B1294" s="460" t="s">
        <v>1445</v>
      </c>
      <c r="C1294" s="460"/>
      <c r="D1294" s="460" t="s">
        <v>1828</v>
      </c>
      <c r="E1294" s="460" t="s">
        <v>1812</v>
      </c>
      <c r="F1294" s="460" t="s">
        <v>2617</v>
      </c>
      <c r="G1294" s="547">
        <f>ROUND(75,2)</f>
        <v>75</v>
      </c>
      <c r="H1294" s="461"/>
      <c r="I1294" s="547">
        <f>ROUND(75,2)</f>
        <v>75</v>
      </c>
      <c r="J1294" s="460"/>
      <c r="K1294" s="460" t="s">
        <v>2613</v>
      </c>
    </row>
    <row r="1295" spans="1:11" ht="14.4">
      <c r="A1295" s="460" t="s">
        <v>1810</v>
      </c>
      <c r="B1295" s="460" t="s">
        <v>1631</v>
      </c>
      <c r="C1295" s="460"/>
      <c r="D1295" s="460" t="s">
        <v>1838</v>
      </c>
      <c r="E1295" s="460" t="s">
        <v>2015</v>
      </c>
      <c r="F1295" s="460" t="s">
        <v>2624</v>
      </c>
      <c r="G1295" s="547">
        <f>ROUND(150,2)</f>
        <v>150</v>
      </c>
      <c r="H1295" s="461"/>
      <c r="I1295" s="547">
        <f>ROUND(150,2)</f>
        <v>150</v>
      </c>
      <c r="J1295" s="460"/>
      <c r="K1295" s="460" t="s">
        <v>2613</v>
      </c>
    </row>
    <row r="1296" spans="1:11" ht="14.4">
      <c r="A1296" s="460" t="s">
        <v>1810</v>
      </c>
      <c r="B1296" s="460" t="s">
        <v>1631</v>
      </c>
      <c r="C1296" s="460"/>
      <c r="D1296" s="460" t="s">
        <v>1838</v>
      </c>
      <c r="E1296" s="460" t="s">
        <v>2015</v>
      </c>
      <c r="F1296" s="460" t="s">
        <v>2627</v>
      </c>
      <c r="G1296" s="547">
        <f>ROUND(100,2)</f>
        <v>100</v>
      </c>
      <c r="H1296" s="461"/>
      <c r="I1296" s="547">
        <f>ROUND(100,2)</f>
        <v>100</v>
      </c>
      <c r="J1296" s="460"/>
      <c r="K1296" s="460" t="s">
        <v>2613</v>
      </c>
    </row>
    <row r="1297" spans="1:11" ht="14.4">
      <c r="A1297" s="460" t="s">
        <v>1810</v>
      </c>
      <c r="B1297" s="460" t="s">
        <v>1631</v>
      </c>
      <c r="C1297" s="460"/>
      <c r="D1297" s="460" t="s">
        <v>1838</v>
      </c>
      <c r="E1297" s="460" t="s">
        <v>2015</v>
      </c>
      <c r="F1297" s="460" t="s">
        <v>2612</v>
      </c>
      <c r="G1297" s="460"/>
      <c r="H1297" s="461"/>
      <c r="I1297" s="460"/>
      <c r="J1297" s="460"/>
      <c r="K1297" s="460" t="s">
        <v>2613</v>
      </c>
    </row>
    <row r="1298" spans="1:11" ht="14.4">
      <c r="A1298" s="460" t="s">
        <v>1810</v>
      </c>
      <c r="B1298" s="460" t="s">
        <v>1631</v>
      </c>
      <c r="C1298" s="460"/>
      <c r="D1298" s="460" t="s">
        <v>1838</v>
      </c>
      <c r="E1298" s="460" t="s">
        <v>2015</v>
      </c>
      <c r="F1298" s="460" t="s">
        <v>2614</v>
      </c>
      <c r="G1298" s="460"/>
      <c r="H1298" s="461" t="s">
        <v>2615</v>
      </c>
      <c r="I1298" s="547">
        <f>ROUND(7,2)</f>
        <v>7</v>
      </c>
      <c r="J1298" s="460" t="s">
        <v>2615</v>
      </c>
      <c r="K1298" s="460" t="s">
        <v>2613</v>
      </c>
    </row>
    <row r="1299" spans="1:11" ht="14.4">
      <c r="A1299" s="460" t="s">
        <v>1810</v>
      </c>
      <c r="B1299" s="460" t="s">
        <v>1631</v>
      </c>
      <c r="C1299" s="460"/>
      <c r="D1299" s="460" t="s">
        <v>1838</v>
      </c>
      <c r="E1299" s="460" t="s">
        <v>2015</v>
      </c>
      <c r="F1299" s="460" t="s">
        <v>2616</v>
      </c>
      <c r="G1299" s="460"/>
      <c r="H1299" s="461"/>
      <c r="I1299" s="460"/>
      <c r="J1299" s="460"/>
      <c r="K1299" s="460" t="s">
        <v>2613</v>
      </c>
    </row>
    <row r="1300" spans="1:11" ht="14.4">
      <c r="A1300" s="460" t="s">
        <v>1810</v>
      </c>
      <c r="B1300" s="460" t="s">
        <v>1631</v>
      </c>
      <c r="C1300" s="460"/>
      <c r="D1300" s="460" t="s">
        <v>1838</v>
      </c>
      <c r="E1300" s="460" t="s">
        <v>2015</v>
      </c>
      <c r="F1300" s="460" t="s">
        <v>2618</v>
      </c>
      <c r="G1300" s="547">
        <f>ROUND(40,2)</f>
        <v>40</v>
      </c>
      <c r="H1300" s="461"/>
      <c r="I1300" s="547">
        <f>ROUND(40,2)</f>
        <v>40</v>
      </c>
      <c r="J1300" s="460"/>
      <c r="K1300" s="460" t="s">
        <v>2613</v>
      </c>
    </row>
    <row r="1301" spans="1:11" ht="14.4">
      <c r="A1301" s="460" t="s">
        <v>1810</v>
      </c>
      <c r="B1301" s="460" t="s">
        <v>1631</v>
      </c>
      <c r="C1301" s="460"/>
      <c r="D1301" s="460" t="s">
        <v>1838</v>
      </c>
      <c r="E1301" s="460" t="s">
        <v>2015</v>
      </c>
      <c r="F1301" s="460" t="s">
        <v>2617</v>
      </c>
      <c r="G1301" s="547">
        <f>ROUND(75,2)</f>
        <v>75</v>
      </c>
      <c r="H1301" s="461"/>
      <c r="I1301" s="547">
        <f>ROUND(75,2)</f>
        <v>75</v>
      </c>
      <c r="J1301" s="460"/>
      <c r="K1301" s="460" t="s">
        <v>2613</v>
      </c>
    </row>
    <row r="1302" spans="1:11" ht="14.4">
      <c r="A1302" s="460" t="s">
        <v>1810</v>
      </c>
      <c r="B1302" s="460" t="s">
        <v>1773</v>
      </c>
      <c r="C1302" s="460"/>
      <c r="D1302" s="460" t="s">
        <v>1814</v>
      </c>
      <c r="E1302" s="460" t="s">
        <v>1812</v>
      </c>
      <c r="F1302" s="460" t="s">
        <v>2625</v>
      </c>
      <c r="G1302" s="547">
        <f>ROUND(37.5,2)</f>
        <v>37.5</v>
      </c>
      <c r="H1302" s="461"/>
      <c r="I1302" s="547">
        <f>ROUND(37.5,2)</f>
        <v>37.5</v>
      </c>
      <c r="J1302" s="460"/>
      <c r="K1302" s="460" t="s">
        <v>2613</v>
      </c>
    </row>
    <row r="1303" spans="1:11" ht="14.4">
      <c r="A1303" s="460" t="s">
        <v>1810</v>
      </c>
      <c r="B1303" s="460" t="s">
        <v>1773</v>
      </c>
      <c r="C1303" s="460"/>
      <c r="D1303" s="460" t="s">
        <v>1814</v>
      </c>
      <c r="E1303" s="460" t="s">
        <v>1812</v>
      </c>
      <c r="F1303" s="460" t="s">
        <v>2632</v>
      </c>
      <c r="G1303" s="547">
        <f>ROUND(166.67,2)</f>
        <v>166.67</v>
      </c>
      <c r="H1303" s="461"/>
      <c r="I1303" s="547">
        <f>ROUND(166.67,2)</f>
        <v>166.67</v>
      </c>
      <c r="J1303" s="460"/>
      <c r="K1303" s="460" t="s">
        <v>2613</v>
      </c>
    </row>
    <row r="1304" spans="1:11" ht="14.4">
      <c r="A1304" s="460" t="s">
        <v>1810</v>
      </c>
      <c r="B1304" s="460" t="s">
        <v>1773</v>
      </c>
      <c r="C1304" s="460"/>
      <c r="D1304" s="460" t="s">
        <v>1814</v>
      </c>
      <c r="E1304" s="460" t="s">
        <v>1812</v>
      </c>
      <c r="F1304" s="460" t="s">
        <v>2612</v>
      </c>
      <c r="G1304" s="460"/>
      <c r="H1304" s="461"/>
      <c r="I1304" s="460"/>
      <c r="J1304" s="460"/>
      <c r="K1304" s="460" t="s">
        <v>2613</v>
      </c>
    </row>
    <row r="1305" spans="1:11" ht="14.4">
      <c r="A1305" s="460" t="s">
        <v>1810</v>
      </c>
      <c r="B1305" s="460" t="s">
        <v>1773</v>
      </c>
      <c r="C1305" s="460"/>
      <c r="D1305" s="460" t="s">
        <v>1814</v>
      </c>
      <c r="E1305" s="460" t="s">
        <v>1812</v>
      </c>
      <c r="F1305" s="460" t="s">
        <v>2614</v>
      </c>
      <c r="G1305" s="460"/>
      <c r="H1305" s="461" t="s">
        <v>2615</v>
      </c>
      <c r="I1305" s="547">
        <f>ROUND(7,2)</f>
        <v>7</v>
      </c>
      <c r="J1305" s="460" t="s">
        <v>2615</v>
      </c>
      <c r="K1305" s="460" t="s">
        <v>2613</v>
      </c>
    </row>
    <row r="1306" spans="1:11" ht="14.4">
      <c r="A1306" s="460" t="s">
        <v>1810</v>
      </c>
      <c r="B1306" s="460" t="s">
        <v>1773</v>
      </c>
      <c r="C1306" s="460"/>
      <c r="D1306" s="460" t="s">
        <v>1814</v>
      </c>
      <c r="E1306" s="460" t="s">
        <v>1812</v>
      </c>
      <c r="F1306" s="460" t="s">
        <v>2620</v>
      </c>
      <c r="G1306" s="547">
        <f>ROUND(10.22,2)</f>
        <v>10.220000000000001</v>
      </c>
      <c r="H1306" s="461"/>
      <c r="I1306" s="547">
        <f>ROUND(10.22,2)</f>
        <v>10.220000000000001</v>
      </c>
      <c r="J1306" s="460"/>
      <c r="K1306" s="460" t="s">
        <v>2613</v>
      </c>
    </row>
    <row r="1307" spans="1:11" ht="14.4">
      <c r="A1307" s="460" t="s">
        <v>1810</v>
      </c>
      <c r="B1307" s="460" t="s">
        <v>1773</v>
      </c>
      <c r="C1307" s="460"/>
      <c r="D1307" s="460" t="s">
        <v>1814</v>
      </c>
      <c r="E1307" s="460" t="s">
        <v>1812</v>
      </c>
      <c r="F1307" s="460" t="s">
        <v>2616</v>
      </c>
      <c r="G1307" s="460"/>
      <c r="H1307" s="461"/>
      <c r="I1307" s="460"/>
      <c r="J1307" s="460"/>
      <c r="K1307" s="460" t="s">
        <v>2613</v>
      </c>
    </row>
    <row r="1308" spans="1:11" ht="22.8">
      <c r="A1308" s="460" t="s">
        <v>1810</v>
      </c>
      <c r="B1308" s="460" t="s">
        <v>1441</v>
      </c>
      <c r="C1308" s="460"/>
      <c r="D1308" s="460" t="s">
        <v>1815</v>
      </c>
      <c r="E1308" s="460" t="s">
        <v>1812</v>
      </c>
      <c r="F1308" s="460" t="s">
        <v>2612</v>
      </c>
      <c r="G1308" s="460"/>
      <c r="H1308" s="461"/>
      <c r="I1308" s="460"/>
      <c r="J1308" s="460"/>
      <c r="K1308" s="460" t="s">
        <v>2613</v>
      </c>
    </row>
    <row r="1309" spans="1:11" ht="22.8">
      <c r="A1309" s="460" t="s">
        <v>1810</v>
      </c>
      <c r="B1309" s="460" t="s">
        <v>1441</v>
      </c>
      <c r="C1309" s="460"/>
      <c r="D1309" s="460" t="s">
        <v>1815</v>
      </c>
      <c r="E1309" s="460" t="s">
        <v>1812</v>
      </c>
      <c r="F1309" s="460" t="s">
        <v>2623</v>
      </c>
      <c r="G1309" s="547">
        <f>ROUND(100,2)</f>
        <v>100</v>
      </c>
      <c r="H1309" s="461"/>
      <c r="I1309" s="547">
        <f>ROUND(100,2)</f>
        <v>100</v>
      </c>
      <c r="J1309" s="460"/>
      <c r="K1309" s="460" t="s">
        <v>2613</v>
      </c>
    </row>
    <row r="1310" spans="1:11" ht="22.8">
      <c r="A1310" s="460" t="s">
        <v>1810</v>
      </c>
      <c r="B1310" s="460" t="s">
        <v>1441</v>
      </c>
      <c r="C1310" s="460"/>
      <c r="D1310" s="460" t="s">
        <v>1815</v>
      </c>
      <c r="E1310" s="460" t="s">
        <v>1812</v>
      </c>
      <c r="F1310" s="460" t="s">
        <v>2614</v>
      </c>
      <c r="G1310" s="460"/>
      <c r="H1310" s="461" t="s">
        <v>2615</v>
      </c>
      <c r="I1310" s="547">
        <f>ROUND(7,2)</f>
        <v>7</v>
      </c>
      <c r="J1310" s="460" t="s">
        <v>2615</v>
      </c>
      <c r="K1310" s="460" t="s">
        <v>2613</v>
      </c>
    </row>
    <row r="1311" spans="1:11" ht="22.8">
      <c r="A1311" s="460" t="s">
        <v>1810</v>
      </c>
      <c r="B1311" s="460" t="s">
        <v>1441</v>
      </c>
      <c r="C1311" s="460"/>
      <c r="D1311" s="460" t="s">
        <v>1815</v>
      </c>
      <c r="E1311" s="460" t="s">
        <v>1812</v>
      </c>
      <c r="F1311" s="460" t="s">
        <v>2616</v>
      </c>
      <c r="G1311" s="460"/>
      <c r="H1311" s="461"/>
      <c r="I1311" s="460"/>
      <c r="J1311" s="460"/>
      <c r="K1311" s="460" t="s">
        <v>2613</v>
      </c>
    </row>
    <row r="1312" spans="1:11" ht="22.8">
      <c r="A1312" s="460" t="s">
        <v>1810</v>
      </c>
      <c r="B1312" s="460" t="s">
        <v>1441</v>
      </c>
      <c r="C1312" s="460"/>
      <c r="D1312" s="460" t="s">
        <v>1815</v>
      </c>
      <c r="E1312" s="460" t="s">
        <v>1812</v>
      </c>
      <c r="F1312" s="460" t="s">
        <v>2617</v>
      </c>
      <c r="G1312" s="547">
        <f>ROUND(75,2)</f>
        <v>75</v>
      </c>
      <c r="H1312" s="461"/>
      <c r="I1312" s="547">
        <f>ROUND(75,2)</f>
        <v>75</v>
      </c>
      <c r="J1312" s="460"/>
      <c r="K1312" s="460" t="s">
        <v>2613</v>
      </c>
    </row>
    <row r="1313" spans="1:11" ht="22.8">
      <c r="A1313" s="460" t="s">
        <v>1810</v>
      </c>
      <c r="B1313" s="460" t="s">
        <v>1441</v>
      </c>
      <c r="C1313" s="460"/>
      <c r="D1313" s="460" t="s">
        <v>1815</v>
      </c>
      <c r="E1313" s="460" t="s">
        <v>1812</v>
      </c>
      <c r="F1313" s="460" t="s">
        <v>2618</v>
      </c>
      <c r="G1313" s="547">
        <f>ROUND(22.5,2)</f>
        <v>22.5</v>
      </c>
      <c r="H1313" s="461"/>
      <c r="I1313" s="547">
        <f>ROUND(22.5,2)</f>
        <v>22.5</v>
      </c>
      <c r="J1313" s="460"/>
      <c r="K1313" s="460" t="s">
        <v>2613</v>
      </c>
    </row>
    <row r="1314" spans="1:11" ht="14.4">
      <c r="A1314" s="460" t="s">
        <v>1810</v>
      </c>
      <c r="B1314" s="460" t="s">
        <v>2480</v>
      </c>
      <c r="C1314" s="460"/>
      <c r="D1314" s="460" t="s">
        <v>1814</v>
      </c>
      <c r="E1314" s="460" t="s">
        <v>1812</v>
      </c>
      <c r="F1314" s="460" t="s">
        <v>2629</v>
      </c>
      <c r="G1314" s="547">
        <f>ROUND(52,2)</f>
        <v>52</v>
      </c>
      <c r="H1314" s="461"/>
      <c r="I1314" s="547">
        <f>ROUND(52,2)</f>
        <v>52</v>
      </c>
      <c r="J1314" s="460"/>
      <c r="K1314" s="460" t="s">
        <v>2613</v>
      </c>
    </row>
    <row r="1315" spans="1:11" ht="14.4">
      <c r="A1315" s="460" t="s">
        <v>1810</v>
      </c>
      <c r="B1315" s="460" t="s">
        <v>2480</v>
      </c>
      <c r="C1315" s="460"/>
      <c r="D1315" s="460" t="s">
        <v>1814</v>
      </c>
      <c r="E1315" s="460" t="s">
        <v>1812</v>
      </c>
      <c r="F1315" s="460" t="s">
        <v>2620</v>
      </c>
      <c r="G1315" s="547">
        <f>ROUND(10.22,2)</f>
        <v>10.220000000000001</v>
      </c>
      <c r="H1315" s="461"/>
      <c r="I1315" s="547">
        <f>ROUND(10.22,2)</f>
        <v>10.220000000000001</v>
      </c>
      <c r="J1315" s="460"/>
      <c r="K1315" s="460" t="s">
        <v>2613</v>
      </c>
    </row>
    <row r="1316" spans="1:11" ht="14.4">
      <c r="A1316" s="460" t="s">
        <v>1810</v>
      </c>
      <c r="B1316" s="460" t="s">
        <v>2480</v>
      </c>
      <c r="C1316" s="460"/>
      <c r="D1316" s="460" t="s">
        <v>1814</v>
      </c>
      <c r="E1316" s="460" t="s">
        <v>1812</v>
      </c>
      <c r="F1316" s="460" t="s">
        <v>2616</v>
      </c>
      <c r="G1316" s="460"/>
      <c r="H1316" s="461"/>
      <c r="I1316" s="460"/>
      <c r="J1316" s="460"/>
      <c r="K1316" s="460" t="s">
        <v>2613</v>
      </c>
    </row>
    <row r="1317" spans="1:11" ht="14.4">
      <c r="A1317" s="460" t="s">
        <v>1810</v>
      </c>
      <c r="B1317" s="460" t="s">
        <v>2480</v>
      </c>
      <c r="C1317" s="460"/>
      <c r="D1317" s="460" t="s">
        <v>1814</v>
      </c>
      <c r="E1317" s="460" t="s">
        <v>1812</v>
      </c>
      <c r="F1317" s="460" t="s">
        <v>2625</v>
      </c>
      <c r="G1317" s="547">
        <f>ROUND(50,2)</f>
        <v>50</v>
      </c>
      <c r="H1317" s="461"/>
      <c r="I1317" s="547">
        <f>ROUND(50,2)</f>
        <v>50</v>
      </c>
      <c r="J1317" s="460"/>
      <c r="K1317" s="460" t="s">
        <v>2613</v>
      </c>
    </row>
    <row r="1318" spans="1:11" ht="14.4">
      <c r="A1318" s="460" t="s">
        <v>1810</v>
      </c>
      <c r="B1318" s="460" t="s">
        <v>2480</v>
      </c>
      <c r="C1318" s="460"/>
      <c r="D1318" s="460" t="s">
        <v>1814</v>
      </c>
      <c r="E1318" s="460" t="s">
        <v>1812</v>
      </c>
      <c r="F1318" s="460" t="s">
        <v>2614</v>
      </c>
      <c r="G1318" s="460"/>
      <c r="H1318" s="461" t="s">
        <v>2615</v>
      </c>
      <c r="I1318" s="547">
        <f>ROUND(7,2)</f>
        <v>7</v>
      </c>
      <c r="J1318" s="460" t="s">
        <v>2615</v>
      </c>
      <c r="K1318" s="460" t="s">
        <v>2613</v>
      </c>
    </row>
    <row r="1319" spans="1:11" ht="14.4">
      <c r="A1319" s="460" t="s">
        <v>1810</v>
      </c>
      <c r="B1319" s="460" t="s">
        <v>2480</v>
      </c>
      <c r="C1319" s="460"/>
      <c r="D1319" s="460" t="s">
        <v>1814</v>
      </c>
      <c r="E1319" s="460" t="s">
        <v>1812</v>
      </c>
      <c r="F1319" s="460" t="s">
        <v>2612</v>
      </c>
      <c r="G1319" s="460"/>
      <c r="H1319" s="461"/>
      <c r="I1319" s="460"/>
      <c r="J1319" s="460"/>
      <c r="K1319" s="460" t="s">
        <v>2613</v>
      </c>
    </row>
    <row r="1320" spans="1:11" ht="14.4">
      <c r="A1320" s="460" t="s">
        <v>1810</v>
      </c>
      <c r="B1320" s="460" t="s">
        <v>1450</v>
      </c>
      <c r="C1320" s="460"/>
      <c r="D1320" s="460" t="s">
        <v>1814</v>
      </c>
      <c r="E1320" s="460" t="s">
        <v>1812</v>
      </c>
      <c r="F1320" s="460" t="s">
        <v>2619</v>
      </c>
      <c r="G1320" s="460"/>
      <c r="H1320" s="461"/>
      <c r="I1320" s="460"/>
      <c r="J1320" s="460"/>
      <c r="K1320" s="460" t="s">
        <v>2613</v>
      </c>
    </row>
    <row r="1321" spans="1:11" ht="14.4">
      <c r="A1321" s="460" t="s">
        <v>1810</v>
      </c>
      <c r="B1321" s="460" t="s">
        <v>1450</v>
      </c>
      <c r="C1321" s="460"/>
      <c r="D1321" s="460" t="s">
        <v>1814</v>
      </c>
      <c r="E1321" s="460" t="s">
        <v>1812</v>
      </c>
      <c r="F1321" s="460" t="s">
        <v>2614</v>
      </c>
      <c r="G1321" s="460"/>
      <c r="H1321" s="461" t="s">
        <v>2615</v>
      </c>
      <c r="I1321" s="547">
        <f>ROUND(7,2)</f>
        <v>7</v>
      </c>
      <c r="J1321" s="460" t="s">
        <v>2615</v>
      </c>
      <c r="K1321" s="460" t="s">
        <v>2613</v>
      </c>
    </row>
    <row r="1322" spans="1:11" ht="14.4">
      <c r="A1322" s="460" t="s">
        <v>1810</v>
      </c>
      <c r="B1322" s="460" t="s">
        <v>1450</v>
      </c>
      <c r="C1322" s="460"/>
      <c r="D1322" s="460" t="s">
        <v>1814</v>
      </c>
      <c r="E1322" s="460" t="s">
        <v>1812</v>
      </c>
      <c r="F1322" s="460" t="s">
        <v>2626</v>
      </c>
      <c r="G1322" s="547">
        <f>ROUND(10,2)</f>
        <v>10</v>
      </c>
      <c r="H1322" s="461"/>
      <c r="I1322" s="547">
        <f>ROUND(10,2)</f>
        <v>10</v>
      </c>
      <c r="J1322" s="460"/>
      <c r="K1322" s="460" t="s">
        <v>2613</v>
      </c>
    </row>
    <row r="1323" spans="1:11" ht="14.4">
      <c r="A1323" s="460" t="s">
        <v>1810</v>
      </c>
      <c r="B1323" s="460" t="s">
        <v>1450</v>
      </c>
      <c r="C1323" s="460"/>
      <c r="D1323" s="460" t="s">
        <v>1814</v>
      </c>
      <c r="E1323" s="460" t="s">
        <v>1812</v>
      </c>
      <c r="F1323" s="460" t="s">
        <v>2625</v>
      </c>
      <c r="G1323" s="547">
        <f>ROUND(50,2)</f>
        <v>50</v>
      </c>
      <c r="H1323" s="461"/>
      <c r="I1323" s="547">
        <f>ROUND(50,2)</f>
        <v>50</v>
      </c>
      <c r="J1323" s="460"/>
      <c r="K1323" s="460" t="s">
        <v>2613</v>
      </c>
    </row>
    <row r="1324" spans="1:11" ht="14.4">
      <c r="A1324" s="460" t="s">
        <v>1810</v>
      </c>
      <c r="B1324" s="460" t="s">
        <v>1450</v>
      </c>
      <c r="C1324" s="460"/>
      <c r="D1324" s="460" t="s">
        <v>1814</v>
      </c>
      <c r="E1324" s="460" t="s">
        <v>1812</v>
      </c>
      <c r="F1324" s="460" t="s">
        <v>2621</v>
      </c>
      <c r="G1324" s="460"/>
      <c r="H1324" s="461" t="s">
        <v>2622</v>
      </c>
      <c r="I1324" s="547">
        <f>ROUND(5,2)</f>
        <v>5</v>
      </c>
      <c r="J1324" s="460" t="s">
        <v>2622</v>
      </c>
      <c r="K1324" s="460" t="s">
        <v>2613</v>
      </c>
    </row>
    <row r="1325" spans="1:11" ht="14.4">
      <c r="A1325" s="460" t="s">
        <v>1810</v>
      </c>
      <c r="B1325" s="460" t="s">
        <v>1450</v>
      </c>
      <c r="C1325" s="460"/>
      <c r="D1325" s="460" t="s">
        <v>1814</v>
      </c>
      <c r="E1325" s="460" t="s">
        <v>1812</v>
      </c>
      <c r="F1325" s="460" t="s">
        <v>2616</v>
      </c>
      <c r="G1325" s="460"/>
      <c r="H1325" s="461"/>
      <c r="I1325" s="460"/>
      <c r="J1325" s="460"/>
      <c r="K1325" s="460" t="s">
        <v>2613</v>
      </c>
    </row>
    <row r="1326" spans="1:11" ht="14.4">
      <c r="A1326" s="460" t="s">
        <v>1810</v>
      </c>
      <c r="B1326" s="460" t="s">
        <v>1444</v>
      </c>
      <c r="C1326" s="460"/>
      <c r="D1326" s="460" t="s">
        <v>1821</v>
      </c>
      <c r="E1326" s="460" t="s">
        <v>1812</v>
      </c>
      <c r="F1326" s="460" t="s">
        <v>2625</v>
      </c>
      <c r="G1326" s="547">
        <f>ROUND(50,2)</f>
        <v>50</v>
      </c>
      <c r="H1326" s="461"/>
      <c r="I1326" s="547">
        <f>ROUND(50,2)</f>
        <v>50</v>
      </c>
      <c r="J1326" s="460"/>
      <c r="K1326" s="460" t="s">
        <v>2613</v>
      </c>
    </row>
    <row r="1327" spans="1:11" ht="14.4">
      <c r="A1327" s="460" t="s">
        <v>1810</v>
      </c>
      <c r="B1327" s="460" t="s">
        <v>1444</v>
      </c>
      <c r="C1327" s="460"/>
      <c r="D1327" s="460" t="s">
        <v>1821</v>
      </c>
      <c r="E1327" s="460" t="s">
        <v>1812</v>
      </c>
      <c r="F1327" s="460" t="s">
        <v>2612</v>
      </c>
      <c r="G1327" s="460"/>
      <c r="H1327" s="461"/>
      <c r="I1327" s="460"/>
      <c r="J1327" s="460"/>
      <c r="K1327" s="460" t="s">
        <v>2613</v>
      </c>
    </row>
    <row r="1328" spans="1:11" ht="14.4">
      <c r="A1328" s="460" t="s">
        <v>1810</v>
      </c>
      <c r="B1328" s="460" t="s">
        <v>1444</v>
      </c>
      <c r="C1328" s="460"/>
      <c r="D1328" s="460" t="s">
        <v>1821</v>
      </c>
      <c r="E1328" s="460" t="s">
        <v>1812</v>
      </c>
      <c r="F1328" s="460" t="s">
        <v>2619</v>
      </c>
      <c r="G1328" s="547">
        <f>ROUND(100,2)</f>
        <v>100</v>
      </c>
      <c r="H1328" s="461"/>
      <c r="I1328" s="547">
        <f>ROUND(100,2)</f>
        <v>100</v>
      </c>
      <c r="J1328" s="460"/>
      <c r="K1328" s="460" t="s">
        <v>2613</v>
      </c>
    </row>
    <row r="1329" spans="1:11" ht="14.4">
      <c r="A1329" s="460" t="s">
        <v>1810</v>
      </c>
      <c r="B1329" s="460" t="s">
        <v>1444</v>
      </c>
      <c r="C1329" s="460"/>
      <c r="D1329" s="460" t="s">
        <v>1821</v>
      </c>
      <c r="E1329" s="460" t="s">
        <v>1812</v>
      </c>
      <c r="F1329" s="460" t="s">
        <v>2614</v>
      </c>
      <c r="G1329" s="460"/>
      <c r="H1329" s="461" t="s">
        <v>2615</v>
      </c>
      <c r="I1329" s="547">
        <f>ROUND(7,2)</f>
        <v>7</v>
      </c>
      <c r="J1329" s="460" t="s">
        <v>2615</v>
      </c>
      <c r="K1329" s="460" t="s">
        <v>2613</v>
      </c>
    </row>
    <row r="1330" spans="1:11" ht="14.4">
      <c r="A1330" s="460" t="s">
        <v>1810</v>
      </c>
      <c r="B1330" s="460" t="s">
        <v>1444</v>
      </c>
      <c r="C1330" s="460"/>
      <c r="D1330" s="460" t="s">
        <v>1821</v>
      </c>
      <c r="E1330" s="460" t="s">
        <v>1812</v>
      </c>
      <c r="F1330" s="460" t="s">
        <v>2627</v>
      </c>
      <c r="G1330" s="547">
        <f>ROUND(150,2)</f>
        <v>150</v>
      </c>
      <c r="H1330" s="461"/>
      <c r="I1330" s="547">
        <f>ROUND(150,2)</f>
        <v>150</v>
      </c>
      <c r="J1330" s="460"/>
      <c r="K1330" s="460" t="s">
        <v>2613</v>
      </c>
    </row>
    <row r="1331" spans="1:11" ht="14.4">
      <c r="A1331" s="460" t="s">
        <v>1810</v>
      </c>
      <c r="B1331" s="460" t="s">
        <v>1444</v>
      </c>
      <c r="C1331" s="460"/>
      <c r="D1331" s="460" t="s">
        <v>1821</v>
      </c>
      <c r="E1331" s="460" t="s">
        <v>1812</v>
      </c>
      <c r="F1331" s="460" t="s">
        <v>2634</v>
      </c>
      <c r="G1331" s="547">
        <f>ROUND(26,2)</f>
        <v>26</v>
      </c>
      <c r="H1331" s="461"/>
      <c r="I1331" s="547">
        <f>ROUND(26,2)</f>
        <v>26</v>
      </c>
      <c r="J1331" s="460"/>
      <c r="K1331" s="460" t="s">
        <v>2613</v>
      </c>
    </row>
    <row r="1332" spans="1:11" ht="14.4">
      <c r="A1332" s="460" t="s">
        <v>1810</v>
      </c>
      <c r="B1332" s="460" t="s">
        <v>1444</v>
      </c>
      <c r="C1332" s="460"/>
      <c r="D1332" s="460" t="s">
        <v>1821</v>
      </c>
      <c r="E1332" s="460" t="s">
        <v>1812</v>
      </c>
      <c r="F1332" s="460" t="s">
        <v>2616</v>
      </c>
      <c r="G1332" s="460"/>
      <c r="H1332" s="461"/>
      <c r="I1332" s="460"/>
      <c r="J1332" s="460"/>
      <c r="K1332" s="460" t="s">
        <v>2613</v>
      </c>
    </row>
    <row r="1333" spans="1:11" ht="14.4">
      <c r="A1333" s="460" t="s">
        <v>1810</v>
      </c>
      <c r="B1333" s="460" t="s">
        <v>2896</v>
      </c>
      <c r="C1333" s="460"/>
      <c r="D1333" s="460" t="s">
        <v>1816</v>
      </c>
      <c r="E1333" s="460" t="s">
        <v>2611</v>
      </c>
      <c r="F1333" s="460" t="s">
        <v>2612</v>
      </c>
      <c r="G1333" s="460"/>
      <c r="H1333" s="461"/>
      <c r="I1333" s="460"/>
      <c r="J1333" s="460"/>
      <c r="K1333" s="460" t="s">
        <v>2613</v>
      </c>
    </row>
    <row r="1334" spans="1:11" ht="14.4">
      <c r="A1334" s="460" t="s">
        <v>1810</v>
      </c>
      <c r="B1334" s="460" t="s">
        <v>1501</v>
      </c>
      <c r="C1334" s="460"/>
      <c r="D1334" s="460" t="s">
        <v>1814</v>
      </c>
      <c r="E1334" s="460" t="s">
        <v>1812</v>
      </c>
      <c r="F1334" s="460" t="s">
        <v>2629</v>
      </c>
      <c r="G1334" s="547">
        <f>ROUND(394.64,2)</f>
        <v>394.64</v>
      </c>
      <c r="H1334" s="461"/>
      <c r="I1334" s="547">
        <f>ROUND(394.64,2)</f>
        <v>394.64</v>
      </c>
      <c r="J1334" s="460"/>
      <c r="K1334" s="460" t="s">
        <v>2613</v>
      </c>
    </row>
    <row r="1335" spans="1:11" ht="14.4">
      <c r="A1335" s="460" t="s">
        <v>1810</v>
      </c>
      <c r="B1335" s="460" t="s">
        <v>1501</v>
      </c>
      <c r="C1335" s="460"/>
      <c r="D1335" s="460" t="s">
        <v>1814</v>
      </c>
      <c r="E1335" s="460" t="s">
        <v>1812</v>
      </c>
      <c r="F1335" s="460" t="s">
        <v>2625</v>
      </c>
      <c r="G1335" s="547">
        <f>ROUND(25,2)</f>
        <v>25</v>
      </c>
      <c r="H1335" s="461"/>
      <c r="I1335" s="547">
        <f>ROUND(25,2)</f>
        <v>25</v>
      </c>
      <c r="J1335" s="460"/>
      <c r="K1335" s="460" t="s">
        <v>2613</v>
      </c>
    </row>
    <row r="1336" spans="1:11" ht="14.4">
      <c r="A1336" s="460" t="s">
        <v>1810</v>
      </c>
      <c r="B1336" s="460" t="s">
        <v>1501</v>
      </c>
      <c r="C1336" s="460"/>
      <c r="D1336" s="460" t="s">
        <v>1814</v>
      </c>
      <c r="E1336" s="460" t="s">
        <v>1812</v>
      </c>
      <c r="F1336" s="460" t="s">
        <v>2612</v>
      </c>
      <c r="G1336" s="460"/>
      <c r="H1336" s="461"/>
      <c r="I1336" s="460"/>
      <c r="J1336" s="460"/>
      <c r="K1336" s="460" t="s">
        <v>2613</v>
      </c>
    </row>
    <row r="1337" spans="1:11" ht="14.4">
      <c r="A1337" s="460" t="s">
        <v>1810</v>
      </c>
      <c r="B1337" s="460" t="s">
        <v>1501</v>
      </c>
      <c r="C1337" s="460"/>
      <c r="D1337" s="460" t="s">
        <v>1814</v>
      </c>
      <c r="E1337" s="460" t="s">
        <v>1812</v>
      </c>
      <c r="F1337" s="460" t="s">
        <v>2614</v>
      </c>
      <c r="G1337" s="460"/>
      <c r="H1337" s="461" t="s">
        <v>2615</v>
      </c>
      <c r="I1337" s="547">
        <f>ROUND(7,2)</f>
        <v>7</v>
      </c>
      <c r="J1337" s="460" t="s">
        <v>2615</v>
      </c>
      <c r="K1337" s="460" t="s">
        <v>2613</v>
      </c>
    </row>
    <row r="1338" spans="1:11" ht="14.4">
      <c r="A1338" s="460" t="s">
        <v>1810</v>
      </c>
      <c r="B1338" s="460" t="s">
        <v>1501</v>
      </c>
      <c r="C1338" s="460"/>
      <c r="D1338" s="460" t="s">
        <v>1814</v>
      </c>
      <c r="E1338" s="460" t="s">
        <v>1812</v>
      </c>
      <c r="F1338" s="460" t="s">
        <v>2626</v>
      </c>
      <c r="G1338" s="547">
        <f>ROUND(10,2)</f>
        <v>10</v>
      </c>
      <c r="H1338" s="461"/>
      <c r="I1338" s="547">
        <f>ROUND(10,2)</f>
        <v>10</v>
      </c>
      <c r="J1338" s="460"/>
      <c r="K1338" s="460" t="s">
        <v>2613</v>
      </c>
    </row>
    <row r="1339" spans="1:11" ht="14.4">
      <c r="A1339" s="460" t="s">
        <v>1810</v>
      </c>
      <c r="B1339" s="460" t="s">
        <v>1501</v>
      </c>
      <c r="C1339" s="460"/>
      <c r="D1339" s="460" t="s">
        <v>1814</v>
      </c>
      <c r="E1339" s="460" t="s">
        <v>1812</v>
      </c>
      <c r="F1339" s="460" t="s">
        <v>2645</v>
      </c>
      <c r="G1339" s="547">
        <f>ROUND(50,2)</f>
        <v>50</v>
      </c>
      <c r="H1339" s="461"/>
      <c r="I1339" s="547">
        <f>ROUND(50,2)</f>
        <v>50</v>
      </c>
      <c r="J1339" s="460"/>
      <c r="K1339" s="460" t="s">
        <v>2613</v>
      </c>
    </row>
    <row r="1340" spans="1:11" ht="14.4">
      <c r="A1340" s="460" t="s">
        <v>1810</v>
      </c>
      <c r="B1340" s="460" t="s">
        <v>1501</v>
      </c>
      <c r="C1340" s="460"/>
      <c r="D1340" s="460" t="s">
        <v>1814</v>
      </c>
      <c r="E1340" s="460" t="s">
        <v>1812</v>
      </c>
      <c r="F1340" s="460" t="s">
        <v>2616</v>
      </c>
      <c r="G1340" s="460"/>
      <c r="H1340" s="461"/>
      <c r="I1340" s="460"/>
      <c r="J1340" s="460"/>
      <c r="K1340" s="460" t="s">
        <v>2613</v>
      </c>
    </row>
    <row r="1341" spans="1:11" ht="14.4">
      <c r="A1341" s="460" t="s">
        <v>1810</v>
      </c>
      <c r="B1341" s="460" t="s">
        <v>1707</v>
      </c>
      <c r="C1341" s="460"/>
      <c r="D1341" s="460" t="s">
        <v>1816</v>
      </c>
      <c r="E1341" s="460" t="s">
        <v>2611</v>
      </c>
      <c r="F1341" s="460" t="s">
        <v>2612</v>
      </c>
      <c r="G1341" s="460"/>
      <c r="H1341" s="461"/>
      <c r="I1341" s="460"/>
      <c r="J1341" s="460"/>
      <c r="K1341" s="460" t="s">
        <v>2613</v>
      </c>
    </row>
    <row r="1342" spans="1:11" ht="14.4">
      <c r="A1342" s="460" t="s">
        <v>1810</v>
      </c>
      <c r="B1342" s="460" t="s">
        <v>1439</v>
      </c>
      <c r="C1342" s="460"/>
      <c r="D1342" s="460" t="s">
        <v>1835</v>
      </c>
      <c r="E1342" s="460" t="s">
        <v>1812</v>
      </c>
      <c r="F1342" s="460" t="s">
        <v>2612</v>
      </c>
      <c r="G1342" s="460"/>
      <c r="H1342" s="461"/>
      <c r="I1342" s="460"/>
      <c r="J1342" s="460"/>
      <c r="K1342" s="460" t="s">
        <v>2613</v>
      </c>
    </row>
    <row r="1343" spans="1:11" ht="14.4">
      <c r="A1343" s="460" t="s">
        <v>1810</v>
      </c>
      <c r="B1343" s="460" t="s">
        <v>1439</v>
      </c>
      <c r="C1343" s="460"/>
      <c r="D1343" s="460" t="s">
        <v>1835</v>
      </c>
      <c r="E1343" s="460" t="s">
        <v>1812</v>
      </c>
      <c r="F1343" s="460" t="s">
        <v>2614</v>
      </c>
      <c r="G1343" s="460"/>
      <c r="H1343" s="461" t="s">
        <v>2615</v>
      </c>
      <c r="I1343" s="547">
        <f>ROUND(7,2)</f>
        <v>7</v>
      </c>
      <c r="J1343" s="460" t="s">
        <v>2615</v>
      </c>
      <c r="K1343" s="460" t="s">
        <v>2613</v>
      </c>
    </row>
    <row r="1344" spans="1:11" ht="14.4">
      <c r="A1344" s="460" t="s">
        <v>1810</v>
      </c>
      <c r="B1344" s="460" t="s">
        <v>1439</v>
      </c>
      <c r="C1344" s="460"/>
      <c r="D1344" s="460" t="s">
        <v>1835</v>
      </c>
      <c r="E1344" s="460" t="s">
        <v>1812</v>
      </c>
      <c r="F1344" s="460" t="s">
        <v>2620</v>
      </c>
      <c r="G1344" s="547">
        <f>ROUND(10.22,2)</f>
        <v>10.220000000000001</v>
      </c>
      <c r="H1344" s="461"/>
      <c r="I1344" s="547">
        <f>ROUND(10.22,2)</f>
        <v>10.220000000000001</v>
      </c>
      <c r="J1344" s="460"/>
      <c r="K1344" s="460" t="s">
        <v>2613</v>
      </c>
    </row>
    <row r="1345" spans="1:11" ht="14.4">
      <c r="A1345" s="460" t="s">
        <v>1810</v>
      </c>
      <c r="B1345" s="460" t="s">
        <v>1439</v>
      </c>
      <c r="C1345" s="460"/>
      <c r="D1345" s="460" t="s">
        <v>1835</v>
      </c>
      <c r="E1345" s="460" t="s">
        <v>1812</v>
      </c>
      <c r="F1345" s="460" t="s">
        <v>2616</v>
      </c>
      <c r="G1345" s="460"/>
      <c r="H1345" s="461"/>
      <c r="I1345" s="460"/>
      <c r="J1345" s="460"/>
      <c r="K1345" s="460" t="s">
        <v>2613</v>
      </c>
    </row>
    <row r="1346" spans="1:11" ht="14.4">
      <c r="A1346" s="460" t="s">
        <v>1810</v>
      </c>
      <c r="B1346" s="460" t="s">
        <v>2909</v>
      </c>
      <c r="C1346" s="460"/>
      <c r="D1346" s="460" t="s">
        <v>1814</v>
      </c>
      <c r="E1346" s="460" t="s">
        <v>1812</v>
      </c>
      <c r="F1346" s="460" t="s">
        <v>2614</v>
      </c>
      <c r="G1346" s="460"/>
      <c r="H1346" s="461" t="s">
        <v>2615</v>
      </c>
      <c r="I1346" s="547">
        <f>ROUND(7,2)</f>
        <v>7</v>
      </c>
      <c r="J1346" s="460" t="s">
        <v>2615</v>
      </c>
      <c r="K1346" s="460" t="s">
        <v>2613</v>
      </c>
    </row>
    <row r="1347" spans="1:11" ht="14.4">
      <c r="A1347" s="460" t="s">
        <v>1810</v>
      </c>
      <c r="B1347" s="460" t="s">
        <v>2909</v>
      </c>
      <c r="C1347" s="460"/>
      <c r="D1347" s="460" t="s">
        <v>1814</v>
      </c>
      <c r="E1347" s="460" t="s">
        <v>1812</v>
      </c>
      <c r="F1347" s="460" t="s">
        <v>2616</v>
      </c>
      <c r="G1347" s="460"/>
      <c r="H1347" s="461"/>
      <c r="I1347" s="460"/>
      <c r="J1347" s="460"/>
      <c r="K1347" s="460" t="s">
        <v>2613</v>
      </c>
    </row>
    <row r="1348" spans="1:11" ht="14.4">
      <c r="A1348" s="460" t="s">
        <v>1810</v>
      </c>
      <c r="B1348" s="460" t="s">
        <v>2909</v>
      </c>
      <c r="C1348" s="460"/>
      <c r="D1348" s="460" t="s">
        <v>1814</v>
      </c>
      <c r="E1348" s="460" t="s">
        <v>1812</v>
      </c>
      <c r="F1348" s="460" t="s">
        <v>2632</v>
      </c>
      <c r="G1348" s="547">
        <f>ROUND(166.67,2)</f>
        <v>166.67</v>
      </c>
      <c r="H1348" s="461"/>
      <c r="I1348" s="547">
        <f>ROUND(166.67,2)</f>
        <v>166.67</v>
      </c>
      <c r="J1348" s="460"/>
      <c r="K1348" s="460" t="s">
        <v>2613</v>
      </c>
    </row>
    <row r="1349" spans="1:11" ht="14.4">
      <c r="A1349" s="460" t="s">
        <v>1810</v>
      </c>
      <c r="B1349" s="460" t="s">
        <v>2909</v>
      </c>
      <c r="C1349" s="460"/>
      <c r="D1349" s="460" t="s">
        <v>1814</v>
      </c>
      <c r="E1349" s="460" t="s">
        <v>1812</v>
      </c>
      <c r="F1349" s="460" t="s">
        <v>2612</v>
      </c>
      <c r="G1349" s="460"/>
      <c r="H1349" s="461"/>
      <c r="I1349" s="460"/>
      <c r="J1349" s="460"/>
      <c r="K1349" s="460" t="s">
        <v>2613</v>
      </c>
    </row>
    <row r="1350" spans="1:11" ht="14.4">
      <c r="A1350" s="460" t="s">
        <v>1810</v>
      </c>
      <c r="B1350" s="460" t="s">
        <v>1719</v>
      </c>
      <c r="C1350" s="460"/>
      <c r="D1350" s="460" t="s">
        <v>1814</v>
      </c>
      <c r="E1350" s="460" t="s">
        <v>1812</v>
      </c>
      <c r="F1350" s="460" t="s">
        <v>2632</v>
      </c>
      <c r="G1350" s="547">
        <f>ROUND(166.67,2)</f>
        <v>166.67</v>
      </c>
      <c r="H1350" s="461"/>
      <c r="I1350" s="547">
        <f>ROUND(166.67,2)</f>
        <v>166.67</v>
      </c>
      <c r="J1350" s="460"/>
      <c r="K1350" s="460" t="s">
        <v>2613</v>
      </c>
    </row>
    <row r="1351" spans="1:11" ht="14.4">
      <c r="A1351" s="460" t="s">
        <v>1810</v>
      </c>
      <c r="B1351" s="460" t="s">
        <v>1719</v>
      </c>
      <c r="C1351" s="460"/>
      <c r="D1351" s="460" t="s">
        <v>1814</v>
      </c>
      <c r="E1351" s="460" t="s">
        <v>1812</v>
      </c>
      <c r="F1351" s="460" t="s">
        <v>2614</v>
      </c>
      <c r="G1351" s="460"/>
      <c r="H1351" s="461" t="s">
        <v>2615</v>
      </c>
      <c r="I1351" s="547">
        <f>ROUND(7,2)</f>
        <v>7</v>
      </c>
      <c r="J1351" s="460" t="s">
        <v>2615</v>
      </c>
      <c r="K1351" s="460" t="s">
        <v>2613</v>
      </c>
    </row>
    <row r="1352" spans="1:11" ht="14.4">
      <c r="A1352" s="460" t="s">
        <v>1810</v>
      </c>
      <c r="B1352" s="460" t="s">
        <v>1719</v>
      </c>
      <c r="C1352" s="460"/>
      <c r="D1352" s="460" t="s">
        <v>1814</v>
      </c>
      <c r="E1352" s="460" t="s">
        <v>1812</v>
      </c>
      <c r="F1352" s="460" t="s">
        <v>2612</v>
      </c>
      <c r="G1352" s="460"/>
      <c r="H1352" s="461"/>
      <c r="I1352" s="460"/>
      <c r="J1352" s="460"/>
      <c r="K1352" s="460" t="s">
        <v>2613</v>
      </c>
    </row>
    <row r="1353" spans="1:11" ht="14.4">
      <c r="A1353" s="460" t="s">
        <v>1810</v>
      </c>
      <c r="B1353" s="460" t="s">
        <v>1719</v>
      </c>
      <c r="C1353" s="460"/>
      <c r="D1353" s="460" t="s">
        <v>1814</v>
      </c>
      <c r="E1353" s="460" t="s">
        <v>1812</v>
      </c>
      <c r="F1353" s="460" t="s">
        <v>2616</v>
      </c>
      <c r="G1353" s="460"/>
      <c r="H1353" s="461"/>
      <c r="I1353" s="460"/>
      <c r="J1353" s="460"/>
      <c r="K1353" s="460" t="s">
        <v>2613</v>
      </c>
    </row>
    <row r="1354" spans="1:11" ht="22.8">
      <c r="A1354" s="460" t="s">
        <v>1810</v>
      </c>
      <c r="B1354" s="460" t="s">
        <v>2903</v>
      </c>
      <c r="C1354" s="460"/>
      <c r="D1354" s="460" t="s">
        <v>1841</v>
      </c>
      <c r="E1354" s="460" t="s">
        <v>1812</v>
      </c>
      <c r="F1354" s="460" t="s">
        <v>2617</v>
      </c>
      <c r="G1354" s="547">
        <f>ROUND(75,2)</f>
        <v>75</v>
      </c>
      <c r="H1354" s="461"/>
      <c r="I1354" s="547">
        <f>ROUND(75,2)</f>
        <v>75</v>
      </c>
      <c r="J1354" s="460"/>
      <c r="K1354" s="460" t="s">
        <v>2613</v>
      </c>
    </row>
    <row r="1355" spans="1:11" ht="22.8">
      <c r="A1355" s="460" t="s">
        <v>1810</v>
      </c>
      <c r="B1355" s="460" t="s">
        <v>2903</v>
      </c>
      <c r="C1355" s="460"/>
      <c r="D1355" s="460" t="s">
        <v>1841</v>
      </c>
      <c r="E1355" s="460" t="s">
        <v>1812</v>
      </c>
      <c r="F1355" s="460" t="s">
        <v>2620</v>
      </c>
      <c r="G1355" s="547">
        <f>ROUND(10.22,2)</f>
        <v>10.220000000000001</v>
      </c>
      <c r="H1355" s="461"/>
      <c r="I1355" s="547">
        <f>ROUND(10.22,2)</f>
        <v>10.220000000000001</v>
      </c>
      <c r="J1355" s="460"/>
      <c r="K1355" s="460" t="s">
        <v>2613</v>
      </c>
    </row>
    <row r="1356" spans="1:11" ht="22.8">
      <c r="A1356" s="460" t="s">
        <v>1810</v>
      </c>
      <c r="B1356" s="460" t="s">
        <v>2903</v>
      </c>
      <c r="C1356" s="460"/>
      <c r="D1356" s="460" t="s">
        <v>1841</v>
      </c>
      <c r="E1356" s="460" t="s">
        <v>1812</v>
      </c>
      <c r="F1356" s="460" t="s">
        <v>2614</v>
      </c>
      <c r="G1356" s="460"/>
      <c r="H1356" s="461" t="s">
        <v>2615</v>
      </c>
      <c r="I1356" s="547">
        <f>ROUND(7,2)</f>
        <v>7</v>
      </c>
      <c r="J1356" s="460" t="s">
        <v>2615</v>
      </c>
      <c r="K1356" s="460" t="s">
        <v>2613</v>
      </c>
    </row>
    <row r="1357" spans="1:11" ht="22.8">
      <c r="A1357" s="460" t="s">
        <v>1810</v>
      </c>
      <c r="B1357" s="460" t="s">
        <v>2903</v>
      </c>
      <c r="C1357" s="460"/>
      <c r="D1357" s="460" t="s">
        <v>1841</v>
      </c>
      <c r="E1357" s="460" t="s">
        <v>1812</v>
      </c>
      <c r="F1357" s="460" t="s">
        <v>2632</v>
      </c>
      <c r="G1357" s="547">
        <f>ROUND(62.5,2)</f>
        <v>62.5</v>
      </c>
      <c r="H1357" s="461"/>
      <c r="I1357" s="547">
        <f>ROUND(62.5,2)</f>
        <v>62.5</v>
      </c>
      <c r="J1357" s="460"/>
      <c r="K1357" s="460" t="s">
        <v>2613</v>
      </c>
    </row>
    <row r="1358" spans="1:11" ht="22.8">
      <c r="A1358" s="460" t="s">
        <v>1810</v>
      </c>
      <c r="B1358" s="460" t="s">
        <v>2903</v>
      </c>
      <c r="C1358" s="460"/>
      <c r="D1358" s="460" t="s">
        <v>1841</v>
      </c>
      <c r="E1358" s="460" t="s">
        <v>1812</v>
      </c>
      <c r="F1358" s="460" t="s">
        <v>2612</v>
      </c>
      <c r="G1358" s="460"/>
      <c r="H1358" s="461"/>
      <c r="I1358" s="460"/>
      <c r="J1358" s="460"/>
      <c r="K1358" s="460" t="s">
        <v>2613</v>
      </c>
    </row>
    <row r="1359" spans="1:11" ht="22.8">
      <c r="A1359" s="460" t="s">
        <v>1810</v>
      </c>
      <c r="B1359" s="460" t="s">
        <v>2903</v>
      </c>
      <c r="C1359" s="460"/>
      <c r="D1359" s="460" t="s">
        <v>1841</v>
      </c>
      <c r="E1359" s="460" t="s">
        <v>1812</v>
      </c>
      <c r="F1359" s="460" t="s">
        <v>2619</v>
      </c>
      <c r="G1359" s="547">
        <f>ROUND(250,2)</f>
        <v>250</v>
      </c>
      <c r="H1359" s="461"/>
      <c r="I1359" s="547">
        <f>ROUND(250,2)</f>
        <v>250</v>
      </c>
      <c r="J1359" s="460"/>
      <c r="K1359" s="460" t="s">
        <v>2613</v>
      </c>
    </row>
    <row r="1360" spans="1:11" ht="22.8">
      <c r="A1360" s="460" t="s">
        <v>1810</v>
      </c>
      <c r="B1360" s="460" t="s">
        <v>2903</v>
      </c>
      <c r="C1360" s="460"/>
      <c r="D1360" s="460" t="s">
        <v>1841</v>
      </c>
      <c r="E1360" s="460" t="s">
        <v>1812</v>
      </c>
      <c r="F1360" s="460" t="s">
        <v>2618</v>
      </c>
      <c r="G1360" s="547">
        <f>ROUND(40,2)</f>
        <v>40</v>
      </c>
      <c r="H1360" s="461"/>
      <c r="I1360" s="547">
        <f>ROUND(40,2)</f>
        <v>40</v>
      </c>
      <c r="J1360" s="460"/>
      <c r="K1360" s="460" t="s">
        <v>2613</v>
      </c>
    </row>
    <row r="1361" spans="1:11" ht="14.4">
      <c r="A1361" s="460" t="s">
        <v>1810</v>
      </c>
      <c r="B1361" s="460" t="s">
        <v>1667</v>
      </c>
      <c r="C1361" s="460"/>
      <c r="D1361" s="460" t="s">
        <v>1821</v>
      </c>
      <c r="E1361" s="460" t="s">
        <v>1812</v>
      </c>
      <c r="F1361" s="460" t="s">
        <v>2619</v>
      </c>
      <c r="G1361" s="547">
        <f>ROUND(2000,2)</f>
        <v>2000</v>
      </c>
      <c r="H1361" s="461"/>
      <c r="I1361" s="547">
        <f>ROUND(2000,2)</f>
        <v>2000</v>
      </c>
      <c r="J1361" s="460"/>
      <c r="K1361" s="460" t="s">
        <v>2613</v>
      </c>
    </row>
    <row r="1362" spans="1:11" ht="14.4">
      <c r="A1362" s="460" t="s">
        <v>1810</v>
      </c>
      <c r="B1362" s="460" t="s">
        <v>1667</v>
      </c>
      <c r="C1362" s="460"/>
      <c r="D1362" s="460" t="s">
        <v>1821</v>
      </c>
      <c r="E1362" s="460" t="s">
        <v>1812</v>
      </c>
      <c r="F1362" s="460" t="s">
        <v>2616</v>
      </c>
      <c r="G1362" s="460"/>
      <c r="H1362" s="461"/>
      <c r="I1362" s="460"/>
      <c r="J1362" s="460"/>
      <c r="K1362" s="460" t="s">
        <v>2613</v>
      </c>
    </row>
    <row r="1363" spans="1:11" ht="14.4">
      <c r="A1363" s="460" t="s">
        <v>1810</v>
      </c>
      <c r="B1363" s="460" t="s">
        <v>1667</v>
      </c>
      <c r="C1363" s="460"/>
      <c r="D1363" s="460" t="s">
        <v>1821</v>
      </c>
      <c r="E1363" s="460" t="s">
        <v>1812</v>
      </c>
      <c r="F1363" s="460" t="s">
        <v>2625</v>
      </c>
      <c r="G1363" s="547">
        <f>ROUND(37.5,2)</f>
        <v>37.5</v>
      </c>
      <c r="H1363" s="461"/>
      <c r="I1363" s="547">
        <f>ROUND(37.5,2)</f>
        <v>37.5</v>
      </c>
      <c r="J1363" s="460"/>
      <c r="K1363" s="460" t="s">
        <v>2613</v>
      </c>
    </row>
    <row r="1364" spans="1:11" ht="14.4">
      <c r="A1364" s="460" t="s">
        <v>1810</v>
      </c>
      <c r="B1364" s="460" t="s">
        <v>1667</v>
      </c>
      <c r="C1364" s="460"/>
      <c r="D1364" s="460" t="s">
        <v>1821</v>
      </c>
      <c r="E1364" s="460" t="s">
        <v>1812</v>
      </c>
      <c r="F1364" s="460" t="s">
        <v>2612</v>
      </c>
      <c r="G1364" s="460"/>
      <c r="H1364" s="461"/>
      <c r="I1364" s="460"/>
      <c r="J1364" s="460"/>
      <c r="K1364" s="460" t="s">
        <v>2613</v>
      </c>
    </row>
    <row r="1365" spans="1:11" ht="14.4">
      <c r="A1365" s="460" t="s">
        <v>1810</v>
      </c>
      <c r="B1365" s="460" t="s">
        <v>1667</v>
      </c>
      <c r="C1365" s="460"/>
      <c r="D1365" s="460" t="s">
        <v>1821</v>
      </c>
      <c r="E1365" s="460" t="s">
        <v>1812</v>
      </c>
      <c r="F1365" s="460" t="s">
        <v>2614</v>
      </c>
      <c r="G1365" s="460"/>
      <c r="H1365" s="461" t="s">
        <v>2615</v>
      </c>
      <c r="I1365" s="547">
        <f>ROUND(7,2)</f>
        <v>7</v>
      </c>
      <c r="J1365" s="460" t="s">
        <v>2615</v>
      </c>
      <c r="K1365" s="460" t="s">
        <v>2613</v>
      </c>
    </row>
    <row r="1366" spans="1:11" ht="14.4">
      <c r="A1366" s="460" t="s">
        <v>1810</v>
      </c>
      <c r="B1366" s="460" t="s">
        <v>1667</v>
      </c>
      <c r="C1366" s="460"/>
      <c r="D1366" s="460" t="s">
        <v>1821</v>
      </c>
      <c r="E1366" s="460" t="s">
        <v>1812</v>
      </c>
      <c r="F1366" s="460" t="s">
        <v>2634</v>
      </c>
      <c r="G1366" s="547">
        <f>ROUND(44,2)</f>
        <v>44</v>
      </c>
      <c r="H1366" s="461"/>
      <c r="I1366" s="547">
        <f>ROUND(44,2)</f>
        <v>44</v>
      </c>
      <c r="J1366" s="460"/>
      <c r="K1366" s="460" t="s">
        <v>2613</v>
      </c>
    </row>
    <row r="1367" spans="1:11" ht="14.4">
      <c r="A1367" s="460" t="s">
        <v>1810</v>
      </c>
      <c r="B1367" s="460" t="s">
        <v>1667</v>
      </c>
      <c r="C1367" s="460"/>
      <c r="D1367" s="460" t="s">
        <v>1821</v>
      </c>
      <c r="E1367" s="460" t="s">
        <v>1812</v>
      </c>
      <c r="F1367" s="460" t="s">
        <v>2633</v>
      </c>
      <c r="G1367" s="547">
        <f>ROUND(125,2)</f>
        <v>125</v>
      </c>
      <c r="H1367" s="461"/>
      <c r="I1367" s="547">
        <f>ROUND(125,2)</f>
        <v>125</v>
      </c>
      <c r="J1367" s="460"/>
      <c r="K1367" s="460" t="s">
        <v>2613</v>
      </c>
    </row>
    <row r="1368" spans="1:11" ht="14.4">
      <c r="A1368" s="460" t="s">
        <v>1810</v>
      </c>
      <c r="B1368" s="460" t="s">
        <v>1446</v>
      </c>
      <c r="C1368" s="460"/>
      <c r="D1368" s="460" t="s">
        <v>1811</v>
      </c>
      <c r="E1368" s="460" t="s">
        <v>1812</v>
      </c>
      <c r="F1368" s="460" t="s">
        <v>2612</v>
      </c>
      <c r="G1368" s="460"/>
      <c r="H1368" s="461"/>
      <c r="I1368" s="460"/>
      <c r="J1368" s="460"/>
      <c r="K1368" s="460" t="s">
        <v>2613</v>
      </c>
    </row>
    <row r="1369" spans="1:11" ht="14.4">
      <c r="A1369" s="460" t="s">
        <v>1810</v>
      </c>
      <c r="B1369" s="460" t="s">
        <v>1446</v>
      </c>
      <c r="C1369" s="460"/>
      <c r="D1369" s="460" t="s">
        <v>1811</v>
      </c>
      <c r="E1369" s="460" t="s">
        <v>1812</v>
      </c>
      <c r="F1369" s="460" t="s">
        <v>2623</v>
      </c>
      <c r="G1369" s="547">
        <f>ROUND(100,2)</f>
        <v>100</v>
      </c>
      <c r="H1369" s="461"/>
      <c r="I1369" s="547">
        <f>ROUND(100,2)</f>
        <v>100</v>
      </c>
      <c r="J1369" s="460"/>
      <c r="K1369" s="460" t="s">
        <v>2613</v>
      </c>
    </row>
    <row r="1370" spans="1:11" ht="14.4">
      <c r="A1370" s="460" t="s">
        <v>1810</v>
      </c>
      <c r="B1370" s="460" t="s">
        <v>1446</v>
      </c>
      <c r="C1370" s="460"/>
      <c r="D1370" s="460" t="s">
        <v>1811</v>
      </c>
      <c r="E1370" s="460" t="s">
        <v>1812</v>
      </c>
      <c r="F1370" s="460" t="s">
        <v>2614</v>
      </c>
      <c r="G1370" s="460"/>
      <c r="H1370" s="461" t="s">
        <v>2615</v>
      </c>
      <c r="I1370" s="547">
        <f>ROUND(7,2)</f>
        <v>7</v>
      </c>
      <c r="J1370" s="460" t="s">
        <v>2615</v>
      </c>
      <c r="K1370" s="460" t="s">
        <v>2613</v>
      </c>
    </row>
    <row r="1371" spans="1:11" ht="14.4">
      <c r="A1371" s="460" t="s">
        <v>1810</v>
      </c>
      <c r="B1371" s="460" t="s">
        <v>1446</v>
      </c>
      <c r="C1371" s="460"/>
      <c r="D1371" s="460" t="s">
        <v>1811</v>
      </c>
      <c r="E1371" s="460" t="s">
        <v>1812</v>
      </c>
      <c r="F1371" s="460" t="s">
        <v>2627</v>
      </c>
      <c r="G1371" s="547">
        <f>ROUND(150,2)</f>
        <v>150</v>
      </c>
      <c r="H1371" s="461"/>
      <c r="I1371" s="547">
        <f>ROUND(150,2)</f>
        <v>150</v>
      </c>
      <c r="J1371" s="460"/>
      <c r="K1371" s="460" t="s">
        <v>2613</v>
      </c>
    </row>
    <row r="1372" spans="1:11" ht="14.4">
      <c r="A1372" s="460" t="s">
        <v>1810</v>
      </c>
      <c r="B1372" s="460" t="s">
        <v>1446</v>
      </c>
      <c r="C1372" s="460"/>
      <c r="D1372" s="460" t="s">
        <v>1811</v>
      </c>
      <c r="E1372" s="460" t="s">
        <v>1812</v>
      </c>
      <c r="F1372" s="460" t="s">
        <v>2618</v>
      </c>
      <c r="G1372" s="547">
        <f>ROUND(45,2)</f>
        <v>45</v>
      </c>
      <c r="H1372" s="461"/>
      <c r="I1372" s="547">
        <f>ROUND(45,2)</f>
        <v>45</v>
      </c>
      <c r="J1372" s="460"/>
      <c r="K1372" s="460" t="s">
        <v>2613</v>
      </c>
    </row>
    <row r="1373" spans="1:11" ht="14.4">
      <c r="A1373" s="460" t="s">
        <v>1810</v>
      </c>
      <c r="B1373" s="460" t="s">
        <v>1446</v>
      </c>
      <c r="C1373" s="460"/>
      <c r="D1373" s="460" t="s">
        <v>1811</v>
      </c>
      <c r="E1373" s="460" t="s">
        <v>1812</v>
      </c>
      <c r="F1373" s="460" t="s">
        <v>2617</v>
      </c>
      <c r="G1373" s="547">
        <f>ROUND(75,2)</f>
        <v>75</v>
      </c>
      <c r="H1373" s="461"/>
      <c r="I1373" s="547">
        <f>ROUND(75,2)</f>
        <v>75</v>
      </c>
      <c r="J1373" s="460"/>
      <c r="K1373" s="460" t="s">
        <v>2613</v>
      </c>
    </row>
    <row r="1374" spans="1:11" ht="14.4">
      <c r="A1374" s="460" t="s">
        <v>1810</v>
      </c>
      <c r="B1374" s="460" t="s">
        <v>1446</v>
      </c>
      <c r="C1374" s="460"/>
      <c r="D1374" s="460" t="s">
        <v>1811</v>
      </c>
      <c r="E1374" s="460" t="s">
        <v>1812</v>
      </c>
      <c r="F1374" s="460" t="s">
        <v>2616</v>
      </c>
      <c r="G1374" s="460"/>
      <c r="H1374" s="461"/>
      <c r="I1374" s="460"/>
      <c r="J1374" s="460"/>
      <c r="K1374" s="460" t="s">
        <v>2613</v>
      </c>
    </row>
    <row r="1375" spans="1:11" ht="14.4">
      <c r="A1375" s="460" t="s">
        <v>1810</v>
      </c>
      <c r="B1375" s="460" t="s">
        <v>2439</v>
      </c>
      <c r="C1375" s="460"/>
      <c r="D1375" s="460" t="s">
        <v>1816</v>
      </c>
      <c r="E1375" s="460" t="s">
        <v>2611</v>
      </c>
      <c r="F1375" s="460" t="s">
        <v>2623</v>
      </c>
      <c r="G1375" s="460"/>
      <c r="H1375" s="461"/>
      <c r="I1375" s="460"/>
      <c r="J1375" s="460"/>
      <c r="K1375" s="460" t="s">
        <v>2613</v>
      </c>
    </row>
    <row r="1376" spans="1:11" ht="14.4">
      <c r="A1376" s="460" t="s">
        <v>1810</v>
      </c>
      <c r="B1376" s="460" t="s">
        <v>2563</v>
      </c>
      <c r="C1376" s="460"/>
      <c r="D1376" s="460" t="s">
        <v>1816</v>
      </c>
      <c r="E1376" s="460" t="s">
        <v>2611</v>
      </c>
      <c r="F1376" s="460" t="s">
        <v>2612</v>
      </c>
      <c r="G1376" s="460"/>
      <c r="H1376" s="461"/>
      <c r="I1376" s="460"/>
      <c r="J1376" s="460"/>
      <c r="K1376" s="460" t="s">
        <v>2613</v>
      </c>
    </row>
    <row r="1377" spans="1:11" ht="22.8">
      <c r="A1377" s="460" t="s">
        <v>1810</v>
      </c>
      <c r="B1377" s="460" t="s">
        <v>1451</v>
      </c>
      <c r="C1377" s="460"/>
      <c r="D1377" s="460" t="s">
        <v>1840</v>
      </c>
      <c r="E1377" s="460" t="s">
        <v>1812</v>
      </c>
      <c r="F1377" s="460" t="s">
        <v>2612</v>
      </c>
      <c r="G1377" s="460"/>
      <c r="H1377" s="461"/>
      <c r="I1377" s="460"/>
      <c r="J1377" s="460"/>
      <c r="K1377" s="460" t="s">
        <v>2613</v>
      </c>
    </row>
    <row r="1378" spans="1:11" ht="22.8">
      <c r="A1378" s="460" t="s">
        <v>1810</v>
      </c>
      <c r="B1378" s="460" t="s">
        <v>1451</v>
      </c>
      <c r="C1378" s="460"/>
      <c r="D1378" s="460" t="s">
        <v>1840</v>
      </c>
      <c r="E1378" s="460" t="s">
        <v>1812</v>
      </c>
      <c r="F1378" s="460" t="s">
        <v>2614</v>
      </c>
      <c r="G1378" s="460"/>
      <c r="H1378" s="461" t="s">
        <v>2615</v>
      </c>
      <c r="I1378" s="547">
        <f>ROUND(7,2)</f>
        <v>7</v>
      </c>
      <c r="J1378" s="460" t="s">
        <v>2615</v>
      </c>
      <c r="K1378" s="460" t="s">
        <v>2613</v>
      </c>
    </row>
    <row r="1379" spans="1:11" ht="22.8">
      <c r="A1379" s="460" t="s">
        <v>1810</v>
      </c>
      <c r="B1379" s="460" t="s">
        <v>1451</v>
      </c>
      <c r="C1379" s="460"/>
      <c r="D1379" s="460" t="s">
        <v>1840</v>
      </c>
      <c r="E1379" s="460" t="s">
        <v>1812</v>
      </c>
      <c r="F1379" s="460" t="s">
        <v>2625</v>
      </c>
      <c r="G1379" s="547">
        <f>ROUND(18.75,2)</f>
        <v>18.75</v>
      </c>
      <c r="H1379" s="461"/>
      <c r="I1379" s="547">
        <f>ROUND(18.75,2)</f>
        <v>18.75</v>
      </c>
      <c r="J1379" s="460"/>
      <c r="K1379" s="460" t="s">
        <v>2613</v>
      </c>
    </row>
    <row r="1380" spans="1:11" ht="22.8">
      <c r="A1380" s="460" t="s">
        <v>1810</v>
      </c>
      <c r="B1380" s="460" t="s">
        <v>1451</v>
      </c>
      <c r="C1380" s="460"/>
      <c r="D1380" s="460" t="s">
        <v>1840</v>
      </c>
      <c r="E1380" s="460" t="s">
        <v>1812</v>
      </c>
      <c r="F1380" s="460" t="s">
        <v>2618</v>
      </c>
      <c r="G1380" s="547">
        <f>ROUND(40,2)</f>
        <v>40</v>
      </c>
      <c r="H1380" s="461"/>
      <c r="I1380" s="547">
        <f>ROUND(40,2)</f>
        <v>40</v>
      </c>
      <c r="J1380" s="460"/>
      <c r="K1380" s="460" t="s">
        <v>2613</v>
      </c>
    </row>
    <row r="1381" spans="1:11" ht="22.8">
      <c r="A1381" s="460" t="s">
        <v>1810</v>
      </c>
      <c r="B1381" s="460" t="s">
        <v>1451</v>
      </c>
      <c r="C1381" s="460"/>
      <c r="D1381" s="460" t="s">
        <v>1840</v>
      </c>
      <c r="E1381" s="460" t="s">
        <v>1812</v>
      </c>
      <c r="F1381" s="460" t="s">
        <v>2616</v>
      </c>
      <c r="G1381" s="460"/>
      <c r="H1381" s="461"/>
      <c r="I1381" s="460"/>
      <c r="J1381" s="460"/>
      <c r="K1381" s="460" t="s">
        <v>2613</v>
      </c>
    </row>
    <row r="1382" spans="1:11" ht="22.8">
      <c r="A1382" s="460" t="s">
        <v>1810</v>
      </c>
      <c r="B1382" s="460" t="s">
        <v>1451</v>
      </c>
      <c r="C1382" s="460"/>
      <c r="D1382" s="460" t="s">
        <v>1840</v>
      </c>
      <c r="E1382" s="460" t="s">
        <v>1812</v>
      </c>
      <c r="F1382" s="460" t="s">
        <v>2617</v>
      </c>
      <c r="G1382" s="547">
        <f>ROUND(75,2)</f>
        <v>75</v>
      </c>
      <c r="H1382" s="461"/>
      <c r="I1382" s="547">
        <f>ROUND(75,2)</f>
        <v>75</v>
      </c>
      <c r="J1382" s="460"/>
      <c r="K1382" s="460" t="s">
        <v>2613</v>
      </c>
    </row>
    <row r="1383" spans="1:11" ht="22.8">
      <c r="A1383" s="460" t="s">
        <v>1810</v>
      </c>
      <c r="B1383" s="460" t="s">
        <v>1737</v>
      </c>
      <c r="C1383" s="460"/>
      <c r="D1383" s="460" t="s">
        <v>1828</v>
      </c>
      <c r="E1383" s="460" t="s">
        <v>1812</v>
      </c>
      <c r="F1383" s="460" t="s">
        <v>2620</v>
      </c>
      <c r="G1383" s="547">
        <f>ROUND(10.22,2)</f>
        <v>10.220000000000001</v>
      </c>
      <c r="H1383" s="461"/>
      <c r="I1383" s="547">
        <f>ROUND(10.22,2)</f>
        <v>10.220000000000001</v>
      </c>
      <c r="J1383" s="460"/>
      <c r="K1383" s="460" t="s">
        <v>2613</v>
      </c>
    </row>
    <row r="1384" spans="1:11" ht="22.8">
      <c r="A1384" s="460" t="s">
        <v>1810</v>
      </c>
      <c r="B1384" s="460" t="s">
        <v>1737</v>
      </c>
      <c r="C1384" s="460"/>
      <c r="D1384" s="460" t="s">
        <v>1828</v>
      </c>
      <c r="E1384" s="460" t="s">
        <v>1812</v>
      </c>
      <c r="F1384" s="460" t="s">
        <v>2614</v>
      </c>
      <c r="G1384" s="460"/>
      <c r="H1384" s="461" t="s">
        <v>2615</v>
      </c>
      <c r="I1384" s="547">
        <f>ROUND(7,2)</f>
        <v>7</v>
      </c>
      <c r="J1384" s="460" t="s">
        <v>2615</v>
      </c>
      <c r="K1384" s="460" t="s">
        <v>2613</v>
      </c>
    </row>
    <row r="1385" spans="1:11" ht="22.8">
      <c r="A1385" s="460" t="s">
        <v>1810</v>
      </c>
      <c r="B1385" s="460" t="s">
        <v>1737</v>
      </c>
      <c r="C1385" s="460"/>
      <c r="D1385" s="460" t="s">
        <v>1828</v>
      </c>
      <c r="E1385" s="460" t="s">
        <v>1812</v>
      </c>
      <c r="F1385" s="460" t="s">
        <v>2612</v>
      </c>
      <c r="G1385" s="460"/>
      <c r="H1385" s="461"/>
      <c r="I1385" s="460"/>
      <c r="J1385" s="460"/>
      <c r="K1385" s="460" t="s">
        <v>2613</v>
      </c>
    </row>
    <row r="1386" spans="1:11" ht="14.4">
      <c r="A1386" s="460" t="s">
        <v>1810</v>
      </c>
      <c r="B1386" s="460" t="s">
        <v>2899</v>
      </c>
      <c r="C1386" s="460"/>
      <c r="D1386" s="460" t="s">
        <v>1816</v>
      </c>
      <c r="E1386" s="460" t="s">
        <v>2611</v>
      </c>
      <c r="F1386" s="460" t="s">
        <v>2612</v>
      </c>
      <c r="G1386" s="460"/>
      <c r="H1386" s="461"/>
      <c r="I1386" s="460"/>
      <c r="J1386" s="460"/>
      <c r="K1386" s="460" t="s">
        <v>2613</v>
      </c>
    </row>
    <row r="1387" spans="1:11" ht="14.4">
      <c r="A1387" s="460" t="s">
        <v>1810</v>
      </c>
      <c r="B1387" s="460" t="s">
        <v>2492</v>
      </c>
      <c r="C1387" s="460"/>
      <c r="D1387" s="460" t="s">
        <v>1821</v>
      </c>
      <c r="E1387" s="460" t="s">
        <v>1812</v>
      </c>
      <c r="F1387" s="460" t="s">
        <v>2640</v>
      </c>
      <c r="G1387" s="460"/>
      <c r="H1387" s="461" t="s">
        <v>2642</v>
      </c>
      <c r="I1387" s="547">
        <f>ROUND(3,2)</f>
        <v>3</v>
      </c>
      <c r="J1387" s="460" t="s">
        <v>2642</v>
      </c>
      <c r="K1387" s="460" t="s">
        <v>2613</v>
      </c>
    </row>
    <row r="1388" spans="1:11" ht="14.4">
      <c r="A1388" s="460" t="s">
        <v>1810</v>
      </c>
      <c r="B1388" s="460" t="s">
        <v>2492</v>
      </c>
      <c r="C1388" s="460"/>
      <c r="D1388" s="460" t="s">
        <v>1821</v>
      </c>
      <c r="E1388" s="460" t="s">
        <v>1812</v>
      </c>
      <c r="F1388" s="460" t="s">
        <v>2634</v>
      </c>
      <c r="G1388" s="547">
        <f>ROUND(44,2)</f>
        <v>44</v>
      </c>
      <c r="H1388" s="461"/>
      <c r="I1388" s="547">
        <f>ROUND(44,2)</f>
        <v>44</v>
      </c>
      <c r="J1388" s="460"/>
      <c r="K1388" s="460" t="s">
        <v>2613</v>
      </c>
    </row>
    <row r="1389" spans="1:11" ht="14.4">
      <c r="A1389" s="460" t="s">
        <v>1810</v>
      </c>
      <c r="B1389" s="460" t="s">
        <v>2492</v>
      </c>
      <c r="C1389" s="460"/>
      <c r="D1389" s="460" t="s">
        <v>1821</v>
      </c>
      <c r="E1389" s="460" t="s">
        <v>1812</v>
      </c>
      <c r="F1389" s="460" t="s">
        <v>2616</v>
      </c>
      <c r="G1389" s="460"/>
      <c r="H1389" s="461"/>
      <c r="I1389" s="460"/>
      <c r="J1389" s="460"/>
      <c r="K1389" s="460" t="s">
        <v>2613</v>
      </c>
    </row>
    <row r="1390" spans="1:11" ht="14.4">
      <c r="A1390" s="460" t="s">
        <v>1810</v>
      </c>
      <c r="B1390" s="460" t="s">
        <v>2492</v>
      </c>
      <c r="C1390" s="460"/>
      <c r="D1390" s="460" t="s">
        <v>1821</v>
      </c>
      <c r="E1390" s="460" t="s">
        <v>1812</v>
      </c>
      <c r="F1390" s="460" t="s">
        <v>2612</v>
      </c>
      <c r="G1390" s="460"/>
      <c r="H1390" s="461"/>
      <c r="I1390" s="460"/>
      <c r="J1390" s="460"/>
      <c r="K1390" s="460" t="s">
        <v>2613</v>
      </c>
    </row>
    <row r="1391" spans="1:11" ht="14.4">
      <c r="A1391" s="460" t="s">
        <v>1810</v>
      </c>
      <c r="B1391" s="460" t="s">
        <v>2492</v>
      </c>
      <c r="C1391" s="460"/>
      <c r="D1391" s="460" t="s">
        <v>1821</v>
      </c>
      <c r="E1391" s="460" t="s">
        <v>1812</v>
      </c>
      <c r="F1391" s="460" t="s">
        <v>2614</v>
      </c>
      <c r="G1391" s="460"/>
      <c r="H1391" s="461" t="s">
        <v>2615</v>
      </c>
      <c r="I1391" s="547">
        <f>ROUND(7,2)</f>
        <v>7</v>
      </c>
      <c r="J1391" s="460" t="s">
        <v>2615</v>
      </c>
      <c r="K1391" s="460" t="s">
        <v>2613</v>
      </c>
    </row>
    <row r="1392" spans="1:11" ht="14.4">
      <c r="A1392" s="460" t="s">
        <v>1810</v>
      </c>
      <c r="B1392" s="460" t="s">
        <v>1931</v>
      </c>
      <c r="C1392" s="460"/>
      <c r="D1392" s="460" t="s">
        <v>1821</v>
      </c>
      <c r="E1392" s="460" t="s">
        <v>1812</v>
      </c>
      <c r="F1392" s="460" t="s">
        <v>2633</v>
      </c>
      <c r="G1392" s="547">
        <f>ROUND(210,2)</f>
        <v>210</v>
      </c>
      <c r="H1392" s="461"/>
      <c r="I1392" s="547">
        <f>ROUND(210,2)</f>
        <v>210</v>
      </c>
      <c r="J1392" s="460"/>
      <c r="K1392" s="460" t="s">
        <v>2613</v>
      </c>
    </row>
    <row r="1393" spans="1:11" ht="14.4">
      <c r="A1393" s="460" t="s">
        <v>1810</v>
      </c>
      <c r="B1393" s="460" t="s">
        <v>1931</v>
      </c>
      <c r="C1393" s="460"/>
      <c r="D1393" s="460" t="s">
        <v>1821</v>
      </c>
      <c r="E1393" s="460" t="s">
        <v>1812</v>
      </c>
      <c r="F1393" s="460" t="s">
        <v>2634</v>
      </c>
      <c r="G1393" s="547">
        <f>ROUND(34,2)</f>
        <v>34</v>
      </c>
      <c r="H1393" s="461"/>
      <c r="I1393" s="547">
        <f>ROUND(34,2)</f>
        <v>34</v>
      </c>
      <c r="J1393" s="460"/>
      <c r="K1393" s="460" t="s">
        <v>2613</v>
      </c>
    </row>
    <row r="1394" spans="1:11" ht="14.4">
      <c r="A1394" s="460" t="s">
        <v>1810</v>
      </c>
      <c r="B1394" s="460" t="s">
        <v>1931</v>
      </c>
      <c r="C1394" s="460"/>
      <c r="D1394" s="460" t="s">
        <v>1821</v>
      </c>
      <c r="E1394" s="460" t="s">
        <v>1812</v>
      </c>
      <c r="F1394" s="460" t="s">
        <v>2612</v>
      </c>
      <c r="G1394" s="460"/>
      <c r="H1394" s="461"/>
      <c r="I1394" s="460"/>
      <c r="J1394" s="460"/>
      <c r="K1394" s="460" t="s">
        <v>2613</v>
      </c>
    </row>
    <row r="1395" spans="1:11" ht="14.4">
      <c r="A1395" s="460" t="s">
        <v>1810</v>
      </c>
      <c r="B1395" s="460" t="s">
        <v>1931</v>
      </c>
      <c r="C1395" s="460"/>
      <c r="D1395" s="460" t="s">
        <v>1821</v>
      </c>
      <c r="E1395" s="460" t="s">
        <v>1812</v>
      </c>
      <c r="F1395" s="460" t="s">
        <v>2614</v>
      </c>
      <c r="G1395" s="460"/>
      <c r="H1395" s="461" t="s">
        <v>2615</v>
      </c>
      <c r="I1395" s="547">
        <f>ROUND(7,2)</f>
        <v>7</v>
      </c>
      <c r="J1395" s="460" t="s">
        <v>2615</v>
      </c>
      <c r="K1395" s="460" t="s">
        <v>2613</v>
      </c>
    </row>
    <row r="1396" spans="1:11" ht="14.4">
      <c r="A1396" s="460" t="s">
        <v>1810</v>
      </c>
      <c r="B1396" s="460" t="s">
        <v>2957</v>
      </c>
      <c r="C1396" s="460"/>
      <c r="D1396" s="460" t="s">
        <v>1816</v>
      </c>
      <c r="E1396" s="460" t="s">
        <v>2611</v>
      </c>
      <c r="F1396" s="460" t="s">
        <v>2623</v>
      </c>
      <c r="G1396" s="460"/>
      <c r="H1396" s="461"/>
      <c r="I1396" s="460"/>
      <c r="J1396" s="460"/>
      <c r="K1396" s="460" t="s">
        <v>2613</v>
      </c>
    </row>
    <row r="1397" spans="1:11" ht="14.4">
      <c r="A1397" s="460" t="s">
        <v>1810</v>
      </c>
      <c r="B1397" s="460" t="s">
        <v>1597</v>
      </c>
      <c r="C1397" s="460"/>
      <c r="D1397" s="460" t="s">
        <v>1821</v>
      </c>
      <c r="E1397" s="460" t="s">
        <v>1812</v>
      </c>
      <c r="F1397" s="460" t="s">
        <v>2612</v>
      </c>
      <c r="G1397" s="460"/>
      <c r="H1397" s="461"/>
      <c r="I1397" s="460"/>
      <c r="J1397" s="460"/>
      <c r="K1397" s="460" t="s">
        <v>2613</v>
      </c>
    </row>
    <row r="1398" spans="1:11" ht="14.4">
      <c r="A1398" s="460" t="s">
        <v>1810</v>
      </c>
      <c r="B1398" s="460" t="s">
        <v>1597</v>
      </c>
      <c r="C1398" s="460"/>
      <c r="D1398" s="460" t="s">
        <v>1821</v>
      </c>
      <c r="E1398" s="460" t="s">
        <v>1812</v>
      </c>
      <c r="F1398" s="460" t="s">
        <v>2623</v>
      </c>
      <c r="G1398" s="460"/>
      <c r="H1398" s="461" t="s">
        <v>2651</v>
      </c>
      <c r="I1398" s="547">
        <f>ROUND(10,2)</f>
        <v>10</v>
      </c>
      <c r="J1398" s="460" t="s">
        <v>2651</v>
      </c>
      <c r="K1398" s="460" t="s">
        <v>2613</v>
      </c>
    </row>
    <row r="1399" spans="1:11" ht="14.4">
      <c r="A1399" s="460" t="s">
        <v>1810</v>
      </c>
      <c r="B1399" s="460" t="s">
        <v>1597</v>
      </c>
      <c r="C1399" s="460"/>
      <c r="D1399" s="460" t="s">
        <v>1821</v>
      </c>
      <c r="E1399" s="460" t="s">
        <v>1812</v>
      </c>
      <c r="F1399" s="460" t="s">
        <v>2634</v>
      </c>
      <c r="G1399" s="547">
        <f>ROUND(34,2)</f>
        <v>34</v>
      </c>
      <c r="H1399" s="461"/>
      <c r="I1399" s="547">
        <f>ROUND(34,2)</f>
        <v>34</v>
      </c>
      <c r="J1399" s="460"/>
      <c r="K1399" s="460" t="s">
        <v>2613</v>
      </c>
    </row>
    <row r="1400" spans="1:11" ht="14.4">
      <c r="A1400" s="460" t="s">
        <v>1810</v>
      </c>
      <c r="B1400" s="460" t="s">
        <v>1597</v>
      </c>
      <c r="C1400" s="460"/>
      <c r="D1400" s="460" t="s">
        <v>1821</v>
      </c>
      <c r="E1400" s="460" t="s">
        <v>1812</v>
      </c>
      <c r="F1400" s="460" t="s">
        <v>2614</v>
      </c>
      <c r="G1400" s="460"/>
      <c r="H1400" s="461" t="s">
        <v>2615</v>
      </c>
      <c r="I1400" s="547">
        <f>ROUND(7,2)</f>
        <v>7</v>
      </c>
      <c r="J1400" s="460" t="s">
        <v>2615</v>
      </c>
      <c r="K1400" s="460" t="s">
        <v>2613</v>
      </c>
    </row>
    <row r="1401" spans="1:11" ht="14.4">
      <c r="A1401" s="460" t="s">
        <v>1810</v>
      </c>
      <c r="B1401" s="460" t="s">
        <v>1597</v>
      </c>
      <c r="C1401" s="460"/>
      <c r="D1401" s="460" t="s">
        <v>1821</v>
      </c>
      <c r="E1401" s="460" t="s">
        <v>1812</v>
      </c>
      <c r="F1401" s="460" t="s">
        <v>2616</v>
      </c>
      <c r="G1401" s="460"/>
      <c r="H1401" s="461"/>
      <c r="I1401" s="460"/>
      <c r="J1401" s="460"/>
      <c r="K1401" s="460" t="s">
        <v>2613</v>
      </c>
    </row>
    <row r="1402" spans="1:11" ht="14.4">
      <c r="A1402" s="460" t="s">
        <v>1810</v>
      </c>
      <c r="B1402" s="460" t="s">
        <v>1727</v>
      </c>
      <c r="C1402" s="460"/>
      <c r="D1402" s="460" t="s">
        <v>1816</v>
      </c>
      <c r="E1402" s="460" t="s">
        <v>2611</v>
      </c>
      <c r="F1402" s="460" t="s">
        <v>2612</v>
      </c>
      <c r="G1402" s="460"/>
      <c r="H1402" s="461"/>
      <c r="I1402" s="460"/>
      <c r="J1402" s="460"/>
      <c r="K1402" s="460" t="s">
        <v>2613</v>
      </c>
    </row>
    <row r="1403" spans="1:11" ht="14.4">
      <c r="A1403" s="460" t="s">
        <v>1810</v>
      </c>
      <c r="B1403" s="460" t="s">
        <v>2424</v>
      </c>
      <c r="C1403" s="460"/>
      <c r="D1403" s="460" t="s">
        <v>1816</v>
      </c>
      <c r="E1403" s="460" t="s">
        <v>2611</v>
      </c>
      <c r="F1403" s="460" t="s">
        <v>2612</v>
      </c>
      <c r="G1403" s="460"/>
      <c r="H1403" s="461"/>
      <c r="I1403" s="460"/>
      <c r="J1403" s="460"/>
      <c r="K1403" s="460" t="s">
        <v>2613</v>
      </c>
    </row>
    <row r="1404" spans="1:11" ht="14.4">
      <c r="A1404" s="460" t="s">
        <v>1810</v>
      </c>
      <c r="B1404" s="460" t="s">
        <v>1940</v>
      </c>
      <c r="C1404" s="460"/>
      <c r="D1404" s="460" t="s">
        <v>1816</v>
      </c>
      <c r="E1404" s="460" t="s">
        <v>2611</v>
      </c>
      <c r="F1404" s="460" t="s">
        <v>2612</v>
      </c>
      <c r="G1404" s="460"/>
      <c r="H1404" s="461"/>
      <c r="I1404" s="460"/>
      <c r="J1404" s="460"/>
      <c r="K1404" s="460" t="s">
        <v>2613</v>
      </c>
    </row>
    <row r="1405" spans="1:11" ht="14.4">
      <c r="A1405" s="460" t="s">
        <v>1810</v>
      </c>
      <c r="B1405" s="460" t="s">
        <v>1509</v>
      </c>
      <c r="C1405" s="460"/>
      <c r="D1405" s="460" t="s">
        <v>1821</v>
      </c>
      <c r="E1405" s="460" t="s">
        <v>1812</v>
      </c>
      <c r="F1405" s="460" t="s">
        <v>2627</v>
      </c>
      <c r="G1405" s="547">
        <f>ROUND(110,2)</f>
        <v>110</v>
      </c>
      <c r="H1405" s="461"/>
      <c r="I1405" s="547">
        <f>ROUND(110,2)</f>
        <v>110</v>
      </c>
      <c r="J1405" s="460"/>
      <c r="K1405" s="460" t="s">
        <v>2613</v>
      </c>
    </row>
    <row r="1406" spans="1:11" ht="14.4">
      <c r="A1406" s="460" t="s">
        <v>1810</v>
      </c>
      <c r="B1406" s="460" t="s">
        <v>1509</v>
      </c>
      <c r="C1406" s="460"/>
      <c r="D1406" s="460" t="s">
        <v>1821</v>
      </c>
      <c r="E1406" s="460" t="s">
        <v>1812</v>
      </c>
      <c r="F1406" s="460" t="s">
        <v>2625</v>
      </c>
      <c r="G1406" s="547">
        <f>ROUND(25,2)</f>
        <v>25</v>
      </c>
      <c r="H1406" s="461"/>
      <c r="I1406" s="547">
        <f>ROUND(25,2)</f>
        <v>25</v>
      </c>
      <c r="J1406" s="460"/>
      <c r="K1406" s="460" t="s">
        <v>2613</v>
      </c>
    </row>
    <row r="1407" spans="1:11" ht="14.4">
      <c r="A1407" s="460" t="s">
        <v>1810</v>
      </c>
      <c r="B1407" s="460" t="s">
        <v>1509</v>
      </c>
      <c r="C1407" s="460"/>
      <c r="D1407" s="460" t="s">
        <v>1821</v>
      </c>
      <c r="E1407" s="460" t="s">
        <v>1812</v>
      </c>
      <c r="F1407" s="460" t="s">
        <v>2634</v>
      </c>
      <c r="G1407" s="547">
        <f>ROUND(24,2)</f>
        <v>24</v>
      </c>
      <c r="H1407" s="461"/>
      <c r="I1407" s="547">
        <f>ROUND(24,2)</f>
        <v>24</v>
      </c>
      <c r="J1407" s="460"/>
      <c r="K1407" s="460" t="s">
        <v>2613</v>
      </c>
    </row>
    <row r="1408" spans="1:11" ht="14.4">
      <c r="A1408" s="460" t="s">
        <v>1810</v>
      </c>
      <c r="B1408" s="460" t="s">
        <v>1509</v>
      </c>
      <c r="C1408" s="460"/>
      <c r="D1408" s="460" t="s">
        <v>1821</v>
      </c>
      <c r="E1408" s="460" t="s">
        <v>1812</v>
      </c>
      <c r="F1408" s="460" t="s">
        <v>2614</v>
      </c>
      <c r="G1408" s="460"/>
      <c r="H1408" s="461" t="s">
        <v>2615</v>
      </c>
      <c r="I1408" s="547">
        <f>ROUND(7,2)</f>
        <v>7</v>
      </c>
      <c r="J1408" s="460" t="s">
        <v>2615</v>
      </c>
      <c r="K1408" s="460" t="s">
        <v>2613</v>
      </c>
    </row>
    <row r="1409" spans="1:11" ht="14.4">
      <c r="A1409" s="460" t="s">
        <v>1810</v>
      </c>
      <c r="B1409" s="460" t="s">
        <v>1509</v>
      </c>
      <c r="C1409" s="460"/>
      <c r="D1409" s="460" t="s">
        <v>1821</v>
      </c>
      <c r="E1409" s="460" t="s">
        <v>1812</v>
      </c>
      <c r="F1409" s="460" t="s">
        <v>2612</v>
      </c>
      <c r="G1409" s="460"/>
      <c r="H1409" s="461"/>
      <c r="I1409" s="460"/>
      <c r="J1409" s="460"/>
      <c r="K1409" s="460" t="s">
        <v>2613</v>
      </c>
    </row>
    <row r="1410" spans="1:11" ht="14.4">
      <c r="A1410" s="460" t="s">
        <v>1810</v>
      </c>
      <c r="B1410" s="460" t="s">
        <v>1509</v>
      </c>
      <c r="C1410" s="460"/>
      <c r="D1410" s="460" t="s">
        <v>1821</v>
      </c>
      <c r="E1410" s="460" t="s">
        <v>1812</v>
      </c>
      <c r="F1410" s="460" t="s">
        <v>2623</v>
      </c>
      <c r="G1410" s="547">
        <f>ROUND(50,2)</f>
        <v>50</v>
      </c>
      <c r="H1410" s="461"/>
      <c r="I1410" s="547">
        <f>ROUND(50,2)</f>
        <v>50</v>
      </c>
      <c r="J1410" s="460"/>
      <c r="K1410" s="460" t="s">
        <v>2613</v>
      </c>
    </row>
    <row r="1411" spans="1:11" ht="14.4">
      <c r="A1411" s="460" t="s">
        <v>1810</v>
      </c>
      <c r="B1411" s="460" t="s">
        <v>1509</v>
      </c>
      <c r="C1411" s="460"/>
      <c r="D1411" s="460" t="s">
        <v>1821</v>
      </c>
      <c r="E1411" s="460" t="s">
        <v>1812</v>
      </c>
      <c r="F1411" s="460" t="s">
        <v>2616</v>
      </c>
      <c r="G1411" s="460"/>
      <c r="H1411" s="461"/>
      <c r="I1411" s="460"/>
      <c r="J1411" s="460"/>
      <c r="K1411" s="460" t="s">
        <v>2613</v>
      </c>
    </row>
    <row r="1412" spans="1:11" ht="14.4">
      <c r="A1412" s="460" t="s">
        <v>1810</v>
      </c>
      <c r="B1412" s="460" t="s">
        <v>2897</v>
      </c>
      <c r="C1412" s="460"/>
      <c r="D1412" s="460" t="s">
        <v>1816</v>
      </c>
      <c r="E1412" s="460" t="s">
        <v>2611</v>
      </c>
      <c r="F1412" s="460" t="s">
        <v>2612</v>
      </c>
      <c r="G1412" s="460"/>
      <c r="H1412" s="461"/>
      <c r="I1412" s="460"/>
      <c r="J1412" s="460"/>
      <c r="K1412" s="460" t="s">
        <v>2613</v>
      </c>
    </row>
    <row r="1413" spans="1:11" ht="14.4">
      <c r="A1413" s="460" t="s">
        <v>1810</v>
      </c>
      <c r="B1413" s="460" t="s">
        <v>1661</v>
      </c>
      <c r="C1413" s="460"/>
      <c r="D1413" s="460" t="s">
        <v>1811</v>
      </c>
      <c r="E1413" s="460" t="s">
        <v>1812</v>
      </c>
      <c r="F1413" s="460" t="s">
        <v>2620</v>
      </c>
      <c r="G1413" s="547">
        <f>ROUND(10.22,2)</f>
        <v>10.220000000000001</v>
      </c>
      <c r="H1413" s="461"/>
      <c r="I1413" s="547">
        <f>ROUND(10.22,2)</f>
        <v>10.220000000000001</v>
      </c>
      <c r="J1413" s="460"/>
      <c r="K1413" s="460" t="s">
        <v>2613</v>
      </c>
    </row>
    <row r="1414" spans="1:11" ht="14.4">
      <c r="A1414" s="460" t="s">
        <v>1810</v>
      </c>
      <c r="B1414" s="460" t="s">
        <v>1661</v>
      </c>
      <c r="C1414" s="460"/>
      <c r="D1414" s="460" t="s">
        <v>1811</v>
      </c>
      <c r="E1414" s="460" t="s">
        <v>1812</v>
      </c>
      <c r="F1414" s="460" t="s">
        <v>2637</v>
      </c>
      <c r="G1414" s="547">
        <f>ROUND(208.15,2)</f>
        <v>208.15</v>
      </c>
      <c r="H1414" s="461"/>
      <c r="I1414" s="547">
        <f>ROUND(208.15,2)</f>
        <v>208.15</v>
      </c>
      <c r="J1414" s="460"/>
      <c r="K1414" s="460" t="s">
        <v>2613</v>
      </c>
    </row>
    <row r="1415" spans="1:11" ht="14.4">
      <c r="A1415" s="460" t="s">
        <v>1810</v>
      </c>
      <c r="B1415" s="460" t="s">
        <v>1661</v>
      </c>
      <c r="C1415" s="460"/>
      <c r="D1415" s="460" t="s">
        <v>1811</v>
      </c>
      <c r="E1415" s="460" t="s">
        <v>1812</v>
      </c>
      <c r="F1415" s="460" t="s">
        <v>2612</v>
      </c>
      <c r="G1415" s="460"/>
      <c r="H1415" s="461"/>
      <c r="I1415" s="460"/>
      <c r="J1415" s="460"/>
      <c r="K1415" s="460" t="s">
        <v>2613</v>
      </c>
    </row>
    <row r="1416" spans="1:11" ht="14.4">
      <c r="A1416" s="460" t="s">
        <v>1810</v>
      </c>
      <c r="B1416" s="460" t="s">
        <v>1661</v>
      </c>
      <c r="C1416" s="460"/>
      <c r="D1416" s="460" t="s">
        <v>1811</v>
      </c>
      <c r="E1416" s="460" t="s">
        <v>1812</v>
      </c>
      <c r="F1416" s="460" t="s">
        <v>2614</v>
      </c>
      <c r="G1416" s="460"/>
      <c r="H1416" s="461" t="s">
        <v>2615</v>
      </c>
      <c r="I1416" s="547">
        <f>ROUND(7,2)</f>
        <v>7</v>
      </c>
      <c r="J1416" s="460" t="s">
        <v>2615</v>
      </c>
      <c r="K1416" s="460" t="s">
        <v>2613</v>
      </c>
    </row>
    <row r="1417" spans="1:11" ht="14.4">
      <c r="A1417" s="460" t="s">
        <v>1810</v>
      </c>
      <c r="B1417" s="460" t="s">
        <v>1661</v>
      </c>
      <c r="C1417" s="460"/>
      <c r="D1417" s="460" t="s">
        <v>1811</v>
      </c>
      <c r="E1417" s="460" t="s">
        <v>1812</v>
      </c>
      <c r="F1417" s="460" t="s">
        <v>2616</v>
      </c>
      <c r="G1417" s="460"/>
      <c r="H1417" s="461"/>
      <c r="I1417" s="460"/>
      <c r="J1417" s="460"/>
      <c r="K1417" s="460" t="s">
        <v>2613</v>
      </c>
    </row>
    <row r="1418" spans="1:11" ht="14.4">
      <c r="A1418" s="460" t="s">
        <v>1810</v>
      </c>
      <c r="B1418" s="460" t="s">
        <v>2958</v>
      </c>
      <c r="C1418" s="460"/>
      <c r="D1418" s="460" t="s">
        <v>1816</v>
      </c>
      <c r="E1418" s="460" t="s">
        <v>2611</v>
      </c>
      <c r="F1418" s="460" t="s">
        <v>2612</v>
      </c>
      <c r="G1418" s="460"/>
      <c r="H1418" s="461"/>
      <c r="I1418" s="460"/>
      <c r="J1418" s="460"/>
      <c r="K1418" s="460" t="s">
        <v>2613</v>
      </c>
    </row>
    <row r="1419" spans="1:11" ht="14.4">
      <c r="A1419" s="460" t="s">
        <v>1810</v>
      </c>
      <c r="B1419" s="460" t="s">
        <v>2457</v>
      </c>
      <c r="C1419" s="460"/>
      <c r="D1419" s="460" t="s">
        <v>1821</v>
      </c>
      <c r="E1419" s="460" t="s">
        <v>1812</v>
      </c>
      <c r="F1419" s="460" t="s">
        <v>2612</v>
      </c>
      <c r="G1419" s="460"/>
      <c r="H1419" s="461" t="s">
        <v>2657</v>
      </c>
      <c r="I1419" s="547">
        <f>ROUND(80,2)</f>
        <v>80</v>
      </c>
      <c r="J1419" s="460" t="s">
        <v>2657</v>
      </c>
      <c r="K1419" s="460" t="s">
        <v>2613</v>
      </c>
    </row>
    <row r="1420" spans="1:11" ht="14.4">
      <c r="A1420" s="460" t="s">
        <v>1810</v>
      </c>
      <c r="B1420" s="460" t="s">
        <v>2457</v>
      </c>
      <c r="C1420" s="460"/>
      <c r="D1420" s="460" t="s">
        <v>1821</v>
      </c>
      <c r="E1420" s="460" t="s">
        <v>1812</v>
      </c>
      <c r="F1420" s="460" t="s">
        <v>2623</v>
      </c>
      <c r="G1420" s="460"/>
      <c r="H1420" s="461" t="s">
        <v>2652</v>
      </c>
      <c r="I1420" s="547">
        <f>ROUND(20,2)</f>
        <v>20</v>
      </c>
      <c r="J1420" s="460" t="s">
        <v>2652</v>
      </c>
      <c r="K1420" s="460" t="s">
        <v>2613</v>
      </c>
    </row>
    <row r="1421" spans="1:11" ht="14.4">
      <c r="A1421" s="460" t="s">
        <v>1810</v>
      </c>
      <c r="B1421" s="460" t="s">
        <v>2457</v>
      </c>
      <c r="C1421" s="460"/>
      <c r="D1421" s="460" t="s">
        <v>1821</v>
      </c>
      <c r="E1421" s="460" t="s">
        <v>1812</v>
      </c>
      <c r="F1421" s="460" t="s">
        <v>2640</v>
      </c>
      <c r="G1421" s="460"/>
      <c r="H1421" s="461" t="s">
        <v>2641</v>
      </c>
      <c r="I1421" s="547">
        <f>ROUND(4,2)</f>
        <v>4</v>
      </c>
      <c r="J1421" s="460" t="s">
        <v>2641</v>
      </c>
      <c r="K1421" s="460" t="s">
        <v>2613</v>
      </c>
    </row>
    <row r="1422" spans="1:11" ht="14.4">
      <c r="A1422" s="460" t="s">
        <v>1810</v>
      </c>
      <c r="B1422" s="460" t="s">
        <v>2457</v>
      </c>
      <c r="C1422" s="460"/>
      <c r="D1422" s="460" t="s">
        <v>1821</v>
      </c>
      <c r="E1422" s="460" t="s">
        <v>1812</v>
      </c>
      <c r="F1422" s="460" t="s">
        <v>2634</v>
      </c>
      <c r="G1422" s="547">
        <f>ROUND(39,2)</f>
        <v>39</v>
      </c>
      <c r="H1422" s="461"/>
      <c r="I1422" s="547">
        <f>ROUND(39,2)</f>
        <v>39</v>
      </c>
      <c r="J1422" s="460"/>
      <c r="K1422" s="460" t="s">
        <v>2613</v>
      </c>
    </row>
    <row r="1423" spans="1:11" ht="14.4">
      <c r="A1423" s="460" t="s">
        <v>1810</v>
      </c>
      <c r="B1423" s="460" t="s">
        <v>2457</v>
      </c>
      <c r="C1423" s="460"/>
      <c r="D1423" s="460" t="s">
        <v>1821</v>
      </c>
      <c r="E1423" s="460" t="s">
        <v>1812</v>
      </c>
      <c r="F1423" s="460" t="s">
        <v>2614</v>
      </c>
      <c r="G1423" s="460"/>
      <c r="H1423" s="461" t="s">
        <v>2615</v>
      </c>
      <c r="I1423" s="547">
        <f>ROUND(7,2)</f>
        <v>7</v>
      </c>
      <c r="J1423" s="460" t="s">
        <v>2615</v>
      </c>
      <c r="K1423" s="460" t="s">
        <v>2613</v>
      </c>
    </row>
    <row r="1424" spans="1:11" ht="14.4">
      <c r="A1424" s="460" t="s">
        <v>1810</v>
      </c>
      <c r="B1424" s="460" t="s">
        <v>2457</v>
      </c>
      <c r="C1424" s="460"/>
      <c r="D1424" s="460" t="s">
        <v>1821</v>
      </c>
      <c r="E1424" s="460" t="s">
        <v>1812</v>
      </c>
      <c r="F1424" s="460" t="s">
        <v>2616</v>
      </c>
      <c r="G1424" s="460"/>
      <c r="H1424" s="461"/>
      <c r="I1424" s="460"/>
      <c r="J1424" s="460"/>
      <c r="K1424" s="460" t="s">
        <v>2613</v>
      </c>
    </row>
    <row r="1425" spans="1:11" ht="14.4">
      <c r="A1425" s="460" t="s">
        <v>1810</v>
      </c>
      <c r="B1425" s="460" t="s">
        <v>1456</v>
      </c>
      <c r="C1425" s="460"/>
      <c r="D1425" s="460" t="s">
        <v>1821</v>
      </c>
      <c r="E1425" s="460" t="s">
        <v>1812</v>
      </c>
      <c r="F1425" s="460" t="s">
        <v>2633</v>
      </c>
      <c r="G1425" s="547">
        <f>ROUND(50,2)</f>
        <v>50</v>
      </c>
      <c r="H1425" s="461"/>
      <c r="I1425" s="547">
        <f>ROUND(50,2)</f>
        <v>50</v>
      </c>
      <c r="J1425" s="460"/>
      <c r="K1425" s="460" t="s">
        <v>2613</v>
      </c>
    </row>
    <row r="1426" spans="1:11" ht="14.4">
      <c r="A1426" s="460" t="s">
        <v>1810</v>
      </c>
      <c r="B1426" s="460" t="s">
        <v>1456</v>
      </c>
      <c r="C1426" s="460"/>
      <c r="D1426" s="460" t="s">
        <v>1821</v>
      </c>
      <c r="E1426" s="460" t="s">
        <v>1812</v>
      </c>
      <c r="F1426" s="460" t="s">
        <v>2625</v>
      </c>
      <c r="G1426" s="547">
        <f>ROUND(37.5,2)</f>
        <v>37.5</v>
      </c>
      <c r="H1426" s="461"/>
      <c r="I1426" s="547">
        <f>ROUND(37.5,2)</f>
        <v>37.5</v>
      </c>
      <c r="J1426" s="460"/>
      <c r="K1426" s="460" t="s">
        <v>2613</v>
      </c>
    </row>
    <row r="1427" spans="1:11" ht="14.4">
      <c r="A1427" s="460" t="s">
        <v>1810</v>
      </c>
      <c r="B1427" s="460" t="s">
        <v>1456</v>
      </c>
      <c r="C1427" s="460"/>
      <c r="D1427" s="460" t="s">
        <v>1821</v>
      </c>
      <c r="E1427" s="460" t="s">
        <v>1812</v>
      </c>
      <c r="F1427" s="460" t="s">
        <v>2612</v>
      </c>
      <c r="G1427" s="460"/>
      <c r="H1427" s="461"/>
      <c r="I1427" s="460"/>
      <c r="J1427" s="460"/>
      <c r="K1427" s="460" t="s">
        <v>2613</v>
      </c>
    </row>
    <row r="1428" spans="1:11" ht="14.4">
      <c r="A1428" s="460" t="s">
        <v>1810</v>
      </c>
      <c r="B1428" s="460" t="s">
        <v>1456</v>
      </c>
      <c r="C1428" s="460"/>
      <c r="D1428" s="460" t="s">
        <v>1821</v>
      </c>
      <c r="E1428" s="460" t="s">
        <v>1812</v>
      </c>
      <c r="F1428" s="460" t="s">
        <v>2614</v>
      </c>
      <c r="G1428" s="460"/>
      <c r="H1428" s="461" t="s">
        <v>2615</v>
      </c>
      <c r="I1428" s="547">
        <f>ROUND(7,2)</f>
        <v>7</v>
      </c>
      <c r="J1428" s="460" t="s">
        <v>2615</v>
      </c>
      <c r="K1428" s="460" t="s">
        <v>2613</v>
      </c>
    </row>
    <row r="1429" spans="1:11" ht="14.4">
      <c r="A1429" s="460" t="s">
        <v>1810</v>
      </c>
      <c r="B1429" s="460" t="s">
        <v>1456</v>
      </c>
      <c r="C1429" s="460"/>
      <c r="D1429" s="460" t="s">
        <v>1821</v>
      </c>
      <c r="E1429" s="460" t="s">
        <v>1812</v>
      </c>
      <c r="F1429" s="460" t="s">
        <v>2634</v>
      </c>
      <c r="G1429" s="547">
        <f>ROUND(59,2)</f>
        <v>59</v>
      </c>
      <c r="H1429" s="461"/>
      <c r="I1429" s="547">
        <f>ROUND(59,2)</f>
        <v>59</v>
      </c>
      <c r="J1429" s="460"/>
      <c r="K1429" s="460" t="s">
        <v>2613</v>
      </c>
    </row>
    <row r="1430" spans="1:11" ht="14.4">
      <c r="A1430" s="460" t="s">
        <v>1810</v>
      </c>
      <c r="B1430" s="460" t="s">
        <v>1456</v>
      </c>
      <c r="C1430" s="460"/>
      <c r="D1430" s="460" t="s">
        <v>1821</v>
      </c>
      <c r="E1430" s="460" t="s">
        <v>1812</v>
      </c>
      <c r="F1430" s="460" t="s">
        <v>2616</v>
      </c>
      <c r="G1430" s="460"/>
      <c r="H1430" s="461"/>
      <c r="I1430" s="460"/>
      <c r="J1430" s="460"/>
      <c r="K1430" s="460" t="s">
        <v>2613</v>
      </c>
    </row>
    <row r="1431" spans="1:11" ht="14.4">
      <c r="A1431" s="460" t="s">
        <v>1810</v>
      </c>
      <c r="B1431" s="460" t="s">
        <v>1572</v>
      </c>
      <c r="C1431" s="460"/>
      <c r="D1431" s="460" t="s">
        <v>1821</v>
      </c>
      <c r="E1431" s="460" t="s">
        <v>1812</v>
      </c>
      <c r="F1431" s="460" t="s">
        <v>2625</v>
      </c>
      <c r="G1431" s="547">
        <f>ROUND(25,2)</f>
        <v>25</v>
      </c>
      <c r="H1431" s="461"/>
      <c r="I1431" s="547">
        <f>ROUND(25,2)</f>
        <v>25</v>
      </c>
      <c r="J1431" s="460"/>
      <c r="K1431" s="460" t="s">
        <v>2613</v>
      </c>
    </row>
    <row r="1432" spans="1:11" ht="14.4">
      <c r="A1432" s="460" t="s">
        <v>1810</v>
      </c>
      <c r="B1432" s="460" t="s">
        <v>1572</v>
      </c>
      <c r="C1432" s="460"/>
      <c r="D1432" s="460" t="s">
        <v>1821</v>
      </c>
      <c r="E1432" s="460" t="s">
        <v>1812</v>
      </c>
      <c r="F1432" s="460" t="s">
        <v>2612</v>
      </c>
      <c r="G1432" s="460"/>
      <c r="H1432" s="461"/>
      <c r="I1432" s="460"/>
      <c r="J1432" s="460"/>
      <c r="K1432" s="460" t="s">
        <v>2613</v>
      </c>
    </row>
    <row r="1433" spans="1:11" ht="14.4">
      <c r="A1433" s="460" t="s">
        <v>1810</v>
      </c>
      <c r="B1433" s="460" t="s">
        <v>1572</v>
      </c>
      <c r="C1433" s="460"/>
      <c r="D1433" s="460" t="s">
        <v>1821</v>
      </c>
      <c r="E1433" s="460" t="s">
        <v>1812</v>
      </c>
      <c r="F1433" s="460" t="s">
        <v>2634</v>
      </c>
      <c r="G1433" s="547">
        <f>ROUND(32,2)</f>
        <v>32</v>
      </c>
      <c r="H1433" s="461"/>
      <c r="I1433" s="547">
        <f>ROUND(32,2)</f>
        <v>32</v>
      </c>
      <c r="J1433" s="460"/>
      <c r="K1433" s="460" t="s">
        <v>2613</v>
      </c>
    </row>
    <row r="1434" spans="1:11" ht="14.4">
      <c r="A1434" s="460" t="s">
        <v>1810</v>
      </c>
      <c r="B1434" s="460" t="s">
        <v>1572</v>
      </c>
      <c r="C1434" s="460"/>
      <c r="D1434" s="460" t="s">
        <v>1821</v>
      </c>
      <c r="E1434" s="460" t="s">
        <v>1812</v>
      </c>
      <c r="F1434" s="460" t="s">
        <v>2614</v>
      </c>
      <c r="G1434" s="460"/>
      <c r="H1434" s="461" t="s">
        <v>2615</v>
      </c>
      <c r="I1434" s="547">
        <f>ROUND(7,2)</f>
        <v>7</v>
      </c>
      <c r="J1434" s="460" t="s">
        <v>2615</v>
      </c>
      <c r="K1434" s="460" t="s">
        <v>2613</v>
      </c>
    </row>
    <row r="1435" spans="1:11" ht="14.4">
      <c r="A1435" s="460" t="s">
        <v>1810</v>
      </c>
      <c r="B1435" s="460" t="s">
        <v>1572</v>
      </c>
      <c r="C1435" s="460"/>
      <c r="D1435" s="460" t="s">
        <v>1821</v>
      </c>
      <c r="E1435" s="460" t="s">
        <v>1812</v>
      </c>
      <c r="F1435" s="460" t="s">
        <v>2640</v>
      </c>
      <c r="G1435" s="460"/>
      <c r="H1435" s="461" t="s">
        <v>2658</v>
      </c>
      <c r="I1435" s="547">
        <f>ROUND(9,2)</f>
        <v>9</v>
      </c>
      <c r="J1435" s="460" t="s">
        <v>2658</v>
      </c>
      <c r="K1435" s="460" t="s">
        <v>2613</v>
      </c>
    </row>
    <row r="1436" spans="1:11" ht="14.4">
      <c r="A1436" s="460" t="s">
        <v>1810</v>
      </c>
      <c r="B1436" s="460" t="s">
        <v>1572</v>
      </c>
      <c r="C1436" s="460"/>
      <c r="D1436" s="460" t="s">
        <v>1821</v>
      </c>
      <c r="E1436" s="460" t="s">
        <v>1812</v>
      </c>
      <c r="F1436" s="460" t="s">
        <v>2616</v>
      </c>
      <c r="G1436" s="460"/>
      <c r="H1436" s="461"/>
      <c r="I1436" s="460"/>
      <c r="J1436" s="460"/>
      <c r="K1436" s="460" t="s">
        <v>2613</v>
      </c>
    </row>
    <row r="1437" spans="1:11" ht="14.4">
      <c r="A1437" s="460" t="s">
        <v>1810</v>
      </c>
      <c r="B1437" s="460" t="s">
        <v>1939</v>
      </c>
      <c r="C1437" s="460"/>
      <c r="D1437" s="460" t="s">
        <v>1816</v>
      </c>
      <c r="E1437" s="460" t="s">
        <v>2611</v>
      </c>
      <c r="F1437" s="460" t="s">
        <v>2623</v>
      </c>
      <c r="G1437" s="460"/>
      <c r="H1437" s="461"/>
      <c r="I1437" s="460"/>
      <c r="J1437" s="460"/>
      <c r="K1437" s="460" t="s">
        <v>2613</v>
      </c>
    </row>
    <row r="1438" spans="1:11" ht="14.4">
      <c r="A1438" s="460" t="s">
        <v>1810</v>
      </c>
      <c r="B1438" s="460" t="s">
        <v>1506</v>
      </c>
      <c r="C1438" s="460"/>
      <c r="D1438" s="460" t="s">
        <v>1821</v>
      </c>
      <c r="E1438" s="460" t="s">
        <v>1812</v>
      </c>
      <c r="F1438" s="460" t="s">
        <v>2625</v>
      </c>
      <c r="G1438" s="547">
        <f>ROUND(50,2)</f>
        <v>50</v>
      </c>
      <c r="H1438" s="461"/>
      <c r="I1438" s="547">
        <f>ROUND(50,2)</f>
        <v>50</v>
      </c>
      <c r="J1438" s="460"/>
      <c r="K1438" s="460" t="s">
        <v>2613</v>
      </c>
    </row>
    <row r="1439" spans="1:11" ht="14.4">
      <c r="A1439" s="460" t="s">
        <v>1810</v>
      </c>
      <c r="B1439" s="460" t="s">
        <v>1506</v>
      </c>
      <c r="C1439" s="460"/>
      <c r="D1439" s="460" t="s">
        <v>1821</v>
      </c>
      <c r="E1439" s="460" t="s">
        <v>1812</v>
      </c>
      <c r="F1439" s="460" t="s">
        <v>2612</v>
      </c>
      <c r="G1439" s="460"/>
      <c r="H1439" s="461"/>
      <c r="I1439" s="460"/>
      <c r="J1439" s="460"/>
      <c r="K1439" s="460" t="s">
        <v>2613</v>
      </c>
    </row>
    <row r="1440" spans="1:11" ht="14.4">
      <c r="A1440" s="460" t="s">
        <v>1810</v>
      </c>
      <c r="B1440" s="460" t="s">
        <v>1506</v>
      </c>
      <c r="C1440" s="460"/>
      <c r="D1440" s="460" t="s">
        <v>1821</v>
      </c>
      <c r="E1440" s="460" t="s">
        <v>1812</v>
      </c>
      <c r="F1440" s="460" t="s">
        <v>2627</v>
      </c>
      <c r="G1440" s="547">
        <f>ROUND(50,2)</f>
        <v>50</v>
      </c>
      <c r="H1440" s="461"/>
      <c r="I1440" s="547">
        <f>ROUND(50,2)</f>
        <v>50</v>
      </c>
      <c r="J1440" s="460"/>
      <c r="K1440" s="460" t="s">
        <v>2613</v>
      </c>
    </row>
    <row r="1441" spans="1:11" ht="14.4">
      <c r="A1441" s="460" t="s">
        <v>1810</v>
      </c>
      <c r="B1441" s="460" t="s">
        <v>1506</v>
      </c>
      <c r="C1441" s="460"/>
      <c r="D1441" s="460" t="s">
        <v>1821</v>
      </c>
      <c r="E1441" s="460" t="s">
        <v>1812</v>
      </c>
      <c r="F1441" s="460" t="s">
        <v>2614</v>
      </c>
      <c r="G1441" s="460"/>
      <c r="H1441" s="461" t="s">
        <v>2615</v>
      </c>
      <c r="I1441" s="547">
        <f>ROUND(7,2)</f>
        <v>7</v>
      </c>
      <c r="J1441" s="460" t="s">
        <v>2615</v>
      </c>
      <c r="K1441" s="460" t="s">
        <v>2613</v>
      </c>
    </row>
    <row r="1442" spans="1:11" ht="14.4">
      <c r="A1442" s="460" t="s">
        <v>1810</v>
      </c>
      <c r="B1442" s="460" t="s">
        <v>1506</v>
      </c>
      <c r="C1442" s="460"/>
      <c r="D1442" s="460" t="s">
        <v>1821</v>
      </c>
      <c r="E1442" s="460" t="s">
        <v>1812</v>
      </c>
      <c r="F1442" s="460" t="s">
        <v>2617</v>
      </c>
      <c r="G1442" s="547">
        <f>ROUND(75,2)</f>
        <v>75</v>
      </c>
      <c r="H1442" s="461"/>
      <c r="I1442" s="547">
        <f>ROUND(75,2)</f>
        <v>75</v>
      </c>
      <c r="J1442" s="460"/>
      <c r="K1442" s="460" t="s">
        <v>2613</v>
      </c>
    </row>
    <row r="1443" spans="1:11" ht="14.4">
      <c r="A1443" s="460" t="s">
        <v>1810</v>
      </c>
      <c r="B1443" s="460" t="s">
        <v>1506</v>
      </c>
      <c r="C1443" s="460"/>
      <c r="D1443" s="460" t="s">
        <v>1821</v>
      </c>
      <c r="E1443" s="460" t="s">
        <v>1812</v>
      </c>
      <c r="F1443" s="460" t="s">
        <v>2618</v>
      </c>
      <c r="G1443" s="547">
        <f>ROUND(40,2)</f>
        <v>40</v>
      </c>
      <c r="H1443" s="461"/>
      <c r="I1443" s="547">
        <f>ROUND(40,2)</f>
        <v>40</v>
      </c>
      <c r="J1443" s="460"/>
      <c r="K1443" s="460" t="s">
        <v>2613</v>
      </c>
    </row>
    <row r="1444" spans="1:11" ht="14.4">
      <c r="A1444" s="460" t="s">
        <v>1810</v>
      </c>
      <c r="B1444" s="460" t="s">
        <v>1548</v>
      </c>
      <c r="C1444" s="460"/>
      <c r="D1444" s="460" t="s">
        <v>1821</v>
      </c>
      <c r="E1444" s="460" t="s">
        <v>1812</v>
      </c>
      <c r="F1444" s="460" t="s">
        <v>2612</v>
      </c>
      <c r="G1444" s="460"/>
      <c r="H1444" s="461"/>
      <c r="I1444" s="460"/>
      <c r="J1444" s="460"/>
      <c r="K1444" s="460" t="s">
        <v>2613</v>
      </c>
    </row>
    <row r="1445" spans="1:11" ht="14.4">
      <c r="A1445" s="460" t="s">
        <v>1810</v>
      </c>
      <c r="B1445" s="460" t="s">
        <v>1548</v>
      </c>
      <c r="C1445" s="460"/>
      <c r="D1445" s="460" t="s">
        <v>1821</v>
      </c>
      <c r="E1445" s="460" t="s">
        <v>1812</v>
      </c>
      <c r="F1445" s="460" t="s">
        <v>2634</v>
      </c>
      <c r="G1445" s="547">
        <f>ROUND(63,2)</f>
        <v>63</v>
      </c>
      <c r="H1445" s="461"/>
      <c r="I1445" s="547">
        <f>ROUND(63,2)</f>
        <v>63</v>
      </c>
      <c r="J1445" s="460"/>
      <c r="K1445" s="460" t="s">
        <v>2613</v>
      </c>
    </row>
    <row r="1446" spans="1:11" ht="14.4">
      <c r="A1446" s="460" t="s">
        <v>1810</v>
      </c>
      <c r="B1446" s="460" t="s">
        <v>1548</v>
      </c>
      <c r="C1446" s="460"/>
      <c r="D1446" s="460" t="s">
        <v>1821</v>
      </c>
      <c r="E1446" s="460" t="s">
        <v>1812</v>
      </c>
      <c r="F1446" s="460" t="s">
        <v>2614</v>
      </c>
      <c r="G1446" s="460"/>
      <c r="H1446" s="461" t="s">
        <v>2615</v>
      </c>
      <c r="I1446" s="547">
        <f>ROUND(7,2)</f>
        <v>7</v>
      </c>
      <c r="J1446" s="460" t="s">
        <v>2615</v>
      </c>
      <c r="K1446" s="460" t="s">
        <v>2613</v>
      </c>
    </row>
    <row r="1447" spans="1:11" ht="14.4">
      <c r="A1447" s="460" t="s">
        <v>1810</v>
      </c>
      <c r="B1447" s="460" t="s">
        <v>1548</v>
      </c>
      <c r="C1447" s="460"/>
      <c r="D1447" s="460" t="s">
        <v>1821</v>
      </c>
      <c r="E1447" s="460" t="s">
        <v>1812</v>
      </c>
      <c r="F1447" s="460" t="s">
        <v>2625</v>
      </c>
      <c r="G1447" s="547">
        <f>ROUND(25,2)</f>
        <v>25</v>
      </c>
      <c r="H1447" s="461"/>
      <c r="I1447" s="547">
        <f>ROUND(25,2)</f>
        <v>25</v>
      </c>
      <c r="J1447" s="460"/>
      <c r="K1447" s="460" t="s">
        <v>2613</v>
      </c>
    </row>
    <row r="1448" spans="1:11" ht="22.8">
      <c r="A1448" s="460" t="s">
        <v>1810</v>
      </c>
      <c r="B1448" s="460" t="s">
        <v>2511</v>
      </c>
      <c r="C1448" s="460"/>
      <c r="D1448" s="460" t="s">
        <v>1813</v>
      </c>
      <c r="E1448" s="460" t="s">
        <v>2611</v>
      </c>
      <c r="F1448" s="460" t="s">
        <v>2612</v>
      </c>
      <c r="G1448" s="460"/>
      <c r="H1448" s="461"/>
      <c r="I1448" s="460"/>
      <c r="J1448" s="460"/>
      <c r="K1448" s="460" t="s">
        <v>2613</v>
      </c>
    </row>
    <row r="1449" spans="1:11" ht="14.4">
      <c r="A1449" s="460" t="s">
        <v>1810</v>
      </c>
      <c r="B1449" s="460" t="s">
        <v>1634</v>
      </c>
      <c r="C1449" s="460"/>
      <c r="D1449" s="460" t="s">
        <v>1816</v>
      </c>
      <c r="E1449" s="460" t="s">
        <v>2611</v>
      </c>
      <c r="F1449" s="460" t="s">
        <v>2612</v>
      </c>
      <c r="G1449" s="460"/>
      <c r="H1449" s="461"/>
      <c r="I1449" s="460"/>
      <c r="J1449" s="460"/>
      <c r="K1449" s="460" t="s">
        <v>2613</v>
      </c>
    </row>
    <row r="1450" spans="1:11" ht="14.4">
      <c r="A1450" s="460" t="s">
        <v>1810</v>
      </c>
      <c r="B1450" s="460" t="s">
        <v>2446</v>
      </c>
      <c r="C1450" s="460"/>
      <c r="D1450" s="460" t="s">
        <v>1816</v>
      </c>
      <c r="E1450" s="460" t="s">
        <v>2611</v>
      </c>
      <c r="F1450" s="460" t="s">
        <v>2612</v>
      </c>
      <c r="G1450" s="460"/>
      <c r="H1450" s="461"/>
      <c r="I1450" s="460"/>
      <c r="J1450" s="460"/>
      <c r="K1450" s="460" t="s">
        <v>2613</v>
      </c>
    </row>
    <row r="1451" spans="1:11" ht="14.4">
      <c r="A1451" s="460" t="s">
        <v>1810</v>
      </c>
      <c r="B1451" s="460" t="s">
        <v>1457</v>
      </c>
      <c r="C1451" s="460"/>
      <c r="D1451" s="460" t="s">
        <v>1818</v>
      </c>
      <c r="E1451" s="460" t="s">
        <v>2015</v>
      </c>
      <c r="F1451" s="460" t="s">
        <v>2624</v>
      </c>
      <c r="G1451" s="547">
        <f>ROUND(100,2)</f>
        <v>100</v>
      </c>
      <c r="H1451" s="461"/>
      <c r="I1451" s="547">
        <f>ROUND(100,2)</f>
        <v>100</v>
      </c>
      <c r="J1451" s="460"/>
      <c r="K1451" s="460" t="s">
        <v>2613</v>
      </c>
    </row>
    <row r="1452" spans="1:11" ht="14.4">
      <c r="A1452" s="460" t="s">
        <v>1810</v>
      </c>
      <c r="B1452" s="460" t="s">
        <v>1457</v>
      </c>
      <c r="C1452" s="460"/>
      <c r="D1452" s="460" t="s">
        <v>1818</v>
      </c>
      <c r="E1452" s="460" t="s">
        <v>2015</v>
      </c>
      <c r="F1452" s="460" t="s">
        <v>2612</v>
      </c>
      <c r="G1452" s="460"/>
      <c r="H1452" s="461"/>
      <c r="I1452" s="460"/>
      <c r="J1452" s="460"/>
      <c r="K1452" s="460" t="s">
        <v>2613</v>
      </c>
    </row>
    <row r="1453" spans="1:11" ht="14.4">
      <c r="A1453" s="460" t="s">
        <v>1810</v>
      </c>
      <c r="B1453" s="460" t="s">
        <v>1457</v>
      </c>
      <c r="C1453" s="460"/>
      <c r="D1453" s="460" t="s">
        <v>1818</v>
      </c>
      <c r="E1453" s="460" t="s">
        <v>2015</v>
      </c>
      <c r="F1453" s="460" t="s">
        <v>2614</v>
      </c>
      <c r="G1453" s="460"/>
      <c r="H1453" s="461" t="s">
        <v>2615</v>
      </c>
      <c r="I1453" s="547">
        <f>ROUND(7,2)</f>
        <v>7</v>
      </c>
      <c r="J1453" s="460" t="s">
        <v>2615</v>
      </c>
      <c r="K1453" s="460" t="s">
        <v>2613</v>
      </c>
    </row>
    <row r="1454" spans="1:11" ht="14.4">
      <c r="A1454" s="460" t="s">
        <v>1810</v>
      </c>
      <c r="B1454" s="460" t="s">
        <v>1457</v>
      </c>
      <c r="C1454" s="460"/>
      <c r="D1454" s="460" t="s">
        <v>1818</v>
      </c>
      <c r="E1454" s="460" t="s">
        <v>2015</v>
      </c>
      <c r="F1454" s="460" t="s">
        <v>2616</v>
      </c>
      <c r="G1454" s="460"/>
      <c r="H1454" s="461"/>
      <c r="I1454" s="460"/>
      <c r="J1454" s="460"/>
      <c r="K1454" s="460" t="s">
        <v>2613</v>
      </c>
    </row>
    <row r="1455" spans="1:11" ht="14.4">
      <c r="A1455" s="460" t="s">
        <v>1810</v>
      </c>
      <c r="B1455" s="460" t="s">
        <v>1457</v>
      </c>
      <c r="C1455" s="460"/>
      <c r="D1455" s="460" t="s">
        <v>1818</v>
      </c>
      <c r="E1455" s="460" t="s">
        <v>2015</v>
      </c>
      <c r="F1455" s="460" t="s">
        <v>2618</v>
      </c>
      <c r="G1455" s="547">
        <f>ROUND(57.5,2)</f>
        <v>57.5</v>
      </c>
      <c r="H1455" s="461"/>
      <c r="I1455" s="547">
        <f>ROUND(57.5,2)</f>
        <v>57.5</v>
      </c>
      <c r="J1455" s="460"/>
      <c r="K1455" s="460" t="s">
        <v>2613</v>
      </c>
    </row>
    <row r="1456" spans="1:11" ht="14.4">
      <c r="A1456" s="460" t="s">
        <v>1810</v>
      </c>
      <c r="B1456" s="460" t="s">
        <v>1457</v>
      </c>
      <c r="C1456" s="460"/>
      <c r="D1456" s="460" t="s">
        <v>1818</v>
      </c>
      <c r="E1456" s="460" t="s">
        <v>2015</v>
      </c>
      <c r="F1456" s="460" t="s">
        <v>2617</v>
      </c>
      <c r="G1456" s="547">
        <f>ROUND(75,2)</f>
        <v>75</v>
      </c>
      <c r="H1456" s="461"/>
      <c r="I1456" s="547">
        <f>ROUND(75,2)</f>
        <v>75</v>
      </c>
      <c r="J1456" s="460"/>
      <c r="K1456" s="460" t="s">
        <v>2613</v>
      </c>
    </row>
    <row r="1457" spans="1:11" ht="14.4">
      <c r="A1457" s="460" t="s">
        <v>1810</v>
      </c>
      <c r="B1457" s="460" t="s">
        <v>1460</v>
      </c>
      <c r="C1457" s="460"/>
      <c r="D1457" s="460" t="s">
        <v>1821</v>
      </c>
      <c r="E1457" s="460" t="s">
        <v>1812</v>
      </c>
      <c r="F1457" s="460" t="s">
        <v>2612</v>
      </c>
      <c r="G1457" s="460"/>
      <c r="H1457" s="461"/>
      <c r="I1457" s="460"/>
      <c r="J1457" s="460"/>
      <c r="K1457" s="460" t="s">
        <v>2613</v>
      </c>
    </row>
    <row r="1458" spans="1:11" ht="14.4">
      <c r="A1458" s="460" t="s">
        <v>1810</v>
      </c>
      <c r="B1458" s="460" t="s">
        <v>1460</v>
      </c>
      <c r="C1458" s="460"/>
      <c r="D1458" s="460" t="s">
        <v>1821</v>
      </c>
      <c r="E1458" s="460" t="s">
        <v>1812</v>
      </c>
      <c r="F1458" s="460" t="s">
        <v>2634</v>
      </c>
      <c r="G1458" s="547">
        <f>ROUND(50,2)</f>
        <v>50</v>
      </c>
      <c r="H1458" s="461"/>
      <c r="I1458" s="547">
        <f>ROUND(50,2)</f>
        <v>50</v>
      </c>
      <c r="J1458" s="460"/>
      <c r="K1458" s="460" t="s">
        <v>2613</v>
      </c>
    </row>
    <row r="1459" spans="1:11" ht="14.4">
      <c r="A1459" s="460" t="s">
        <v>1810</v>
      </c>
      <c r="B1459" s="460" t="s">
        <v>1460</v>
      </c>
      <c r="C1459" s="460"/>
      <c r="D1459" s="460" t="s">
        <v>1821</v>
      </c>
      <c r="E1459" s="460" t="s">
        <v>1812</v>
      </c>
      <c r="F1459" s="460" t="s">
        <v>2614</v>
      </c>
      <c r="G1459" s="460"/>
      <c r="H1459" s="461" t="s">
        <v>2615</v>
      </c>
      <c r="I1459" s="547">
        <f>ROUND(7,2)</f>
        <v>7</v>
      </c>
      <c r="J1459" s="460" t="s">
        <v>2615</v>
      </c>
      <c r="K1459" s="460" t="s">
        <v>2613</v>
      </c>
    </row>
    <row r="1460" spans="1:11" ht="14.4">
      <c r="A1460" s="460" t="s">
        <v>1810</v>
      </c>
      <c r="B1460" s="460" t="s">
        <v>1460</v>
      </c>
      <c r="C1460" s="460"/>
      <c r="D1460" s="460" t="s">
        <v>1821</v>
      </c>
      <c r="E1460" s="460" t="s">
        <v>1812</v>
      </c>
      <c r="F1460" s="460" t="s">
        <v>2637</v>
      </c>
      <c r="G1460" s="547">
        <f>ROUND(276.92,2)</f>
        <v>276.92</v>
      </c>
      <c r="H1460" s="461"/>
      <c r="I1460" s="547">
        <f>ROUND(276.92,2)</f>
        <v>276.92</v>
      </c>
      <c r="J1460" s="460"/>
      <c r="K1460" s="460" t="s">
        <v>2613</v>
      </c>
    </row>
    <row r="1461" spans="1:11" ht="14.4">
      <c r="A1461" s="460" t="s">
        <v>1810</v>
      </c>
      <c r="B1461" s="460" t="s">
        <v>1460</v>
      </c>
      <c r="C1461" s="460"/>
      <c r="D1461" s="460" t="s">
        <v>1821</v>
      </c>
      <c r="E1461" s="460" t="s">
        <v>1812</v>
      </c>
      <c r="F1461" s="460" t="s">
        <v>2625</v>
      </c>
      <c r="G1461" s="547">
        <f>ROUND(37.5,2)</f>
        <v>37.5</v>
      </c>
      <c r="H1461" s="461"/>
      <c r="I1461" s="547">
        <f>ROUND(37.5,2)</f>
        <v>37.5</v>
      </c>
      <c r="J1461" s="460"/>
      <c r="K1461" s="460" t="s">
        <v>2613</v>
      </c>
    </row>
    <row r="1462" spans="1:11" ht="14.4">
      <c r="A1462" s="460" t="s">
        <v>1810</v>
      </c>
      <c r="B1462" s="460" t="s">
        <v>1460</v>
      </c>
      <c r="C1462" s="460"/>
      <c r="D1462" s="460" t="s">
        <v>1821</v>
      </c>
      <c r="E1462" s="460" t="s">
        <v>1812</v>
      </c>
      <c r="F1462" s="460" t="s">
        <v>2620</v>
      </c>
      <c r="G1462" s="547">
        <f>ROUND(10.22,2)</f>
        <v>10.220000000000001</v>
      </c>
      <c r="H1462" s="461"/>
      <c r="I1462" s="547">
        <f>ROUND(10.22,2)</f>
        <v>10.220000000000001</v>
      </c>
      <c r="J1462" s="460"/>
      <c r="K1462" s="460" t="s">
        <v>2613</v>
      </c>
    </row>
    <row r="1463" spans="1:11" ht="14.4">
      <c r="A1463" s="460" t="s">
        <v>1810</v>
      </c>
      <c r="B1463" s="460" t="s">
        <v>1460</v>
      </c>
      <c r="C1463" s="460"/>
      <c r="D1463" s="460" t="s">
        <v>1821</v>
      </c>
      <c r="E1463" s="460" t="s">
        <v>1812</v>
      </c>
      <c r="F1463" s="460" t="s">
        <v>2616</v>
      </c>
      <c r="G1463" s="460"/>
      <c r="H1463" s="461"/>
      <c r="I1463" s="460"/>
      <c r="J1463" s="460"/>
      <c r="K1463" s="460" t="s">
        <v>2613</v>
      </c>
    </row>
    <row r="1464" spans="1:11" ht="22.8">
      <c r="A1464" s="460" t="s">
        <v>1810</v>
      </c>
      <c r="B1464" s="460" t="s">
        <v>2507</v>
      </c>
      <c r="C1464" s="460"/>
      <c r="D1464" s="460" t="s">
        <v>1829</v>
      </c>
      <c r="E1464" s="460" t="s">
        <v>1812</v>
      </c>
      <c r="F1464" s="460" t="s">
        <v>2616</v>
      </c>
      <c r="G1464" s="547">
        <f>ROUND(25,2)</f>
        <v>25</v>
      </c>
      <c r="H1464" s="461"/>
      <c r="I1464" s="547">
        <f>ROUND(25,2)</f>
        <v>25</v>
      </c>
      <c r="J1464" s="460"/>
      <c r="K1464" s="460" t="s">
        <v>2613</v>
      </c>
    </row>
    <row r="1465" spans="1:11" ht="22.8">
      <c r="A1465" s="460" t="s">
        <v>1810</v>
      </c>
      <c r="B1465" s="460" t="s">
        <v>2507</v>
      </c>
      <c r="C1465" s="460"/>
      <c r="D1465" s="460" t="s">
        <v>1829</v>
      </c>
      <c r="E1465" s="460" t="s">
        <v>1812</v>
      </c>
      <c r="F1465" s="460" t="s">
        <v>2618</v>
      </c>
      <c r="G1465" s="547">
        <f>ROUND(40,2)</f>
        <v>40</v>
      </c>
      <c r="H1465" s="461"/>
      <c r="I1465" s="547">
        <f>ROUND(40,2)</f>
        <v>40</v>
      </c>
      <c r="J1465" s="460"/>
      <c r="K1465" s="460" t="s">
        <v>2613</v>
      </c>
    </row>
    <row r="1466" spans="1:11" ht="22.8">
      <c r="A1466" s="460" t="s">
        <v>1810</v>
      </c>
      <c r="B1466" s="460" t="s">
        <v>2507</v>
      </c>
      <c r="C1466" s="460"/>
      <c r="D1466" s="460" t="s">
        <v>1829</v>
      </c>
      <c r="E1466" s="460" t="s">
        <v>1812</v>
      </c>
      <c r="F1466" s="460" t="s">
        <v>2614</v>
      </c>
      <c r="G1466" s="460"/>
      <c r="H1466" s="461" t="s">
        <v>2615</v>
      </c>
      <c r="I1466" s="547">
        <f>ROUND(7,2)</f>
        <v>7</v>
      </c>
      <c r="J1466" s="460" t="s">
        <v>2615</v>
      </c>
      <c r="K1466" s="460" t="s">
        <v>2613</v>
      </c>
    </row>
    <row r="1467" spans="1:11" ht="22.8">
      <c r="A1467" s="460" t="s">
        <v>1810</v>
      </c>
      <c r="B1467" s="460" t="s">
        <v>2507</v>
      </c>
      <c r="C1467" s="460"/>
      <c r="D1467" s="460" t="s">
        <v>1829</v>
      </c>
      <c r="E1467" s="460" t="s">
        <v>1812</v>
      </c>
      <c r="F1467" s="460" t="s">
        <v>2617</v>
      </c>
      <c r="G1467" s="547">
        <f>ROUND(75,2)</f>
        <v>75</v>
      </c>
      <c r="H1467" s="461"/>
      <c r="I1467" s="547">
        <f>ROUND(75,2)</f>
        <v>75</v>
      </c>
      <c r="J1467" s="460"/>
      <c r="K1467" s="460" t="s">
        <v>2613</v>
      </c>
    </row>
    <row r="1468" spans="1:11" ht="22.8">
      <c r="A1468" s="460" t="s">
        <v>1810</v>
      </c>
      <c r="B1468" s="460" t="s">
        <v>2507</v>
      </c>
      <c r="C1468" s="460"/>
      <c r="D1468" s="460" t="s">
        <v>1829</v>
      </c>
      <c r="E1468" s="460" t="s">
        <v>1812</v>
      </c>
      <c r="F1468" s="460" t="s">
        <v>2612</v>
      </c>
      <c r="G1468" s="460"/>
      <c r="H1468" s="461"/>
      <c r="I1468" s="460"/>
      <c r="J1468" s="460"/>
      <c r="K1468" s="460" t="s">
        <v>2613</v>
      </c>
    </row>
    <row r="1469" spans="1:11" ht="14.4">
      <c r="A1469" s="460" t="s">
        <v>1810</v>
      </c>
      <c r="B1469" s="460" t="s">
        <v>1733</v>
      </c>
      <c r="C1469" s="460"/>
      <c r="D1469" s="460" t="s">
        <v>1814</v>
      </c>
      <c r="E1469" s="460" t="s">
        <v>1812</v>
      </c>
      <c r="F1469" s="460" t="s">
        <v>2612</v>
      </c>
      <c r="G1469" s="460"/>
      <c r="H1469" s="461"/>
      <c r="I1469" s="460"/>
      <c r="J1469" s="460"/>
      <c r="K1469" s="460" t="s">
        <v>2613</v>
      </c>
    </row>
    <row r="1470" spans="1:11" ht="14.4">
      <c r="A1470" s="460" t="s">
        <v>1810</v>
      </c>
      <c r="B1470" s="460" t="s">
        <v>1733</v>
      </c>
      <c r="C1470" s="460"/>
      <c r="D1470" s="460" t="s">
        <v>1814</v>
      </c>
      <c r="E1470" s="460" t="s">
        <v>1812</v>
      </c>
      <c r="F1470" s="460" t="s">
        <v>2614</v>
      </c>
      <c r="G1470" s="460"/>
      <c r="H1470" s="461" t="s">
        <v>2615</v>
      </c>
      <c r="I1470" s="547">
        <f>ROUND(7,2)</f>
        <v>7</v>
      </c>
      <c r="J1470" s="460" t="s">
        <v>2615</v>
      </c>
      <c r="K1470" s="460" t="s">
        <v>2613</v>
      </c>
    </row>
    <row r="1471" spans="1:11" ht="14.4">
      <c r="A1471" s="460" t="s">
        <v>1810</v>
      </c>
      <c r="B1471" s="460" t="s">
        <v>1733</v>
      </c>
      <c r="C1471" s="460"/>
      <c r="D1471" s="460" t="s">
        <v>1814</v>
      </c>
      <c r="E1471" s="460" t="s">
        <v>1812</v>
      </c>
      <c r="F1471" s="460" t="s">
        <v>2633</v>
      </c>
      <c r="G1471" s="547">
        <f>ROUND(150,2)</f>
        <v>150</v>
      </c>
      <c r="H1471" s="461"/>
      <c r="I1471" s="547">
        <f>ROUND(150,2)</f>
        <v>150</v>
      </c>
      <c r="J1471" s="460"/>
      <c r="K1471" s="460" t="s">
        <v>2613</v>
      </c>
    </row>
    <row r="1472" spans="1:11" ht="14.4">
      <c r="A1472" s="460" t="s">
        <v>1810</v>
      </c>
      <c r="B1472" s="460" t="s">
        <v>1733</v>
      </c>
      <c r="C1472" s="460"/>
      <c r="D1472" s="460" t="s">
        <v>1814</v>
      </c>
      <c r="E1472" s="460" t="s">
        <v>1812</v>
      </c>
      <c r="F1472" s="460" t="s">
        <v>2616</v>
      </c>
      <c r="G1472" s="460"/>
      <c r="H1472" s="461"/>
      <c r="I1472" s="460"/>
      <c r="J1472" s="460"/>
      <c r="K1472" s="460" t="s">
        <v>2613</v>
      </c>
    </row>
    <row r="1473" spans="1:11" ht="14.4">
      <c r="A1473" s="460" t="s">
        <v>1810</v>
      </c>
      <c r="B1473" s="460" t="s">
        <v>1741</v>
      </c>
      <c r="C1473" s="460"/>
      <c r="D1473" s="460" t="s">
        <v>1814</v>
      </c>
      <c r="E1473" s="460" t="s">
        <v>1812</v>
      </c>
      <c r="F1473" s="460" t="s">
        <v>2629</v>
      </c>
      <c r="G1473" s="547">
        <f>ROUND(26,2)</f>
        <v>26</v>
      </c>
      <c r="H1473" s="461"/>
      <c r="I1473" s="547">
        <f>ROUND(26,2)</f>
        <v>26</v>
      </c>
      <c r="J1473" s="460"/>
      <c r="K1473" s="460" t="s">
        <v>2613</v>
      </c>
    </row>
    <row r="1474" spans="1:11" ht="14.4">
      <c r="A1474" s="460" t="s">
        <v>1810</v>
      </c>
      <c r="B1474" s="460" t="s">
        <v>1741</v>
      </c>
      <c r="C1474" s="460"/>
      <c r="D1474" s="460" t="s">
        <v>1814</v>
      </c>
      <c r="E1474" s="460" t="s">
        <v>1812</v>
      </c>
      <c r="F1474" s="460" t="s">
        <v>2616</v>
      </c>
      <c r="G1474" s="460"/>
      <c r="H1474" s="461"/>
      <c r="I1474" s="460"/>
      <c r="J1474" s="460"/>
      <c r="K1474" s="460" t="s">
        <v>2613</v>
      </c>
    </row>
    <row r="1475" spans="1:11" ht="14.4">
      <c r="A1475" s="460" t="s">
        <v>1810</v>
      </c>
      <c r="B1475" s="460" t="s">
        <v>1741</v>
      </c>
      <c r="C1475" s="460"/>
      <c r="D1475" s="460" t="s">
        <v>1814</v>
      </c>
      <c r="E1475" s="460" t="s">
        <v>1812</v>
      </c>
      <c r="F1475" s="460" t="s">
        <v>2614</v>
      </c>
      <c r="G1475" s="460"/>
      <c r="H1475" s="461" t="s">
        <v>2615</v>
      </c>
      <c r="I1475" s="547">
        <f>ROUND(7,2)</f>
        <v>7</v>
      </c>
      <c r="J1475" s="460" t="s">
        <v>2615</v>
      </c>
      <c r="K1475" s="460" t="s">
        <v>2613</v>
      </c>
    </row>
    <row r="1476" spans="1:11" ht="14.4">
      <c r="A1476" s="460" t="s">
        <v>1810</v>
      </c>
      <c r="B1476" s="460" t="s">
        <v>1741</v>
      </c>
      <c r="C1476" s="460"/>
      <c r="D1476" s="460" t="s">
        <v>1814</v>
      </c>
      <c r="E1476" s="460" t="s">
        <v>1812</v>
      </c>
      <c r="F1476" s="460" t="s">
        <v>2612</v>
      </c>
      <c r="G1476" s="460"/>
      <c r="H1476" s="461"/>
      <c r="I1476" s="460"/>
      <c r="J1476" s="460"/>
      <c r="K1476" s="460" t="s">
        <v>2613</v>
      </c>
    </row>
    <row r="1477" spans="1:11" ht="14.4">
      <c r="A1477" s="460" t="s">
        <v>1810</v>
      </c>
      <c r="B1477" s="460" t="s">
        <v>2512</v>
      </c>
      <c r="C1477" s="460"/>
      <c r="D1477" s="460" t="s">
        <v>1816</v>
      </c>
      <c r="E1477" s="460" t="s">
        <v>2611</v>
      </c>
      <c r="F1477" s="460" t="s">
        <v>2612</v>
      </c>
      <c r="G1477" s="460"/>
      <c r="H1477" s="461"/>
      <c r="I1477" s="460"/>
      <c r="J1477" s="460"/>
      <c r="K1477" s="460" t="s">
        <v>2613</v>
      </c>
    </row>
    <row r="1478" spans="1:11" ht="22.8">
      <c r="A1478" s="460" t="s">
        <v>1810</v>
      </c>
      <c r="B1478" s="460" t="s">
        <v>2553</v>
      </c>
      <c r="C1478" s="460"/>
      <c r="D1478" s="460" t="s">
        <v>1846</v>
      </c>
      <c r="E1478" s="460" t="s">
        <v>2611</v>
      </c>
      <c r="F1478" s="460" t="s">
        <v>2623</v>
      </c>
      <c r="G1478" s="460"/>
      <c r="H1478" s="461"/>
      <c r="I1478" s="460"/>
      <c r="J1478" s="460"/>
      <c r="K1478" s="460" t="s">
        <v>2613</v>
      </c>
    </row>
    <row r="1479" spans="1:11" ht="14.4">
      <c r="A1479" s="460" t="s">
        <v>1810</v>
      </c>
      <c r="B1479" s="460" t="s">
        <v>2906</v>
      </c>
      <c r="C1479" s="460"/>
      <c r="D1479" s="460" t="s">
        <v>1816</v>
      </c>
      <c r="E1479" s="460" t="s">
        <v>2611</v>
      </c>
      <c r="F1479" s="460" t="s">
        <v>2612</v>
      </c>
      <c r="G1479" s="460"/>
      <c r="H1479" s="461"/>
      <c r="I1479" s="460"/>
      <c r="J1479" s="460"/>
      <c r="K1479" s="460" t="s">
        <v>2613</v>
      </c>
    </row>
    <row r="1480" spans="1:11" ht="14.4">
      <c r="A1480" s="460" t="s">
        <v>1810</v>
      </c>
      <c r="B1480" s="460" t="s">
        <v>1646</v>
      </c>
      <c r="C1480" s="460"/>
      <c r="D1480" s="460" t="s">
        <v>1816</v>
      </c>
      <c r="E1480" s="460" t="s">
        <v>1812</v>
      </c>
      <c r="F1480" s="460" t="s">
        <v>2612</v>
      </c>
      <c r="G1480" s="460"/>
      <c r="H1480" s="461"/>
      <c r="I1480" s="460"/>
      <c r="J1480" s="460"/>
      <c r="K1480" s="460" t="s">
        <v>2613</v>
      </c>
    </row>
    <row r="1481" spans="1:11" ht="14.4">
      <c r="A1481" s="460" t="s">
        <v>1810</v>
      </c>
      <c r="B1481" s="460" t="s">
        <v>1646</v>
      </c>
      <c r="C1481" s="460"/>
      <c r="D1481" s="460" t="s">
        <v>1816</v>
      </c>
      <c r="E1481" s="460" t="s">
        <v>1812</v>
      </c>
      <c r="F1481" s="460" t="s">
        <v>2614</v>
      </c>
      <c r="G1481" s="460"/>
      <c r="H1481" s="461" t="s">
        <v>2615</v>
      </c>
      <c r="I1481" s="547">
        <f>ROUND(7,2)</f>
        <v>7</v>
      </c>
      <c r="J1481" s="460" t="s">
        <v>2615</v>
      </c>
      <c r="K1481" s="460" t="s">
        <v>2613</v>
      </c>
    </row>
    <row r="1482" spans="1:11" ht="14.4">
      <c r="A1482" s="460" t="s">
        <v>1810</v>
      </c>
      <c r="B1482" s="460" t="s">
        <v>1646</v>
      </c>
      <c r="C1482" s="460"/>
      <c r="D1482" s="460" t="s">
        <v>1816</v>
      </c>
      <c r="E1482" s="460" t="s">
        <v>1812</v>
      </c>
      <c r="F1482" s="460" t="s">
        <v>2616</v>
      </c>
      <c r="G1482" s="460"/>
      <c r="H1482" s="461"/>
      <c r="I1482" s="460"/>
      <c r="J1482" s="460"/>
      <c r="K1482" s="460" t="s">
        <v>2613</v>
      </c>
    </row>
    <row r="1483" spans="1:11" ht="14.4">
      <c r="A1483" s="460" t="s">
        <v>1810</v>
      </c>
      <c r="B1483" s="460" t="s">
        <v>1646</v>
      </c>
      <c r="C1483" s="460"/>
      <c r="D1483" s="460" t="s">
        <v>1816</v>
      </c>
      <c r="E1483" s="460" t="s">
        <v>1812</v>
      </c>
      <c r="F1483" s="460" t="s">
        <v>2618</v>
      </c>
      <c r="G1483" s="547">
        <f>ROUND(22.5,2)</f>
        <v>22.5</v>
      </c>
      <c r="H1483" s="461"/>
      <c r="I1483" s="547">
        <f>ROUND(22.5,2)</f>
        <v>22.5</v>
      </c>
      <c r="J1483" s="460"/>
      <c r="K1483" s="460" t="s">
        <v>2613</v>
      </c>
    </row>
    <row r="1484" spans="1:11" ht="14.4">
      <c r="A1484" s="460" t="s">
        <v>1810</v>
      </c>
      <c r="B1484" s="460" t="s">
        <v>1646</v>
      </c>
      <c r="C1484" s="460"/>
      <c r="D1484" s="460" t="s">
        <v>1816</v>
      </c>
      <c r="E1484" s="460" t="s">
        <v>1812</v>
      </c>
      <c r="F1484" s="460" t="s">
        <v>2617</v>
      </c>
      <c r="G1484" s="547">
        <f>ROUND(75,2)</f>
        <v>75</v>
      </c>
      <c r="H1484" s="461"/>
      <c r="I1484" s="547">
        <f>ROUND(75,2)</f>
        <v>75</v>
      </c>
      <c r="J1484" s="460"/>
      <c r="K1484" s="460" t="s">
        <v>2613</v>
      </c>
    </row>
    <row r="1485" spans="1:11" ht="22.8">
      <c r="A1485" s="460" t="s">
        <v>1810</v>
      </c>
      <c r="B1485" s="460" t="s">
        <v>2421</v>
      </c>
      <c r="C1485" s="460"/>
      <c r="D1485" s="460" t="s">
        <v>1829</v>
      </c>
      <c r="E1485" s="460" t="s">
        <v>1812</v>
      </c>
      <c r="F1485" s="460" t="s">
        <v>2612</v>
      </c>
      <c r="G1485" s="460"/>
      <c r="H1485" s="461"/>
      <c r="I1485" s="460"/>
      <c r="J1485" s="460"/>
      <c r="K1485" s="460" t="s">
        <v>2613</v>
      </c>
    </row>
    <row r="1486" spans="1:11" ht="22.8">
      <c r="A1486" s="460" t="s">
        <v>1810</v>
      </c>
      <c r="B1486" s="460" t="s">
        <v>2421</v>
      </c>
      <c r="C1486" s="460"/>
      <c r="D1486" s="460" t="s">
        <v>1829</v>
      </c>
      <c r="E1486" s="460" t="s">
        <v>1812</v>
      </c>
      <c r="F1486" s="460" t="s">
        <v>2614</v>
      </c>
      <c r="G1486" s="460"/>
      <c r="H1486" s="461" t="s">
        <v>2615</v>
      </c>
      <c r="I1486" s="547">
        <f>ROUND(7,2)</f>
        <v>7</v>
      </c>
      <c r="J1486" s="460" t="s">
        <v>2615</v>
      </c>
      <c r="K1486" s="460" t="s">
        <v>2613</v>
      </c>
    </row>
    <row r="1487" spans="1:11" ht="22.8">
      <c r="A1487" s="460" t="s">
        <v>1810</v>
      </c>
      <c r="B1487" s="460" t="s">
        <v>2421</v>
      </c>
      <c r="C1487" s="460"/>
      <c r="D1487" s="460" t="s">
        <v>1829</v>
      </c>
      <c r="E1487" s="460" t="s">
        <v>1812</v>
      </c>
      <c r="F1487" s="460" t="s">
        <v>2616</v>
      </c>
      <c r="G1487" s="460"/>
      <c r="H1487" s="461"/>
      <c r="I1487" s="460"/>
      <c r="J1487" s="460"/>
      <c r="K1487" s="460" t="s">
        <v>2613</v>
      </c>
    </row>
    <row r="1488" spans="1:11" ht="22.8">
      <c r="A1488" s="460" t="s">
        <v>1810</v>
      </c>
      <c r="B1488" s="460" t="s">
        <v>1757</v>
      </c>
      <c r="C1488" s="460"/>
      <c r="D1488" s="460" t="s">
        <v>1844</v>
      </c>
      <c r="E1488" s="460" t="s">
        <v>1812</v>
      </c>
      <c r="F1488" s="460" t="s">
        <v>2620</v>
      </c>
      <c r="G1488" s="547">
        <f>ROUND(10.22,2)</f>
        <v>10.220000000000001</v>
      </c>
      <c r="H1488" s="461"/>
      <c r="I1488" s="547">
        <f>ROUND(10.22,2)</f>
        <v>10.220000000000001</v>
      </c>
      <c r="J1488" s="460"/>
      <c r="K1488" s="460" t="s">
        <v>2613</v>
      </c>
    </row>
    <row r="1489" spans="1:11" ht="22.8">
      <c r="A1489" s="460" t="s">
        <v>1810</v>
      </c>
      <c r="B1489" s="460" t="s">
        <v>1757</v>
      </c>
      <c r="C1489" s="460"/>
      <c r="D1489" s="460" t="s">
        <v>1844</v>
      </c>
      <c r="E1489" s="460" t="s">
        <v>1812</v>
      </c>
      <c r="F1489" s="460" t="s">
        <v>2614</v>
      </c>
      <c r="G1489" s="460"/>
      <c r="H1489" s="461" t="s">
        <v>2615</v>
      </c>
      <c r="I1489" s="547">
        <f>ROUND(7,2)</f>
        <v>7</v>
      </c>
      <c r="J1489" s="460" t="s">
        <v>2615</v>
      </c>
      <c r="K1489" s="460" t="s">
        <v>2613</v>
      </c>
    </row>
    <row r="1490" spans="1:11" ht="22.8">
      <c r="A1490" s="460" t="s">
        <v>1810</v>
      </c>
      <c r="B1490" s="460" t="s">
        <v>1757</v>
      </c>
      <c r="C1490" s="460"/>
      <c r="D1490" s="460" t="s">
        <v>1844</v>
      </c>
      <c r="E1490" s="460" t="s">
        <v>1812</v>
      </c>
      <c r="F1490" s="460" t="s">
        <v>2619</v>
      </c>
      <c r="G1490" s="460"/>
      <c r="H1490" s="461"/>
      <c r="I1490" s="460"/>
      <c r="J1490" s="460"/>
      <c r="K1490" s="460" t="s">
        <v>2613</v>
      </c>
    </row>
    <row r="1491" spans="1:11" ht="22.8">
      <c r="A1491" s="460" t="s">
        <v>1810</v>
      </c>
      <c r="B1491" s="460" t="s">
        <v>1757</v>
      </c>
      <c r="C1491" s="460"/>
      <c r="D1491" s="460" t="s">
        <v>1844</v>
      </c>
      <c r="E1491" s="460" t="s">
        <v>1812</v>
      </c>
      <c r="F1491" s="460" t="s">
        <v>2616</v>
      </c>
      <c r="G1491" s="460"/>
      <c r="H1491" s="461"/>
      <c r="I1491" s="460"/>
      <c r="J1491" s="460"/>
      <c r="K1491" s="460" t="s">
        <v>2613</v>
      </c>
    </row>
    <row r="1492" spans="1:11" ht="14.4">
      <c r="A1492" s="460" t="s">
        <v>1810</v>
      </c>
      <c r="B1492" s="460" t="s">
        <v>2582</v>
      </c>
      <c r="C1492" s="460"/>
      <c r="D1492" s="460" t="s">
        <v>1816</v>
      </c>
      <c r="E1492" s="460" t="s">
        <v>2611</v>
      </c>
      <c r="F1492" s="460" t="s">
        <v>2619</v>
      </c>
      <c r="G1492" s="460"/>
      <c r="H1492" s="461"/>
      <c r="I1492" s="460"/>
      <c r="J1492" s="460"/>
      <c r="K1492" s="460" t="s">
        <v>2613</v>
      </c>
    </row>
    <row r="1493" spans="1:11" ht="22.8">
      <c r="A1493" s="460" t="s">
        <v>1810</v>
      </c>
      <c r="B1493" s="460" t="s">
        <v>2500</v>
      </c>
      <c r="C1493" s="460"/>
      <c r="D1493" s="460" t="s">
        <v>1828</v>
      </c>
      <c r="E1493" s="460" t="s">
        <v>1812</v>
      </c>
      <c r="F1493" s="460" t="s">
        <v>2627</v>
      </c>
      <c r="G1493" s="547">
        <f>ROUND(25,2)</f>
        <v>25</v>
      </c>
      <c r="H1493" s="461"/>
      <c r="I1493" s="547">
        <f>ROUND(25,2)</f>
        <v>25</v>
      </c>
      <c r="J1493" s="460"/>
      <c r="K1493" s="460" t="s">
        <v>2613</v>
      </c>
    </row>
    <row r="1494" spans="1:11" ht="22.8">
      <c r="A1494" s="460" t="s">
        <v>1810</v>
      </c>
      <c r="B1494" s="460" t="s">
        <v>2500</v>
      </c>
      <c r="C1494" s="460"/>
      <c r="D1494" s="460" t="s">
        <v>1828</v>
      </c>
      <c r="E1494" s="460" t="s">
        <v>1812</v>
      </c>
      <c r="F1494" s="460" t="s">
        <v>2633</v>
      </c>
      <c r="G1494" s="547">
        <f>ROUND(25,2)</f>
        <v>25</v>
      </c>
      <c r="H1494" s="461"/>
      <c r="I1494" s="547">
        <f>ROUND(25,2)</f>
        <v>25</v>
      </c>
      <c r="J1494" s="460"/>
      <c r="K1494" s="460" t="s">
        <v>2613</v>
      </c>
    </row>
    <row r="1495" spans="1:11" ht="22.8">
      <c r="A1495" s="460" t="s">
        <v>1810</v>
      </c>
      <c r="B1495" s="460" t="s">
        <v>2500</v>
      </c>
      <c r="C1495" s="460"/>
      <c r="D1495" s="460" t="s">
        <v>1828</v>
      </c>
      <c r="E1495" s="460" t="s">
        <v>1812</v>
      </c>
      <c r="F1495" s="460" t="s">
        <v>2620</v>
      </c>
      <c r="G1495" s="547">
        <f>ROUND(10.22,2)</f>
        <v>10.220000000000001</v>
      </c>
      <c r="H1495" s="461"/>
      <c r="I1495" s="547">
        <f>ROUND(10.22,2)</f>
        <v>10.220000000000001</v>
      </c>
      <c r="J1495" s="460"/>
      <c r="K1495" s="460" t="s">
        <v>2613</v>
      </c>
    </row>
    <row r="1496" spans="1:11" ht="22.8">
      <c r="A1496" s="460" t="s">
        <v>1810</v>
      </c>
      <c r="B1496" s="460" t="s">
        <v>2500</v>
      </c>
      <c r="C1496" s="460"/>
      <c r="D1496" s="460" t="s">
        <v>1828</v>
      </c>
      <c r="E1496" s="460" t="s">
        <v>1812</v>
      </c>
      <c r="F1496" s="460" t="s">
        <v>2616</v>
      </c>
      <c r="G1496" s="547">
        <f>ROUND(20,2)</f>
        <v>20</v>
      </c>
      <c r="H1496" s="461"/>
      <c r="I1496" s="547">
        <f>ROUND(20,2)</f>
        <v>20</v>
      </c>
      <c r="J1496" s="460"/>
      <c r="K1496" s="460" t="s">
        <v>2613</v>
      </c>
    </row>
    <row r="1497" spans="1:11" ht="22.8">
      <c r="A1497" s="460" t="s">
        <v>1810</v>
      </c>
      <c r="B1497" s="460" t="s">
        <v>2500</v>
      </c>
      <c r="C1497" s="460"/>
      <c r="D1497" s="460" t="s">
        <v>1828</v>
      </c>
      <c r="E1497" s="460" t="s">
        <v>1812</v>
      </c>
      <c r="F1497" s="460" t="s">
        <v>2614</v>
      </c>
      <c r="G1497" s="460"/>
      <c r="H1497" s="461" t="s">
        <v>2615</v>
      </c>
      <c r="I1497" s="547">
        <f>ROUND(7,2)</f>
        <v>7</v>
      </c>
      <c r="J1497" s="460" t="s">
        <v>2615</v>
      </c>
      <c r="K1497" s="460" t="s">
        <v>2613</v>
      </c>
    </row>
    <row r="1498" spans="1:11" ht="22.8">
      <c r="A1498" s="460" t="s">
        <v>1810</v>
      </c>
      <c r="B1498" s="460" t="s">
        <v>2500</v>
      </c>
      <c r="C1498" s="460"/>
      <c r="D1498" s="460" t="s">
        <v>1828</v>
      </c>
      <c r="E1498" s="460" t="s">
        <v>1812</v>
      </c>
      <c r="F1498" s="460" t="s">
        <v>2612</v>
      </c>
      <c r="G1498" s="460"/>
      <c r="H1498" s="461"/>
      <c r="I1498" s="460"/>
      <c r="J1498" s="460"/>
      <c r="K1498" s="460" t="s">
        <v>2613</v>
      </c>
    </row>
    <row r="1499" spans="1:11" ht="14.4">
      <c r="A1499" s="460" t="s">
        <v>1810</v>
      </c>
      <c r="B1499" s="460" t="s">
        <v>1519</v>
      </c>
      <c r="C1499" s="460"/>
      <c r="D1499" s="460" t="s">
        <v>1814</v>
      </c>
      <c r="E1499" s="460" t="s">
        <v>1812</v>
      </c>
      <c r="F1499" s="460" t="s">
        <v>2612</v>
      </c>
      <c r="G1499" s="460"/>
      <c r="H1499" s="461"/>
      <c r="I1499" s="460"/>
      <c r="J1499" s="460"/>
      <c r="K1499" s="460" t="s">
        <v>2613</v>
      </c>
    </row>
    <row r="1500" spans="1:11" ht="14.4">
      <c r="A1500" s="460" t="s">
        <v>1810</v>
      </c>
      <c r="B1500" s="460" t="s">
        <v>1519</v>
      </c>
      <c r="C1500" s="460"/>
      <c r="D1500" s="460" t="s">
        <v>1814</v>
      </c>
      <c r="E1500" s="460" t="s">
        <v>1812</v>
      </c>
      <c r="F1500" s="460" t="s">
        <v>2614</v>
      </c>
      <c r="G1500" s="460"/>
      <c r="H1500" s="461" t="s">
        <v>2615</v>
      </c>
      <c r="I1500" s="547">
        <f>ROUND(7,2)</f>
        <v>7</v>
      </c>
      <c r="J1500" s="460" t="s">
        <v>2615</v>
      </c>
      <c r="K1500" s="460" t="s">
        <v>2613</v>
      </c>
    </row>
    <row r="1501" spans="1:11" ht="14.4">
      <c r="A1501" s="460" t="s">
        <v>1810</v>
      </c>
      <c r="B1501" s="460" t="s">
        <v>1519</v>
      </c>
      <c r="C1501" s="460"/>
      <c r="D1501" s="460" t="s">
        <v>1814</v>
      </c>
      <c r="E1501" s="460" t="s">
        <v>1812</v>
      </c>
      <c r="F1501" s="460" t="s">
        <v>2616</v>
      </c>
      <c r="G1501" s="460"/>
      <c r="H1501" s="461"/>
      <c r="I1501" s="460"/>
      <c r="J1501" s="460"/>
      <c r="K1501" s="460" t="s">
        <v>2613</v>
      </c>
    </row>
    <row r="1502" spans="1:11" ht="14.4">
      <c r="A1502" s="460" t="s">
        <v>1810</v>
      </c>
      <c r="B1502" s="460" t="s">
        <v>1675</v>
      </c>
      <c r="C1502" s="460"/>
      <c r="D1502" s="460" t="s">
        <v>1821</v>
      </c>
      <c r="E1502" s="460" t="s">
        <v>1812</v>
      </c>
      <c r="F1502" s="460" t="s">
        <v>2612</v>
      </c>
      <c r="G1502" s="460"/>
      <c r="H1502" s="461"/>
      <c r="I1502" s="460"/>
      <c r="J1502" s="460"/>
      <c r="K1502" s="460" t="s">
        <v>2613</v>
      </c>
    </row>
    <row r="1503" spans="1:11" ht="14.4">
      <c r="A1503" s="460" t="s">
        <v>1810</v>
      </c>
      <c r="B1503" s="460" t="s">
        <v>1675</v>
      </c>
      <c r="C1503" s="460"/>
      <c r="D1503" s="460" t="s">
        <v>1821</v>
      </c>
      <c r="E1503" s="460" t="s">
        <v>1812</v>
      </c>
      <c r="F1503" s="460" t="s">
        <v>2614</v>
      </c>
      <c r="G1503" s="460"/>
      <c r="H1503" s="461" t="s">
        <v>2615</v>
      </c>
      <c r="I1503" s="547">
        <f>ROUND(7,2)</f>
        <v>7</v>
      </c>
      <c r="J1503" s="460" t="s">
        <v>2615</v>
      </c>
      <c r="K1503" s="460" t="s">
        <v>2613</v>
      </c>
    </row>
    <row r="1504" spans="1:11" ht="14.4">
      <c r="A1504" s="460" t="s">
        <v>1810</v>
      </c>
      <c r="B1504" s="460" t="s">
        <v>1675</v>
      </c>
      <c r="C1504" s="460"/>
      <c r="D1504" s="460" t="s">
        <v>1821</v>
      </c>
      <c r="E1504" s="460" t="s">
        <v>1812</v>
      </c>
      <c r="F1504" s="460" t="s">
        <v>2616</v>
      </c>
      <c r="G1504" s="460"/>
      <c r="H1504" s="461"/>
      <c r="I1504" s="460"/>
      <c r="J1504" s="460"/>
      <c r="K1504" s="460" t="s">
        <v>2613</v>
      </c>
    </row>
    <row r="1505" spans="1:11" ht="14.4">
      <c r="A1505" s="460" t="s">
        <v>1810</v>
      </c>
      <c r="B1505" s="460" t="s">
        <v>2959</v>
      </c>
      <c r="C1505" s="460"/>
      <c r="D1505" s="460" t="s">
        <v>1816</v>
      </c>
      <c r="E1505" s="460" t="s">
        <v>2611</v>
      </c>
      <c r="F1505" s="460" t="s">
        <v>2612</v>
      </c>
      <c r="G1505" s="460"/>
      <c r="H1505" s="461"/>
      <c r="I1505" s="460"/>
      <c r="J1505" s="460"/>
      <c r="K1505" s="460" t="s">
        <v>2613</v>
      </c>
    </row>
    <row r="1506" spans="1:11" ht="14.4">
      <c r="A1506" s="460" t="s">
        <v>1810</v>
      </c>
      <c r="B1506" s="460" t="s">
        <v>1461</v>
      </c>
      <c r="C1506" s="460"/>
      <c r="D1506" s="460" t="s">
        <v>1817</v>
      </c>
      <c r="E1506" s="460" t="s">
        <v>1812</v>
      </c>
      <c r="F1506" s="460" t="s">
        <v>2625</v>
      </c>
      <c r="G1506" s="547">
        <f>ROUND(50,2)</f>
        <v>50</v>
      </c>
      <c r="H1506" s="461"/>
      <c r="I1506" s="547">
        <f>ROUND(50,2)</f>
        <v>50</v>
      </c>
      <c r="J1506" s="460"/>
      <c r="K1506" s="460" t="s">
        <v>2613</v>
      </c>
    </row>
    <row r="1507" spans="1:11" ht="14.4">
      <c r="A1507" s="460" t="s">
        <v>1810</v>
      </c>
      <c r="B1507" s="460" t="s">
        <v>1461</v>
      </c>
      <c r="C1507" s="460"/>
      <c r="D1507" s="460" t="s">
        <v>1817</v>
      </c>
      <c r="E1507" s="460" t="s">
        <v>1812</v>
      </c>
      <c r="F1507" s="460" t="s">
        <v>2612</v>
      </c>
      <c r="G1507" s="460"/>
      <c r="H1507" s="461"/>
      <c r="I1507" s="460"/>
      <c r="J1507" s="460"/>
      <c r="K1507" s="460" t="s">
        <v>2613</v>
      </c>
    </row>
    <row r="1508" spans="1:11" ht="14.4">
      <c r="A1508" s="460" t="s">
        <v>1810</v>
      </c>
      <c r="B1508" s="460" t="s">
        <v>1461</v>
      </c>
      <c r="C1508" s="460"/>
      <c r="D1508" s="460" t="s">
        <v>1817</v>
      </c>
      <c r="E1508" s="460" t="s">
        <v>1812</v>
      </c>
      <c r="F1508" s="460" t="s">
        <v>2614</v>
      </c>
      <c r="G1508" s="460"/>
      <c r="H1508" s="461" t="s">
        <v>2615</v>
      </c>
      <c r="I1508" s="547">
        <f>ROUND(7,2)</f>
        <v>7</v>
      </c>
      <c r="J1508" s="460" t="s">
        <v>2615</v>
      </c>
      <c r="K1508" s="460" t="s">
        <v>2613</v>
      </c>
    </row>
    <row r="1509" spans="1:11" ht="14.4">
      <c r="A1509" s="460" t="s">
        <v>1810</v>
      </c>
      <c r="B1509" s="460" t="s">
        <v>1461</v>
      </c>
      <c r="C1509" s="460"/>
      <c r="D1509" s="460" t="s">
        <v>1817</v>
      </c>
      <c r="E1509" s="460" t="s">
        <v>1812</v>
      </c>
      <c r="F1509" s="460" t="s">
        <v>2616</v>
      </c>
      <c r="G1509" s="460"/>
      <c r="H1509" s="461"/>
      <c r="I1509" s="460"/>
      <c r="J1509" s="460"/>
      <c r="K1509" s="460" t="s">
        <v>2613</v>
      </c>
    </row>
    <row r="1510" spans="1:11" ht="14.4">
      <c r="A1510" s="460" t="s">
        <v>1810</v>
      </c>
      <c r="B1510" s="460" t="s">
        <v>2578</v>
      </c>
      <c r="C1510" s="460"/>
      <c r="D1510" s="460" t="s">
        <v>1816</v>
      </c>
      <c r="E1510" s="460" t="s">
        <v>2611</v>
      </c>
      <c r="F1510" s="460" t="s">
        <v>2612</v>
      </c>
      <c r="G1510" s="460"/>
      <c r="H1510" s="461" t="s">
        <v>2636</v>
      </c>
      <c r="I1510" s="547">
        <f>ROUND(25,2)</f>
        <v>25</v>
      </c>
      <c r="J1510" s="460" t="s">
        <v>2636</v>
      </c>
      <c r="K1510" s="460" t="s">
        <v>2613</v>
      </c>
    </row>
    <row r="1511" spans="1:11" ht="14.4">
      <c r="A1511" s="460" t="s">
        <v>1810</v>
      </c>
      <c r="B1511" s="460" t="s">
        <v>2578</v>
      </c>
      <c r="C1511" s="460"/>
      <c r="D1511" s="460" t="s">
        <v>1816</v>
      </c>
      <c r="E1511" s="460" t="s">
        <v>2611</v>
      </c>
      <c r="F1511" s="460" t="s">
        <v>2623</v>
      </c>
      <c r="G1511" s="460"/>
      <c r="H1511" s="461" t="s">
        <v>2635</v>
      </c>
      <c r="I1511" s="547">
        <f>ROUND(75,2)</f>
        <v>75</v>
      </c>
      <c r="J1511" s="460" t="s">
        <v>2635</v>
      </c>
      <c r="K1511" s="460" t="s">
        <v>2613</v>
      </c>
    </row>
    <row r="1512" spans="1:11" ht="14.4">
      <c r="A1512" s="460" t="s">
        <v>1810</v>
      </c>
      <c r="B1512" s="460" t="s">
        <v>2893</v>
      </c>
      <c r="C1512" s="460"/>
      <c r="D1512" s="460" t="s">
        <v>1816</v>
      </c>
      <c r="E1512" s="460" t="s">
        <v>2611</v>
      </c>
      <c r="F1512" s="460" t="s">
        <v>2612</v>
      </c>
      <c r="G1512" s="460"/>
      <c r="H1512" s="461"/>
      <c r="I1512" s="460"/>
      <c r="J1512" s="460"/>
      <c r="K1512" s="460" t="s">
        <v>2613</v>
      </c>
    </row>
    <row r="1513" spans="1:11" ht="14.4">
      <c r="A1513" s="460" t="s">
        <v>1810</v>
      </c>
      <c r="B1513" s="460" t="s">
        <v>1654</v>
      </c>
      <c r="C1513" s="460"/>
      <c r="D1513" s="460" t="s">
        <v>1811</v>
      </c>
      <c r="E1513" s="460" t="s">
        <v>1812</v>
      </c>
      <c r="F1513" s="460" t="s">
        <v>2612</v>
      </c>
      <c r="G1513" s="460"/>
      <c r="H1513" s="461"/>
      <c r="I1513" s="460"/>
      <c r="J1513" s="460"/>
      <c r="K1513" s="460" t="s">
        <v>2613</v>
      </c>
    </row>
    <row r="1514" spans="1:11" ht="14.4">
      <c r="A1514" s="460" t="s">
        <v>1810</v>
      </c>
      <c r="B1514" s="460" t="s">
        <v>1654</v>
      </c>
      <c r="C1514" s="460"/>
      <c r="D1514" s="460" t="s">
        <v>1811</v>
      </c>
      <c r="E1514" s="460" t="s">
        <v>1812</v>
      </c>
      <c r="F1514" s="460" t="s">
        <v>2614</v>
      </c>
      <c r="G1514" s="460"/>
      <c r="H1514" s="461" t="s">
        <v>2615</v>
      </c>
      <c r="I1514" s="547">
        <f>ROUND(7,2)</f>
        <v>7</v>
      </c>
      <c r="J1514" s="460" t="s">
        <v>2615</v>
      </c>
      <c r="K1514" s="460" t="s">
        <v>2613</v>
      </c>
    </row>
    <row r="1515" spans="1:11" ht="14.4">
      <c r="A1515" s="460" t="s">
        <v>1810</v>
      </c>
      <c r="B1515" s="460" t="s">
        <v>1654</v>
      </c>
      <c r="C1515" s="460"/>
      <c r="D1515" s="460" t="s">
        <v>1811</v>
      </c>
      <c r="E1515" s="460" t="s">
        <v>1812</v>
      </c>
      <c r="F1515" s="460" t="s">
        <v>2616</v>
      </c>
      <c r="G1515" s="460"/>
      <c r="H1515" s="461"/>
      <c r="I1515" s="460"/>
      <c r="J1515" s="460"/>
      <c r="K1515" s="460" t="s">
        <v>2613</v>
      </c>
    </row>
    <row r="1516" spans="1:11" ht="14.4">
      <c r="A1516" s="460" t="s">
        <v>1810</v>
      </c>
      <c r="B1516" s="460" t="s">
        <v>2960</v>
      </c>
      <c r="C1516" s="460"/>
      <c r="D1516" s="460" t="s">
        <v>1816</v>
      </c>
      <c r="E1516" s="460" t="s">
        <v>2611</v>
      </c>
      <c r="F1516" s="460" t="s">
        <v>2612</v>
      </c>
      <c r="G1516" s="460"/>
      <c r="H1516" s="461"/>
      <c r="I1516" s="460"/>
      <c r="J1516" s="460"/>
      <c r="K1516" s="460" t="s">
        <v>2613</v>
      </c>
    </row>
    <row r="1517" spans="1:11" ht="14.4">
      <c r="A1517" s="460" t="s">
        <v>1810</v>
      </c>
      <c r="B1517" s="460" t="s">
        <v>1595</v>
      </c>
      <c r="C1517" s="460"/>
      <c r="D1517" s="460" t="s">
        <v>1838</v>
      </c>
      <c r="E1517" s="460" t="s">
        <v>2611</v>
      </c>
      <c r="F1517" s="460" t="s">
        <v>2612</v>
      </c>
      <c r="G1517" s="460"/>
      <c r="H1517" s="461"/>
      <c r="I1517" s="460"/>
      <c r="J1517" s="460"/>
      <c r="K1517" s="460" t="s">
        <v>2613</v>
      </c>
    </row>
    <row r="1518" spans="1:11" ht="14.4">
      <c r="A1518" s="460" t="s">
        <v>1810</v>
      </c>
      <c r="B1518" s="460" t="s">
        <v>1745</v>
      </c>
      <c r="C1518" s="460"/>
      <c r="D1518" s="460" t="s">
        <v>1816</v>
      </c>
      <c r="E1518" s="460" t="s">
        <v>2611</v>
      </c>
      <c r="F1518" s="460" t="s">
        <v>2612</v>
      </c>
      <c r="G1518" s="460"/>
      <c r="H1518" s="461"/>
      <c r="I1518" s="460"/>
      <c r="J1518" s="460"/>
      <c r="K1518" s="460" t="s">
        <v>2613</v>
      </c>
    </row>
    <row r="1519" spans="1:11" ht="22.8">
      <c r="A1519" s="460" t="s">
        <v>1810</v>
      </c>
      <c r="B1519" s="460" t="s">
        <v>1462</v>
      </c>
      <c r="C1519" s="460"/>
      <c r="D1519" s="460" t="s">
        <v>1819</v>
      </c>
      <c r="E1519" s="460" t="s">
        <v>1812</v>
      </c>
      <c r="F1519" s="460" t="s">
        <v>2612</v>
      </c>
      <c r="G1519" s="460"/>
      <c r="H1519" s="461"/>
      <c r="I1519" s="460"/>
      <c r="J1519" s="460"/>
      <c r="K1519" s="460" t="s">
        <v>2613</v>
      </c>
    </row>
    <row r="1520" spans="1:11" ht="22.8">
      <c r="A1520" s="460" t="s">
        <v>1810</v>
      </c>
      <c r="B1520" s="460" t="s">
        <v>1462</v>
      </c>
      <c r="C1520" s="460"/>
      <c r="D1520" s="460" t="s">
        <v>1819</v>
      </c>
      <c r="E1520" s="460" t="s">
        <v>1812</v>
      </c>
      <c r="F1520" s="460" t="s">
        <v>2645</v>
      </c>
      <c r="G1520" s="547">
        <f>ROUND(120,2)</f>
        <v>120</v>
      </c>
      <c r="H1520" s="461"/>
      <c r="I1520" s="547">
        <f>ROUND(120,2)</f>
        <v>120</v>
      </c>
      <c r="J1520" s="460"/>
      <c r="K1520" s="460" t="s">
        <v>2613</v>
      </c>
    </row>
    <row r="1521" spans="1:11" ht="22.8">
      <c r="A1521" s="460" t="s">
        <v>1810</v>
      </c>
      <c r="B1521" s="460" t="s">
        <v>1462</v>
      </c>
      <c r="C1521" s="460"/>
      <c r="D1521" s="460" t="s">
        <v>1819</v>
      </c>
      <c r="E1521" s="460" t="s">
        <v>1812</v>
      </c>
      <c r="F1521" s="460" t="s">
        <v>2614</v>
      </c>
      <c r="G1521" s="460"/>
      <c r="H1521" s="461" t="s">
        <v>2615</v>
      </c>
      <c r="I1521" s="547">
        <f>ROUND(7,2)</f>
        <v>7</v>
      </c>
      <c r="J1521" s="460" t="s">
        <v>2615</v>
      </c>
      <c r="K1521" s="460" t="s">
        <v>2613</v>
      </c>
    </row>
    <row r="1522" spans="1:11" ht="22.8">
      <c r="A1522" s="460" t="s">
        <v>1810</v>
      </c>
      <c r="B1522" s="460" t="s">
        <v>1462</v>
      </c>
      <c r="C1522" s="460"/>
      <c r="D1522" s="460" t="s">
        <v>1819</v>
      </c>
      <c r="E1522" s="460" t="s">
        <v>1812</v>
      </c>
      <c r="F1522" s="460" t="s">
        <v>2616</v>
      </c>
      <c r="G1522" s="460"/>
      <c r="H1522" s="461"/>
      <c r="I1522" s="460"/>
      <c r="J1522" s="460"/>
      <c r="K1522" s="460" t="s">
        <v>2613</v>
      </c>
    </row>
    <row r="1523" spans="1:11" ht="22.8">
      <c r="A1523" s="460" t="s">
        <v>1810</v>
      </c>
      <c r="B1523" s="460" t="s">
        <v>1462</v>
      </c>
      <c r="C1523" s="460"/>
      <c r="D1523" s="460" t="s">
        <v>1819</v>
      </c>
      <c r="E1523" s="460" t="s">
        <v>1812</v>
      </c>
      <c r="F1523" s="460" t="s">
        <v>2618</v>
      </c>
      <c r="G1523" s="547">
        <f>ROUND(40,2)</f>
        <v>40</v>
      </c>
      <c r="H1523" s="461"/>
      <c r="I1523" s="547">
        <f>ROUND(40,2)</f>
        <v>40</v>
      </c>
      <c r="J1523" s="460"/>
      <c r="K1523" s="460" t="s">
        <v>2613</v>
      </c>
    </row>
    <row r="1524" spans="1:11" ht="22.8">
      <c r="A1524" s="460" t="s">
        <v>1810</v>
      </c>
      <c r="B1524" s="460" t="s">
        <v>1462</v>
      </c>
      <c r="C1524" s="460"/>
      <c r="D1524" s="460" t="s">
        <v>1819</v>
      </c>
      <c r="E1524" s="460" t="s">
        <v>1812</v>
      </c>
      <c r="F1524" s="460" t="s">
        <v>2617</v>
      </c>
      <c r="G1524" s="547">
        <f>ROUND(75,2)</f>
        <v>75</v>
      </c>
      <c r="H1524" s="461"/>
      <c r="I1524" s="547">
        <f>ROUND(75,2)</f>
        <v>75</v>
      </c>
      <c r="J1524" s="460"/>
      <c r="K1524" s="460" t="s">
        <v>2613</v>
      </c>
    </row>
    <row r="1525" spans="1:11" ht="14.4">
      <c r="A1525" s="460" t="s">
        <v>1810</v>
      </c>
      <c r="B1525" s="460" t="s">
        <v>1620</v>
      </c>
      <c r="C1525" s="460"/>
      <c r="D1525" s="460" t="s">
        <v>1816</v>
      </c>
      <c r="E1525" s="460" t="s">
        <v>2611</v>
      </c>
      <c r="F1525" s="460" t="s">
        <v>2612</v>
      </c>
      <c r="G1525" s="460"/>
      <c r="H1525" s="461"/>
      <c r="I1525" s="460"/>
      <c r="J1525" s="460"/>
      <c r="K1525" s="460" t="s">
        <v>2613</v>
      </c>
    </row>
    <row r="1526" spans="1:11" ht="14.4">
      <c r="A1526" s="460" t="s">
        <v>1810</v>
      </c>
      <c r="B1526" s="460" t="s">
        <v>2961</v>
      </c>
      <c r="C1526" s="460"/>
      <c r="D1526" s="460" t="s">
        <v>1816</v>
      </c>
      <c r="E1526" s="460" t="s">
        <v>2611</v>
      </c>
      <c r="F1526" s="460" t="s">
        <v>2612</v>
      </c>
      <c r="G1526" s="460"/>
      <c r="H1526" s="461"/>
      <c r="I1526" s="460"/>
      <c r="J1526" s="460"/>
      <c r="K1526" s="460" t="s">
        <v>2613</v>
      </c>
    </row>
    <row r="1527" spans="1:11" ht="14.4">
      <c r="A1527" s="460" t="s">
        <v>1810</v>
      </c>
      <c r="B1527" s="460" t="s">
        <v>1708</v>
      </c>
      <c r="C1527" s="460"/>
      <c r="D1527" s="460" t="s">
        <v>1814</v>
      </c>
      <c r="E1527" s="460" t="s">
        <v>1812</v>
      </c>
      <c r="F1527" s="460" t="s">
        <v>2612</v>
      </c>
      <c r="G1527" s="460"/>
      <c r="H1527" s="461"/>
      <c r="I1527" s="460"/>
      <c r="J1527" s="460"/>
      <c r="K1527" s="460" t="s">
        <v>2613</v>
      </c>
    </row>
    <row r="1528" spans="1:11" ht="14.4">
      <c r="A1528" s="460" t="s">
        <v>1810</v>
      </c>
      <c r="B1528" s="460" t="s">
        <v>1708</v>
      </c>
      <c r="C1528" s="460"/>
      <c r="D1528" s="460" t="s">
        <v>1814</v>
      </c>
      <c r="E1528" s="460" t="s">
        <v>1812</v>
      </c>
      <c r="F1528" s="460" t="s">
        <v>2614</v>
      </c>
      <c r="G1528" s="460"/>
      <c r="H1528" s="461" t="s">
        <v>2615</v>
      </c>
      <c r="I1528" s="547">
        <f>ROUND(7,2)</f>
        <v>7</v>
      </c>
      <c r="J1528" s="460" t="s">
        <v>2615</v>
      </c>
      <c r="K1528" s="460" t="s">
        <v>2613</v>
      </c>
    </row>
    <row r="1529" spans="1:11" ht="14.4">
      <c r="A1529" s="460" t="s">
        <v>1810</v>
      </c>
      <c r="B1529" s="460" t="s">
        <v>1708</v>
      </c>
      <c r="C1529" s="460"/>
      <c r="D1529" s="460" t="s">
        <v>1814</v>
      </c>
      <c r="E1529" s="460" t="s">
        <v>1812</v>
      </c>
      <c r="F1529" s="460" t="s">
        <v>2616</v>
      </c>
      <c r="G1529" s="460"/>
      <c r="H1529" s="461"/>
      <c r="I1529" s="460"/>
      <c r="J1529" s="460"/>
      <c r="K1529" s="460" t="s">
        <v>2613</v>
      </c>
    </row>
    <row r="1530" spans="1:11" ht="14.4">
      <c r="A1530" s="460" t="s">
        <v>1810</v>
      </c>
      <c r="B1530" s="460" t="s">
        <v>1729</v>
      </c>
      <c r="C1530" s="460"/>
      <c r="D1530" s="460" t="s">
        <v>1821</v>
      </c>
      <c r="E1530" s="460" t="s">
        <v>2015</v>
      </c>
      <c r="F1530" s="460" t="s">
        <v>2624</v>
      </c>
      <c r="G1530" s="547">
        <f>ROUND(500,2)</f>
        <v>500</v>
      </c>
      <c r="H1530" s="461"/>
      <c r="I1530" s="547">
        <f>ROUND(500,2)</f>
        <v>500</v>
      </c>
      <c r="J1530" s="460"/>
      <c r="K1530" s="460" t="s">
        <v>2613</v>
      </c>
    </row>
    <row r="1531" spans="1:11" ht="14.4">
      <c r="A1531" s="460" t="s">
        <v>1810</v>
      </c>
      <c r="B1531" s="460" t="s">
        <v>1729</v>
      </c>
      <c r="C1531" s="460"/>
      <c r="D1531" s="460" t="s">
        <v>1821</v>
      </c>
      <c r="E1531" s="460" t="s">
        <v>2015</v>
      </c>
      <c r="F1531" s="460" t="s">
        <v>2614</v>
      </c>
      <c r="G1531" s="460"/>
      <c r="H1531" s="461" t="s">
        <v>2615</v>
      </c>
      <c r="I1531" s="547">
        <f>ROUND(7,2)</f>
        <v>7</v>
      </c>
      <c r="J1531" s="460" t="s">
        <v>2615</v>
      </c>
      <c r="K1531" s="460" t="s">
        <v>2613</v>
      </c>
    </row>
    <row r="1532" spans="1:11" ht="14.4">
      <c r="A1532" s="460" t="s">
        <v>1810</v>
      </c>
      <c r="B1532" s="460" t="s">
        <v>1729</v>
      </c>
      <c r="C1532" s="460"/>
      <c r="D1532" s="460" t="s">
        <v>1821</v>
      </c>
      <c r="E1532" s="460" t="s">
        <v>2015</v>
      </c>
      <c r="F1532" s="460" t="s">
        <v>2612</v>
      </c>
      <c r="G1532" s="460"/>
      <c r="H1532" s="461"/>
      <c r="I1532" s="460"/>
      <c r="J1532" s="460"/>
      <c r="K1532" s="460" t="s">
        <v>2613</v>
      </c>
    </row>
    <row r="1533" spans="1:11" ht="14.4">
      <c r="A1533" s="460" t="s">
        <v>1810</v>
      </c>
      <c r="B1533" s="460" t="s">
        <v>1729</v>
      </c>
      <c r="C1533" s="460"/>
      <c r="D1533" s="460" t="s">
        <v>1821</v>
      </c>
      <c r="E1533" s="460" t="s">
        <v>2015</v>
      </c>
      <c r="F1533" s="460" t="s">
        <v>2616</v>
      </c>
      <c r="G1533" s="460"/>
      <c r="H1533" s="461"/>
      <c r="I1533" s="460"/>
      <c r="J1533" s="460"/>
      <c r="K1533" s="460" t="s">
        <v>2613</v>
      </c>
    </row>
    <row r="1534" spans="1:11" ht="14.4">
      <c r="A1534" s="460" t="s">
        <v>1810</v>
      </c>
      <c r="B1534" s="460" t="s">
        <v>1729</v>
      </c>
      <c r="C1534" s="460"/>
      <c r="D1534" s="460" t="s">
        <v>1821</v>
      </c>
      <c r="E1534" s="460" t="s">
        <v>2015</v>
      </c>
      <c r="F1534" s="460" t="s">
        <v>2618</v>
      </c>
      <c r="G1534" s="547">
        <f>ROUND(47.5,2)</f>
        <v>47.5</v>
      </c>
      <c r="H1534" s="461"/>
      <c r="I1534" s="547">
        <f>ROUND(47.5,2)</f>
        <v>47.5</v>
      </c>
      <c r="J1534" s="460"/>
      <c r="K1534" s="460" t="s">
        <v>2613</v>
      </c>
    </row>
    <row r="1535" spans="1:11" ht="14.4">
      <c r="A1535" s="460" t="s">
        <v>1810</v>
      </c>
      <c r="B1535" s="460" t="s">
        <v>1729</v>
      </c>
      <c r="C1535" s="460"/>
      <c r="D1535" s="460" t="s">
        <v>1821</v>
      </c>
      <c r="E1535" s="460" t="s">
        <v>2015</v>
      </c>
      <c r="F1535" s="460" t="s">
        <v>2617</v>
      </c>
      <c r="G1535" s="547">
        <f>ROUND(80,2)</f>
        <v>80</v>
      </c>
      <c r="H1535" s="461"/>
      <c r="I1535" s="547">
        <f>ROUND(80,2)</f>
        <v>80</v>
      </c>
      <c r="J1535" s="460"/>
      <c r="K1535" s="460" t="s">
        <v>2613</v>
      </c>
    </row>
    <row r="1536" spans="1:11" ht="14.4">
      <c r="A1536" s="460" t="s">
        <v>1810</v>
      </c>
      <c r="B1536" s="460" t="s">
        <v>2914</v>
      </c>
      <c r="C1536" s="460"/>
      <c r="D1536" s="460" t="s">
        <v>1816</v>
      </c>
      <c r="E1536" s="460" t="s">
        <v>2611</v>
      </c>
      <c r="F1536" s="460" t="s">
        <v>2612</v>
      </c>
      <c r="G1536" s="460"/>
      <c r="H1536" s="461"/>
      <c r="I1536" s="460"/>
      <c r="J1536" s="460"/>
      <c r="K1536" s="460" t="s">
        <v>2613</v>
      </c>
    </row>
    <row r="1537" spans="1:11" ht="14.4">
      <c r="A1537" s="460" t="s">
        <v>1810</v>
      </c>
      <c r="B1537" s="460" t="s">
        <v>1463</v>
      </c>
      <c r="C1537" s="460"/>
      <c r="D1537" s="460" t="s">
        <v>1814</v>
      </c>
      <c r="E1537" s="460" t="s">
        <v>1812</v>
      </c>
      <c r="F1537" s="460" t="s">
        <v>2627</v>
      </c>
      <c r="G1537" s="547">
        <f>ROUND(75,2)</f>
        <v>75</v>
      </c>
      <c r="H1537" s="461"/>
      <c r="I1537" s="547">
        <f>ROUND(75,2)</f>
        <v>75</v>
      </c>
      <c r="J1537" s="460"/>
      <c r="K1537" s="460" t="s">
        <v>2613</v>
      </c>
    </row>
    <row r="1538" spans="1:11" ht="14.4">
      <c r="A1538" s="460" t="s">
        <v>1810</v>
      </c>
      <c r="B1538" s="460" t="s">
        <v>1463</v>
      </c>
      <c r="C1538" s="460"/>
      <c r="D1538" s="460" t="s">
        <v>1814</v>
      </c>
      <c r="E1538" s="460" t="s">
        <v>1812</v>
      </c>
      <c r="F1538" s="460" t="s">
        <v>2633</v>
      </c>
      <c r="G1538" s="547">
        <f>ROUND(100,2)</f>
        <v>100</v>
      </c>
      <c r="H1538" s="461"/>
      <c r="I1538" s="547">
        <f>ROUND(100,2)</f>
        <v>100</v>
      </c>
      <c r="J1538" s="460"/>
      <c r="K1538" s="460" t="s">
        <v>2613</v>
      </c>
    </row>
    <row r="1539" spans="1:11" ht="14.4">
      <c r="A1539" s="460" t="s">
        <v>1810</v>
      </c>
      <c r="B1539" s="460" t="s">
        <v>1463</v>
      </c>
      <c r="C1539" s="460"/>
      <c r="D1539" s="460" t="s">
        <v>1814</v>
      </c>
      <c r="E1539" s="460" t="s">
        <v>1812</v>
      </c>
      <c r="F1539" s="460" t="s">
        <v>2629</v>
      </c>
      <c r="G1539" s="547">
        <f>ROUND(35,2)</f>
        <v>35</v>
      </c>
      <c r="H1539" s="461"/>
      <c r="I1539" s="547">
        <f>ROUND(35,2)</f>
        <v>35</v>
      </c>
      <c r="J1539" s="460"/>
      <c r="K1539" s="460" t="s">
        <v>2613</v>
      </c>
    </row>
    <row r="1540" spans="1:11" ht="14.4">
      <c r="A1540" s="460" t="s">
        <v>1810</v>
      </c>
      <c r="B1540" s="460" t="s">
        <v>1463</v>
      </c>
      <c r="C1540" s="460"/>
      <c r="D1540" s="460" t="s">
        <v>1814</v>
      </c>
      <c r="E1540" s="460" t="s">
        <v>1812</v>
      </c>
      <c r="F1540" s="460" t="s">
        <v>2626</v>
      </c>
      <c r="G1540" s="547">
        <f>ROUND(10,2)</f>
        <v>10</v>
      </c>
      <c r="H1540" s="461"/>
      <c r="I1540" s="547">
        <f>ROUND(10,2)</f>
        <v>10</v>
      </c>
      <c r="J1540" s="460"/>
      <c r="K1540" s="460" t="s">
        <v>2613</v>
      </c>
    </row>
    <row r="1541" spans="1:11" ht="14.4">
      <c r="A1541" s="460" t="s">
        <v>1810</v>
      </c>
      <c r="B1541" s="460" t="s">
        <v>1463</v>
      </c>
      <c r="C1541" s="460"/>
      <c r="D1541" s="460" t="s">
        <v>1814</v>
      </c>
      <c r="E1541" s="460" t="s">
        <v>1812</v>
      </c>
      <c r="F1541" s="460" t="s">
        <v>2614</v>
      </c>
      <c r="G1541" s="460"/>
      <c r="H1541" s="461" t="s">
        <v>2615</v>
      </c>
      <c r="I1541" s="547">
        <f>ROUND(7,2)</f>
        <v>7</v>
      </c>
      <c r="J1541" s="460" t="s">
        <v>2615</v>
      </c>
      <c r="K1541" s="460" t="s">
        <v>2613</v>
      </c>
    </row>
    <row r="1542" spans="1:11" ht="14.4">
      <c r="A1542" s="460" t="s">
        <v>1810</v>
      </c>
      <c r="B1542" s="460" t="s">
        <v>1463</v>
      </c>
      <c r="C1542" s="460"/>
      <c r="D1542" s="460" t="s">
        <v>1814</v>
      </c>
      <c r="E1542" s="460" t="s">
        <v>1812</v>
      </c>
      <c r="F1542" s="460" t="s">
        <v>2625</v>
      </c>
      <c r="G1542" s="547">
        <f>ROUND(50,2)</f>
        <v>50</v>
      </c>
      <c r="H1542" s="461"/>
      <c r="I1542" s="547">
        <f>ROUND(50,2)</f>
        <v>50</v>
      </c>
      <c r="J1542" s="460"/>
      <c r="K1542" s="460" t="s">
        <v>2613</v>
      </c>
    </row>
    <row r="1543" spans="1:11" ht="14.4">
      <c r="A1543" s="460" t="s">
        <v>1810</v>
      </c>
      <c r="B1543" s="460" t="s">
        <v>1463</v>
      </c>
      <c r="C1543" s="460"/>
      <c r="D1543" s="460" t="s">
        <v>1814</v>
      </c>
      <c r="E1543" s="460" t="s">
        <v>1812</v>
      </c>
      <c r="F1543" s="460" t="s">
        <v>2659</v>
      </c>
      <c r="G1543" s="547">
        <f>ROUND(60,2)</f>
        <v>60</v>
      </c>
      <c r="H1543" s="461"/>
      <c r="I1543" s="547">
        <f>ROUND(60,2)</f>
        <v>60</v>
      </c>
      <c r="J1543" s="460"/>
      <c r="K1543" s="460" t="s">
        <v>2613</v>
      </c>
    </row>
    <row r="1544" spans="1:11" ht="14.4">
      <c r="A1544" s="460" t="s">
        <v>1810</v>
      </c>
      <c r="B1544" s="460" t="s">
        <v>1463</v>
      </c>
      <c r="C1544" s="460"/>
      <c r="D1544" s="460" t="s">
        <v>1814</v>
      </c>
      <c r="E1544" s="460" t="s">
        <v>1812</v>
      </c>
      <c r="F1544" s="460" t="s">
        <v>2616</v>
      </c>
      <c r="G1544" s="460"/>
      <c r="H1544" s="461"/>
      <c r="I1544" s="460"/>
      <c r="J1544" s="460"/>
      <c r="K1544" s="460" t="s">
        <v>2613</v>
      </c>
    </row>
    <row r="1545" spans="1:11" ht="14.4">
      <c r="A1545" s="460" t="s">
        <v>1810</v>
      </c>
      <c r="B1545" s="460" t="s">
        <v>1544</v>
      </c>
      <c r="C1545" s="460"/>
      <c r="D1545" s="460" t="s">
        <v>1816</v>
      </c>
      <c r="E1545" s="460" t="s">
        <v>2611</v>
      </c>
      <c r="F1545" s="460" t="s">
        <v>2623</v>
      </c>
      <c r="G1545" s="460"/>
      <c r="H1545" s="461"/>
      <c r="I1545" s="460"/>
      <c r="J1545" s="460"/>
      <c r="K1545" s="460" t="s">
        <v>2613</v>
      </c>
    </row>
    <row r="1546" spans="1:11" ht="14.4">
      <c r="A1546" s="460" t="s">
        <v>1810</v>
      </c>
      <c r="B1546" s="460" t="s">
        <v>1464</v>
      </c>
      <c r="C1546" s="460"/>
      <c r="D1546" s="460" t="s">
        <v>1821</v>
      </c>
      <c r="E1546" s="460" t="s">
        <v>1812</v>
      </c>
      <c r="F1546" s="460" t="s">
        <v>2625</v>
      </c>
      <c r="G1546" s="547">
        <f>ROUND(50,2)</f>
        <v>50</v>
      </c>
      <c r="H1546" s="461"/>
      <c r="I1546" s="547">
        <f>ROUND(50,2)</f>
        <v>50</v>
      </c>
      <c r="J1546" s="460"/>
      <c r="K1546" s="460" t="s">
        <v>2613</v>
      </c>
    </row>
    <row r="1547" spans="1:11" ht="14.4">
      <c r="A1547" s="460" t="s">
        <v>1810</v>
      </c>
      <c r="B1547" s="460" t="s">
        <v>1464</v>
      </c>
      <c r="C1547" s="460"/>
      <c r="D1547" s="460" t="s">
        <v>1821</v>
      </c>
      <c r="E1547" s="460" t="s">
        <v>1812</v>
      </c>
      <c r="F1547" s="460" t="s">
        <v>2612</v>
      </c>
      <c r="G1547" s="460"/>
      <c r="H1547" s="461"/>
      <c r="I1547" s="460"/>
      <c r="J1547" s="460"/>
      <c r="K1547" s="460" t="s">
        <v>2613</v>
      </c>
    </row>
    <row r="1548" spans="1:11" ht="14.4">
      <c r="A1548" s="460" t="s">
        <v>1810</v>
      </c>
      <c r="B1548" s="460" t="s">
        <v>1464</v>
      </c>
      <c r="C1548" s="460"/>
      <c r="D1548" s="460" t="s">
        <v>1821</v>
      </c>
      <c r="E1548" s="460" t="s">
        <v>1812</v>
      </c>
      <c r="F1548" s="460" t="s">
        <v>2623</v>
      </c>
      <c r="G1548" s="547">
        <f>ROUND(225,2)</f>
        <v>225</v>
      </c>
      <c r="H1548" s="461"/>
      <c r="I1548" s="547">
        <f>ROUND(225,2)</f>
        <v>225</v>
      </c>
      <c r="J1548" s="460"/>
      <c r="K1548" s="460" t="s">
        <v>2613</v>
      </c>
    </row>
    <row r="1549" spans="1:11" ht="14.4">
      <c r="A1549" s="460" t="s">
        <v>1810</v>
      </c>
      <c r="B1549" s="460" t="s">
        <v>1464</v>
      </c>
      <c r="C1549" s="460"/>
      <c r="D1549" s="460" t="s">
        <v>1821</v>
      </c>
      <c r="E1549" s="460" t="s">
        <v>1812</v>
      </c>
      <c r="F1549" s="460" t="s">
        <v>2656</v>
      </c>
      <c r="G1549" s="547">
        <f>ROUND(150,2)</f>
        <v>150</v>
      </c>
      <c r="H1549" s="461"/>
      <c r="I1549" s="547">
        <f>ROUND(150,2)</f>
        <v>150</v>
      </c>
      <c r="J1549" s="460"/>
      <c r="K1549" s="460" t="s">
        <v>2613</v>
      </c>
    </row>
    <row r="1550" spans="1:11" ht="14.4">
      <c r="A1550" s="460" t="s">
        <v>1810</v>
      </c>
      <c r="B1550" s="460" t="s">
        <v>1464</v>
      </c>
      <c r="C1550" s="460"/>
      <c r="D1550" s="460" t="s">
        <v>1821</v>
      </c>
      <c r="E1550" s="460" t="s">
        <v>1812</v>
      </c>
      <c r="F1550" s="460" t="s">
        <v>2627</v>
      </c>
      <c r="G1550" s="547">
        <f>ROUND(25,2)</f>
        <v>25</v>
      </c>
      <c r="H1550" s="461"/>
      <c r="I1550" s="547">
        <f>ROUND(25,2)</f>
        <v>25</v>
      </c>
      <c r="J1550" s="460"/>
      <c r="K1550" s="460" t="s">
        <v>2613</v>
      </c>
    </row>
    <row r="1551" spans="1:11" ht="14.4">
      <c r="A1551" s="460" t="s">
        <v>1810</v>
      </c>
      <c r="B1551" s="460" t="s">
        <v>1464</v>
      </c>
      <c r="C1551" s="460"/>
      <c r="D1551" s="460" t="s">
        <v>1821</v>
      </c>
      <c r="E1551" s="460" t="s">
        <v>1812</v>
      </c>
      <c r="F1551" s="460" t="s">
        <v>2634</v>
      </c>
      <c r="G1551" s="547">
        <f>ROUND(56,2)</f>
        <v>56</v>
      </c>
      <c r="H1551" s="461"/>
      <c r="I1551" s="547">
        <f>ROUND(56,2)</f>
        <v>56</v>
      </c>
      <c r="J1551" s="460"/>
      <c r="K1551" s="460" t="s">
        <v>2613</v>
      </c>
    </row>
    <row r="1552" spans="1:11" ht="14.4">
      <c r="A1552" s="460" t="s">
        <v>1810</v>
      </c>
      <c r="B1552" s="460" t="s">
        <v>1464</v>
      </c>
      <c r="C1552" s="460"/>
      <c r="D1552" s="460" t="s">
        <v>1821</v>
      </c>
      <c r="E1552" s="460" t="s">
        <v>1812</v>
      </c>
      <c r="F1552" s="460" t="s">
        <v>2614</v>
      </c>
      <c r="G1552" s="460"/>
      <c r="H1552" s="461" t="s">
        <v>2615</v>
      </c>
      <c r="I1552" s="547">
        <f>ROUND(7,2)</f>
        <v>7</v>
      </c>
      <c r="J1552" s="460" t="s">
        <v>2615</v>
      </c>
      <c r="K1552" s="460" t="s">
        <v>2613</v>
      </c>
    </row>
    <row r="1553" spans="1:11" ht="14.4">
      <c r="A1553" s="460" t="s">
        <v>1810</v>
      </c>
      <c r="B1553" s="460" t="s">
        <v>1464</v>
      </c>
      <c r="C1553" s="460"/>
      <c r="D1553" s="460" t="s">
        <v>1821</v>
      </c>
      <c r="E1553" s="460" t="s">
        <v>1812</v>
      </c>
      <c r="F1553" s="460" t="s">
        <v>2616</v>
      </c>
      <c r="G1553" s="460"/>
      <c r="H1553" s="461"/>
      <c r="I1553" s="460"/>
      <c r="J1553" s="460"/>
      <c r="K1553" s="460" t="s">
        <v>2613</v>
      </c>
    </row>
    <row r="1554" spans="1:11" ht="14.4">
      <c r="A1554" s="460" t="s">
        <v>1810</v>
      </c>
      <c r="B1554" s="460" t="s">
        <v>1464</v>
      </c>
      <c r="C1554" s="460"/>
      <c r="D1554" s="460" t="s">
        <v>1821</v>
      </c>
      <c r="E1554" s="460" t="s">
        <v>1812</v>
      </c>
      <c r="F1554" s="460" t="s">
        <v>2618</v>
      </c>
      <c r="G1554" s="547">
        <f>ROUND(17.5,2)</f>
        <v>17.5</v>
      </c>
      <c r="H1554" s="461"/>
      <c r="I1554" s="547">
        <f>ROUND(17.5,2)</f>
        <v>17.5</v>
      </c>
      <c r="J1554" s="460"/>
      <c r="K1554" s="460" t="s">
        <v>2613</v>
      </c>
    </row>
    <row r="1555" spans="1:11" ht="14.4">
      <c r="A1555" s="460" t="s">
        <v>1810</v>
      </c>
      <c r="B1555" s="460" t="s">
        <v>1464</v>
      </c>
      <c r="C1555" s="460"/>
      <c r="D1555" s="460" t="s">
        <v>1821</v>
      </c>
      <c r="E1555" s="460" t="s">
        <v>1812</v>
      </c>
      <c r="F1555" s="460" t="s">
        <v>2617</v>
      </c>
      <c r="G1555" s="547">
        <f>ROUND(75,2)</f>
        <v>75</v>
      </c>
      <c r="H1555" s="461"/>
      <c r="I1555" s="547">
        <f>ROUND(75,2)</f>
        <v>75</v>
      </c>
      <c r="J1555" s="460"/>
      <c r="K1555" s="460" t="s">
        <v>2613</v>
      </c>
    </row>
    <row r="1556" spans="1:11" ht="14.4">
      <c r="A1556" s="460" t="s">
        <v>1810</v>
      </c>
      <c r="B1556" s="460" t="s">
        <v>2564</v>
      </c>
      <c r="C1556" s="460"/>
      <c r="D1556" s="460" t="s">
        <v>1816</v>
      </c>
      <c r="E1556" s="460" t="s">
        <v>2611</v>
      </c>
      <c r="F1556" s="460" t="s">
        <v>2612</v>
      </c>
      <c r="G1556" s="460"/>
      <c r="H1556" s="461"/>
      <c r="I1556" s="460"/>
      <c r="J1556" s="460"/>
      <c r="K1556" s="460" t="s">
        <v>2613</v>
      </c>
    </row>
    <row r="1557" spans="1:11" ht="14.4">
      <c r="A1557" s="460" t="s">
        <v>1810</v>
      </c>
      <c r="B1557" s="460" t="s">
        <v>2580</v>
      </c>
      <c r="C1557" s="460"/>
      <c r="D1557" s="460" t="s">
        <v>1816</v>
      </c>
      <c r="E1557" s="460" t="s">
        <v>2611</v>
      </c>
      <c r="F1557" s="460" t="s">
        <v>2612</v>
      </c>
      <c r="G1557" s="460"/>
      <c r="H1557" s="461"/>
      <c r="I1557" s="460"/>
      <c r="J1557" s="460"/>
      <c r="K1557" s="460" t="s">
        <v>2613</v>
      </c>
    </row>
    <row r="1558" spans="1:11" ht="14.4">
      <c r="A1558" s="460" t="s">
        <v>1810</v>
      </c>
      <c r="B1558" s="460" t="s">
        <v>2499</v>
      </c>
      <c r="C1558" s="460"/>
      <c r="D1558" s="460" t="s">
        <v>1811</v>
      </c>
      <c r="E1558" s="460" t="s">
        <v>1812</v>
      </c>
      <c r="F1558" s="460" t="s">
        <v>2637</v>
      </c>
      <c r="G1558" s="547">
        <f>ROUND(279.23,2)</f>
        <v>279.23</v>
      </c>
      <c r="H1558" s="461"/>
      <c r="I1558" s="547">
        <f>ROUND(279.23,2)</f>
        <v>279.23</v>
      </c>
      <c r="J1558" s="460"/>
      <c r="K1558" s="460" t="s">
        <v>2613</v>
      </c>
    </row>
    <row r="1559" spans="1:11" ht="14.4">
      <c r="A1559" s="460" t="s">
        <v>1810</v>
      </c>
      <c r="B1559" s="460" t="s">
        <v>2499</v>
      </c>
      <c r="C1559" s="460"/>
      <c r="D1559" s="460" t="s">
        <v>1811</v>
      </c>
      <c r="E1559" s="460" t="s">
        <v>1812</v>
      </c>
      <c r="F1559" s="460" t="s">
        <v>2644</v>
      </c>
      <c r="G1559" s="460"/>
      <c r="H1559" s="461"/>
      <c r="I1559" s="460"/>
      <c r="J1559" s="460"/>
      <c r="K1559" s="460" t="s">
        <v>2613</v>
      </c>
    </row>
    <row r="1560" spans="1:11" ht="14.4">
      <c r="A1560" s="460" t="s">
        <v>1810</v>
      </c>
      <c r="B1560" s="460" t="s">
        <v>2499</v>
      </c>
      <c r="C1560" s="460"/>
      <c r="D1560" s="460" t="s">
        <v>1811</v>
      </c>
      <c r="E1560" s="460" t="s">
        <v>1812</v>
      </c>
      <c r="F1560" s="460" t="s">
        <v>2620</v>
      </c>
      <c r="G1560" s="547">
        <f>ROUND(10.22,2)</f>
        <v>10.220000000000001</v>
      </c>
      <c r="H1560" s="461"/>
      <c r="I1560" s="547">
        <f>ROUND(10.22,2)</f>
        <v>10.220000000000001</v>
      </c>
      <c r="J1560" s="460"/>
      <c r="K1560" s="460" t="s">
        <v>2613</v>
      </c>
    </row>
    <row r="1561" spans="1:11" ht="14.4">
      <c r="A1561" s="460" t="s">
        <v>1810</v>
      </c>
      <c r="B1561" s="460" t="s">
        <v>2499</v>
      </c>
      <c r="C1561" s="460"/>
      <c r="D1561" s="460" t="s">
        <v>1811</v>
      </c>
      <c r="E1561" s="460" t="s">
        <v>1812</v>
      </c>
      <c r="F1561" s="460" t="s">
        <v>2616</v>
      </c>
      <c r="G1561" s="460"/>
      <c r="H1561" s="461"/>
      <c r="I1561" s="460"/>
      <c r="J1561" s="460"/>
      <c r="K1561" s="460" t="s">
        <v>2613</v>
      </c>
    </row>
    <row r="1562" spans="1:11" ht="14.4">
      <c r="A1562" s="460" t="s">
        <v>1810</v>
      </c>
      <c r="B1562" s="460" t="s">
        <v>2499</v>
      </c>
      <c r="C1562" s="460"/>
      <c r="D1562" s="460" t="s">
        <v>1811</v>
      </c>
      <c r="E1562" s="460" t="s">
        <v>1812</v>
      </c>
      <c r="F1562" s="460" t="s">
        <v>2614</v>
      </c>
      <c r="G1562" s="460"/>
      <c r="H1562" s="461" t="s">
        <v>2615</v>
      </c>
      <c r="I1562" s="547">
        <f>ROUND(7,2)</f>
        <v>7</v>
      </c>
      <c r="J1562" s="460" t="s">
        <v>2615</v>
      </c>
      <c r="K1562" s="460" t="s">
        <v>2613</v>
      </c>
    </row>
    <row r="1563" spans="1:11" ht="14.4">
      <c r="A1563" s="460" t="s">
        <v>1810</v>
      </c>
      <c r="B1563" s="460" t="s">
        <v>2573</v>
      </c>
      <c r="C1563" s="460"/>
      <c r="D1563" s="460" t="s">
        <v>1816</v>
      </c>
      <c r="E1563" s="460" t="s">
        <v>2611</v>
      </c>
      <c r="F1563" s="460" t="s">
        <v>2612</v>
      </c>
      <c r="G1563" s="460"/>
      <c r="H1563" s="461"/>
      <c r="I1563" s="460"/>
      <c r="J1563" s="460"/>
      <c r="K1563" s="460" t="s">
        <v>2613</v>
      </c>
    </row>
    <row r="1564" spans="1:11" ht="14.4">
      <c r="A1564" s="460" t="s">
        <v>1810</v>
      </c>
      <c r="B1564" s="460" t="s">
        <v>1472</v>
      </c>
      <c r="C1564" s="460"/>
      <c r="D1564" s="460" t="s">
        <v>1814</v>
      </c>
      <c r="E1564" s="460" t="s">
        <v>1812</v>
      </c>
      <c r="F1564" s="460" t="s">
        <v>2627</v>
      </c>
      <c r="G1564" s="547">
        <f>ROUND(10,2)</f>
        <v>10</v>
      </c>
      <c r="H1564" s="461"/>
      <c r="I1564" s="547">
        <f>ROUND(10,2)</f>
        <v>10</v>
      </c>
      <c r="J1564" s="460"/>
      <c r="K1564" s="460" t="s">
        <v>2613</v>
      </c>
    </row>
    <row r="1565" spans="1:11" ht="14.4">
      <c r="A1565" s="460" t="s">
        <v>1810</v>
      </c>
      <c r="B1565" s="460" t="s">
        <v>1472</v>
      </c>
      <c r="C1565" s="460"/>
      <c r="D1565" s="460" t="s">
        <v>1814</v>
      </c>
      <c r="E1565" s="460" t="s">
        <v>1812</v>
      </c>
      <c r="F1565" s="460" t="s">
        <v>2612</v>
      </c>
      <c r="G1565" s="460"/>
      <c r="H1565" s="461"/>
      <c r="I1565" s="460"/>
      <c r="J1565" s="460"/>
      <c r="K1565" s="460" t="s">
        <v>2613</v>
      </c>
    </row>
    <row r="1566" spans="1:11" ht="14.4">
      <c r="A1566" s="460" t="s">
        <v>1810</v>
      </c>
      <c r="B1566" s="460" t="s">
        <v>1472</v>
      </c>
      <c r="C1566" s="460"/>
      <c r="D1566" s="460" t="s">
        <v>1814</v>
      </c>
      <c r="E1566" s="460" t="s">
        <v>1812</v>
      </c>
      <c r="F1566" s="460" t="s">
        <v>2626</v>
      </c>
      <c r="G1566" s="547">
        <f>ROUND(10,2)</f>
        <v>10</v>
      </c>
      <c r="H1566" s="461"/>
      <c r="I1566" s="547">
        <f>ROUND(10,2)</f>
        <v>10</v>
      </c>
      <c r="J1566" s="460"/>
      <c r="K1566" s="460" t="s">
        <v>2613</v>
      </c>
    </row>
    <row r="1567" spans="1:11" ht="14.4">
      <c r="A1567" s="460" t="s">
        <v>1810</v>
      </c>
      <c r="B1567" s="460" t="s">
        <v>1472</v>
      </c>
      <c r="C1567" s="460"/>
      <c r="D1567" s="460" t="s">
        <v>1814</v>
      </c>
      <c r="E1567" s="460" t="s">
        <v>1812</v>
      </c>
      <c r="F1567" s="460" t="s">
        <v>2614</v>
      </c>
      <c r="G1567" s="460"/>
      <c r="H1567" s="461" t="s">
        <v>2615</v>
      </c>
      <c r="I1567" s="547">
        <f>ROUND(7,2)</f>
        <v>7</v>
      </c>
      <c r="J1567" s="460" t="s">
        <v>2615</v>
      </c>
      <c r="K1567" s="460" t="s">
        <v>2613</v>
      </c>
    </row>
    <row r="1568" spans="1:11" ht="14.4">
      <c r="A1568" s="460" t="s">
        <v>1810</v>
      </c>
      <c r="B1568" s="460" t="s">
        <v>1472</v>
      </c>
      <c r="C1568" s="460"/>
      <c r="D1568" s="460" t="s">
        <v>1814</v>
      </c>
      <c r="E1568" s="460" t="s">
        <v>1812</v>
      </c>
      <c r="F1568" s="460" t="s">
        <v>2625</v>
      </c>
      <c r="G1568" s="547">
        <f>ROUND(50,2)</f>
        <v>50</v>
      </c>
      <c r="H1568" s="461"/>
      <c r="I1568" s="547">
        <f>ROUND(50,2)</f>
        <v>50</v>
      </c>
      <c r="J1568" s="460"/>
      <c r="K1568" s="460" t="s">
        <v>2613</v>
      </c>
    </row>
    <row r="1569" spans="1:11" ht="14.4">
      <c r="A1569" s="460" t="s">
        <v>1810</v>
      </c>
      <c r="B1569" s="460" t="s">
        <v>1472</v>
      </c>
      <c r="C1569" s="460"/>
      <c r="D1569" s="460" t="s">
        <v>1814</v>
      </c>
      <c r="E1569" s="460" t="s">
        <v>1812</v>
      </c>
      <c r="F1569" s="460" t="s">
        <v>2616</v>
      </c>
      <c r="G1569" s="460"/>
      <c r="H1569" s="461"/>
      <c r="I1569" s="460"/>
      <c r="J1569" s="460"/>
      <c r="K1569" s="460" t="s">
        <v>2613</v>
      </c>
    </row>
    <row r="1570" spans="1:11" ht="14.4">
      <c r="A1570" s="460" t="s">
        <v>1810</v>
      </c>
      <c r="B1570" s="460" t="s">
        <v>2910</v>
      </c>
      <c r="C1570" s="460"/>
      <c r="D1570" s="460" t="s">
        <v>1816</v>
      </c>
      <c r="E1570" s="460" t="s">
        <v>2611</v>
      </c>
      <c r="F1570" s="460" t="s">
        <v>2612</v>
      </c>
      <c r="G1570" s="460"/>
      <c r="H1570" s="461"/>
      <c r="I1570" s="460"/>
      <c r="J1570" s="460"/>
      <c r="K1570" s="460" t="s">
        <v>2613</v>
      </c>
    </row>
    <row r="1571" spans="1:11" ht="14.4">
      <c r="A1571" s="460" t="s">
        <v>1810</v>
      </c>
      <c r="B1571" s="460" t="s">
        <v>2423</v>
      </c>
      <c r="C1571" s="460"/>
      <c r="D1571" s="460" t="s">
        <v>1816</v>
      </c>
      <c r="E1571" s="460" t="s">
        <v>2611</v>
      </c>
      <c r="F1571" s="460" t="s">
        <v>2612</v>
      </c>
      <c r="G1571" s="460"/>
      <c r="H1571" s="461"/>
      <c r="I1571" s="460"/>
      <c r="J1571" s="460"/>
      <c r="K1571" s="460" t="s">
        <v>2613</v>
      </c>
    </row>
    <row r="1572" spans="1:11" ht="14.4">
      <c r="A1572" s="460" t="s">
        <v>1810</v>
      </c>
      <c r="B1572" s="460" t="s">
        <v>2908</v>
      </c>
      <c r="C1572" s="460"/>
      <c r="D1572" s="460" t="s">
        <v>1816</v>
      </c>
      <c r="E1572" s="460" t="s">
        <v>2611</v>
      </c>
      <c r="F1572" s="460" t="s">
        <v>2623</v>
      </c>
      <c r="G1572" s="460"/>
      <c r="H1572" s="461"/>
      <c r="I1572" s="460"/>
      <c r="J1572" s="460"/>
      <c r="K1572" s="460" t="s">
        <v>2613</v>
      </c>
    </row>
    <row r="1573" spans="1:11" ht="14.4">
      <c r="A1573" s="460" t="s">
        <v>1810</v>
      </c>
      <c r="B1573" s="460" t="s">
        <v>1606</v>
      </c>
      <c r="C1573" s="460"/>
      <c r="D1573" s="460" t="s">
        <v>1816</v>
      </c>
      <c r="E1573" s="460" t="s">
        <v>2611</v>
      </c>
      <c r="F1573" s="460" t="s">
        <v>2612</v>
      </c>
      <c r="G1573" s="460"/>
      <c r="H1573" s="461"/>
      <c r="I1573" s="460"/>
      <c r="J1573" s="460"/>
      <c r="K1573" s="460" t="s">
        <v>2613</v>
      </c>
    </row>
    <row r="1574" spans="1:11" ht="14.4">
      <c r="A1574" s="460" t="s">
        <v>1810</v>
      </c>
      <c r="B1574" s="460" t="s">
        <v>1510</v>
      </c>
      <c r="C1574" s="460"/>
      <c r="D1574" s="460" t="s">
        <v>1814</v>
      </c>
      <c r="E1574" s="460" t="s">
        <v>1812</v>
      </c>
      <c r="F1574" s="460" t="s">
        <v>2625</v>
      </c>
      <c r="G1574" s="547">
        <f>ROUND(25,2)</f>
        <v>25</v>
      </c>
      <c r="H1574" s="461"/>
      <c r="I1574" s="547">
        <f>ROUND(25,2)</f>
        <v>25</v>
      </c>
      <c r="J1574" s="460"/>
      <c r="K1574" s="460" t="s">
        <v>2613</v>
      </c>
    </row>
    <row r="1575" spans="1:11" ht="14.4">
      <c r="A1575" s="460" t="s">
        <v>1810</v>
      </c>
      <c r="B1575" s="460" t="s">
        <v>1510</v>
      </c>
      <c r="C1575" s="460"/>
      <c r="D1575" s="460" t="s">
        <v>1814</v>
      </c>
      <c r="E1575" s="460" t="s">
        <v>1812</v>
      </c>
      <c r="F1575" s="460" t="s">
        <v>2612</v>
      </c>
      <c r="G1575" s="460"/>
      <c r="H1575" s="461"/>
      <c r="I1575" s="460"/>
      <c r="J1575" s="460"/>
      <c r="K1575" s="460" t="s">
        <v>2613</v>
      </c>
    </row>
    <row r="1576" spans="1:11" ht="14.4">
      <c r="A1576" s="460" t="s">
        <v>1810</v>
      </c>
      <c r="B1576" s="460" t="s">
        <v>1510</v>
      </c>
      <c r="C1576" s="460"/>
      <c r="D1576" s="460" t="s">
        <v>1814</v>
      </c>
      <c r="E1576" s="460" t="s">
        <v>1812</v>
      </c>
      <c r="F1576" s="460" t="s">
        <v>2626</v>
      </c>
      <c r="G1576" s="547">
        <f>ROUND(10,2)</f>
        <v>10</v>
      </c>
      <c r="H1576" s="461"/>
      <c r="I1576" s="547">
        <f>ROUND(10,2)</f>
        <v>10</v>
      </c>
      <c r="J1576" s="460"/>
      <c r="K1576" s="460" t="s">
        <v>2613</v>
      </c>
    </row>
    <row r="1577" spans="1:11" ht="14.4">
      <c r="A1577" s="460" t="s">
        <v>1810</v>
      </c>
      <c r="B1577" s="460" t="s">
        <v>1510</v>
      </c>
      <c r="C1577" s="460"/>
      <c r="D1577" s="460" t="s">
        <v>1814</v>
      </c>
      <c r="E1577" s="460" t="s">
        <v>1812</v>
      </c>
      <c r="F1577" s="460" t="s">
        <v>2614</v>
      </c>
      <c r="G1577" s="460"/>
      <c r="H1577" s="461" t="s">
        <v>2615</v>
      </c>
      <c r="I1577" s="547">
        <f>ROUND(7,2)</f>
        <v>7</v>
      </c>
      <c r="J1577" s="460" t="s">
        <v>2615</v>
      </c>
      <c r="K1577" s="460" t="s">
        <v>2613</v>
      </c>
    </row>
    <row r="1578" spans="1:11" ht="14.4">
      <c r="A1578" s="460" t="s">
        <v>1810</v>
      </c>
      <c r="B1578" s="460" t="s">
        <v>1510</v>
      </c>
      <c r="C1578" s="460"/>
      <c r="D1578" s="460" t="s">
        <v>1814</v>
      </c>
      <c r="E1578" s="460" t="s">
        <v>1812</v>
      </c>
      <c r="F1578" s="460" t="s">
        <v>2629</v>
      </c>
      <c r="G1578" s="547">
        <f>ROUND(57,2)</f>
        <v>57</v>
      </c>
      <c r="H1578" s="461"/>
      <c r="I1578" s="547">
        <f>ROUND(57,2)</f>
        <v>57</v>
      </c>
      <c r="J1578" s="460"/>
      <c r="K1578" s="460" t="s">
        <v>2613</v>
      </c>
    </row>
    <row r="1579" spans="1:11" ht="14.4">
      <c r="A1579" s="460" t="s">
        <v>1810</v>
      </c>
      <c r="B1579" s="460" t="s">
        <v>1510</v>
      </c>
      <c r="C1579" s="460"/>
      <c r="D1579" s="460" t="s">
        <v>1814</v>
      </c>
      <c r="E1579" s="460" t="s">
        <v>1812</v>
      </c>
      <c r="F1579" s="460" t="s">
        <v>2620</v>
      </c>
      <c r="G1579" s="547">
        <f>ROUND(10.22,2)</f>
        <v>10.220000000000001</v>
      </c>
      <c r="H1579" s="461"/>
      <c r="I1579" s="547">
        <f>ROUND(10.22,2)</f>
        <v>10.220000000000001</v>
      </c>
      <c r="J1579" s="460"/>
      <c r="K1579" s="460" t="s">
        <v>2613</v>
      </c>
    </row>
    <row r="1580" spans="1:11" ht="14.4">
      <c r="A1580" s="460" t="s">
        <v>1810</v>
      </c>
      <c r="B1580" s="460" t="s">
        <v>1510</v>
      </c>
      <c r="C1580" s="460"/>
      <c r="D1580" s="460" t="s">
        <v>1814</v>
      </c>
      <c r="E1580" s="460" t="s">
        <v>1812</v>
      </c>
      <c r="F1580" s="460" t="s">
        <v>2616</v>
      </c>
      <c r="G1580" s="460"/>
      <c r="H1580" s="461"/>
      <c r="I1580" s="460"/>
      <c r="J1580" s="460"/>
      <c r="K1580" s="460" t="s">
        <v>2613</v>
      </c>
    </row>
    <row r="1581" spans="1:11" ht="14.4">
      <c r="A1581" s="460" t="s">
        <v>1810</v>
      </c>
      <c r="B1581" s="460" t="s">
        <v>1929</v>
      </c>
      <c r="C1581" s="460"/>
      <c r="D1581" s="460" t="s">
        <v>1816</v>
      </c>
      <c r="E1581" s="460" t="s">
        <v>2611</v>
      </c>
      <c r="F1581" s="460" t="s">
        <v>2612</v>
      </c>
      <c r="G1581" s="460"/>
      <c r="H1581" s="461"/>
      <c r="I1581" s="460"/>
      <c r="J1581" s="460"/>
      <c r="K1581" s="460" t="s">
        <v>2613</v>
      </c>
    </row>
    <row r="1582" spans="1:11" ht="22.8">
      <c r="A1582" s="460" t="s">
        <v>1810</v>
      </c>
      <c r="B1582" s="460" t="s">
        <v>1573</v>
      </c>
      <c r="C1582" s="460"/>
      <c r="D1582" s="460" t="s">
        <v>1840</v>
      </c>
      <c r="E1582" s="460" t="s">
        <v>1812</v>
      </c>
      <c r="F1582" s="460" t="s">
        <v>2616</v>
      </c>
      <c r="G1582" s="460"/>
      <c r="H1582" s="461"/>
      <c r="I1582" s="460"/>
      <c r="J1582" s="460"/>
      <c r="K1582" s="460" t="s">
        <v>2613</v>
      </c>
    </row>
    <row r="1583" spans="1:11" ht="22.8">
      <c r="A1583" s="460" t="s">
        <v>1810</v>
      </c>
      <c r="B1583" s="460" t="s">
        <v>1573</v>
      </c>
      <c r="C1583" s="460"/>
      <c r="D1583" s="460" t="s">
        <v>1840</v>
      </c>
      <c r="E1583" s="460" t="s">
        <v>1812</v>
      </c>
      <c r="F1583" s="460" t="s">
        <v>2614</v>
      </c>
      <c r="G1583" s="460"/>
      <c r="H1583" s="461" t="s">
        <v>2615</v>
      </c>
      <c r="I1583" s="547">
        <f>ROUND(7,2)</f>
        <v>7</v>
      </c>
      <c r="J1583" s="460" t="s">
        <v>2615</v>
      </c>
      <c r="K1583" s="460" t="s">
        <v>2613</v>
      </c>
    </row>
    <row r="1584" spans="1:11" ht="22.8">
      <c r="A1584" s="460" t="s">
        <v>1810</v>
      </c>
      <c r="B1584" s="460" t="s">
        <v>1573</v>
      </c>
      <c r="C1584" s="460"/>
      <c r="D1584" s="460" t="s">
        <v>1840</v>
      </c>
      <c r="E1584" s="460" t="s">
        <v>1812</v>
      </c>
      <c r="F1584" s="460" t="s">
        <v>2612</v>
      </c>
      <c r="G1584" s="460"/>
      <c r="H1584" s="461"/>
      <c r="I1584" s="460"/>
      <c r="J1584" s="460"/>
      <c r="K1584" s="460" t="s">
        <v>2613</v>
      </c>
    </row>
    <row r="1585" spans="1:11" ht="14.4">
      <c r="A1585" s="460" t="s">
        <v>1810</v>
      </c>
      <c r="B1585" s="460" t="s">
        <v>1508</v>
      </c>
      <c r="C1585" s="460"/>
      <c r="D1585" s="460" t="s">
        <v>1814</v>
      </c>
      <c r="E1585" s="460" t="s">
        <v>1812</v>
      </c>
      <c r="F1585" s="460" t="s">
        <v>2619</v>
      </c>
      <c r="G1585" s="460"/>
      <c r="H1585" s="461"/>
      <c r="I1585" s="460"/>
      <c r="J1585" s="460"/>
      <c r="K1585" s="460" t="s">
        <v>2613</v>
      </c>
    </row>
    <row r="1586" spans="1:11" ht="14.4">
      <c r="A1586" s="460" t="s">
        <v>1810</v>
      </c>
      <c r="B1586" s="460" t="s">
        <v>1508</v>
      </c>
      <c r="C1586" s="460"/>
      <c r="D1586" s="460" t="s">
        <v>1814</v>
      </c>
      <c r="E1586" s="460" t="s">
        <v>1812</v>
      </c>
      <c r="F1586" s="460" t="s">
        <v>2625</v>
      </c>
      <c r="G1586" s="547">
        <f>ROUND(50,2)</f>
        <v>50</v>
      </c>
      <c r="H1586" s="461"/>
      <c r="I1586" s="547">
        <f>ROUND(50,2)</f>
        <v>50</v>
      </c>
      <c r="J1586" s="460"/>
      <c r="K1586" s="460" t="s">
        <v>2613</v>
      </c>
    </row>
    <row r="1587" spans="1:11" ht="14.4">
      <c r="A1587" s="460" t="s">
        <v>1810</v>
      </c>
      <c r="B1587" s="460" t="s">
        <v>1508</v>
      </c>
      <c r="C1587" s="460"/>
      <c r="D1587" s="460" t="s">
        <v>1814</v>
      </c>
      <c r="E1587" s="460" t="s">
        <v>1812</v>
      </c>
      <c r="F1587" s="460" t="s">
        <v>2632</v>
      </c>
      <c r="G1587" s="547">
        <f>ROUND(166.67,2)</f>
        <v>166.67</v>
      </c>
      <c r="H1587" s="461"/>
      <c r="I1587" s="547">
        <f>ROUND(166.67,2)</f>
        <v>166.67</v>
      </c>
      <c r="J1587" s="460"/>
      <c r="K1587" s="460" t="s">
        <v>2613</v>
      </c>
    </row>
    <row r="1588" spans="1:11" ht="14.4">
      <c r="A1588" s="460" t="s">
        <v>1810</v>
      </c>
      <c r="B1588" s="460" t="s">
        <v>1508</v>
      </c>
      <c r="C1588" s="460"/>
      <c r="D1588" s="460" t="s">
        <v>1814</v>
      </c>
      <c r="E1588" s="460" t="s">
        <v>1812</v>
      </c>
      <c r="F1588" s="460" t="s">
        <v>2614</v>
      </c>
      <c r="G1588" s="460"/>
      <c r="H1588" s="461" t="s">
        <v>2615</v>
      </c>
      <c r="I1588" s="547">
        <f>ROUND(7,2)</f>
        <v>7</v>
      </c>
      <c r="J1588" s="460" t="s">
        <v>2615</v>
      </c>
      <c r="K1588" s="460" t="s">
        <v>2613</v>
      </c>
    </row>
    <row r="1589" spans="1:11" ht="14.4">
      <c r="A1589" s="460" t="s">
        <v>1810</v>
      </c>
      <c r="B1589" s="460" t="s">
        <v>1508</v>
      </c>
      <c r="C1589" s="460"/>
      <c r="D1589" s="460" t="s">
        <v>1814</v>
      </c>
      <c r="E1589" s="460" t="s">
        <v>1812</v>
      </c>
      <c r="F1589" s="460" t="s">
        <v>2616</v>
      </c>
      <c r="G1589" s="460"/>
      <c r="H1589" s="461"/>
      <c r="I1589" s="460"/>
      <c r="J1589" s="460"/>
      <c r="K1589" s="460" t="s">
        <v>2613</v>
      </c>
    </row>
    <row r="1590" spans="1:11" ht="14.4">
      <c r="A1590" s="460" t="s">
        <v>1810</v>
      </c>
      <c r="B1590" s="460" t="s">
        <v>2513</v>
      </c>
      <c r="C1590" s="460"/>
      <c r="D1590" s="460" t="s">
        <v>1816</v>
      </c>
      <c r="E1590" s="460" t="s">
        <v>1812</v>
      </c>
      <c r="F1590" s="460" t="s">
        <v>2612</v>
      </c>
      <c r="G1590" s="460"/>
      <c r="H1590" s="461"/>
      <c r="I1590" s="460"/>
      <c r="J1590" s="460"/>
      <c r="K1590" s="460" t="s">
        <v>2613</v>
      </c>
    </row>
    <row r="1591" spans="1:11" ht="14.4">
      <c r="A1591" s="460" t="s">
        <v>1810</v>
      </c>
      <c r="B1591" s="460" t="s">
        <v>2513</v>
      </c>
      <c r="C1591" s="460"/>
      <c r="D1591" s="460" t="s">
        <v>1816</v>
      </c>
      <c r="E1591" s="460" t="s">
        <v>1812</v>
      </c>
      <c r="F1591" s="460" t="s">
        <v>2616</v>
      </c>
      <c r="G1591" s="460"/>
      <c r="H1591" s="461"/>
      <c r="I1591" s="460"/>
      <c r="J1591" s="460"/>
      <c r="K1591" s="460" t="s">
        <v>2613</v>
      </c>
    </row>
    <row r="1592" spans="1:11" ht="14.4">
      <c r="A1592" s="460" t="s">
        <v>1810</v>
      </c>
      <c r="B1592" s="460" t="s">
        <v>2513</v>
      </c>
      <c r="C1592" s="460"/>
      <c r="D1592" s="460" t="s">
        <v>1816</v>
      </c>
      <c r="E1592" s="460" t="s">
        <v>1812</v>
      </c>
      <c r="F1592" s="460" t="s">
        <v>2614</v>
      </c>
      <c r="G1592" s="460"/>
      <c r="H1592" s="461" t="s">
        <v>2615</v>
      </c>
      <c r="I1592" s="547">
        <f>ROUND(7,2)</f>
        <v>7</v>
      </c>
      <c r="J1592" s="460" t="s">
        <v>2615</v>
      </c>
      <c r="K1592" s="460" t="s">
        <v>2613</v>
      </c>
    </row>
    <row r="1593" spans="1:11" ht="14.4">
      <c r="A1593" s="460" t="s">
        <v>1810</v>
      </c>
      <c r="B1593" s="460" t="s">
        <v>2513</v>
      </c>
      <c r="C1593" s="460"/>
      <c r="D1593" s="460" t="s">
        <v>1816</v>
      </c>
      <c r="E1593" s="460" t="s">
        <v>1812</v>
      </c>
      <c r="F1593" s="460" t="s">
        <v>2618</v>
      </c>
      <c r="G1593" s="547">
        <f>ROUND(22.5,2)</f>
        <v>22.5</v>
      </c>
      <c r="H1593" s="461"/>
      <c r="I1593" s="547">
        <f>ROUND(22.5,2)</f>
        <v>22.5</v>
      </c>
      <c r="J1593" s="460"/>
      <c r="K1593" s="460" t="s">
        <v>2613</v>
      </c>
    </row>
    <row r="1594" spans="1:11" ht="14.4">
      <c r="A1594" s="460" t="s">
        <v>1810</v>
      </c>
      <c r="B1594" s="460" t="s">
        <v>2513</v>
      </c>
      <c r="C1594" s="460"/>
      <c r="D1594" s="460" t="s">
        <v>1816</v>
      </c>
      <c r="E1594" s="460" t="s">
        <v>1812</v>
      </c>
      <c r="F1594" s="460" t="s">
        <v>2617</v>
      </c>
      <c r="G1594" s="547">
        <f>ROUND(75,2)</f>
        <v>75</v>
      </c>
      <c r="H1594" s="461"/>
      <c r="I1594" s="547">
        <f>ROUND(75,2)</f>
        <v>75</v>
      </c>
      <c r="J1594" s="460"/>
      <c r="K1594" s="460" t="s">
        <v>2613</v>
      </c>
    </row>
    <row r="1595" spans="1:11" ht="14.4">
      <c r="A1595" s="460" t="s">
        <v>1810</v>
      </c>
      <c r="B1595" s="460" t="s">
        <v>1465</v>
      </c>
      <c r="C1595" s="460"/>
      <c r="D1595" s="460" t="s">
        <v>1814</v>
      </c>
      <c r="E1595" s="460" t="s">
        <v>1812</v>
      </c>
      <c r="F1595" s="460" t="s">
        <v>2617</v>
      </c>
      <c r="G1595" s="547">
        <f>ROUND(75,2)</f>
        <v>75</v>
      </c>
      <c r="H1595" s="461"/>
      <c r="I1595" s="547">
        <f>ROUND(75,2)</f>
        <v>75</v>
      </c>
      <c r="J1595" s="460"/>
      <c r="K1595" s="460" t="s">
        <v>2613</v>
      </c>
    </row>
    <row r="1596" spans="1:11" ht="14.4">
      <c r="A1596" s="460" t="s">
        <v>1810</v>
      </c>
      <c r="B1596" s="460" t="s">
        <v>1465</v>
      </c>
      <c r="C1596" s="460"/>
      <c r="D1596" s="460" t="s">
        <v>1814</v>
      </c>
      <c r="E1596" s="460" t="s">
        <v>1812</v>
      </c>
      <c r="F1596" s="460" t="s">
        <v>2629</v>
      </c>
      <c r="G1596" s="547">
        <f>ROUND(23,2)</f>
        <v>23</v>
      </c>
      <c r="H1596" s="461"/>
      <c r="I1596" s="547">
        <f>ROUND(23,2)</f>
        <v>23</v>
      </c>
      <c r="J1596" s="460"/>
      <c r="K1596" s="460" t="s">
        <v>2613</v>
      </c>
    </row>
    <row r="1597" spans="1:11" ht="14.4">
      <c r="A1597" s="460" t="s">
        <v>1810</v>
      </c>
      <c r="B1597" s="460" t="s">
        <v>1465</v>
      </c>
      <c r="C1597" s="460"/>
      <c r="D1597" s="460" t="s">
        <v>1814</v>
      </c>
      <c r="E1597" s="460" t="s">
        <v>1812</v>
      </c>
      <c r="F1597" s="460" t="s">
        <v>2618</v>
      </c>
      <c r="G1597" s="547">
        <f>ROUND(40,2)</f>
        <v>40</v>
      </c>
      <c r="H1597" s="461"/>
      <c r="I1597" s="547">
        <f>ROUND(40,2)</f>
        <v>40</v>
      </c>
      <c r="J1597" s="460"/>
      <c r="K1597" s="460" t="s">
        <v>2613</v>
      </c>
    </row>
    <row r="1598" spans="1:11" ht="14.4">
      <c r="A1598" s="460" t="s">
        <v>1810</v>
      </c>
      <c r="B1598" s="460" t="s">
        <v>1465</v>
      </c>
      <c r="C1598" s="460"/>
      <c r="D1598" s="460" t="s">
        <v>1814</v>
      </c>
      <c r="E1598" s="460" t="s">
        <v>1812</v>
      </c>
      <c r="F1598" s="460" t="s">
        <v>2625</v>
      </c>
      <c r="G1598" s="547">
        <f>ROUND(50,2)</f>
        <v>50</v>
      </c>
      <c r="H1598" s="461"/>
      <c r="I1598" s="547">
        <f>ROUND(50,2)</f>
        <v>50</v>
      </c>
      <c r="J1598" s="460"/>
      <c r="K1598" s="460" t="s">
        <v>2613</v>
      </c>
    </row>
    <row r="1599" spans="1:11" ht="14.4">
      <c r="A1599" s="460" t="s">
        <v>1810</v>
      </c>
      <c r="B1599" s="460" t="s">
        <v>1465</v>
      </c>
      <c r="C1599" s="460"/>
      <c r="D1599" s="460" t="s">
        <v>1814</v>
      </c>
      <c r="E1599" s="460" t="s">
        <v>1812</v>
      </c>
      <c r="F1599" s="460" t="s">
        <v>2612</v>
      </c>
      <c r="G1599" s="460"/>
      <c r="H1599" s="461"/>
      <c r="I1599" s="460"/>
      <c r="J1599" s="460"/>
      <c r="K1599" s="460" t="s">
        <v>2613</v>
      </c>
    </row>
    <row r="1600" spans="1:11" ht="14.4">
      <c r="A1600" s="460" t="s">
        <v>1810</v>
      </c>
      <c r="B1600" s="460" t="s">
        <v>1465</v>
      </c>
      <c r="C1600" s="460"/>
      <c r="D1600" s="460" t="s">
        <v>1814</v>
      </c>
      <c r="E1600" s="460" t="s">
        <v>1812</v>
      </c>
      <c r="F1600" s="460" t="s">
        <v>2626</v>
      </c>
      <c r="G1600" s="547">
        <f>ROUND(10,2)</f>
        <v>10</v>
      </c>
      <c r="H1600" s="461"/>
      <c r="I1600" s="547">
        <f>ROUND(10,2)</f>
        <v>10</v>
      </c>
      <c r="J1600" s="460"/>
      <c r="K1600" s="460" t="s">
        <v>2613</v>
      </c>
    </row>
    <row r="1601" spans="1:11" ht="14.4">
      <c r="A1601" s="460" t="s">
        <v>1810</v>
      </c>
      <c r="B1601" s="460" t="s">
        <v>1465</v>
      </c>
      <c r="C1601" s="460"/>
      <c r="D1601" s="460" t="s">
        <v>1814</v>
      </c>
      <c r="E1601" s="460" t="s">
        <v>1812</v>
      </c>
      <c r="F1601" s="460" t="s">
        <v>2614</v>
      </c>
      <c r="G1601" s="460"/>
      <c r="H1601" s="461" t="s">
        <v>2615</v>
      </c>
      <c r="I1601" s="547">
        <f>ROUND(7,2)</f>
        <v>7</v>
      </c>
      <c r="J1601" s="460" t="s">
        <v>2615</v>
      </c>
      <c r="K1601" s="460" t="s">
        <v>2613</v>
      </c>
    </row>
    <row r="1602" spans="1:11" ht="14.4">
      <c r="A1602" s="460" t="s">
        <v>1810</v>
      </c>
      <c r="B1602" s="460" t="s">
        <v>1465</v>
      </c>
      <c r="C1602" s="460"/>
      <c r="D1602" s="460" t="s">
        <v>1814</v>
      </c>
      <c r="E1602" s="460" t="s">
        <v>1812</v>
      </c>
      <c r="F1602" s="460" t="s">
        <v>2620</v>
      </c>
      <c r="G1602" s="547">
        <f>ROUND(10.22,2)</f>
        <v>10.220000000000001</v>
      </c>
      <c r="H1602" s="461"/>
      <c r="I1602" s="547">
        <f>ROUND(10.22,2)</f>
        <v>10.220000000000001</v>
      </c>
      <c r="J1602" s="460"/>
      <c r="K1602" s="460" t="s">
        <v>2613</v>
      </c>
    </row>
    <row r="1603" spans="1:11" ht="14.4">
      <c r="A1603" s="460" t="s">
        <v>1810</v>
      </c>
      <c r="B1603" s="460" t="s">
        <v>1465</v>
      </c>
      <c r="C1603" s="460"/>
      <c r="D1603" s="460" t="s">
        <v>1814</v>
      </c>
      <c r="E1603" s="460" t="s">
        <v>1812</v>
      </c>
      <c r="F1603" s="460" t="s">
        <v>2650</v>
      </c>
      <c r="G1603" s="547">
        <f>ROUND(5,2)</f>
        <v>5</v>
      </c>
      <c r="H1603" s="461"/>
      <c r="I1603" s="547">
        <f>ROUND(5,2)</f>
        <v>5</v>
      </c>
      <c r="J1603" s="460"/>
      <c r="K1603" s="460" t="s">
        <v>2613</v>
      </c>
    </row>
    <row r="1604" spans="1:11" ht="14.4">
      <c r="A1604" s="460" t="s">
        <v>1810</v>
      </c>
      <c r="B1604" s="460" t="s">
        <v>2586</v>
      </c>
      <c r="C1604" s="460"/>
      <c r="D1604" s="460" t="s">
        <v>1816</v>
      </c>
      <c r="E1604" s="460" t="s">
        <v>2611</v>
      </c>
      <c r="F1604" s="460" t="s">
        <v>2612</v>
      </c>
      <c r="G1604" s="460"/>
      <c r="H1604" s="461"/>
      <c r="I1604" s="460"/>
      <c r="J1604" s="460"/>
      <c r="K1604" s="460" t="s">
        <v>2613</v>
      </c>
    </row>
    <row r="1605" spans="1:11" ht="14.4">
      <c r="A1605" s="460" t="s">
        <v>1810</v>
      </c>
      <c r="B1605" s="460" t="s">
        <v>1630</v>
      </c>
      <c r="C1605" s="460"/>
      <c r="D1605" s="460" t="s">
        <v>1835</v>
      </c>
      <c r="E1605" s="460" t="s">
        <v>1812</v>
      </c>
      <c r="F1605" s="460" t="s">
        <v>2612</v>
      </c>
      <c r="G1605" s="460"/>
      <c r="H1605" s="461"/>
      <c r="I1605" s="460"/>
      <c r="J1605" s="460"/>
      <c r="K1605" s="460" t="s">
        <v>2613</v>
      </c>
    </row>
    <row r="1606" spans="1:11" ht="14.4">
      <c r="A1606" s="460" t="s">
        <v>1810</v>
      </c>
      <c r="B1606" s="460" t="s">
        <v>1630</v>
      </c>
      <c r="C1606" s="460"/>
      <c r="D1606" s="460" t="s">
        <v>1835</v>
      </c>
      <c r="E1606" s="460" t="s">
        <v>1812</v>
      </c>
      <c r="F1606" s="460" t="s">
        <v>2614</v>
      </c>
      <c r="G1606" s="460"/>
      <c r="H1606" s="461" t="s">
        <v>2615</v>
      </c>
      <c r="I1606" s="547">
        <f>ROUND(7,2)</f>
        <v>7</v>
      </c>
      <c r="J1606" s="460" t="s">
        <v>2615</v>
      </c>
      <c r="K1606" s="460" t="s">
        <v>2613</v>
      </c>
    </row>
    <row r="1607" spans="1:11" ht="14.4">
      <c r="A1607" s="460" t="s">
        <v>1810</v>
      </c>
      <c r="B1607" s="460" t="s">
        <v>1630</v>
      </c>
      <c r="C1607" s="460"/>
      <c r="D1607" s="460" t="s">
        <v>1835</v>
      </c>
      <c r="E1607" s="460" t="s">
        <v>1812</v>
      </c>
      <c r="F1607" s="460" t="s">
        <v>2620</v>
      </c>
      <c r="G1607" s="547">
        <f>ROUND(10.22,2)</f>
        <v>10.220000000000001</v>
      </c>
      <c r="H1607" s="461"/>
      <c r="I1607" s="547">
        <f>ROUND(10.22,2)</f>
        <v>10.220000000000001</v>
      </c>
      <c r="J1607" s="460"/>
      <c r="K1607" s="460" t="s">
        <v>2613</v>
      </c>
    </row>
    <row r="1608" spans="1:11" ht="14.4">
      <c r="A1608" s="460" t="s">
        <v>1810</v>
      </c>
      <c r="B1608" s="460" t="s">
        <v>1630</v>
      </c>
      <c r="C1608" s="460"/>
      <c r="D1608" s="460" t="s">
        <v>1835</v>
      </c>
      <c r="E1608" s="460" t="s">
        <v>1812</v>
      </c>
      <c r="F1608" s="460" t="s">
        <v>2616</v>
      </c>
      <c r="G1608" s="460"/>
      <c r="H1608" s="461"/>
      <c r="I1608" s="460"/>
      <c r="J1608" s="460"/>
      <c r="K1608" s="460" t="s">
        <v>2613</v>
      </c>
    </row>
    <row r="1609" spans="1:11" ht="22.8">
      <c r="A1609" s="460" t="s">
        <v>1810</v>
      </c>
      <c r="B1609" s="460" t="s">
        <v>1660</v>
      </c>
      <c r="C1609" s="460"/>
      <c r="D1609" s="460" t="s">
        <v>1819</v>
      </c>
      <c r="E1609" s="460" t="s">
        <v>1812</v>
      </c>
      <c r="F1609" s="460" t="s">
        <v>2637</v>
      </c>
      <c r="G1609" s="547">
        <f>ROUND(126,2)</f>
        <v>126</v>
      </c>
      <c r="H1609" s="461"/>
      <c r="I1609" s="547">
        <f>ROUND(126,2)</f>
        <v>126</v>
      </c>
      <c r="J1609" s="460"/>
      <c r="K1609" s="460" t="s">
        <v>2613</v>
      </c>
    </row>
    <row r="1610" spans="1:11" ht="22.8">
      <c r="A1610" s="460" t="s">
        <v>1810</v>
      </c>
      <c r="B1610" s="460" t="s">
        <v>1660</v>
      </c>
      <c r="C1610" s="460"/>
      <c r="D1610" s="460" t="s">
        <v>1819</v>
      </c>
      <c r="E1610" s="460" t="s">
        <v>1812</v>
      </c>
      <c r="F1610" s="460" t="s">
        <v>2612</v>
      </c>
      <c r="G1610" s="460"/>
      <c r="H1610" s="461"/>
      <c r="I1610" s="460"/>
      <c r="J1610" s="460"/>
      <c r="K1610" s="460" t="s">
        <v>2613</v>
      </c>
    </row>
    <row r="1611" spans="1:11" ht="22.8">
      <c r="A1611" s="460" t="s">
        <v>1810</v>
      </c>
      <c r="B1611" s="460" t="s">
        <v>1660</v>
      </c>
      <c r="C1611" s="460"/>
      <c r="D1611" s="460" t="s">
        <v>1819</v>
      </c>
      <c r="E1611" s="460" t="s">
        <v>1812</v>
      </c>
      <c r="F1611" s="460" t="s">
        <v>2614</v>
      </c>
      <c r="G1611" s="460"/>
      <c r="H1611" s="461" t="s">
        <v>2615</v>
      </c>
      <c r="I1611" s="547">
        <f>ROUND(7,2)</f>
        <v>7</v>
      </c>
      <c r="J1611" s="460" t="s">
        <v>2615</v>
      </c>
      <c r="K1611" s="460" t="s">
        <v>2613</v>
      </c>
    </row>
    <row r="1612" spans="1:11" ht="22.8">
      <c r="A1612" s="460" t="s">
        <v>1810</v>
      </c>
      <c r="B1612" s="460" t="s">
        <v>1660</v>
      </c>
      <c r="C1612" s="460"/>
      <c r="D1612" s="460" t="s">
        <v>1819</v>
      </c>
      <c r="E1612" s="460" t="s">
        <v>1812</v>
      </c>
      <c r="F1612" s="460" t="s">
        <v>2620</v>
      </c>
      <c r="G1612" s="547">
        <f>ROUND(10.22,2)</f>
        <v>10.220000000000001</v>
      </c>
      <c r="H1612" s="461"/>
      <c r="I1612" s="547">
        <f>ROUND(10.22,2)</f>
        <v>10.220000000000001</v>
      </c>
      <c r="J1612" s="460"/>
      <c r="K1612" s="460" t="s">
        <v>2613</v>
      </c>
    </row>
    <row r="1613" spans="1:11" ht="22.8">
      <c r="A1613" s="460" t="s">
        <v>1810</v>
      </c>
      <c r="B1613" s="460" t="s">
        <v>1660</v>
      </c>
      <c r="C1613" s="460"/>
      <c r="D1613" s="460" t="s">
        <v>1819</v>
      </c>
      <c r="E1613" s="460" t="s">
        <v>1812</v>
      </c>
      <c r="F1613" s="460" t="s">
        <v>2616</v>
      </c>
      <c r="G1613" s="460"/>
      <c r="H1613" s="461"/>
      <c r="I1613" s="460"/>
      <c r="J1613" s="460"/>
      <c r="K1613" s="460" t="s">
        <v>2613</v>
      </c>
    </row>
    <row r="1614" spans="1:11" ht="14.4">
      <c r="A1614" s="460" t="s">
        <v>1810</v>
      </c>
      <c r="B1614" s="460" t="s">
        <v>1926</v>
      </c>
      <c r="C1614" s="460"/>
      <c r="D1614" s="460" t="s">
        <v>1816</v>
      </c>
      <c r="E1614" s="460" t="s">
        <v>2611</v>
      </c>
      <c r="F1614" s="460" t="s">
        <v>2623</v>
      </c>
      <c r="G1614" s="460"/>
      <c r="H1614" s="461"/>
      <c r="I1614" s="460"/>
      <c r="J1614" s="460"/>
      <c r="K1614" s="460" t="s">
        <v>2613</v>
      </c>
    </row>
    <row r="1615" spans="1:11" ht="14.4">
      <c r="A1615" s="460" t="s">
        <v>1810</v>
      </c>
      <c r="B1615" s="460" t="s">
        <v>1705</v>
      </c>
      <c r="C1615" s="460"/>
      <c r="D1615" s="460" t="s">
        <v>1816</v>
      </c>
      <c r="E1615" s="460" t="s">
        <v>2611</v>
      </c>
      <c r="F1615" s="460" t="s">
        <v>2612</v>
      </c>
      <c r="G1615" s="460"/>
      <c r="H1615" s="461"/>
      <c r="I1615" s="460"/>
      <c r="J1615" s="460"/>
      <c r="K1615" s="460" t="s">
        <v>2613</v>
      </c>
    </row>
    <row r="1616" spans="1:11" ht="22.8">
      <c r="A1616" s="460" t="s">
        <v>1810</v>
      </c>
      <c r="B1616" s="460" t="s">
        <v>2434</v>
      </c>
      <c r="C1616" s="460"/>
      <c r="D1616" s="460" t="s">
        <v>1819</v>
      </c>
      <c r="E1616" s="460" t="s">
        <v>1812</v>
      </c>
      <c r="F1616" s="460" t="s">
        <v>2612</v>
      </c>
      <c r="G1616" s="460"/>
      <c r="H1616" s="461"/>
      <c r="I1616" s="460"/>
      <c r="J1616" s="460"/>
      <c r="K1616" s="460" t="s">
        <v>2613</v>
      </c>
    </row>
    <row r="1617" spans="1:11" ht="22.8">
      <c r="A1617" s="460" t="s">
        <v>1810</v>
      </c>
      <c r="B1617" s="460" t="s">
        <v>2434</v>
      </c>
      <c r="C1617" s="460"/>
      <c r="D1617" s="460" t="s">
        <v>1819</v>
      </c>
      <c r="E1617" s="460" t="s">
        <v>1812</v>
      </c>
      <c r="F1617" s="460" t="s">
        <v>2619</v>
      </c>
      <c r="G1617" s="547">
        <f>ROUND(200,2)</f>
        <v>200</v>
      </c>
      <c r="H1617" s="461"/>
      <c r="I1617" s="547">
        <f>ROUND(200,2)</f>
        <v>200</v>
      </c>
      <c r="J1617" s="460"/>
      <c r="K1617" s="460" t="s">
        <v>2613</v>
      </c>
    </row>
    <row r="1618" spans="1:11" ht="22.8">
      <c r="A1618" s="460" t="s">
        <v>1810</v>
      </c>
      <c r="B1618" s="460" t="s">
        <v>2434</v>
      </c>
      <c r="C1618" s="460"/>
      <c r="D1618" s="460" t="s">
        <v>1819</v>
      </c>
      <c r="E1618" s="460" t="s">
        <v>1812</v>
      </c>
      <c r="F1618" s="460" t="s">
        <v>2618</v>
      </c>
      <c r="G1618" s="547">
        <f>ROUND(40,2)</f>
        <v>40</v>
      </c>
      <c r="H1618" s="461"/>
      <c r="I1618" s="547">
        <f>ROUND(40,2)</f>
        <v>40</v>
      </c>
      <c r="J1618" s="460"/>
      <c r="K1618" s="460" t="s">
        <v>2613</v>
      </c>
    </row>
    <row r="1619" spans="1:11" ht="22.8">
      <c r="A1619" s="460" t="s">
        <v>1810</v>
      </c>
      <c r="B1619" s="460" t="s">
        <v>2434</v>
      </c>
      <c r="C1619" s="460"/>
      <c r="D1619" s="460" t="s">
        <v>1819</v>
      </c>
      <c r="E1619" s="460" t="s">
        <v>1812</v>
      </c>
      <c r="F1619" s="460" t="s">
        <v>2617</v>
      </c>
      <c r="G1619" s="547">
        <f>ROUND(75,2)</f>
        <v>75</v>
      </c>
      <c r="H1619" s="461"/>
      <c r="I1619" s="547">
        <f>ROUND(75,2)</f>
        <v>75</v>
      </c>
      <c r="J1619" s="460"/>
      <c r="K1619" s="460" t="s">
        <v>2613</v>
      </c>
    </row>
    <row r="1620" spans="1:11" ht="22.8">
      <c r="A1620" s="460" t="s">
        <v>1810</v>
      </c>
      <c r="B1620" s="460" t="s">
        <v>2434</v>
      </c>
      <c r="C1620" s="460"/>
      <c r="D1620" s="460" t="s">
        <v>1819</v>
      </c>
      <c r="E1620" s="460" t="s">
        <v>1812</v>
      </c>
      <c r="F1620" s="460" t="s">
        <v>2614</v>
      </c>
      <c r="G1620" s="460"/>
      <c r="H1620" s="461" t="s">
        <v>2615</v>
      </c>
      <c r="I1620" s="547">
        <f>ROUND(7,2)</f>
        <v>7</v>
      </c>
      <c r="J1620" s="460" t="s">
        <v>2615</v>
      </c>
      <c r="K1620" s="460" t="s">
        <v>2613</v>
      </c>
    </row>
    <row r="1621" spans="1:11" ht="22.8">
      <c r="A1621" s="460" t="s">
        <v>1810</v>
      </c>
      <c r="B1621" s="460" t="s">
        <v>2434</v>
      </c>
      <c r="C1621" s="460"/>
      <c r="D1621" s="460" t="s">
        <v>1819</v>
      </c>
      <c r="E1621" s="460" t="s">
        <v>1812</v>
      </c>
      <c r="F1621" s="460" t="s">
        <v>2616</v>
      </c>
      <c r="G1621" s="460"/>
      <c r="H1621" s="461"/>
      <c r="I1621" s="460"/>
      <c r="J1621" s="460"/>
      <c r="K1621" s="460" t="s">
        <v>2613</v>
      </c>
    </row>
    <row r="1622" spans="1:11" ht="14.4">
      <c r="A1622" s="460" t="s">
        <v>1810</v>
      </c>
      <c r="B1622" s="460" t="s">
        <v>2585</v>
      </c>
      <c r="C1622" s="460"/>
      <c r="D1622" s="460" t="s">
        <v>1816</v>
      </c>
      <c r="E1622" s="460" t="s">
        <v>2611</v>
      </c>
      <c r="F1622" s="460" t="s">
        <v>2612</v>
      </c>
      <c r="G1622" s="460"/>
      <c r="H1622" s="461"/>
      <c r="I1622" s="460"/>
      <c r="J1622" s="460"/>
      <c r="K1622" s="460" t="s">
        <v>2613</v>
      </c>
    </row>
    <row r="1623" spans="1:11" ht="14.4">
      <c r="A1623" s="460" t="s">
        <v>1810</v>
      </c>
      <c r="B1623" s="460" t="s">
        <v>1468</v>
      </c>
      <c r="C1623" s="460"/>
      <c r="D1623" s="460" t="s">
        <v>1821</v>
      </c>
      <c r="E1623" s="460" t="s">
        <v>1812</v>
      </c>
      <c r="F1623" s="460" t="s">
        <v>2625</v>
      </c>
      <c r="G1623" s="547">
        <f>ROUND(37.5,2)</f>
        <v>37.5</v>
      </c>
      <c r="H1623" s="461"/>
      <c r="I1623" s="547">
        <f>ROUND(37.5,2)</f>
        <v>37.5</v>
      </c>
      <c r="J1623" s="460"/>
      <c r="K1623" s="460" t="s">
        <v>2613</v>
      </c>
    </row>
    <row r="1624" spans="1:11" ht="14.4">
      <c r="A1624" s="460" t="s">
        <v>1810</v>
      </c>
      <c r="B1624" s="460" t="s">
        <v>1468</v>
      </c>
      <c r="C1624" s="460"/>
      <c r="D1624" s="460" t="s">
        <v>1821</v>
      </c>
      <c r="E1624" s="460" t="s">
        <v>1812</v>
      </c>
      <c r="F1624" s="460" t="s">
        <v>2612</v>
      </c>
      <c r="G1624" s="460"/>
      <c r="H1624" s="461"/>
      <c r="I1624" s="460"/>
      <c r="J1624" s="460"/>
      <c r="K1624" s="460" t="s">
        <v>2613</v>
      </c>
    </row>
    <row r="1625" spans="1:11" ht="14.4">
      <c r="A1625" s="460" t="s">
        <v>1810</v>
      </c>
      <c r="B1625" s="460" t="s">
        <v>1468</v>
      </c>
      <c r="C1625" s="460"/>
      <c r="D1625" s="460" t="s">
        <v>1821</v>
      </c>
      <c r="E1625" s="460" t="s">
        <v>1812</v>
      </c>
      <c r="F1625" s="460" t="s">
        <v>2634</v>
      </c>
      <c r="G1625" s="547">
        <f>ROUND(26,2)</f>
        <v>26</v>
      </c>
      <c r="H1625" s="461"/>
      <c r="I1625" s="547">
        <f>ROUND(26,2)</f>
        <v>26</v>
      </c>
      <c r="J1625" s="460"/>
      <c r="K1625" s="460" t="s">
        <v>2613</v>
      </c>
    </row>
    <row r="1626" spans="1:11" ht="14.4">
      <c r="A1626" s="460" t="s">
        <v>1810</v>
      </c>
      <c r="B1626" s="460" t="s">
        <v>1468</v>
      </c>
      <c r="C1626" s="460"/>
      <c r="D1626" s="460" t="s">
        <v>1821</v>
      </c>
      <c r="E1626" s="460" t="s">
        <v>1812</v>
      </c>
      <c r="F1626" s="460" t="s">
        <v>2614</v>
      </c>
      <c r="G1626" s="460"/>
      <c r="H1626" s="461" t="s">
        <v>2615</v>
      </c>
      <c r="I1626" s="547">
        <f>ROUND(7,2)</f>
        <v>7</v>
      </c>
      <c r="J1626" s="460" t="s">
        <v>2615</v>
      </c>
      <c r="K1626" s="460" t="s">
        <v>2613</v>
      </c>
    </row>
    <row r="1627" spans="1:11" ht="14.4">
      <c r="A1627" s="460" t="s">
        <v>1810</v>
      </c>
      <c r="B1627" s="460" t="s">
        <v>1600</v>
      </c>
      <c r="C1627" s="460"/>
      <c r="D1627" s="460" t="s">
        <v>1814</v>
      </c>
      <c r="E1627" s="460" t="s">
        <v>1812</v>
      </c>
      <c r="F1627" s="460" t="s">
        <v>2637</v>
      </c>
      <c r="G1627" s="547">
        <f>ROUND(315.54,2)</f>
        <v>315.54000000000002</v>
      </c>
      <c r="H1627" s="461"/>
      <c r="I1627" s="547">
        <f>ROUND(315.54,2)</f>
        <v>315.54000000000002</v>
      </c>
      <c r="J1627" s="460"/>
      <c r="K1627" s="460" t="s">
        <v>2613</v>
      </c>
    </row>
    <row r="1628" spans="1:11" ht="14.4">
      <c r="A1628" s="460" t="s">
        <v>1810</v>
      </c>
      <c r="B1628" s="460" t="s">
        <v>1600</v>
      </c>
      <c r="C1628" s="460"/>
      <c r="D1628" s="460" t="s">
        <v>1814</v>
      </c>
      <c r="E1628" s="460" t="s">
        <v>1812</v>
      </c>
      <c r="F1628" s="460" t="s">
        <v>2660</v>
      </c>
      <c r="G1628" s="547">
        <f>ROUND(236.31,2)</f>
        <v>236.31</v>
      </c>
      <c r="H1628" s="461"/>
      <c r="I1628" s="547">
        <f>ROUND(236.31,2)</f>
        <v>236.31</v>
      </c>
      <c r="J1628" s="460"/>
      <c r="K1628" s="460" t="s">
        <v>2613</v>
      </c>
    </row>
    <row r="1629" spans="1:11" ht="14.4">
      <c r="A1629" s="460" t="s">
        <v>1810</v>
      </c>
      <c r="B1629" s="460" t="s">
        <v>1600</v>
      </c>
      <c r="C1629" s="460"/>
      <c r="D1629" s="460" t="s">
        <v>1814</v>
      </c>
      <c r="E1629" s="460" t="s">
        <v>1812</v>
      </c>
      <c r="F1629" s="460" t="s">
        <v>2629</v>
      </c>
      <c r="G1629" s="547">
        <f>ROUND(25,2)</f>
        <v>25</v>
      </c>
      <c r="H1629" s="461"/>
      <c r="I1629" s="547">
        <f>ROUND(25,2)</f>
        <v>25</v>
      </c>
      <c r="J1629" s="460"/>
      <c r="K1629" s="460" t="s">
        <v>2613</v>
      </c>
    </row>
    <row r="1630" spans="1:11" ht="14.4">
      <c r="A1630" s="460" t="s">
        <v>1810</v>
      </c>
      <c r="B1630" s="460" t="s">
        <v>1600</v>
      </c>
      <c r="C1630" s="460"/>
      <c r="D1630" s="460" t="s">
        <v>1814</v>
      </c>
      <c r="E1630" s="460" t="s">
        <v>1812</v>
      </c>
      <c r="F1630" s="460" t="s">
        <v>2612</v>
      </c>
      <c r="G1630" s="460"/>
      <c r="H1630" s="461"/>
      <c r="I1630" s="460"/>
      <c r="J1630" s="460"/>
      <c r="K1630" s="460" t="s">
        <v>2613</v>
      </c>
    </row>
    <row r="1631" spans="1:11" ht="14.4">
      <c r="A1631" s="460" t="s">
        <v>1810</v>
      </c>
      <c r="B1631" s="460" t="s">
        <v>1600</v>
      </c>
      <c r="C1631" s="460"/>
      <c r="D1631" s="460" t="s">
        <v>1814</v>
      </c>
      <c r="E1631" s="460" t="s">
        <v>1812</v>
      </c>
      <c r="F1631" s="460" t="s">
        <v>2614</v>
      </c>
      <c r="G1631" s="460"/>
      <c r="H1631" s="461" t="s">
        <v>2615</v>
      </c>
      <c r="I1631" s="547">
        <f>ROUND(7,2)</f>
        <v>7</v>
      </c>
      <c r="J1631" s="460" t="s">
        <v>2615</v>
      </c>
      <c r="K1631" s="460" t="s">
        <v>2613</v>
      </c>
    </row>
    <row r="1632" spans="1:11" ht="14.4">
      <c r="A1632" s="460" t="s">
        <v>1810</v>
      </c>
      <c r="B1632" s="460" t="s">
        <v>1600</v>
      </c>
      <c r="C1632" s="460"/>
      <c r="D1632" s="460" t="s">
        <v>1814</v>
      </c>
      <c r="E1632" s="460" t="s">
        <v>1812</v>
      </c>
      <c r="F1632" s="460" t="s">
        <v>2620</v>
      </c>
      <c r="G1632" s="547">
        <f>ROUND(10.22,2)</f>
        <v>10.220000000000001</v>
      </c>
      <c r="H1632" s="461"/>
      <c r="I1632" s="547">
        <f>ROUND(10.22,2)</f>
        <v>10.220000000000001</v>
      </c>
      <c r="J1632" s="460"/>
      <c r="K1632" s="460" t="s">
        <v>2613</v>
      </c>
    </row>
    <row r="1633" spans="1:11" ht="14.4">
      <c r="A1633" s="460" t="s">
        <v>1810</v>
      </c>
      <c r="B1633" s="460" t="s">
        <v>1600</v>
      </c>
      <c r="C1633" s="460"/>
      <c r="D1633" s="460" t="s">
        <v>1814</v>
      </c>
      <c r="E1633" s="460" t="s">
        <v>1812</v>
      </c>
      <c r="F1633" s="460" t="s">
        <v>2616</v>
      </c>
      <c r="G1633" s="460"/>
      <c r="H1633" s="461"/>
      <c r="I1633" s="460"/>
      <c r="J1633" s="460"/>
      <c r="K1633" s="460" t="s">
        <v>2613</v>
      </c>
    </row>
    <row r="1634" spans="1:11" ht="14.4">
      <c r="A1634" s="460" t="s">
        <v>1810</v>
      </c>
      <c r="B1634" s="460" t="s">
        <v>1469</v>
      </c>
      <c r="C1634" s="460"/>
      <c r="D1634" s="460" t="s">
        <v>1814</v>
      </c>
      <c r="E1634" s="460" t="s">
        <v>1812</v>
      </c>
      <c r="F1634" s="460" t="s">
        <v>2621</v>
      </c>
      <c r="G1634" s="460"/>
      <c r="H1634" s="461" t="s">
        <v>2651</v>
      </c>
      <c r="I1634" s="547">
        <f>ROUND(10,2)</f>
        <v>10</v>
      </c>
      <c r="J1634" s="460" t="s">
        <v>2651</v>
      </c>
      <c r="K1634" s="460" t="s">
        <v>2613</v>
      </c>
    </row>
    <row r="1635" spans="1:11" ht="14.4">
      <c r="A1635" s="460" t="s">
        <v>1810</v>
      </c>
      <c r="B1635" s="460" t="s">
        <v>1469</v>
      </c>
      <c r="C1635" s="460"/>
      <c r="D1635" s="460" t="s">
        <v>1814</v>
      </c>
      <c r="E1635" s="460" t="s">
        <v>1812</v>
      </c>
      <c r="F1635" s="460" t="s">
        <v>2625</v>
      </c>
      <c r="G1635" s="547">
        <f>ROUND(50,2)</f>
        <v>50</v>
      </c>
      <c r="H1635" s="461"/>
      <c r="I1635" s="547">
        <f>ROUND(50,2)</f>
        <v>50</v>
      </c>
      <c r="J1635" s="460"/>
      <c r="K1635" s="460" t="s">
        <v>2613</v>
      </c>
    </row>
    <row r="1636" spans="1:11" ht="14.4">
      <c r="A1636" s="460" t="s">
        <v>1810</v>
      </c>
      <c r="B1636" s="460" t="s">
        <v>1469</v>
      </c>
      <c r="C1636" s="460"/>
      <c r="D1636" s="460" t="s">
        <v>1814</v>
      </c>
      <c r="E1636" s="460" t="s">
        <v>1812</v>
      </c>
      <c r="F1636" s="460" t="s">
        <v>2632</v>
      </c>
      <c r="G1636" s="547">
        <f>ROUND(166.67,2)</f>
        <v>166.67</v>
      </c>
      <c r="H1636" s="461"/>
      <c r="I1636" s="547">
        <f>ROUND(166.67,2)</f>
        <v>166.67</v>
      </c>
      <c r="J1636" s="460"/>
      <c r="K1636" s="460" t="s">
        <v>2613</v>
      </c>
    </row>
    <row r="1637" spans="1:11" ht="14.4">
      <c r="A1637" s="460" t="s">
        <v>1810</v>
      </c>
      <c r="B1637" s="460" t="s">
        <v>1469</v>
      </c>
      <c r="C1637" s="460"/>
      <c r="D1637" s="460" t="s">
        <v>1814</v>
      </c>
      <c r="E1637" s="460" t="s">
        <v>1812</v>
      </c>
      <c r="F1637" s="460" t="s">
        <v>2612</v>
      </c>
      <c r="G1637" s="460"/>
      <c r="H1637" s="461"/>
      <c r="I1637" s="460"/>
      <c r="J1637" s="460"/>
      <c r="K1637" s="460" t="s">
        <v>2613</v>
      </c>
    </row>
    <row r="1638" spans="1:11" ht="14.4">
      <c r="A1638" s="460" t="s">
        <v>1810</v>
      </c>
      <c r="B1638" s="460" t="s">
        <v>1469</v>
      </c>
      <c r="C1638" s="460"/>
      <c r="D1638" s="460" t="s">
        <v>1814</v>
      </c>
      <c r="E1638" s="460" t="s">
        <v>1812</v>
      </c>
      <c r="F1638" s="460" t="s">
        <v>2626</v>
      </c>
      <c r="G1638" s="547">
        <f>ROUND(10,2)</f>
        <v>10</v>
      </c>
      <c r="H1638" s="461"/>
      <c r="I1638" s="547">
        <f>ROUND(10,2)</f>
        <v>10</v>
      </c>
      <c r="J1638" s="460"/>
      <c r="K1638" s="460" t="s">
        <v>2613</v>
      </c>
    </row>
    <row r="1639" spans="1:11" ht="14.4">
      <c r="A1639" s="460" t="s">
        <v>1810</v>
      </c>
      <c r="B1639" s="460" t="s">
        <v>1469</v>
      </c>
      <c r="C1639" s="460"/>
      <c r="D1639" s="460" t="s">
        <v>1814</v>
      </c>
      <c r="E1639" s="460" t="s">
        <v>1812</v>
      </c>
      <c r="F1639" s="460" t="s">
        <v>2614</v>
      </c>
      <c r="G1639" s="460"/>
      <c r="H1639" s="461" t="s">
        <v>2615</v>
      </c>
      <c r="I1639" s="547">
        <f>ROUND(7,2)</f>
        <v>7</v>
      </c>
      <c r="J1639" s="460" t="s">
        <v>2615</v>
      </c>
      <c r="K1639" s="460" t="s">
        <v>2613</v>
      </c>
    </row>
    <row r="1640" spans="1:11" ht="22.8">
      <c r="A1640" s="460" t="s">
        <v>1810</v>
      </c>
      <c r="B1640" s="460" t="s">
        <v>1470</v>
      </c>
      <c r="C1640" s="460"/>
      <c r="D1640" s="460" t="s">
        <v>1841</v>
      </c>
      <c r="E1640" s="460" t="s">
        <v>2015</v>
      </c>
      <c r="F1640" s="460" t="s">
        <v>2612</v>
      </c>
      <c r="G1640" s="460"/>
      <c r="H1640" s="461"/>
      <c r="I1640" s="460"/>
      <c r="J1640" s="460"/>
      <c r="K1640" s="460" t="s">
        <v>2613</v>
      </c>
    </row>
    <row r="1641" spans="1:11" ht="22.8">
      <c r="A1641" s="460" t="s">
        <v>1810</v>
      </c>
      <c r="B1641" s="460" t="s">
        <v>1470</v>
      </c>
      <c r="C1641" s="460"/>
      <c r="D1641" s="460" t="s">
        <v>1841</v>
      </c>
      <c r="E1641" s="460" t="s">
        <v>2015</v>
      </c>
      <c r="F1641" s="460" t="s">
        <v>2632</v>
      </c>
      <c r="G1641" s="547">
        <f>ROUND(62.5,2)</f>
        <v>62.5</v>
      </c>
      <c r="H1641" s="461"/>
      <c r="I1641" s="547">
        <f>ROUND(62.5,2)</f>
        <v>62.5</v>
      </c>
      <c r="J1641" s="460"/>
      <c r="K1641" s="460" t="s">
        <v>2613</v>
      </c>
    </row>
    <row r="1642" spans="1:11" ht="22.8">
      <c r="A1642" s="460" t="s">
        <v>1810</v>
      </c>
      <c r="B1642" s="460" t="s">
        <v>1470</v>
      </c>
      <c r="C1642" s="460"/>
      <c r="D1642" s="460" t="s">
        <v>1841</v>
      </c>
      <c r="E1642" s="460" t="s">
        <v>2015</v>
      </c>
      <c r="F1642" s="460" t="s">
        <v>2614</v>
      </c>
      <c r="G1642" s="460"/>
      <c r="H1642" s="461" t="s">
        <v>2615</v>
      </c>
      <c r="I1642" s="547">
        <f>ROUND(7,2)</f>
        <v>7</v>
      </c>
      <c r="J1642" s="460" t="s">
        <v>2615</v>
      </c>
      <c r="K1642" s="460" t="s">
        <v>2613</v>
      </c>
    </row>
    <row r="1643" spans="1:11" ht="22.8">
      <c r="A1643" s="460" t="s">
        <v>1810</v>
      </c>
      <c r="B1643" s="460" t="s">
        <v>1470</v>
      </c>
      <c r="C1643" s="460"/>
      <c r="D1643" s="460" t="s">
        <v>1841</v>
      </c>
      <c r="E1643" s="460" t="s">
        <v>2015</v>
      </c>
      <c r="F1643" s="460" t="s">
        <v>2616</v>
      </c>
      <c r="G1643" s="460"/>
      <c r="H1643" s="461"/>
      <c r="I1643" s="460"/>
      <c r="J1643" s="460"/>
      <c r="K1643" s="460" t="s">
        <v>2613</v>
      </c>
    </row>
    <row r="1644" spans="1:11" ht="22.8">
      <c r="A1644" s="460" t="s">
        <v>1810</v>
      </c>
      <c r="B1644" s="460" t="s">
        <v>1470</v>
      </c>
      <c r="C1644" s="460"/>
      <c r="D1644" s="460" t="s">
        <v>1841</v>
      </c>
      <c r="E1644" s="460" t="s">
        <v>2015</v>
      </c>
      <c r="F1644" s="460" t="s">
        <v>2617</v>
      </c>
      <c r="G1644" s="547">
        <f>ROUND(75,2)</f>
        <v>75</v>
      </c>
      <c r="H1644" s="461"/>
      <c r="I1644" s="547">
        <f>ROUND(75,2)</f>
        <v>75</v>
      </c>
      <c r="J1644" s="460"/>
      <c r="K1644" s="460" t="s">
        <v>2613</v>
      </c>
    </row>
    <row r="1645" spans="1:11" ht="22.8">
      <c r="A1645" s="460" t="s">
        <v>1810</v>
      </c>
      <c r="B1645" s="460" t="s">
        <v>1470</v>
      </c>
      <c r="C1645" s="460"/>
      <c r="D1645" s="460" t="s">
        <v>1841</v>
      </c>
      <c r="E1645" s="460" t="s">
        <v>2015</v>
      </c>
      <c r="F1645" s="460" t="s">
        <v>2618</v>
      </c>
      <c r="G1645" s="547">
        <f>ROUND(47.5,2)</f>
        <v>47.5</v>
      </c>
      <c r="H1645" s="461"/>
      <c r="I1645" s="547">
        <f>ROUND(47.5,2)</f>
        <v>47.5</v>
      </c>
      <c r="J1645" s="460"/>
      <c r="K1645" s="460" t="s">
        <v>2613</v>
      </c>
    </row>
    <row r="1646" spans="1:11" ht="14.4">
      <c r="A1646" s="460" t="s">
        <v>1810</v>
      </c>
      <c r="B1646" s="460" t="s">
        <v>1336</v>
      </c>
      <c r="C1646" s="460"/>
      <c r="D1646" s="460" t="s">
        <v>1814</v>
      </c>
      <c r="E1646" s="460" t="s">
        <v>1812</v>
      </c>
      <c r="F1646" s="460" t="s">
        <v>2632</v>
      </c>
      <c r="G1646" s="547">
        <f>ROUND(41.67,2)</f>
        <v>41.67</v>
      </c>
      <c r="H1646" s="461"/>
      <c r="I1646" s="547">
        <f>ROUND(41.67,2)</f>
        <v>41.67</v>
      </c>
      <c r="J1646" s="460"/>
      <c r="K1646" s="460" t="s">
        <v>2613</v>
      </c>
    </row>
    <row r="1647" spans="1:11" ht="14.4">
      <c r="A1647" s="460" t="s">
        <v>1810</v>
      </c>
      <c r="B1647" s="460" t="s">
        <v>1336</v>
      </c>
      <c r="C1647" s="460"/>
      <c r="D1647" s="460" t="s">
        <v>1814</v>
      </c>
      <c r="E1647" s="460" t="s">
        <v>1812</v>
      </c>
      <c r="F1647" s="460" t="s">
        <v>2612</v>
      </c>
      <c r="G1647" s="460"/>
      <c r="H1647" s="461"/>
      <c r="I1647" s="460"/>
      <c r="J1647" s="460"/>
      <c r="K1647" s="460" t="s">
        <v>2613</v>
      </c>
    </row>
    <row r="1648" spans="1:11" ht="14.4">
      <c r="A1648" s="460" t="s">
        <v>1810</v>
      </c>
      <c r="B1648" s="460" t="s">
        <v>1336</v>
      </c>
      <c r="C1648" s="460"/>
      <c r="D1648" s="460" t="s">
        <v>1814</v>
      </c>
      <c r="E1648" s="460" t="s">
        <v>1812</v>
      </c>
      <c r="F1648" s="460" t="s">
        <v>2623</v>
      </c>
      <c r="G1648" s="547">
        <f>ROUND(200,2)</f>
        <v>200</v>
      </c>
      <c r="H1648" s="461"/>
      <c r="I1648" s="547">
        <f>ROUND(200,2)</f>
        <v>200</v>
      </c>
      <c r="J1648" s="460"/>
      <c r="K1648" s="460" t="s">
        <v>2613</v>
      </c>
    </row>
    <row r="1649" spans="1:11" ht="14.4">
      <c r="A1649" s="460" t="s">
        <v>1810</v>
      </c>
      <c r="B1649" s="460" t="s">
        <v>1336</v>
      </c>
      <c r="C1649" s="460"/>
      <c r="D1649" s="460" t="s">
        <v>1814</v>
      </c>
      <c r="E1649" s="460" t="s">
        <v>1812</v>
      </c>
      <c r="F1649" s="460" t="s">
        <v>2656</v>
      </c>
      <c r="G1649" s="547">
        <f>ROUND(150,2)</f>
        <v>150</v>
      </c>
      <c r="H1649" s="461"/>
      <c r="I1649" s="547">
        <f>ROUND(150,2)</f>
        <v>150</v>
      </c>
      <c r="J1649" s="460"/>
      <c r="K1649" s="460" t="s">
        <v>2613</v>
      </c>
    </row>
    <row r="1650" spans="1:11" ht="14.4">
      <c r="A1650" s="460" t="s">
        <v>1810</v>
      </c>
      <c r="B1650" s="460" t="s">
        <v>1336</v>
      </c>
      <c r="C1650" s="460"/>
      <c r="D1650" s="460" t="s">
        <v>1814</v>
      </c>
      <c r="E1650" s="460" t="s">
        <v>1812</v>
      </c>
      <c r="F1650" s="460" t="s">
        <v>2627</v>
      </c>
      <c r="G1650" s="547">
        <f>ROUND(65,2)</f>
        <v>65</v>
      </c>
      <c r="H1650" s="461"/>
      <c r="I1650" s="547">
        <f>ROUND(65,2)</f>
        <v>65</v>
      </c>
      <c r="J1650" s="460"/>
      <c r="K1650" s="460" t="s">
        <v>2613</v>
      </c>
    </row>
    <row r="1651" spans="1:11" ht="14.4">
      <c r="A1651" s="460" t="s">
        <v>1810</v>
      </c>
      <c r="B1651" s="460" t="s">
        <v>1336</v>
      </c>
      <c r="C1651" s="460"/>
      <c r="D1651" s="460" t="s">
        <v>1814</v>
      </c>
      <c r="E1651" s="460" t="s">
        <v>1812</v>
      </c>
      <c r="F1651" s="460" t="s">
        <v>2626</v>
      </c>
      <c r="G1651" s="547">
        <f>ROUND(10,2)</f>
        <v>10</v>
      </c>
      <c r="H1651" s="461"/>
      <c r="I1651" s="547">
        <f>ROUND(10,2)</f>
        <v>10</v>
      </c>
      <c r="J1651" s="460"/>
      <c r="K1651" s="460" t="s">
        <v>2613</v>
      </c>
    </row>
    <row r="1652" spans="1:11" ht="14.4">
      <c r="A1652" s="460" t="s">
        <v>1810</v>
      </c>
      <c r="B1652" s="460" t="s">
        <v>1336</v>
      </c>
      <c r="C1652" s="460"/>
      <c r="D1652" s="460" t="s">
        <v>1814</v>
      </c>
      <c r="E1652" s="460" t="s">
        <v>1812</v>
      </c>
      <c r="F1652" s="460" t="s">
        <v>2614</v>
      </c>
      <c r="G1652" s="460"/>
      <c r="H1652" s="461" t="s">
        <v>2615</v>
      </c>
      <c r="I1652" s="547">
        <f>ROUND(7,2)</f>
        <v>7</v>
      </c>
      <c r="J1652" s="460" t="s">
        <v>2615</v>
      </c>
      <c r="K1652" s="460" t="s">
        <v>2613</v>
      </c>
    </row>
    <row r="1653" spans="1:11" ht="14.4">
      <c r="A1653" s="460" t="s">
        <v>1810</v>
      </c>
      <c r="B1653" s="460" t="s">
        <v>1336</v>
      </c>
      <c r="C1653" s="460"/>
      <c r="D1653" s="460" t="s">
        <v>1814</v>
      </c>
      <c r="E1653" s="460" t="s">
        <v>1812</v>
      </c>
      <c r="F1653" s="460" t="s">
        <v>2620</v>
      </c>
      <c r="G1653" s="547">
        <f>ROUND(10.22,2)</f>
        <v>10.220000000000001</v>
      </c>
      <c r="H1653" s="461"/>
      <c r="I1653" s="547">
        <f>ROUND(10.22,2)</f>
        <v>10.220000000000001</v>
      </c>
      <c r="J1653" s="460"/>
      <c r="K1653" s="460" t="s">
        <v>2613</v>
      </c>
    </row>
    <row r="1654" spans="1:11" ht="14.4">
      <c r="A1654" s="460" t="s">
        <v>1810</v>
      </c>
      <c r="B1654" s="460" t="s">
        <v>1336</v>
      </c>
      <c r="C1654" s="460"/>
      <c r="D1654" s="460" t="s">
        <v>1814</v>
      </c>
      <c r="E1654" s="460" t="s">
        <v>1812</v>
      </c>
      <c r="F1654" s="460" t="s">
        <v>2616</v>
      </c>
      <c r="G1654" s="460"/>
      <c r="H1654" s="461"/>
      <c r="I1654" s="460"/>
      <c r="J1654" s="460"/>
      <c r="K1654" s="460" t="s">
        <v>2613</v>
      </c>
    </row>
    <row r="1655" spans="1:11" ht="14.4">
      <c r="A1655" s="460" t="s">
        <v>1810</v>
      </c>
      <c r="B1655" s="460" t="s">
        <v>2911</v>
      </c>
      <c r="C1655" s="460"/>
      <c r="D1655" s="460" t="s">
        <v>1816</v>
      </c>
      <c r="E1655" s="460" t="s">
        <v>2611</v>
      </c>
      <c r="F1655" s="460" t="s">
        <v>2612</v>
      </c>
      <c r="G1655" s="460"/>
      <c r="H1655" s="461"/>
      <c r="I1655" s="460"/>
      <c r="J1655" s="460"/>
      <c r="K1655" s="460" t="s">
        <v>2613</v>
      </c>
    </row>
    <row r="1656" spans="1:11" ht="14.4">
      <c r="A1656" s="460" t="s">
        <v>1810</v>
      </c>
      <c r="B1656" s="460" t="s">
        <v>1494</v>
      </c>
      <c r="C1656" s="460"/>
      <c r="D1656" s="460" t="s">
        <v>1835</v>
      </c>
      <c r="E1656" s="460" t="s">
        <v>1812</v>
      </c>
      <c r="F1656" s="460" t="s">
        <v>2612</v>
      </c>
      <c r="G1656" s="460"/>
      <c r="H1656" s="461"/>
      <c r="I1656" s="460"/>
      <c r="J1656" s="460"/>
      <c r="K1656" s="460" t="s">
        <v>2613</v>
      </c>
    </row>
    <row r="1657" spans="1:11" ht="14.4">
      <c r="A1657" s="460" t="s">
        <v>1810</v>
      </c>
      <c r="B1657" s="460" t="s">
        <v>1494</v>
      </c>
      <c r="C1657" s="460"/>
      <c r="D1657" s="460" t="s">
        <v>1835</v>
      </c>
      <c r="E1657" s="460" t="s">
        <v>1812</v>
      </c>
      <c r="F1657" s="460" t="s">
        <v>2619</v>
      </c>
      <c r="G1657" s="547">
        <f>ROUND(100,2)</f>
        <v>100</v>
      </c>
      <c r="H1657" s="461"/>
      <c r="I1657" s="547">
        <f>ROUND(100,2)</f>
        <v>100</v>
      </c>
      <c r="J1657" s="460"/>
      <c r="K1657" s="460" t="s">
        <v>2613</v>
      </c>
    </row>
    <row r="1658" spans="1:11" ht="14.4">
      <c r="A1658" s="460" t="s">
        <v>1810</v>
      </c>
      <c r="B1658" s="460" t="s">
        <v>1494</v>
      </c>
      <c r="C1658" s="460"/>
      <c r="D1658" s="460" t="s">
        <v>1835</v>
      </c>
      <c r="E1658" s="460" t="s">
        <v>1812</v>
      </c>
      <c r="F1658" s="460" t="s">
        <v>2645</v>
      </c>
      <c r="G1658" s="547">
        <f>ROUND(25,2)</f>
        <v>25</v>
      </c>
      <c r="H1658" s="461"/>
      <c r="I1658" s="547">
        <f>ROUND(25,2)</f>
        <v>25</v>
      </c>
      <c r="J1658" s="460"/>
      <c r="K1658" s="460" t="s">
        <v>2613</v>
      </c>
    </row>
    <row r="1659" spans="1:11" ht="14.4">
      <c r="A1659" s="460" t="s">
        <v>1810</v>
      </c>
      <c r="B1659" s="460" t="s">
        <v>1494</v>
      </c>
      <c r="C1659" s="460"/>
      <c r="D1659" s="460" t="s">
        <v>1835</v>
      </c>
      <c r="E1659" s="460" t="s">
        <v>1812</v>
      </c>
      <c r="F1659" s="460" t="s">
        <v>2614</v>
      </c>
      <c r="G1659" s="460"/>
      <c r="H1659" s="461" t="s">
        <v>2615</v>
      </c>
      <c r="I1659" s="547">
        <f>ROUND(7,2)</f>
        <v>7</v>
      </c>
      <c r="J1659" s="460" t="s">
        <v>2615</v>
      </c>
      <c r="K1659" s="460" t="s">
        <v>2613</v>
      </c>
    </row>
    <row r="1660" spans="1:11" ht="14.4">
      <c r="A1660" s="460" t="s">
        <v>1810</v>
      </c>
      <c r="B1660" s="460" t="s">
        <v>1494</v>
      </c>
      <c r="C1660" s="460"/>
      <c r="D1660" s="460" t="s">
        <v>1835</v>
      </c>
      <c r="E1660" s="460" t="s">
        <v>1812</v>
      </c>
      <c r="F1660" s="460" t="s">
        <v>2624</v>
      </c>
      <c r="G1660" s="547">
        <f>ROUND(75,2)</f>
        <v>75</v>
      </c>
      <c r="H1660" s="461"/>
      <c r="I1660" s="547">
        <f>ROUND(75,2)</f>
        <v>75</v>
      </c>
      <c r="J1660" s="460"/>
      <c r="K1660" s="460" t="s">
        <v>2613</v>
      </c>
    </row>
    <row r="1661" spans="1:11" ht="14.4">
      <c r="A1661" s="460" t="s">
        <v>1810</v>
      </c>
      <c r="B1661" s="460" t="s">
        <v>1494</v>
      </c>
      <c r="C1661" s="460"/>
      <c r="D1661" s="460" t="s">
        <v>1835</v>
      </c>
      <c r="E1661" s="460" t="s">
        <v>1812</v>
      </c>
      <c r="F1661" s="460" t="s">
        <v>2616</v>
      </c>
      <c r="G1661" s="460"/>
      <c r="H1661" s="461"/>
      <c r="I1661" s="460"/>
      <c r="J1661" s="460"/>
      <c r="K1661" s="460" t="s">
        <v>2613</v>
      </c>
    </row>
    <row r="1662" spans="1:11" ht="14.4">
      <c r="A1662" s="460" t="s">
        <v>1810</v>
      </c>
      <c r="B1662" s="460" t="s">
        <v>2443</v>
      </c>
      <c r="C1662" s="460"/>
      <c r="D1662" s="460" t="s">
        <v>1816</v>
      </c>
      <c r="E1662" s="460" t="s">
        <v>2611</v>
      </c>
      <c r="F1662" s="460" t="s">
        <v>2612</v>
      </c>
      <c r="G1662" s="460"/>
      <c r="H1662" s="461"/>
      <c r="I1662" s="460"/>
      <c r="J1662" s="460"/>
      <c r="K1662" s="460" t="s">
        <v>2613</v>
      </c>
    </row>
    <row r="1663" spans="1:11" ht="22.8">
      <c r="A1663" s="460" t="s">
        <v>1810</v>
      </c>
      <c r="B1663" s="460" t="s">
        <v>1641</v>
      </c>
      <c r="C1663" s="460"/>
      <c r="D1663" s="460" t="s">
        <v>1828</v>
      </c>
      <c r="E1663" s="460" t="s">
        <v>1812</v>
      </c>
      <c r="F1663" s="460" t="s">
        <v>2612</v>
      </c>
      <c r="G1663" s="460"/>
      <c r="H1663" s="461"/>
      <c r="I1663" s="460"/>
      <c r="J1663" s="460"/>
      <c r="K1663" s="460" t="s">
        <v>2613</v>
      </c>
    </row>
    <row r="1664" spans="1:11" ht="22.8">
      <c r="A1664" s="460" t="s">
        <v>1810</v>
      </c>
      <c r="B1664" s="460" t="s">
        <v>1641</v>
      </c>
      <c r="C1664" s="460"/>
      <c r="D1664" s="460" t="s">
        <v>1828</v>
      </c>
      <c r="E1664" s="460" t="s">
        <v>1812</v>
      </c>
      <c r="F1664" s="460" t="s">
        <v>2614</v>
      </c>
      <c r="G1664" s="460"/>
      <c r="H1664" s="461" t="s">
        <v>2615</v>
      </c>
      <c r="I1664" s="547">
        <f>ROUND(7,2)</f>
        <v>7</v>
      </c>
      <c r="J1664" s="460" t="s">
        <v>2615</v>
      </c>
      <c r="K1664" s="460" t="s">
        <v>2613</v>
      </c>
    </row>
    <row r="1665" spans="1:11" ht="22.8">
      <c r="A1665" s="460" t="s">
        <v>1810</v>
      </c>
      <c r="B1665" s="460" t="s">
        <v>1641</v>
      </c>
      <c r="C1665" s="460"/>
      <c r="D1665" s="460" t="s">
        <v>1828</v>
      </c>
      <c r="E1665" s="460" t="s">
        <v>1812</v>
      </c>
      <c r="F1665" s="460" t="s">
        <v>2616</v>
      </c>
      <c r="G1665" s="460"/>
      <c r="H1665" s="461"/>
      <c r="I1665" s="460"/>
      <c r="J1665" s="460"/>
      <c r="K1665" s="460" t="s">
        <v>2613</v>
      </c>
    </row>
    <row r="1666" spans="1:11" ht="22.8">
      <c r="A1666" s="460" t="s">
        <v>1810</v>
      </c>
      <c r="B1666" s="460" t="s">
        <v>1546</v>
      </c>
      <c r="C1666" s="460"/>
      <c r="D1666" s="460" t="s">
        <v>1813</v>
      </c>
      <c r="E1666" s="460" t="s">
        <v>1812</v>
      </c>
      <c r="F1666" s="460" t="s">
        <v>2612</v>
      </c>
      <c r="G1666" s="460"/>
      <c r="H1666" s="461"/>
      <c r="I1666" s="460"/>
      <c r="J1666" s="460"/>
      <c r="K1666" s="460" t="s">
        <v>2613</v>
      </c>
    </row>
    <row r="1667" spans="1:11" ht="22.8">
      <c r="A1667" s="460" t="s">
        <v>1810</v>
      </c>
      <c r="B1667" s="460" t="s">
        <v>1546</v>
      </c>
      <c r="C1667" s="460"/>
      <c r="D1667" s="460" t="s">
        <v>1813</v>
      </c>
      <c r="E1667" s="460" t="s">
        <v>1812</v>
      </c>
      <c r="F1667" s="460" t="s">
        <v>2614</v>
      </c>
      <c r="G1667" s="460"/>
      <c r="H1667" s="461" t="s">
        <v>2615</v>
      </c>
      <c r="I1667" s="547">
        <f>ROUND(7,2)</f>
        <v>7</v>
      </c>
      <c r="J1667" s="460" t="s">
        <v>2615</v>
      </c>
      <c r="K1667" s="460" t="s">
        <v>2613</v>
      </c>
    </row>
    <row r="1668" spans="1:11" ht="22.8">
      <c r="A1668" s="460" t="s">
        <v>1810</v>
      </c>
      <c r="B1668" s="460" t="s">
        <v>1546</v>
      </c>
      <c r="C1668" s="460"/>
      <c r="D1668" s="460" t="s">
        <v>1813</v>
      </c>
      <c r="E1668" s="460" t="s">
        <v>1812</v>
      </c>
      <c r="F1668" s="460" t="s">
        <v>2616</v>
      </c>
      <c r="G1668" s="460"/>
      <c r="H1668" s="461"/>
      <c r="I1668" s="460"/>
      <c r="J1668" s="460"/>
      <c r="K1668" s="460" t="s">
        <v>2613</v>
      </c>
    </row>
    <row r="1669" spans="1:11" ht="14.4">
      <c r="A1669" s="460" t="s">
        <v>1810</v>
      </c>
      <c r="B1669" s="460" t="s">
        <v>2429</v>
      </c>
      <c r="C1669" s="460"/>
      <c r="D1669" s="460" t="s">
        <v>1816</v>
      </c>
      <c r="E1669" s="460" t="s">
        <v>2611</v>
      </c>
      <c r="F1669" s="460" t="s">
        <v>2612</v>
      </c>
      <c r="G1669" s="460"/>
      <c r="H1669" s="461"/>
      <c r="I1669" s="460"/>
      <c r="J1669" s="460"/>
      <c r="K1669" s="460" t="s">
        <v>2613</v>
      </c>
    </row>
    <row r="1670" spans="1:11" ht="22.8">
      <c r="A1670" s="460" t="s">
        <v>1810</v>
      </c>
      <c r="B1670" s="460" t="s">
        <v>1474</v>
      </c>
      <c r="C1670" s="460"/>
      <c r="D1670" s="460" t="s">
        <v>1844</v>
      </c>
      <c r="E1670" s="460" t="s">
        <v>1812</v>
      </c>
      <c r="F1670" s="460" t="s">
        <v>2612</v>
      </c>
      <c r="G1670" s="460"/>
      <c r="H1670" s="461"/>
      <c r="I1670" s="460"/>
      <c r="J1670" s="460"/>
      <c r="K1670" s="460" t="s">
        <v>2613</v>
      </c>
    </row>
    <row r="1671" spans="1:11" ht="22.8">
      <c r="A1671" s="460" t="s">
        <v>1810</v>
      </c>
      <c r="B1671" s="460" t="s">
        <v>1474</v>
      </c>
      <c r="C1671" s="460"/>
      <c r="D1671" s="460" t="s">
        <v>1844</v>
      </c>
      <c r="E1671" s="460" t="s">
        <v>1812</v>
      </c>
      <c r="F1671" s="460" t="s">
        <v>2614</v>
      </c>
      <c r="G1671" s="460"/>
      <c r="H1671" s="461" t="s">
        <v>2615</v>
      </c>
      <c r="I1671" s="547">
        <f>ROUND(7,2)</f>
        <v>7</v>
      </c>
      <c r="J1671" s="460" t="s">
        <v>2615</v>
      </c>
      <c r="K1671" s="460" t="s">
        <v>2613</v>
      </c>
    </row>
    <row r="1672" spans="1:11" ht="22.8">
      <c r="A1672" s="460" t="s">
        <v>1810</v>
      </c>
      <c r="B1672" s="460" t="s">
        <v>1474</v>
      </c>
      <c r="C1672" s="460"/>
      <c r="D1672" s="460" t="s">
        <v>1844</v>
      </c>
      <c r="E1672" s="460" t="s">
        <v>1812</v>
      </c>
      <c r="F1672" s="460" t="s">
        <v>2616</v>
      </c>
      <c r="G1672" s="460"/>
      <c r="H1672" s="461"/>
      <c r="I1672" s="460"/>
      <c r="J1672" s="460"/>
      <c r="K1672" s="460" t="s">
        <v>2613</v>
      </c>
    </row>
    <row r="1673" spans="1:11" ht="22.8">
      <c r="A1673" s="460" t="s">
        <v>1810</v>
      </c>
      <c r="B1673" s="460" t="s">
        <v>1474</v>
      </c>
      <c r="C1673" s="460"/>
      <c r="D1673" s="460" t="s">
        <v>1844</v>
      </c>
      <c r="E1673" s="460" t="s">
        <v>1812</v>
      </c>
      <c r="F1673" s="460" t="s">
        <v>2617</v>
      </c>
      <c r="G1673" s="547">
        <f>ROUND(75,2)</f>
        <v>75</v>
      </c>
      <c r="H1673" s="461"/>
      <c r="I1673" s="547">
        <f>ROUND(75,2)</f>
        <v>75</v>
      </c>
      <c r="J1673" s="460"/>
      <c r="K1673" s="460" t="s">
        <v>2613</v>
      </c>
    </row>
    <row r="1674" spans="1:11" ht="22.8">
      <c r="A1674" s="460" t="s">
        <v>1810</v>
      </c>
      <c r="B1674" s="460" t="s">
        <v>1474</v>
      </c>
      <c r="C1674" s="460"/>
      <c r="D1674" s="460" t="s">
        <v>1844</v>
      </c>
      <c r="E1674" s="460" t="s">
        <v>1812</v>
      </c>
      <c r="F1674" s="460" t="s">
        <v>2618</v>
      </c>
      <c r="G1674" s="547">
        <f>ROUND(47.5,2)</f>
        <v>47.5</v>
      </c>
      <c r="H1674" s="461"/>
      <c r="I1674" s="547">
        <f>ROUND(47.5,2)</f>
        <v>47.5</v>
      </c>
      <c r="J1674" s="460"/>
      <c r="K1674" s="460" t="s">
        <v>2613</v>
      </c>
    </row>
    <row r="1675" spans="1:11" ht="14.4">
      <c r="A1675" s="460" t="s">
        <v>1810</v>
      </c>
      <c r="B1675" s="460" t="s">
        <v>1649</v>
      </c>
      <c r="C1675" s="460"/>
      <c r="D1675" s="460" t="s">
        <v>1816</v>
      </c>
      <c r="E1675" s="460" t="s">
        <v>1812</v>
      </c>
      <c r="F1675" s="460" t="s">
        <v>2612</v>
      </c>
      <c r="G1675" s="460"/>
      <c r="H1675" s="461"/>
      <c r="I1675" s="460"/>
      <c r="J1675" s="460"/>
      <c r="K1675" s="460" t="s">
        <v>2613</v>
      </c>
    </row>
    <row r="1676" spans="1:11" ht="14.4">
      <c r="A1676" s="460" t="s">
        <v>1810</v>
      </c>
      <c r="B1676" s="460" t="s">
        <v>1649</v>
      </c>
      <c r="C1676" s="460"/>
      <c r="D1676" s="460" t="s">
        <v>1816</v>
      </c>
      <c r="E1676" s="460" t="s">
        <v>1812</v>
      </c>
      <c r="F1676" s="460" t="s">
        <v>2614</v>
      </c>
      <c r="G1676" s="460"/>
      <c r="H1676" s="461" t="s">
        <v>2615</v>
      </c>
      <c r="I1676" s="547">
        <f>ROUND(7,2)</f>
        <v>7</v>
      </c>
      <c r="J1676" s="460" t="s">
        <v>2615</v>
      </c>
      <c r="K1676" s="460" t="s">
        <v>2613</v>
      </c>
    </row>
    <row r="1677" spans="1:11" ht="14.4">
      <c r="A1677" s="460" t="s">
        <v>1810</v>
      </c>
      <c r="B1677" s="460" t="s">
        <v>1649</v>
      </c>
      <c r="C1677" s="460"/>
      <c r="D1677" s="460" t="s">
        <v>1816</v>
      </c>
      <c r="E1677" s="460" t="s">
        <v>1812</v>
      </c>
      <c r="F1677" s="460" t="s">
        <v>2616</v>
      </c>
      <c r="G1677" s="460"/>
      <c r="H1677" s="461"/>
      <c r="I1677" s="460"/>
      <c r="J1677" s="460"/>
      <c r="K1677" s="460" t="s">
        <v>2613</v>
      </c>
    </row>
    <row r="1678" spans="1:11" ht="14.4">
      <c r="A1678" s="460" t="s">
        <v>1810</v>
      </c>
      <c r="B1678" s="460" t="s">
        <v>1621</v>
      </c>
      <c r="C1678" s="460"/>
      <c r="D1678" s="460" t="s">
        <v>1816</v>
      </c>
      <c r="E1678" s="460" t="s">
        <v>2611</v>
      </c>
      <c r="F1678" s="460" t="s">
        <v>2612</v>
      </c>
      <c r="G1678" s="460"/>
      <c r="H1678" s="461"/>
      <c r="I1678" s="460"/>
      <c r="J1678" s="460"/>
      <c r="K1678" s="460" t="s">
        <v>2613</v>
      </c>
    </row>
    <row r="1679" spans="1:11" ht="14.4">
      <c r="A1679" s="460" t="s">
        <v>1810</v>
      </c>
      <c r="B1679" s="460" t="s">
        <v>1643</v>
      </c>
      <c r="C1679" s="460"/>
      <c r="D1679" s="460" t="s">
        <v>1816</v>
      </c>
      <c r="E1679" s="460" t="s">
        <v>1812</v>
      </c>
      <c r="F1679" s="460" t="s">
        <v>2612</v>
      </c>
      <c r="G1679" s="460"/>
      <c r="H1679" s="461"/>
      <c r="I1679" s="460"/>
      <c r="J1679" s="460"/>
      <c r="K1679" s="460" t="s">
        <v>2613</v>
      </c>
    </row>
    <row r="1680" spans="1:11" ht="14.4">
      <c r="A1680" s="460" t="s">
        <v>1810</v>
      </c>
      <c r="B1680" s="460" t="s">
        <v>1643</v>
      </c>
      <c r="C1680" s="460"/>
      <c r="D1680" s="460" t="s">
        <v>1816</v>
      </c>
      <c r="E1680" s="460" t="s">
        <v>1812</v>
      </c>
      <c r="F1680" s="460" t="s">
        <v>2614</v>
      </c>
      <c r="G1680" s="460"/>
      <c r="H1680" s="461" t="s">
        <v>2615</v>
      </c>
      <c r="I1680" s="547">
        <f>ROUND(7,2)</f>
        <v>7</v>
      </c>
      <c r="J1680" s="460" t="s">
        <v>2615</v>
      </c>
      <c r="K1680" s="460" t="s">
        <v>2613</v>
      </c>
    </row>
    <row r="1681" spans="1:11" ht="14.4">
      <c r="A1681" s="460" t="s">
        <v>1810</v>
      </c>
      <c r="B1681" s="460" t="s">
        <v>1643</v>
      </c>
      <c r="C1681" s="460"/>
      <c r="D1681" s="460" t="s">
        <v>1816</v>
      </c>
      <c r="E1681" s="460" t="s">
        <v>1812</v>
      </c>
      <c r="F1681" s="460" t="s">
        <v>2620</v>
      </c>
      <c r="G1681" s="547">
        <f>ROUND(10.22,2)</f>
        <v>10.220000000000001</v>
      </c>
      <c r="H1681" s="461"/>
      <c r="I1681" s="547">
        <f>ROUND(10.22,2)</f>
        <v>10.220000000000001</v>
      </c>
      <c r="J1681" s="460"/>
      <c r="K1681" s="460" t="s">
        <v>2613</v>
      </c>
    </row>
    <row r="1682" spans="1:11" ht="14.4">
      <c r="A1682" s="460" t="s">
        <v>1810</v>
      </c>
      <c r="B1682" s="460" t="s">
        <v>1643</v>
      </c>
      <c r="C1682" s="460"/>
      <c r="D1682" s="460" t="s">
        <v>1816</v>
      </c>
      <c r="E1682" s="460" t="s">
        <v>1812</v>
      </c>
      <c r="F1682" s="460" t="s">
        <v>2617</v>
      </c>
      <c r="G1682" s="547">
        <f>ROUND(75,2)</f>
        <v>75</v>
      </c>
      <c r="H1682" s="461"/>
      <c r="I1682" s="547">
        <f>ROUND(75,2)</f>
        <v>75</v>
      </c>
      <c r="J1682" s="460"/>
      <c r="K1682" s="460" t="s">
        <v>2613</v>
      </c>
    </row>
    <row r="1683" spans="1:11" ht="14.4">
      <c r="A1683" s="460" t="s">
        <v>1810</v>
      </c>
      <c r="B1683" s="460" t="s">
        <v>1643</v>
      </c>
      <c r="C1683" s="460"/>
      <c r="D1683" s="460" t="s">
        <v>1816</v>
      </c>
      <c r="E1683" s="460" t="s">
        <v>1812</v>
      </c>
      <c r="F1683" s="460" t="s">
        <v>2618</v>
      </c>
      <c r="G1683" s="547">
        <f>ROUND(30,2)</f>
        <v>30</v>
      </c>
      <c r="H1683" s="461"/>
      <c r="I1683" s="547">
        <f>ROUND(30,2)</f>
        <v>30</v>
      </c>
      <c r="J1683" s="460"/>
      <c r="K1683" s="460" t="s">
        <v>2613</v>
      </c>
    </row>
    <row r="1684" spans="1:11" ht="22.8">
      <c r="A1684" s="460" t="s">
        <v>1810</v>
      </c>
      <c r="B1684" s="460" t="s">
        <v>1530</v>
      </c>
      <c r="C1684" s="460"/>
      <c r="D1684" s="460" t="s">
        <v>1841</v>
      </c>
      <c r="E1684" s="460" t="s">
        <v>1812</v>
      </c>
      <c r="F1684" s="460" t="s">
        <v>2627</v>
      </c>
      <c r="G1684" s="547">
        <f>ROUND(600,2)</f>
        <v>600</v>
      </c>
      <c r="H1684" s="461"/>
      <c r="I1684" s="547">
        <f>ROUND(600,2)</f>
        <v>600</v>
      </c>
      <c r="J1684" s="460"/>
      <c r="K1684" s="460" t="s">
        <v>2613</v>
      </c>
    </row>
    <row r="1685" spans="1:11" ht="22.8">
      <c r="A1685" s="460" t="s">
        <v>1810</v>
      </c>
      <c r="B1685" s="460" t="s">
        <v>1530</v>
      </c>
      <c r="C1685" s="460"/>
      <c r="D1685" s="460" t="s">
        <v>1841</v>
      </c>
      <c r="E1685" s="460" t="s">
        <v>1812</v>
      </c>
      <c r="F1685" s="460" t="s">
        <v>2632</v>
      </c>
      <c r="G1685" s="547">
        <f>ROUND(62.5,2)</f>
        <v>62.5</v>
      </c>
      <c r="H1685" s="461"/>
      <c r="I1685" s="547">
        <f>ROUND(62.5,2)</f>
        <v>62.5</v>
      </c>
      <c r="J1685" s="460"/>
      <c r="K1685" s="460" t="s">
        <v>2613</v>
      </c>
    </row>
    <row r="1686" spans="1:11" ht="22.8">
      <c r="A1686" s="460" t="s">
        <v>1810</v>
      </c>
      <c r="B1686" s="460" t="s">
        <v>1530</v>
      </c>
      <c r="C1686" s="460"/>
      <c r="D1686" s="460" t="s">
        <v>1841</v>
      </c>
      <c r="E1686" s="460" t="s">
        <v>1812</v>
      </c>
      <c r="F1686" s="460" t="s">
        <v>2612</v>
      </c>
      <c r="G1686" s="460"/>
      <c r="H1686" s="461"/>
      <c r="I1686" s="460"/>
      <c r="J1686" s="460"/>
      <c r="K1686" s="460" t="s">
        <v>2613</v>
      </c>
    </row>
    <row r="1687" spans="1:11" ht="22.8">
      <c r="A1687" s="460" t="s">
        <v>1810</v>
      </c>
      <c r="B1687" s="460" t="s">
        <v>1530</v>
      </c>
      <c r="C1687" s="460"/>
      <c r="D1687" s="460" t="s">
        <v>1841</v>
      </c>
      <c r="E1687" s="460" t="s">
        <v>1812</v>
      </c>
      <c r="F1687" s="460" t="s">
        <v>2614</v>
      </c>
      <c r="G1687" s="460"/>
      <c r="H1687" s="461" t="s">
        <v>2615</v>
      </c>
      <c r="I1687" s="547">
        <f>ROUND(7,2)</f>
        <v>7</v>
      </c>
      <c r="J1687" s="460" t="s">
        <v>2615</v>
      </c>
      <c r="K1687" s="460" t="s">
        <v>2613</v>
      </c>
    </row>
    <row r="1688" spans="1:11" ht="22.8">
      <c r="A1688" s="460" t="s">
        <v>1810</v>
      </c>
      <c r="B1688" s="460" t="s">
        <v>1530</v>
      </c>
      <c r="C1688" s="460"/>
      <c r="D1688" s="460" t="s">
        <v>1841</v>
      </c>
      <c r="E1688" s="460" t="s">
        <v>1812</v>
      </c>
      <c r="F1688" s="460" t="s">
        <v>2616</v>
      </c>
      <c r="G1688" s="460"/>
      <c r="H1688" s="461"/>
      <c r="I1688" s="460"/>
      <c r="J1688" s="460"/>
      <c r="K1688" s="460" t="s">
        <v>2613</v>
      </c>
    </row>
    <row r="1689" spans="1:11" ht="22.8">
      <c r="A1689" s="460" t="s">
        <v>1810</v>
      </c>
      <c r="B1689" s="460" t="s">
        <v>1530</v>
      </c>
      <c r="C1689" s="460"/>
      <c r="D1689" s="460" t="s">
        <v>1841</v>
      </c>
      <c r="E1689" s="460" t="s">
        <v>1812</v>
      </c>
      <c r="F1689" s="460" t="s">
        <v>2617</v>
      </c>
      <c r="G1689" s="547">
        <f>ROUND(75,2)</f>
        <v>75</v>
      </c>
      <c r="H1689" s="461"/>
      <c r="I1689" s="547">
        <f>ROUND(75,2)</f>
        <v>75</v>
      </c>
      <c r="J1689" s="460"/>
      <c r="K1689" s="460" t="s">
        <v>2613</v>
      </c>
    </row>
    <row r="1690" spans="1:11" ht="22.8">
      <c r="A1690" s="460" t="s">
        <v>1810</v>
      </c>
      <c r="B1690" s="460" t="s">
        <v>1530</v>
      </c>
      <c r="C1690" s="460"/>
      <c r="D1690" s="460" t="s">
        <v>1841</v>
      </c>
      <c r="E1690" s="460" t="s">
        <v>1812</v>
      </c>
      <c r="F1690" s="460" t="s">
        <v>2618</v>
      </c>
      <c r="G1690" s="547">
        <f>ROUND(22.5,2)</f>
        <v>22.5</v>
      </c>
      <c r="H1690" s="461"/>
      <c r="I1690" s="547">
        <f>ROUND(22.5,2)</f>
        <v>22.5</v>
      </c>
      <c r="J1690" s="460"/>
      <c r="K1690" s="460" t="s">
        <v>2613</v>
      </c>
    </row>
    <row r="1691" spans="1:11" ht="22.8">
      <c r="A1691" s="460" t="s">
        <v>1810</v>
      </c>
      <c r="B1691" s="460" t="s">
        <v>1498</v>
      </c>
      <c r="C1691" s="460"/>
      <c r="D1691" s="460" t="s">
        <v>1828</v>
      </c>
      <c r="E1691" s="460" t="s">
        <v>2015</v>
      </c>
      <c r="F1691" s="460" t="s">
        <v>2637</v>
      </c>
      <c r="G1691" s="547">
        <f>ROUND(196.15,2)</f>
        <v>196.15</v>
      </c>
      <c r="H1691" s="461"/>
      <c r="I1691" s="547">
        <f>ROUND(196.15,2)</f>
        <v>196.15</v>
      </c>
      <c r="J1691" s="460"/>
      <c r="K1691" s="460" t="s">
        <v>2613</v>
      </c>
    </row>
    <row r="1692" spans="1:11" ht="22.8">
      <c r="A1692" s="460" t="s">
        <v>1810</v>
      </c>
      <c r="B1692" s="460" t="s">
        <v>1498</v>
      </c>
      <c r="C1692" s="460"/>
      <c r="D1692" s="460" t="s">
        <v>1828</v>
      </c>
      <c r="E1692" s="460" t="s">
        <v>2015</v>
      </c>
      <c r="F1692" s="460" t="s">
        <v>2612</v>
      </c>
      <c r="G1692" s="460"/>
      <c r="H1692" s="461"/>
      <c r="I1692" s="460"/>
      <c r="J1692" s="460"/>
      <c r="K1692" s="460" t="s">
        <v>2613</v>
      </c>
    </row>
    <row r="1693" spans="1:11" ht="22.8">
      <c r="A1693" s="460" t="s">
        <v>1810</v>
      </c>
      <c r="B1693" s="460" t="s">
        <v>1498</v>
      </c>
      <c r="C1693" s="460"/>
      <c r="D1693" s="460" t="s">
        <v>1828</v>
      </c>
      <c r="E1693" s="460" t="s">
        <v>2015</v>
      </c>
      <c r="F1693" s="460" t="s">
        <v>2614</v>
      </c>
      <c r="G1693" s="460"/>
      <c r="H1693" s="461" t="s">
        <v>2615</v>
      </c>
      <c r="I1693" s="547">
        <f>ROUND(7,2)</f>
        <v>7</v>
      </c>
      <c r="J1693" s="460" t="s">
        <v>2615</v>
      </c>
      <c r="K1693" s="460" t="s">
        <v>2613</v>
      </c>
    </row>
    <row r="1694" spans="1:11" ht="22.8">
      <c r="A1694" s="460" t="s">
        <v>1810</v>
      </c>
      <c r="B1694" s="460" t="s">
        <v>1498</v>
      </c>
      <c r="C1694" s="460"/>
      <c r="D1694" s="460" t="s">
        <v>1828</v>
      </c>
      <c r="E1694" s="460" t="s">
        <v>2015</v>
      </c>
      <c r="F1694" s="460" t="s">
        <v>2617</v>
      </c>
      <c r="G1694" s="547">
        <f>ROUND(75,2)</f>
        <v>75</v>
      </c>
      <c r="H1694" s="461"/>
      <c r="I1694" s="547">
        <f>ROUND(75,2)</f>
        <v>75</v>
      </c>
      <c r="J1694" s="460"/>
      <c r="K1694" s="460" t="s">
        <v>2613</v>
      </c>
    </row>
    <row r="1695" spans="1:11" ht="22.8">
      <c r="A1695" s="460" t="s">
        <v>1810</v>
      </c>
      <c r="B1695" s="460" t="s">
        <v>1498</v>
      </c>
      <c r="C1695" s="460"/>
      <c r="D1695" s="460" t="s">
        <v>1828</v>
      </c>
      <c r="E1695" s="460" t="s">
        <v>2015</v>
      </c>
      <c r="F1695" s="460" t="s">
        <v>2618</v>
      </c>
      <c r="G1695" s="547">
        <f>ROUND(22.5,2)</f>
        <v>22.5</v>
      </c>
      <c r="H1695" s="461"/>
      <c r="I1695" s="547">
        <f>ROUND(22.5,2)</f>
        <v>22.5</v>
      </c>
      <c r="J1695" s="460"/>
      <c r="K1695" s="460" t="s">
        <v>2613</v>
      </c>
    </row>
    <row r="1696" spans="1:11" ht="22.8">
      <c r="A1696" s="460" t="s">
        <v>1810</v>
      </c>
      <c r="B1696" s="460" t="s">
        <v>1498</v>
      </c>
      <c r="C1696" s="460"/>
      <c r="D1696" s="460" t="s">
        <v>1828</v>
      </c>
      <c r="E1696" s="460" t="s">
        <v>2015</v>
      </c>
      <c r="F1696" s="460" t="s">
        <v>2616</v>
      </c>
      <c r="G1696" s="460"/>
      <c r="H1696" s="461"/>
      <c r="I1696" s="460"/>
      <c r="J1696" s="460"/>
      <c r="K1696" s="460" t="s">
        <v>2613</v>
      </c>
    </row>
    <row r="1697" spans="1:11" ht="14.4">
      <c r="A1697" s="460" t="s">
        <v>1810</v>
      </c>
      <c r="B1697" s="460" t="s">
        <v>1609</v>
      </c>
      <c r="C1697" s="460"/>
      <c r="D1697" s="460" t="s">
        <v>1821</v>
      </c>
      <c r="E1697" s="460" t="s">
        <v>1812</v>
      </c>
      <c r="F1697" s="460" t="s">
        <v>2645</v>
      </c>
      <c r="G1697" s="547">
        <f>ROUND(25,2)</f>
        <v>25</v>
      </c>
      <c r="H1697" s="461"/>
      <c r="I1697" s="547">
        <f>ROUND(25,2)</f>
        <v>25</v>
      </c>
      <c r="J1697" s="460"/>
      <c r="K1697" s="460" t="s">
        <v>2613</v>
      </c>
    </row>
    <row r="1698" spans="1:11" ht="14.4">
      <c r="A1698" s="460" t="s">
        <v>1810</v>
      </c>
      <c r="B1698" s="460" t="s">
        <v>1609</v>
      </c>
      <c r="C1698" s="460"/>
      <c r="D1698" s="460" t="s">
        <v>1821</v>
      </c>
      <c r="E1698" s="460" t="s">
        <v>1812</v>
      </c>
      <c r="F1698" s="460" t="s">
        <v>2612</v>
      </c>
      <c r="G1698" s="460"/>
      <c r="H1698" s="461"/>
      <c r="I1698" s="460"/>
      <c r="J1698" s="460"/>
      <c r="K1698" s="460" t="s">
        <v>2613</v>
      </c>
    </row>
    <row r="1699" spans="1:11" ht="14.4">
      <c r="A1699" s="460" t="s">
        <v>1810</v>
      </c>
      <c r="B1699" s="460" t="s">
        <v>1609</v>
      </c>
      <c r="C1699" s="460"/>
      <c r="D1699" s="460" t="s">
        <v>1821</v>
      </c>
      <c r="E1699" s="460" t="s">
        <v>1812</v>
      </c>
      <c r="F1699" s="460" t="s">
        <v>2614</v>
      </c>
      <c r="G1699" s="460"/>
      <c r="H1699" s="461" t="s">
        <v>2615</v>
      </c>
      <c r="I1699" s="547">
        <f>ROUND(7,2)</f>
        <v>7</v>
      </c>
      <c r="J1699" s="460" t="s">
        <v>2615</v>
      </c>
      <c r="K1699" s="460" t="s">
        <v>2613</v>
      </c>
    </row>
    <row r="1700" spans="1:11" ht="14.4">
      <c r="A1700" s="460" t="s">
        <v>1810</v>
      </c>
      <c r="B1700" s="460" t="s">
        <v>1609</v>
      </c>
      <c r="C1700" s="460"/>
      <c r="D1700" s="460" t="s">
        <v>1821</v>
      </c>
      <c r="E1700" s="460" t="s">
        <v>1812</v>
      </c>
      <c r="F1700" s="460" t="s">
        <v>2634</v>
      </c>
      <c r="G1700" s="547">
        <f>ROUND(34,2)</f>
        <v>34</v>
      </c>
      <c r="H1700" s="461"/>
      <c r="I1700" s="547">
        <f>ROUND(34,2)</f>
        <v>34</v>
      </c>
      <c r="J1700" s="460"/>
      <c r="K1700" s="460" t="s">
        <v>2613</v>
      </c>
    </row>
    <row r="1701" spans="1:11" ht="14.4">
      <c r="A1701" s="460" t="s">
        <v>1810</v>
      </c>
      <c r="B1701" s="460" t="s">
        <v>1609</v>
      </c>
      <c r="C1701" s="460"/>
      <c r="D1701" s="460" t="s">
        <v>1821</v>
      </c>
      <c r="E1701" s="460" t="s">
        <v>1812</v>
      </c>
      <c r="F1701" s="460" t="s">
        <v>2616</v>
      </c>
      <c r="G1701" s="460"/>
      <c r="H1701" s="461"/>
      <c r="I1701" s="460"/>
      <c r="J1701" s="460"/>
      <c r="K1701" s="460" t="s">
        <v>2613</v>
      </c>
    </row>
    <row r="1702" spans="1:11" ht="14.4">
      <c r="A1702" s="460" t="s">
        <v>1810</v>
      </c>
      <c r="B1702" s="460" t="s">
        <v>2901</v>
      </c>
      <c r="C1702" s="460"/>
      <c r="D1702" s="460" t="s">
        <v>1816</v>
      </c>
      <c r="E1702" s="460" t="s">
        <v>2611</v>
      </c>
      <c r="F1702" s="460" t="s">
        <v>2612</v>
      </c>
      <c r="G1702" s="460"/>
      <c r="H1702" s="461"/>
      <c r="I1702" s="460"/>
      <c r="J1702" s="460"/>
      <c r="K1702" s="460" t="s">
        <v>2613</v>
      </c>
    </row>
    <row r="1703" spans="1:11" ht="14.4">
      <c r="A1703" s="460" t="s">
        <v>1810</v>
      </c>
      <c r="B1703" s="460" t="s">
        <v>2494</v>
      </c>
      <c r="C1703" s="460"/>
      <c r="D1703" s="460" t="s">
        <v>1814</v>
      </c>
      <c r="E1703" s="460" t="s">
        <v>1812</v>
      </c>
      <c r="F1703" s="460" t="s">
        <v>2629</v>
      </c>
      <c r="G1703" s="547">
        <f>ROUND(30,2)</f>
        <v>30</v>
      </c>
      <c r="H1703" s="461"/>
      <c r="I1703" s="547">
        <f>ROUND(30,2)</f>
        <v>30</v>
      </c>
      <c r="J1703" s="460"/>
      <c r="K1703" s="460" t="s">
        <v>2613</v>
      </c>
    </row>
    <row r="1704" spans="1:11" ht="14.4">
      <c r="A1704" s="460" t="s">
        <v>1810</v>
      </c>
      <c r="B1704" s="460" t="s">
        <v>2494</v>
      </c>
      <c r="C1704" s="460"/>
      <c r="D1704" s="460" t="s">
        <v>1814</v>
      </c>
      <c r="E1704" s="460" t="s">
        <v>1812</v>
      </c>
      <c r="F1704" s="460" t="s">
        <v>2616</v>
      </c>
      <c r="G1704" s="460"/>
      <c r="H1704" s="461"/>
      <c r="I1704" s="460"/>
      <c r="J1704" s="460"/>
      <c r="K1704" s="460" t="s">
        <v>2613</v>
      </c>
    </row>
    <row r="1705" spans="1:11" ht="14.4">
      <c r="A1705" s="460" t="s">
        <v>1810</v>
      </c>
      <c r="B1705" s="460" t="s">
        <v>2494</v>
      </c>
      <c r="C1705" s="460"/>
      <c r="D1705" s="460" t="s">
        <v>1814</v>
      </c>
      <c r="E1705" s="460" t="s">
        <v>1812</v>
      </c>
      <c r="F1705" s="460" t="s">
        <v>2614</v>
      </c>
      <c r="G1705" s="460"/>
      <c r="H1705" s="461" t="s">
        <v>2615</v>
      </c>
      <c r="I1705" s="547">
        <f>ROUND(7,2)</f>
        <v>7</v>
      </c>
      <c r="J1705" s="460" t="s">
        <v>2615</v>
      </c>
      <c r="K1705" s="460" t="s">
        <v>2613</v>
      </c>
    </row>
    <row r="1706" spans="1:11" ht="14.4">
      <c r="A1706" s="460" t="s">
        <v>1810</v>
      </c>
      <c r="B1706" s="460" t="s">
        <v>2494</v>
      </c>
      <c r="C1706" s="460"/>
      <c r="D1706" s="460" t="s">
        <v>1814</v>
      </c>
      <c r="E1706" s="460" t="s">
        <v>1812</v>
      </c>
      <c r="F1706" s="460" t="s">
        <v>2612</v>
      </c>
      <c r="G1706" s="460"/>
      <c r="H1706" s="461"/>
      <c r="I1706" s="460"/>
      <c r="J1706" s="460"/>
      <c r="K1706" s="460" t="s">
        <v>2613</v>
      </c>
    </row>
    <row r="1707" spans="1:11" ht="14.4">
      <c r="A1707" s="460" t="s">
        <v>1810</v>
      </c>
      <c r="B1707" s="460" t="s">
        <v>1475</v>
      </c>
      <c r="C1707" s="460"/>
      <c r="D1707" s="460" t="s">
        <v>1838</v>
      </c>
      <c r="E1707" s="460" t="s">
        <v>1812</v>
      </c>
      <c r="F1707" s="460" t="s">
        <v>2623</v>
      </c>
      <c r="G1707" s="547">
        <f>ROUND(50,2)</f>
        <v>50</v>
      </c>
      <c r="H1707" s="461"/>
      <c r="I1707" s="547">
        <f>ROUND(50,2)</f>
        <v>50</v>
      </c>
      <c r="J1707" s="460"/>
      <c r="K1707" s="460" t="s">
        <v>2613</v>
      </c>
    </row>
    <row r="1708" spans="1:11" ht="14.4">
      <c r="A1708" s="460" t="s">
        <v>1810</v>
      </c>
      <c r="B1708" s="460" t="s">
        <v>1475</v>
      </c>
      <c r="C1708" s="460"/>
      <c r="D1708" s="460" t="s">
        <v>1838</v>
      </c>
      <c r="E1708" s="460" t="s">
        <v>1812</v>
      </c>
      <c r="F1708" s="460" t="s">
        <v>2616</v>
      </c>
      <c r="G1708" s="547">
        <f>ROUND(100,2)</f>
        <v>100</v>
      </c>
      <c r="H1708" s="461"/>
      <c r="I1708" s="547">
        <f>ROUND(100,2)</f>
        <v>100</v>
      </c>
      <c r="J1708" s="460"/>
      <c r="K1708" s="460" t="s">
        <v>2613</v>
      </c>
    </row>
    <row r="1709" spans="1:11" ht="14.4">
      <c r="A1709" s="460" t="s">
        <v>1810</v>
      </c>
      <c r="B1709" s="460" t="s">
        <v>1475</v>
      </c>
      <c r="C1709" s="460"/>
      <c r="D1709" s="460" t="s">
        <v>1838</v>
      </c>
      <c r="E1709" s="460" t="s">
        <v>1812</v>
      </c>
      <c r="F1709" s="460" t="s">
        <v>2614</v>
      </c>
      <c r="G1709" s="460"/>
      <c r="H1709" s="461" t="s">
        <v>2615</v>
      </c>
      <c r="I1709" s="547">
        <f>ROUND(7,2)</f>
        <v>7</v>
      </c>
      <c r="J1709" s="460" t="s">
        <v>2615</v>
      </c>
      <c r="K1709" s="460" t="s">
        <v>2613</v>
      </c>
    </row>
    <row r="1710" spans="1:11" ht="14.4">
      <c r="A1710" s="460" t="s">
        <v>1810</v>
      </c>
      <c r="B1710" s="460" t="s">
        <v>1475</v>
      </c>
      <c r="C1710" s="460"/>
      <c r="D1710" s="460" t="s">
        <v>1838</v>
      </c>
      <c r="E1710" s="460" t="s">
        <v>1812</v>
      </c>
      <c r="F1710" s="460" t="s">
        <v>2612</v>
      </c>
      <c r="G1710" s="460"/>
      <c r="H1710" s="461"/>
      <c r="I1710" s="460"/>
      <c r="J1710" s="460"/>
      <c r="K1710" s="460" t="s">
        <v>2613</v>
      </c>
    </row>
    <row r="1711" spans="1:11" ht="14.4">
      <c r="A1711" s="460" t="s">
        <v>1810</v>
      </c>
      <c r="B1711" s="460" t="s">
        <v>1476</v>
      </c>
      <c r="C1711" s="460"/>
      <c r="D1711" s="460" t="s">
        <v>1821</v>
      </c>
      <c r="E1711" s="460" t="s">
        <v>1812</v>
      </c>
      <c r="F1711" s="460" t="s">
        <v>2625</v>
      </c>
      <c r="G1711" s="547">
        <f>ROUND(50,2)</f>
        <v>50</v>
      </c>
      <c r="H1711" s="461"/>
      <c r="I1711" s="547">
        <f>ROUND(50,2)</f>
        <v>50</v>
      </c>
      <c r="J1711" s="460"/>
      <c r="K1711" s="460" t="s">
        <v>2613</v>
      </c>
    </row>
    <row r="1712" spans="1:11" ht="14.4">
      <c r="A1712" s="460" t="s">
        <v>1810</v>
      </c>
      <c r="B1712" s="460" t="s">
        <v>1476</v>
      </c>
      <c r="C1712" s="460"/>
      <c r="D1712" s="460" t="s">
        <v>1821</v>
      </c>
      <c r="E1712" s="460" t="s">
        <v>1812</v>
      </c>
      <c r="F1712" s="460" t="s">
        <v>2612</v>
      </c>
      <c r="G1712" s="460"/>
      <c r="H1712" s="461"/>
      <c r="I1712" s="460"/>
      <c r="J1712" s="460"/>
      <c r="K1712" s="460" t="s">
        <v>2613</v>
      </c>
    </row>
    <row r="1713" spans="1:11" ht="14.4">
      <c r="A1713" s="460" t="s">
        <v>1810</v>
      </c>
      <c r="B1713" s="460" t="s">
        <v>1476</v>
      </c>
      <c r="C1713" s="460"/>
      <c r="D1713" s="460" t="s">
        <v>1821</v>
      </c>
      <c r="E1713" s="460" t="s">
        <v>1812</v>
      </c>
      <c r="F1713" s="460" t="s">
        <v>2634</v>
      </c>
      <c r="G1713" s="547">
        <f>ROUND(29,2)</f>
        <v>29</v>
      </c>
      <c r="H1713" s="461"/>
      <c r="I1713" s="547">
        <f>ROUND(29,2)</f>
        <v>29</v>
      </c>
      <c r="J1713" s="460"/>
      <c r="K1713" s="460" t="s">
        <v>2613</v>
      </c>
    </row>
    <row r="1714" spans="1:11" ht="14.4">
      <c r="A1714" s="460" t="s">
        <v>1810</v>
      </c>
      <c r="B1714" s="460" t="s">
        <v>1476</v>
      </c>
      <c r="C1714" s="460"/>
      <c r="D1714" s="460" t="s">
        <v>1821</v>
      </c>
      <c r="E1714" s="460" t="s">
        <v>1812</v>
      </c>
      <c r="F1714" s="460" t="s">
        <v>2614</v>
      </c>
      <c r="G1714" s="460"/>
      <c r="H1714" s="461" t="s">
        <v>2615</v>
      </c>
      <c r="I1714" s="547">
        <f>ROUND(7,2)</f>
        <v>7</v>
      </c>
      <c r="J1714" s="460" t="s">
        <v>2615</v>
      </c>
      <c r="K1714" s="460" t="s">
        <v>2613</v>
      </c>
    </row>
    <row r="1715" spans="1:11" ht="14.4">
      <c r="A1715" s="460" t="s">
        <v>1810</v>
      </c>
      <c r="B1715" s="460" t="s">
        <v>1476</v>
      </c>
      <c r="C1715" s="460"/>
      <c r="D1715" s="460" t="s">
        <v>1821</v>
      </c>
      <c r="E1715" s="460" t="s">
        <v>1812</v>
      </c>
      <c r="F1715" s="460" t="s">
        <v>2619</v>
      </c>
      <c r="G1715" s="547">
        <f>ROUND(1020,2)</f>
        <v>1020</v>
      </c>
      <c r="H1715" s="461"/>
      <c r="I1715" s="547">
        <f>ROUND(1020,2)</f>
        <v>1020</v>
      </c>
      <c r="J1715" s="460"/>
      <c r="K1715" s="460" t="s">
        <v>2613</v>
      </c>
    </row>
    <row r="1716" spans="1:11" ht="14.4">
      <c r="A1716" s="460" t="s">
        <v>1810</v>
      </c>
      <c r="B1716" s="460" t="s">
        <v>1476</v>
      </c>
      <c r="C1716" s="460"/>
      <c r="D1716" s="460" t="s">
        <v>1821</v>
      </c>
      <c r="E1716" s="460" t="s">
        <v>1812</v>
      </c>
      <c r="F1716" s="460" t="s">
        <v>2620</v>
      </c>
      <c r="G1716" s="547">
        <f>ROUND(10.22,2)</f>
        <v>10.220000000000001</v>
      </c>
      <c r="H1716" s="461"/>
      <c r="I1716" s="547">
        <f>ROUND(10.22,2)</f>
        <v>10.220000000000001</v>
      </c>
      <c r="J1716" s="460"/>
      <c r="K1716" s="460" t="s">
        <v>2613</v>
      </c>
    </row>
    <row r="1717" spans="1:11" ht="14.4">
      <c r="A1717" s="460" t="s">
        <v>1810</v>
      </c>
      <c r="B1717" s="460" t="s">
        <v>1476</v>
      </c>
      <c r="C1717" s="460"/>
      <c r="D1717" s="460" t="s">
        <v>1821</v>
      </c>
      <c r="E1717" s="460" t="s">
        <v>1812</v>
      </c>
      <c r="F1717" s="460" t="s">
        <v>2616</v>
      </c>
      <c r="G1717" s="460"/>
      <c r="H1717" s="461"/>
      <c r="I1717" s="460"/>
      <c r="J1717" s="460"/>
      <c r="K1717" s="460" t="s">
        <v>2613</v>
      </c>
    </row>
    <row r="1718" spans="1:11" ht="14.4">
      <c r="A1718" s="460" t="s">
        <v>1810</v>
      </c>
      <c r="B1718" s="460" t="s">
        <v>2557</v>
      </c>
      <c r="C1718" s="460"/>
      <c r="D1718" s="460" t="s">
        <v>1816</v>
      </c>
      <c r="E1718" s="460" t="s">
        <v>2611</v>
      </c>
      <c r="F1718" s="460" t="s">
        <v>2612</v>
      </c>
      <c r="G1718" s="460"/>
      <c r="H1718" s="461"/>
      <c r="I1718" s="460"/>
      <c r="J1718" s="460"/>
      <c r="K1718" s="460" t="s">
        <v>2613</v>
      </c>
    </row>
    <row r="1719" spans="1:11" ht="14.4">
      <c r="A1719" s="460" t="s">
        <v>1810</v>
      </c>
      <c r="B1719" s="460" t="s">
        <v>1604</v>
      </c>
      <c r="C1719" s="460"/>
      <c r="D1719" s="460" t="s">
        <v>1814</v>
      </c>
      <c r="E1719" s="460" t="s">
        <v>1812</v>
      </c>
      <c r="F1719" s="460" t="s">
        <v>2625</v>
      </c>
      <c r="G1719" s="547">
        <f>ROUND(25,2)</f>
        <v>25</v>
      </c>
      <c r="H1719" s="461"/>
      <c r="I1719" s="547">
        <f>ROUND(25,2)</f>
        <v>25</v>
      </c>
      <c r="J1719" s="460"/>
      <c r="K1719" s="460" t="s">
        <v>2613</v>
      </c>
    </row>
    <row r="1720" spans="1:11" ht="14.4">
      <c r="A1720" s="460" t="s">
        <v>1810</v>
      </c>
      <c r="B1720" s="460" t="s">
        <v>1604</v>
      </c>
      <c r="C1720" s="460"/>
      <c r="D1720" s="460" t="s">
        <v>1814</v>
      </c>
      <c r="E1720" s="460" t="s">
        <v>1812</v>
      </c>
      <c r="F1720" s="460" t="s">
        <v>2632</v>
      </c>
      <c r="G1720" s="547">
        <f>ROUND(166.67,2)</f>
        <v>166.67</v>
      </c>
      <c r="H1720" s="461"/>
      <c r="I1720" s="547">
        <f>ROUND(166.67,2)</f>
        <v>166.67</v>
      </c>
      <c r="J1720" s="460"/>
      <c r="K1720" s="460" t="s">
        <v>2613</v>
      </c>
    </row>
    <row r="1721" spans="1:11" ht="14.4">
      <c r="A1721" s="460" t="s">
        <v>1810</v>
      </c>
      <c r="B1721" s="460" t="s">
        <v>1604</v>
      </c>
      <c r="C1721" s="460"/>
      <c r="D1721" s="460" t="s">
        <v>1814</v>
      </c>
      <c r="E1721" s="460" t="s">
        <v>1812</v>
      </c>
      <c r="F1721" s="460" t="s">
        <v>2623</v>
      </c>
      <c r="G1721" s="460"/>
      <c r="H1721" s="461"/>
      <c r="I1721" s="460"/>
      <c r="J1721" s="460"/>
      <c r="K1721" s="460" t="s">
        <v>2613</v>
      </c>
    </row>
    <row r="1722" spans="1:11" ht="14.4">
      <c r="A1722" s="460" t="s">
        <v>1810</v>
      </c>
      <c r="B1722" s="460" t="s">
        <v>1604</v>
      </c>
      <c r="C1722" s="460"/>
      <c r="D1722" s="460" t="s">
        <v>1814</v>
      </c>
      <c r="E1722" s="460" t="s">
        <v>1812</v>
      </c>
      <c r="F1722" s="460" t="s">
        <v>2614</v>
      </c>
      <c r="G1722" s="460"/>
      <c r="H1722" s="461" t="s">
        <v>2615</v>
      </c>
      <c r="I1722" s="547">
        <f>ROUND(7,2)</f>
        <v>7</v>
      </c>
      <c r="J1722" s="460" t="s">
        <v>2615</v>
      </c>
      <c r="K1722" s="460" t="s">
        <v>2613</v>
      </c>
    </row>
    <row r="1723" spans="1:11" ht="14.4">
      <c r="A1723" s="460" t="s">
        <v>1810</v>
      </c>
      <c r="B1723" s="460" t="s">
        <v>1604</v>
      </c>
      <c r="C1723" s="460"/>
      <c r="D1723" s="460" t="s">
        <v>1814</v>
      </c>
      <c r="E1723" s="460" t="s">
        <v>1812</v>
      </c>
      <c r="F1723" s="460" t="s">
        <v>2626</v>
      </c>
      <c r="G1723" s="547">
        <f>ROUND(10,2)</f>
        <v>10</v>
      </c>
      <c r="H1723" s="461"/>
      <c r="I1723" s="547">
        <f>ROUND(10,2)</f>
        <v>10</v>
      </c>
      <c r="J1723" s="460"/>
      <c r="K1723" s="460" t="s">
        <v>2613</v>
      </c>
    </row>
    <row r="1724" spans="1:11" ht="14.4">
      <c r="A1724" s="460" t="s">
        <v>1810</v>
      </c>
      <c r="B1724" s="460" t="s">
        <v>1604</v>
      </c>
      <c r="C1724" s="460"/>
      <c r="D1724" s="460" t="s">
        <v>1814</v>
      </c>
      <c r="E1724" s="460" t="s">
        <v>1812</v>
      </c>
      <c r="F1724" s="460" t="s">
        <v>2616</v>
      </c>
      <c r="G1724" s="460"/>
      <c r="H1724" s="461"/>
      <c r="I1724" s="460"/>
      <c r="J1724" s="460"/>
      <c r="K1724" s="460" t="s">
        <v>2613</v>
      </c>
    </row>
    <row r="1725" spans="1:11" ht="22.8">
      <c r="A1725" s="460" t="s">
        <v>1810</v>
      </c>
      <c r="B1725" s="460" t="s">
        <v>1559</v>
      </c>
      <c r="C1725" s="460"/>
      <c r="D1725" s="460" t="s">
        <v>1834</v>
      </c>
      <c r="E1725" s="460" t="s">
        <v>1812</v>
      </c>
      <c r="F1725" s="460" t="s">
        <v>2612</v>
      </c>
      <c r="G1725" s="460"/>
      <c r="H1725" s="461"/>
      <c r="I1725" s="460"/>
      <c r="J1725" s="460"/>
      <c r="K1725" s="460" t="s">
        <v>2613</v>
      </c>
    </row>
    <row r="1726" spans="1:11" ht="22.8">
      <c r="A1726" s="460" t="s">
        <v>1810</v>
      </c>
      <c r="B1726" s="460" t="s">
        <v>1559</v>
      </c>
      <c r="C1726" s="460"/>
      <c r="D1726" s="460" t="s">
        <v>1834</v>
      </c>
      <c r="E1726" s="460" t="s">
        <v>1812</v>
      </c>
      <c r="F1726" s="460" t="s">
        <v>2614</v>
      </c>
      <c r="G1726" s="460"/>
      <c r="H1726" s="461" t="s">
        <v>2615</v>
      </c>
      <c r="I1726" s="547">
        <f>ROUND(7,2)</f>
        <v>7</v>
      </c>
      <c r="J1726" s="460" t="s">
        <v>2615</v>
      </c>
      <c r="K1726" s="460" t="s">
        <v>2613</v>
      </c>
    </row>
    <row r="1727" spans="1:11" ht="22.8">
      <c r="A1727" s="460" t="s">
        <v>1810</v>
      </c>
      <c r="B1727" s="460" t="s">
        <v>1559</v>
      </c>
      <c r="C1727" s="460"/>
      <c r="D1727" s="460" t="s">
        <v>1834</v>
      </c>
      <c r="E1727" s="460" t="s">
        <v>1812</v>
      </c>
      <c r="F1727" s="460" t="s">
        <v>2616</v>
      </c>
      <c r="G1727" s="460"/>
      <c r="H1727" s="461"/>
      <c r="I1727" s="460"/>
      <c r="J1727" s="460"/>
      <c r="K1727" s="460" t="s">
        <v>2613</v>
      </c>
    </row>
    <row r="1728" spans="1:11" ht="14.4">
      <c r="A1728" s="460" t="s">
        <v>1810</v>
      </c>
      <c r="B1728" s="460" t="s">
        <v>1657</v>
      </c>
      <c r="C1728" s="460"/>
      <c r="D1728" s="460" t="s">
        <v>1838</v>
      </c>
      <c r="E1728" s="460" t="s">
        <v>1812</v>
      </c>
      <c r="F1728" s="460" t="s">
        <v>2645</v>
      </c>
      <c r="G1728" s="547">
        <f>ROUND(20,2)</f>
        <v>20</v>
      </c>
      <c r="H1728" s="461"/>
      <c r="I1728" s="547">
        <f>ROUND(20,2)</f>
        <v>20</v>
      </c>
      <c r="J1728" s="460"/>
      <c r="K1728" s="460" t="s">
        <v>2613</v>
      </c>
    </row>
    <row r="1729" spans="1:11" ht="14.4">
      <c r="A1729" s="460" t="s">
        <v>1810</v>
      </c>
      <c r="B1729" s="460" t="s">
        <v>1657</v>
      </c>
      <c r="C1729" s="460"/>
      <c r="D1729" s="460" t="s">
        <v>1838</v>
      </c>
      <c r="E1729" s="460" t="s">
        <v>1812</v>
      </c>
      <c r="F1729" s="460" t="s">
        <v>2612</v>
      </c>
      <c r="G1729" s="460"/>
      <c r="H1729" s="461"/>
      <c r="I1729" s="460"/>
      <c r="J1729" s="460"/>
      <c r="K1729" s="460" t="s">
        <v>2613</v>
      </c>
    </row>
    <row r="1730" spans="1:11" ht="14.4">
      <c r="A1730" s="460" t="s">
        <v>1810</v>
      </c>
      <c r="B1730" s="460" t="s">
        <v>1657</v>
      </c>
      <c r="C1730" s="460"/>
      <c r="D1730" s="460" t="s">
        <v>1838</v>
      </c>
      <c r="E1730" s="460" t="s">
        <v>1812</v>
      </c>
      <c r="F1730" s="460" t="s">
        <v>2614</v>
      </c>
      <c r="G1730" s="460"/>
      <c r="H1730" s="461" t="s">
        <v>2615</v>
      </c>
      <c r="I1730" s="547">
        <f>ROUND(7,2)</f>
        <v>7</v>
      </c>
      <c r="J1730" s="460" t="s">
        <v>2615</v>
      </c>
      <c r="K1730" s="460" t="s">
        <v>2613</v>
      </c>
    </row>
    <row r="1731" spans="1:11" ht="14.4">
      <c r="A1731" s="460" t="s">
        <v>1810</v>
      </c>
      <c r="B1731" s="460" t="s">
        <v>1657</v>
      </c>
      <c r="C1731" s="460"/>
      <c r="D1731" s="460" t="s">
        <v>1838</v>
      </c>
      <c r="E1731" s="460" t="s">
        <v>1812</v>
      </c>
      <c r="F1731" s="460" t="s">
        <v>2616</v>
      </c>
      <c r="G1731" s="460"/>
      <c r="H1731" s="461"/>
      <c r="I1731" s="460"/>
      <c r="J1731" s="460"/>
      <c r="K1731" s="460" t="s">
        <v>2613</v>
      </c>
    </row>
    <row r="1732" spans="1:11" ht="14.4">
      <c r="A1732" s="460" t="s">
        <v>1810</v>
      </c>
      <c r="B1732" s="460" t="s">
        <v>1657</v>
      </c>
      <c r="C1732" s="460"/>
      <c r="D1732" s="460" t="s">
        <v>1838</v>
      </c>
      <c r="E1732" s="460" t="s">
        <v>1812</v>
      </c>
      <c r="F1732" s="460" t="s">
        <v>2617</v>
      </c>
      <c r="G1732" s="547">
        <f>ROUND(75,2)</f>
        <v>75</v>
      </c>
      <c r="H1732" s="461"/>
      <c r="I1732" s="547">
        <f>ROUND(75,2)</f>
        <v>75</v>
      </c>
      <c r="J1732" s="460"/>
      <c r="K1732" s="460" t="s">
        <v>2613</v>
      </c>
    </row>
    <row r="1733" spans="1:11" ht="14.4">
      <c r="A1733" s="460" t="s">
        <v>1810</v>
      </c>
      <c r="B1733" s="460" t="s">
        <v>1657</v>
      </c>
      <c r="C1733" s="460"/>
      <c r="D1733" s="460" t="s">
        <v>1838</v>
      </c>
      <c r="E1733" s="460" t="s">
        <v>1812</v>
      </c>
      <c r="F1733" s="460" t="s">
        <v>2618</v>
      </c>
      <c r="G1733" s="547">
        <f>ROUND(30,2)</f>
        <v>30</v>
      </c>
      <c r="H1733" s="461"/>
      <c r="I1733" s="547">
        <f>ROUND(30,2)</f>
        <v>30</v>
      </c>
      <c r="J1733" s="460"/>
      <c r="K1733" s="460" t="s">
        <v>2613</v>
      </c>
    </row>
    <row r="1734" spans="1:11" ht="14.4">
      <c r="A1734" s="460" t="s">
        <v>1810</v>
      </c>
      <c r="B1734" s="460" t="s">
        <v>1479</v>
      </c>
      <c r="C1734" s="460"/>
      <c r="D1734" s="460" t="s">
        <v>1817</v>
      </c>
      <c r="E1734" s="460" t="s">
        <v>1812</v>
      </c>
      <c r="F1734" s="460" t="s">
        <v>2612</v>
      </c>
      <c r="G1734" s="460"/>
      <c r="H1734" s="461"/>
      <c r="I1734" s="460"/>
      <c r="J1734" s="460"/>
      <c r="K1734" s="460" t="s">
        <v>2613</v>
      </c>
    </row>
    <row r="1735" spans="1:11" ht="14.4">
      <c r="A1735" s="460" t="s">
        <v>1810</v>
      </c>
      <c r="B1735" s="460" t="s">
        <v>1479</v>
      </c>
      <c r="C1735" s="460"/>
      <c r="D1735" s="460" t="s">
        <v>1817</v>
      </c>
      <c r="E1735" s="460" t="s">
        <v>1812</v>
      </c>
      <c r="F1735" s="460" t="s">
        <v>2625</v>
      </c>
      <c r="G1735" s="547">
        <f>ROUND(50,2)</f>
        <v>50</v>
      </c>
      <c r="H1735" s="461"/>
      <c r="I1735" s="547">
        <f>ROUND(50,2)</f>
        <v>50</v>
      </c>
      <c r="J1735" s="460"/>
      <c r="K1735" s="460" t="s">
        <v>2613</v>
      </c>
    </row>
    <row r="1736" spans="1:11" ht="14.4">
      <c r="A1736" s="460" t="s">
        <v>1810</v>
      </c>
      <c r="B1736" s="460" t="s">
        <v>1479</v>
      </c>
      <c r="C1736" s="460"/>
      <c r="D1736" s="460" t="s">
        <v>1817</v>
      </c>
      <c r="E1736" s="460" t="s">
        <v>1812</v>
      </c>
      <c r="F1736" s="460" t="s">
        <v>2614</v>
      </c>
      <c r="G1736" s="460"/>
      <c r="H1736" s="461" t="s">
        <v>2615</v>
      </c>
      <c r="I1736" s="547">
        <f>ROUND(7,2)</f>
        <v>7</v>
      </c>
      <c r="J1736" s="460" t="s">
        <v>2615</v>
      </c>
      <c r="K1736" s="460" t="s">
        <v>2613</v>
      </c>
    </row>
    <row r="1737" spans="1:11" ht="14.4">
      <c r="A1737" s="460" t="s">
        <v>1810</v>
      </c>
      <c r="B1737" s="460" t="s">
        <v>1479</v>
      </c>
      <c r="C1737" s="460"/>
      <c r="D1737" s="460" t="s">
        <v>1817</v>
      </c>
      <c r="E1737" s="460" t="s">
        <v>1812</v>
      </c>
      <c r="F1737" s="460" t="s">
        <v>2619</v>
      </c>
      <c r="G1737" s="547">
        <f>ROUND(640,2)</f>
        <v>640</v>
      </c>
      <c r="H1737" s="461"/>
      <c r="I1737" s="547">
        <f>ROUND(640,2)</f>
        <v>640</v>
      </c>
      <c r="J1737" s="460"/>
      <c r="K1737" s="460" t="s">
        <v>2613</v>
      </c>
    </row>
    <row r="1738" spans="1:11" ht="14.4">
      <c r="A1738" s="460" t="s">
        <v>1810</v>
      </c>
      <c r="B1738" s="460" t="s">
        <v>1479</v>
      </c>
      <c r="C1738" s="460"/>
      <c r="D1738" s="460" t="s">
        <v>1817</v>
      </c>
      <c r="E1738" s="460" t="s">
        <v>1812</v>
      </c>
      <c r="F1738" s="460" t="s">
        <v>2616</v>
      </c>
      <c r="G1738" s="460"/>
      <c r="H1738" s="461"/>
      <c r="I1738" s="460"/>
      <c r="J1738" s="460"/>
      <c r="K1738" s="460" t="s">
        <v>2613</v>
      </c>
    </row>
    <row r="1739" spans="1:11" ht="14.4">
      <c r="A1739" s="460" t="s">
        <v>1810</v>
      </c>
      <c r="B1739" s="460" t="s">
        <v>1479</v>
      </c>
      <c r="C1739" s="460"/>
      <c r="D1739" s="460" t="s">
        <v>1817</v>
      </c>
      <c r="E1739" s="460" t="s">
        <v>1812</v>
      </c>
      <c r="F1739" s="460" t="s">
        <v>2617</v>
      </c>
      <c r="G1739" s="547">
        <f>ROUND(75,2)</f>
        <v>75</v>
      </c>
      <c r="H1739" s="461"/>
      <c r="I1739" s="547">
        <f>ROUND(75,2)</f>
        <v>75</v>
      </c>
      <c r="J1739" s="460"/>
      <c r="K1739" s="460" t="s">
        <v>2613</v>
      </c>
    </row>
    <row r="1740" spans="1:11" ht="14.4">
      <c r="A1740" s="460" t="s">
        <v>1810</v>
      </c>
      <c r="B1740" s="460" t="s">
        <v>1479</v>
      </c>
      <c r="C1740" s="460"/>
      <c r="D1740" s="460" t="s">
        <v>1817</v>
      </c>
      <c r="E1740" s="460" t="s">
        <v>1812</v>
      </c>
      <c r="F1740" s="460" t="s">
        <v>2618</v>
      </c>
      <c r="G1740" s="547">
        <f>ROUND(40,2)</f>
        <v>40</v>
      </c>
      <c r="H1740" s="461"/>
      <c r="I1740" s="547">
        <f>ROUND(40,2)</f>
        <v>40</v>
      </c>
      <c r="J1740" s="460"/>
      <c r="K1740" s="460" t="s">
        <v>2613</v>
      </c>
    </row>
    <row r="1741" spans="1:11" ht="14.4">
      <c r="A1741" s="460" t="s">
        <v>1810</v>
      </c>
      <c r="B1741" s="460" t="s">
        <v>1534</v>
      </c>
      <c r="C1741" s="460"/>
      <c r="D1741" s="460" t="s">
        <v>1814</v>
      </c>
      <c r="E1741" s="460" t="s">
        <v>1812</v>
      </c>
      <c r="F1741" s="460" t="s">
        <v>2625</v>
      </c>
      <c r="G1741" s="547">
        <f>ROUND(25,2)</f>
        <v>25</v>
      </c>
      <c r="H1741" s="461"/>
      <c r="I1741" s="547">
        <f>ROUND(25,2)</f>
        <v>25</v>
      </c>
      <c r="J1741" s="460"/>
      <c r="K1741" s="460" t="s">
        <v>2613</v>
      </c>
    </row>
    <row r="1742" spans="1:11" ht="14.4">
      <c r="A1742" s="460" t="s">
        <v>1810</v>
      </c>
      <c r="B1742" s="460" t="s">
        <v>1534</v>
      </c>
      <c r="C1742" s="460"/>
      <c r="D1742" s="460" t="s">
        <v>1814</v>
      </c>
      <c r="E1742" s="460" t="s">
        <v>1812</v>
      </c>
      <c r="F1742" s="460" t="s">
        <v>2612</v>
      </c>
      <c r="G1742" s="460"/>
      <c r="H1742" s="461"/>
      <c r="I1742" s="460"/>
      <c r="J1742" s="460"/>
      <c r="K1742" s="460" t="s">
        <v>2613</v>
      </c>
    </row>
    <row r="1743" spans="1:11" ht="14.4">
      <c r="A1743" s="460" t="s">
        <v>1810</v>
      </c>
      <c r="B1743" s="460" t="s">
        <v>1534</v>
      </c>
      <c r="C1743" s="460"/>
      <c r="D1743" s="460" t="s">
        <v>1814</v>
      </c>
      <c r="E1743" s="460" t="s">
        <v>1812</v>
      </c>
      <c r="F1743" s="460" t="s">
        <v>2626</v>
      </c>
      <c r="G1743" s="547">
        <f>ROUND(10,2)</f>
        <v>10</v>
      </c>
      <c r="H1743" s="461"/>
      <c r="I1743" s="547">
        <f>ROUND(10,2)</f>
        <v>10</v>
      </c>
      <c r="J1743" s="460"/>
      <c r="K1743" s="460" t="s">
        <v>2613</v>
      </c>
    </row>
    <row r="1744" spans="1:11" ht="14.4">
      <c r="A1744" s="460" t="s">
        <v>1810</v>
      </c>
      <c r="B1744" s="460" t="s">
        <v>1534</v>
      </c>
      <c r="C1744" s="460"/>
      <c r="D1744" s="460" t="s">
        <v>1814</v>
      </c>
      <c r="E1744" s="460" t="s">
        <v>1812</v>
      </c>
      <c r="F1744" s="460" t="s">
        <v>2614</v>
      </c>
      <c r="G1744" s="460"/>
      <c r="H1744" s="461" t="s">
        <v>2615</v>
      </c>
      <c r="I1744" s="547">
        <f>ROUND(7,2)</f>
        <v>7</v>
      </c>
      <c r="J1744" s="460" t="s">
        <v>2615</v>
      </c>
      <c r="K1744" s="460" t="s">
        <v>2613</v>
      </c>
    </row>
    <row r="1745" spans="1:11" ht="14.4">
      <c r="A1745" s="460" t="s">
        <v>1810</v>
      </c>
      <c r="B1745" s="460" t="s">
        <v>1534</v>
      </c>
      <c r="C1745" s="460"/>
      <c r="D1745" s="460" t="s">
        <v>1814</v>
      </c>
      <c r="E1745" s="460" t="s">
        <v>1812</v>
      </c>
      <c r="F1745" s="460" t="s">
        <v>2616</v>
      </c>
      <c r="G1745" s="460"/>
      <c r="H1745" s="461"/>
      <c r="I1745" s="460"/>
      <c r="J1745" s="460"/>
      <c r="K1745" s="460" t="s">
        <v>2613</v>
      </c>
    </row>
    <row r="1746" spans="1:11" ht="14.4">
      <c r="A1746" s="460" t="s">
        <v>1810</v>
      </c>
      <c r="B1746" s="460" t="s">
        <v>1477</v>
      </c>
      <c r="C1746" s="460"/>
      <c r="D1746" s="460" t="s">
        <v>1821</v>
      </c>
      <c r="E1746" s="460" t="s">
        <v>1812</v>
      </c>
      <c r="F1746" s="460" t="s">
        <v>2625</v>
      </c>
      <c r="G1746" s="547">
        <f>ROUND(25,2)</f>
        <v>25</v>
      </c>
      <c r="H1746" s="461"/>
      <c r="I1746" s="547">
        <f>ROUND(25,2)</f>
        <v>25</v>
      </c>
      <c r="J1746" s="460"/>
      <c r="K1746" s="460" t="s">
        <v>2613</v>
      </c>
    </row>
    <row r="1747" spans="1:11" ht="14.4">
      <c r="A1747" s="460" t="s">
        <v>1810</v>
      </c>
      <c r="B1747" s="460" t="s">
        <v>1477</v>
      </c>
      <c r="C1747" s="460"/>
      <c r="D1747" s="460" t="s">
        <v>1821</v>
      </c>
      <c r="E1747" s="460" t="s">
        <v>1812</v>
      </c>
      <c r="F1747" s="460" t="s">
        <v>2612</v>
      </c>
      <c r="G1747" s="460"/>
      <c r="H1747" s="461"/>
      <c r="I1747" s="460"/>
      <c r="J1747" s="460"/>
      <c r="K1747" s="460" t="s">
        <v>2613</v>
      </c>
    </row>
    <row r="1748" spans="1:11" ht="14.4">
      <c r="A1748" s="460" t="s">
        <v>1810</v>
      </c>
      <c r="B1748" s="460" t="s">
        <v>1477</v>
      </c>
      <c r="C1748" s="460"/>
      <c r="D1748" s="460" t="s">
        <v>1821</v>
      </c>
      <c r="E1748" s="460" t="s">
        <v>1812</v>
      </c>
      <c r="F1748" s="460" t="s">
        <v>2634</v>
      </c>
      <c r="G1748" s="547">
        <f>ROUND(34,2)</f>
        <v>34</v>
      </c>
      <c r="H1748" s="461"/>
      <c r="I1748" s="547">
        <f>ROUND(34,2)</f>
        <v>34</v>
      </c>
      <c r="J1748" s="460"/>
      <c r="K1748" s="460" t="s">
        <v>2613</v>
      </c>
    </row>
    <row r="1749" spans="1:11" ht="14.4">
      <c r="A1749" s="460" t="s">
        <v>1810</v>
      </c>
      <c r="B1749" s="460" t="s">
        <v>1477</v>
      </c>
      <c r="C1749" s="460"/>
      <c r="D1749" s="460" t="s">
        <v>1821</v>
      </c>
      <c r="E1749" s="460" t="s">
        <v>1812</v>
      </c>
      <c r="F1749" s="460" t="s">
        <v>2614</v>
      </c>
      <c r="G1749" s="460"/>
      <c r="H1749" s="461" t="s">
        <v>2615</v>
      </c>
      <c r="I1749" s="547">
        <f>ROUND(7,2)</f>
        <v>7</v>
      </c>
      <c r="J1749" s="460" t="s">
        <v>2615</v>
      </c>
      <c r="K1749" s="460" t="s">
        <v>2613</v>
      </c>
    </row>
    <row r="1750" spans="1:11" ht="14.4">
      <c r="A1750" s="460" t="s">
        <v>1810</v>
      </c>
      <c r="B1750" s="460" t="s">
        <v>1477</v>
      </c>
      <c r="C1750" s="460"/>
      <c r="D1750" s="460" t="s">
        <v>1821</v>
      </c>
      <c r="E1750" s="460" t="s">
        <v>1812</v>
      </c>
      <c r="F1750" s="460" t="s">
        <v>2616</v>
      </c>
      <c r="G1750" s="460"/>
      <c r="H1750" s="461"/>
      <c r="I1750" s="460"/>
      <c r="J1750" s="460"/>
      <c r="K1750" s="460" t="s">
        <v>2613</v>
      </c>
    </row>
    <row r="1751" spans="1:11" ht="14.4">
      <c r="A1751" s="460" t="s">
        <v>1810</v>
      </c>
      <c r="B1751" s="460" t="s">
        <v>1529</v>
      </c>
      <c r="C1751" s="460"/>
      <c r="D1751" s="460" t="s">
        <v>1814</v>
      </c>
      <c r="E1751" s="460" t="s">
        <v>1812</v>
      </c>
      <c r="F1751" s="460" t="s">
        <v>2632</v>
      </c>
      <c r="G1751" s="547">
        <f>ROUND(166.67,2)</f>
        <v>166.67</v>
      </c>
      <c r="H1751" s="461"/>
      <c r="I1751" s="547">
        <f>ROUND(166.67,2)</f>
        <v>166.67</v>
      </c>
      <c r="J1751" s="460"/>
      <c r="K1751" s="460" t="s">
        <v>2613</v>
      </c>
    </row>
    <row r="1752" spans="1:11" ht="14.4">
      <c r="A1752" s="460" t="s">
        <v>1810</v>
      </c>
      <c r="B1752" s="460" t="s">
        <v>1529</v>
      </c>
      <c r="C1752" s="460"/>
      <c r="D1752" s="460" t="s">
        <v>1814</v>
      </c>
      <c r="E1752" s="460" t="s">
        <v>1812</v>
      </c>
      <c r="F1752" s="460" t="s">
        <v>2612</v>
      </c>
      <c r="G1752" s="460"/>
      <c r="H1752" s="461"/>
      <c r="I1752" s="460"/>
      <c r="J1752" s="460"/>
      <c r="K1752" s="460" t="s">
        <v>2613</v>
      </c>
    </row>
    <row r="1753" spans="1:11" ht="14.4">
      <c r="A1753" s="460" t="s">
        <v>1810</v>
      </c>
      <c r="B1753" s="460" t="s">
        <v>1529</v>
      </c>
      <c r="C1753" s="460"/>
      <c r="D1753" s="460" t="s">
        <v>1814</v>
      </c>
      <c r="E1753" s="460" t="s">
        <v>1812</v>
      </c>
      <c r="F1753" s="460" t="s">
        <v>2614</v>
      </c>
      <c r="G1753" s="460"/>
      <c r="H1753" s="461" t="s">
        <v>2615</v>
      </c>
      <c r="I1753" s="547">
        <f>ROUND(7,2)</f>
        <v>7</v>
      </c>
      <c r="J1753" s="460" t="s">
        <v>2615</v>
      </c>
      <c r="K1753" s="460" t="s">
        <v>2613</v>
      </c>
    </row>
    <row r="1754" spans="1:11" ht="14.4">
      <c r="A1754" s="460" t="s">
        <v>1810</v>
      </c>
      <c r="B1754" s="460" t="s">
        <v>1529</v>
      </c>
      <c r="C1754" s="460"/>
      <c r="D1754" s="460" t="s">
        <v>1814</v>
      </c>
      <c r="E1754" s="460" t="s">
        <v>1812</v>
      </c>
      <c r="F1754" s="460" t="s">
        <v>2620</v>
      </c>
      <c r="G1754" s="547">
        <f>ROUND(10.22,2)</f>
        <v>10.220000000000001</v>
      </c>
      <c r="H1754" s="461"/>
      <c r="I1754" s="547">
        <f>ROUND(10.22,2)</f>
        <v>10.220000000000001</v>
      </c>
      <c r="J1754" s="460"/>
      <c r="K1754" s="460" t="s">
        <v>2613</v>
      </c>
    </row>
    <row r="1755" spans="1:11" ht="14.4">
      <c r="A1755" s="460" t="s">
        <v>1810</v>
      </c>
      <c r="B1755" s="460" t="s">
        <v>1529</v>
      </c>
      <c r="C1755" s="460"/>
      <c r="D1755" s="460" t="s">
        <v>1814</v>
      </c>
      <c r="E1755" s="460" t="s">
        <v>1812</v>
      </c>
      <c r="F1755" s="460" t="s">
        <v>2616</v>
      </c>
      <c r="G1755" s="460"/>
      <c r="H1755" s="461"/>
      <c r="I1755" s="460"/>
      <c r="J1755" s="460"/>
      <c r="K1755" s="460" t="s">
        <v>2613</v>
      </c>
    </row>
    <row r="1756" spans="1:11" ht="14.4">
      <c r="A1756" s="460" t="s">
        <v>1810</v>
      </c>
      <c r="B1756" s="460" t="s">
        <v>1529</v>
      </c>
      <c r="C1756" s="460"/>
      <c r="D1756" s="460" t="s">
        <v>1814</v>
      </c>
      <c r="E1756" s="460" t="s">
        <v>1812</v>
      </c>
      <c r="F1756" s="460" t="s">
        <v>2625</v>
      </c>
      <c r="G1756" s="547">
        <f>ROUND(37.5,2)</f>
        <v>37.5</v>
      </c>
      <c r="H1756" s="461"/>
      <c r="I1756" s="547">
        <f>ROUND(37.5,2)</f>
        <v>37.5</v>
      </c>
      <c r="J1756" s="460"/>
      <c r="K1756" s="460" t="s">
        <v>2613</v>
      </c>
    </row>
    <row r="1757" spans="1:11" ht="22.8">
      <c r="A1757" s="460" t="s">
        <v>1810</v>
      </c>
      <c r="B1757" s="460" t="s">
        <v>1481</v>
      </c>
      <c r="C1757" s="460"/>
      <c r="D1757" s="460" t="s">
        <v>1840</v>
      </c>
      <c r="E1757" s="460" t="s">
        <v>1812</v>
      </c>
      <c r="F1757" s="460" t="s">
        <v>2620</v>
      </c>
      <c r="G1757" s="547">
        <f>ROUND(10.22,2)</f>
        <v>10.220000000000001</v>
      </c>
      <c r="H1757" s="461"/>
      <c r="I1757" s="547">
        <f>ROUND(10.22,2)</f>
        <v>10.220000000000001</v>
      </c>
      <c r="J1757" s="460"/>
      <c r="K1757" s="460" t="s">
        <v>2613</v>
      </c>
    </row>
    <row r="1758" spans="1:11" ht="22.8">
      <c r="A1758" s="460" t="s">
        <v>1810</v>
      </c>
      <c r="B1758" s="460" t="s">
        <v>1481</v>
      </c>
      <c r="C1758" s="460"/>
      <c r="D1758" s="460" t="s">
        <v>1840</v>
      </c>
      <c r="E1758" s="460" t="s">
        <v>1812</v>
      </c>
      <c r="F1758" s="460" t="s">
        <v>2637</v>
      </c>
      <c r="G1758" s="547">
        <f>ROUND(279.69,2)</f>
        <v>279.69</v>
      </c>
      <c r="H1758" s="461"/>
      <c r="I1758" s="547">
        <f>ROUND(279.69,2)</f>
        <v>279.69</v>
      </c>
      <c r="J1758" s="460"/>
      <c r="K1758" s="460" t="s">
        <v>2613</v>
      </c>
    </row>
    <row r="1759" spans="1:11" ht="22.8">
      <c r="A1759" s="460" t="s">
        <v>1810</v>
      </c>
      <c r="B1759" s="460" t="s">
        <v>1481</v>
      </c>
      <c r="C1759" s="460"/>
      <c r="D1759" s="460" t="s">
        <v>1840</v>
      </c>
      <c r="E1759" s="460" t="s">
        <v>1812</v>
      </c>
      <c r="F1759" s="460" t="s">
        <v>2625</v>
      </c>
      <c r="G1759" s="547">
        <f>ROUND(18.75,2)</f>
        <v>18.75</v>
      </c>
      <c r="H1759" s="461"/>
      <c r="I1759" s="547">
        <f>ROUND(18.75,2)</f>
        <v>18.75</v>
      </c>
      <c r="J1759" s="460"/>
      <c r="K1759" s="460" t="s">
        <v>2613</v>
      </c>
    </row>
    <row r="1760" spans="1:11" ht="22.8">
      <c r="A1760" s="460" t="s">
        <v>1810</v>
      </c>
      <c r="B1760" s="460" t="s">
        <v>1481</v>
      </c>
      <c r="C1760" s="460"/>
      <c r="D1760" s="460" t="s">
        <v>1840</v>
      </c>
      <c r="E1760" s="460" t="s">
        <v>1812</v>
      </c>
      <c r="F1760" s="460" t="s">
        <v>2612</v>
      </c>
      <c r="G1760" s="460"/>
      <c r="H1760" s="461"/>
      <c r="I1760" s="460"/>
      <c r="J1760" s="460"/>
      <c r="K1760" s="460" t="s">
        <v>2613</v>
      </c>
    </row>
    <row r="1761" spans="1:11" ht="22.8">
      <c r="A1761" s="460" t="s">
        <v>1810</v>
      </c>
      <c r="B1761" s="460" t="s">
        <v>1481</v>
      </c>
      <c r="C1761" s="460"/>
      <c r="D1761" s="460" t="s">
        <v>1840</v>
      </c>
      <c r="E1761" s="460" t="s">
        <v>1812</v>
      </c>
      <c r="F1761" s="460" t="s">
        <v>2614</v>
      </c>
      <c r="G1761" s="460"/>
      <c r="H1761" s="461" t="s">
        <v>2615</v>
      </c>
      <c r="I1761" s="547">
        <f>ROUND(7,2)</f>
        <v>7</v>
      </c>
      <c r="J1761" s="460" t="s">
        <v>2615</v>
      </c>
      <c r="K1761" s="460" t="s">
        <v>2613</v>
      </c>
    </row>
    <row r="1762" spans="1:11" ht="22.8">
      <c r="A1762" s="460" t="s">
        <v>1810</v>
      </c>
      <c r="B1762" s="460" t="s">
        <v>1481</v>
      </c>
      <c r="C1762" s="460"/>
      <c r="D1762" s="460" t="s">
        <v>1840</v>
      </c>
      <c r="E1762" s="460" t="s">
        <v>1812</v>
      </c>
      <c r="F1762" s="460" t="s">
        <v>2616</v>
      </c>
      <c r="G1762" s="460"/>
      <c r="H1762" s="461"/>
      <c r="I1762" s="460"/>
      <c r="J1762" s="460"/>
      <c r="K1762" s="460" t="s">
        <v>2613</v>
      </c>
    </row>
    <row r="1763" spans="1:11" ht="14.4">
      <c r="A1763" s="460" t="s">
        <v>1810</v>
      </c>
      <c r="B1763" s="460" t="s">
        <v>1666</v>
      </c>
      <c r="C1763" s="460"/>
      <c r="D1763" s="460" t="s">
        <v>1835</v>
      </c>
      <c r="E1763" s="460" t="s">
        <v>1812</v>
      </c>
      <c r="F1763" s="460" t="s">
        <v>2612</v>
      </c>
      <c r="G1763" s="460"/>
      <c r="H1763" s="461"/>
      <c r="I1763" s="460"/>
      <c r="J1763" s="460"/>
      <c r="K1763" s="460" t="s">
        <v>2613</v>
      </c>
    </row>
    <row r="1764" spans="1:11" ht="14.4">
      <c r="A1764" s="460" t="s">
        <v>1810</v>
      </c>
      <c r="B1764" s="460" t="s">
        <v>1666</v>
      </c>
      <c r="C1764" s="460"/>
      <c r="D1764" s="460" t="s">
        <v>1835</v>
      </c>
      <c r="E1764" s="460" t="s">
        <v>1812</v>
      </c>
      <c r="F1764" s="460" t="s">
        <v>2614</v>
      </c>
      <c r="G1764" s="460"/>
      <c r="H1764" s="461" t="s">
        <v>2615</v>
      </c>
      <c r="I1764" s="547">
        <f>ROUND(7,2)</f>
        <v>7</v>
      </c>
      <c r="J1764" s="460" t="s">
        <v>2615</v>
      </c>
      <c r="K1764" s="460" t="s">
        <v>2613</v>
      </c>
    </row>
    <row r="1765" spans="1:11" ht="14.4">
      <c r="A1765" s="460" t="s">
        <v>1810</v>
      </c>
      <c r="B1765" s="460" t="s">
        <v>1666</v>
      </c>
      <c r="C1765" s="460"/>
      <c r="D1765" s="460" t="s">
        <v>1835</v>
      </c>
      <c r="E1765" s="460" t="s">
        <v>1812</v>
      </c>
      <c r="F1765" s="460" t="s">
        <v>2645</v>
      </c>
      <c r="G1765" s="547">
        <f>ROUND(50,2)</f>
        <v>50</v>
      </c>
      <c r="H1765" s="461"/>
      <c r="I1765" s="547">
        <f>ROUND(50,2)</f>
        <v>50</v>
      </c>
      <c r="J1765" s="460"/>
      <c r="K1765" s="460" t="s">
        <v>2613</v>
      </c>
    </row>
    <row r="1766" spans="1:11" ht="14.4">
      <c r="A1766" s="460" t="s">
        <v>1810</v>
      </c>
      <c r="B1766" s="460" t="s">
        <v>1478</v>
      </c>
      <c r="C1766" s="460"/>
      <c r="D1766" s="460" t="s">
        <v>1814</v>
      </c>
      <c r="E1766" s="460" t="s">
        <v>1812</v>
      </c>
      <c r="F1766" s="460" t="s">
        <v>2625</v>
      </c>
      <c r="G1766" s="547">
        <f>ROUND(50,2)</f>
        <v>50</v>
      </c>
      <c r="H1766" s="461"/>
      <c r="I1766" s="547">
        <f>ROUND(50,2)</f>
        <v>50</v>
      </c>
      <c r="J1766" s="460"/>
      <c r="K1766" s="460" t="s">
        <v>2613</v>
      </c>
    </row>
    <row r="1767" spans="1:11" ht="14.4">
      <c r="A1767" s="460" t="s">
        <v>1810</v>
      </c>
      <c r="B1767" s="460" t="s">
        <v>1478</v>
      </c>
      <c r="C1767" s="460"/>
      <c r="D1767" s="460" t="s">
        <v>1814</v>
      </c>
      <c r="E1767" s="460" t="s">
        <v>1812</v>
      </c>
      <c r="F1767" s="460" t="s">
        <v>2637</v>
      </c>
      <c r="G1767" s="547">
        <f>ROUND(361.02,2)</f>
        <v>361.02</v>
      </c>
      <c r="H1767" s="461"/>
      <c r="I1767" s="547">
        <f>ROUND(361.02,2)</f>
        <v>361.02</v>
      </c>
      <c r="J1767" s="460"/>
      <c r="K1767" s="460" t="s">
        <v>2613</v>
      </c>
    </row>
    <row r="1768" spans="1:11" ht="14.4">
      <c r="A1768" s="460" t="s">
        <v>1810</v>
      </c>
      <c r="B1768" s="460" t="s">
        <v>1478</v>
      </c>
      <c r="C1768" s="460"/>
      <c r="D1768" s="460" t="s">
        <v>1814</v>
      </c>
      <c r="E1768" s="460" t="s">
        <v>1812</v>
      </c>
      <c r="F1768" s="460" t="s">
        <v>2612</v>
      </c>
      <c r="G1768" s="460"/>
      <c r="H1768" s="461"/>
      <c r="I1768" s="460"/>
      <c r="J1768" s="460"/>
      <c r="K1768" s="460" t="s">
        <v>2613</v>
      </c>
    </row>
    <row r="1769" spans="1:11" ht="14.4">
      <c r="A1769" s="460" t="s">
        <v>1810</v>
      </c>
      <c r="B1769" s="460" t="s">
        <v>1478</v>
      </c>
      <c r="C1769" s="460"/>
      <c r="D1769" s="460" t="s">
        <v>1814</v>
      </c>
      <c r="E1769" s="460" t="s">
        <v>1812</v>
      </c>
      <c r="F1769" s="460" t="s">
        <v>2623</v>
      </c>
      <c r="G1769" s="547">
        <f>ROUND(550,2)</f>
        <v>550</v>
      </c>
      <c r="H1769" s="461"/>
      <c r="I1769" s="547">
        <f>ROUND(550,2)</f>
        <v>550</v>
      </c>
      <c r="J1769" s="460"/>
      <c r="K1769" s="460" t="s">
        <v>2613</v>
      </c>
    </row>
    <row r="1770" spans="1:11" ht="14.4">
      <c r="A1770" s="460" t="s">
        <v>1810</v>
      </c>
      <c r="B1770" s="460" t="s">
        <v>1478</v>
      </c>
      <c r="C1770" s="460"/>
      <c r="D1770" s="460" t="s">
        <v>1814</v>
      </c>
      <c r="E1770" s="460" t="s">
        <v>1812</v>
      </c>
      <c r="F1770" s="460" t="s">
        <v>2656</v>
      </c>
      <c r="G1770" s="547">
        <f>ROUND(25,2)</f>
        <v>25</v>
      </c>
      <c r="H1770" s="461"/>
      <c r="I1770" s="547">
        <f>ROUND(25,2)</f>
        <v>25</v>
      </c>
      <c r="J1770" s="460"/>
      <c r="K1770" s="460" t="s">
        <v>2613</v>
      </c>
    </row>
    <row r="1771" spans="1:11" ht="14.4">
      <c r="A1771" s="460" t="s">
        <v>1810</v>
      </c>
      <c r="B1771" s="460" t="s">
        <v>1478</v>
      </c>
      <c r="C1771" s="460"/>
      <c r="D1771" s="460" t="s">
        <v>1814</v>
      </c>
      <c r="E1771" s="460" t="s">
        <v>1812</v>
      </c>
      <c r="F1771" s="460" t="s">
        <v>2661</v>
      </c>
      <c r="G1771" s="547">
        <f>ROUND(25,2)</f>
        <v>25</v>
      </c>
      <c r="H1771" s="461"/>
      <c r="I1771" s="547">
        <f>ROUND(25,2)</f>
        <v>25</v>
      </c>
      <c r="J1771" s="460"/>
      <c r="K1771" s="460" t="s">
        <v>2613</v>
      </c>
    </row>
    <row r="1772" spans="1:11" ht="14.4">
      <c r="A1772" s="460" t="s">
        <v>1810</v>
      </c>
      <c r="B1772" s="460" t="s">
        <v>1478</v>
      </c>
      <c r="C1772" s="460"/>
      <c r="D1772" s="460" t="s">
        <v>1814</v>
      </c>
      <c r="E1772" s="460" t="s">
        <v>1812</v>
      </c>
      <c r="F1772" s="460" t="s">
        <v>2645</v>
      </c>
      <c r="G1772" s="547">
        <f>ROUND(125,2)</f>
        <v>125</v>
      </c>
      <c r="H1772" s="461"/>
      <c r="I1772" s="547">
        <f>ROUND(125,2)</f>
        <v>125</v>
      </c>
      <c r="J1772" s="460"/>
      <c r="K1772" s="460" t="s">
        <v>2613</v>
      </c>
    </row>
    <row r="1773" spans="1:11" ht="14.4">
      <c r="A1773" s="460" t="s">
        <v>1810</v>
      </c>
      <c r="B1773" s="460" t="s">
        <v>1478</v>
      </c>
      <c r="C1773" s="460"/>
      <c r="D1773" s="460" t="s">
        <v>1814</v>
      </c>
      <c r="E1773" s="460" t="s">
        <v>1812</v>
      </c>
      <c r="F1773" s="460" t="s">
        <v>2614</v>
      </c>
      <c r="G1773" s="460"/>
      <c r="H1773" s="461" t="s">
        <v>2615</v>
      </c>
      <c r="I1773" s="547">
        <f>ROUND(7,2)</f>
        <v>7</v>
      </c>
      <c r="J1773" s="460" t="s">
        <v>2615</v>
      </c>
      <c r="K1773" s="460" t="s">
        <v>2613</v>
      </c>
    </row>
    <row r="1774" spans="1:11" ht="14.4">
      <c r="A1774" s="460" t="s">
        <v>1810</v>
      </c>
      <c r="B1774" s="460" t="s">
        <v>1478</v>
      </c>
      <c r="C1774" s="460"/>
      <c r="D1774" s="460" t="s">
        <v>1814</v>
      </c>
      <c r="E1774" s="460" t="s">
        <v>1812</v>
      </c>
      <c r="F1774" s="460" t="s">
        <v>2624</v>
      </c>
      <c r="G1774" s="547">
        <f>ROUND(125,2)</f>
        <v>125</v>
      </c>
      <c r="H1774" s="461"/>
      <c r="I1774" s="547">
        <f>ROUND(125,2)</f>
        <v>125</v>
      </c>
      <c r="J1774" s="460"/>
      <c r="K1774" s="460" t="s">
        <v>2613</v>
      </c>
    </row>
    <row r="1775" spans="1:11" ht="14.4">
      <c r="A1775" s="460" t="s">
        <v>1810</v>
      </c>
      <c r="B1775" s="460" t="s">
        <v>1478</v>
      </c>
      <c r="C1775" s="460"/>
      <c r="D1775" s="460" t="s">
        <v>1814</v>
      </c>
      <c r="E1775" s="460" t="s">
        <v>1812</v>
      </c>
      <c r="F1775" s="460" t="s">
        <v>2629</v>
      </c>
      <c r="G1775" s="547">
        <f>ROUND(30,2)</f>
        <v>30</v>
      </c>
      <c r="H1775" s="461"/>
      <c r="I1775" s="547">
        <f>ROUND(30,2)</f>
        <v>30</v>
      </c>
      <c r="J1775" s="460"/>
      <c r="K1775" s="460" t="s">
        <v>2613</v>
      </c>
    </row>
    <row r="1776" spans="1:11" ht="14.4">
      <c r="A1776" s="460" t="s">
        <v>1810</v>
      </c>
      <c r="B1776" s="460" t="s">
        <v>1478</v>
      </c>
      <c r="C1776" s="460"/>
      <c r="D1776" s="460" t="s">
        <v>1814</v>
      </c>
      <c r="E1776" s="460" t="s">
        <v>1812</v>
      </c>
      <c r="F1776" s="460" t="s">
        <v>2616</v>
      </c>
      <c r="G1776" s="460"/>
      <c r="H1776" s="461"/>
      <c r="I1776" s="460"/>
      <c r="J1776" s="460"/>
      <c r="K1776" s="460" t="s">
        <v>2613</v>
      </c>
    </row>
    <row r="1777" spans="1:11" ht="14.4">
      <c r="A1777" s="460" t="s">
        <v>1810</v>
      </c>
      <c r="B1777" s="460" t="s">
        <v>1478</v>
      </c>
      <c r="C1777" s="460"/>
      <c r="D1777" s="460" t="s">
        <v>1814</v>
      </c>
      <c r="E1777" s="460" t="s">
        <v>1812</v>
      </c>
      <c r="F1777" s="460" t="s">
        <v>2617</v>
      </c>
      <c r="G1777" s="547">
        <f>ROUND(75,2)</f>
        <v>75</v>
      </c>
      <c r="H1777" s="461"/>
      <c r="I1777" s="547">
        <f>ROUND(75,2)</f>
        <v>75</v>
      </c>
      <c r="J1777" s="460"/>
      <c r="K1777" s="460" t="s">
        <v>2613</v>
      </c>
    </row>
    <row r="1778" spans="1:11" ht="14.4">
      <c r="A1778" s="460" t="s">
        <v>1810</v>
      </c>
      <c r="B1778" s="460" t="s">
        <v>1478</v>
      </c>
      <c r="C1778" s="460"/>
      <c r="D1778" s="460" t="s">
        <v>1814</v>
      </c>
      <c r="E1778" s="460" t="s">
        <v>1812</v>
      </c>
      <c r="F1778" s="460" t="s">
        <v>2650</v>
      </c>
      <c r="G1778" s="547">
        <f>ROUND(5,2)</f>
        <v>5</v>
      </c>
      <c r="H1778" s="461"/>
      <c r="I1778" s="547">
        <f>ROUND(5,2)</f>
        <v>5</v>
      </c>
      <c r="J1778" s="460"/>
      <c r="K1778" s="460" t="s">
        <v>2613</v>
      </c>
    </row>
    <row r="1779" spans="1:11" ht="14.4">
      <c r="A1779" s="460" t="s">
        <v>1810</v>
      </c>
      <c r="B1779" s="460" t="s">
        <v>1478</v>
      </c>
      <c r="C1779" s="460"/>
      <c r="D1779" s="460" t="s">
        <v>1814</v>
      </c>
      <c r="E1779" s="460" t="s">
        <v>1812</v>
      </c>
      <c r="F1779" s="460" t="s">
        <v>2618</v>
      </c>
      <c r="G1779" s="547">
        <f>ROUND(40,2)</f>
        <v>40</v>
      </c>
      <c r="H1779" s="461"/>
      <c r="I1779" s="547">
        <f>ROUND(40,2)</f>
        <v>40</v>
      </c>
      <c r="J1779" s="460"/>
      <c r="K1779" s="460" t="s">
        <v>2613</v>
      </c>
    </row>
    <row r="1780" spans="1:11" ht="14.4">
      <c r="A1780" s="460" t="s">
        <v>1810</v>
      </c>
      <c r="B1780" s="460" t="s">
        <v>2516</v>
      </c>
      <c r="C1780" s="460"/>
      <c r="D1780" s="460" t="s">
        <v>1811</v>
      </c>
      <c r="E1780" s="460" t="s">
        <v>2611</v>
      </c>
      <c r="F1780" s="460" t="s">
        <v>2612</v>
      </c>
      <c r="G1780" s="460"/>
      <c r="H1780" s="461"/>
      <c r="I1780" s="460"/>
      <c r="J1780" s="460"/>
      <c r="K1780" s="460" t="s">
        <v>2613</v>
      </c>
    </row>
    <row r="1781" spans="1:11" ht="14.4">
      <c r="A1781" s="460" t="s">
        <v>1810</v>
      </c>
      <c r="B1781" s="460" t="s">
        <v>2459</v>
      </c>
      <c r="C1781" s="460"/>
      <c r="D1781" s="460" t="s">
        <v>1821</v>
      </c>
      <c r="E1781" s="460" t="s">
        <v>1812</v>
      </c>
      <c r="F1781" s="460" t="s">
        <v>2634</v>
      </c>
      <c r="G1781" s="547">
        <f>ROUND(39,2)</f>
        <v>39</v>
      </c>
      <c r="H1781" s="461"/>
      <c r="I1781" s="547">
        <f>ROUND(39,2)</f>
        <v>39</v>
      </c>
      <c r="J1781" s="460"/>
      <c r="K1781" s="460" t="s">
        <v>2613</v>
      </c>
    </row>
    <row r="1782" spans="1:11" ht="14.4">
      <c r="A1782" s="460" t="s">
        <v>1810</v>
      </c>
      <c r="B1782" s="460" t="s">
        <v>2459</v>
      </c>
      <c r="C1782" s="460"/>
      <c r="D1782" s="460" t="s">
        <v>1821</v>
      </c>
      <c r="E1782" s="460" t="s">
        <v>1812</v>
      </c>
      <c r="F1782" s="460" t="s">
        <v>2612</v>
      </c>
      <c r="G1782" s="460"/>
      <c r="H1782" s="461"/>
      <c r="I1782" s="460"/>
      <c r="J1782" s="460"/>
      <c r="K1782" s="460" t="s">
        <v>2613</v>
      </c>
    </row>
    <row r="1783" spans="1:11" ht="14.4">
      <c r="A1783" s="460" t="s">
        <v>1810</v>
      </c>
      <c r="B1783" s="460" t="s">
        <v>2459</v>
      </c>
      <c r="C1783" s="460"/>
      <c r="D1783" s="460" t="s">
        <v>1821</v>
      </c>
      <c r="E1783" s="460" t="s">
        <v>1812</v>
      </c>
      <c r="F1783" s="460" t="s">
        <v>2614</v>
      </c>
      <c r="G1783" s="460"/>
      <c r="H1783" s="461" t="s">
        <v>2615</v>
      </c>
      <c r="I1783" s="547">
        <f>ROUND(7,2)</f>
        <v>7</v>
      </c>
      <c r="J1783" s="460" t="s">
        <v>2615</v>
      </c>
      <c r="K1783" s="460" t="s">
        <v>2613</v>
      </c>
    </row>
    <row r="1784" spans="1:11" ht="14.4">
      <c r="A1784" s="460" t="s">
        <v>1810</v>
      </c>
      <c r="B1784" s="460" t="s">
        <v>2459</v>
      </c>
      <c r="C1784" s="460"/>
      <c r="D1784" s="460" t="s">
        <v>1821</v>
      </c>
      <c r="E1784" s="460" t="s">
        <v>1812</v>
      </c>
      <c r="F1784" s="460" t="s">
        <v>2616</v>
      </c>
      <c r="G1784" s="460"/>
      <c r="H1784" s="461"/>
      <c r="I1784" s="460"/>
      <c r="J1784" s="460"/>
      <c r="K1784" s="460" t="s">
        <v>2613</v>
      </c>
    </row>
    <row r="1785" spans="1:11" ht="14.4">
      <c r="A1785" s="460" t="s">
        <v>1810</v>
      </c>
      <c r="B1785" s="460" t="s">
        <v>2962</v>
      </c>
      <c r="C1785" s="460"/>
      <c r="D1785" s="460" t="s">
        <v>1816</v>
      </c>
      <c r="E1785" s="460" t="s">
        <v>2611</v>
      </c>
      <c r="F1785" s="460" t="s">
        <v>2623</v>
      </c>
      <c r="G1785" s="460"/>
      <c r="H1785" s="461"/>
      <c r="I1785" s="460"/>
      <c r="J1785" s="460"/>
      <c r="K1785" s="460" t="s">
        <v>2613</v>
      </c>
    </row>
    <row r="1786" spans="1:11" ht="14.4">
      <c r="A1786" s="460" t="s">
        <v>1810</v>
      </c>
      <c r="B1786" s="460" t="s">
        <v>1489</v>
      </c>
      <c r="C1786" s="460"/>
      <c r="D1786" s="460" t="s">
        <v>1816</v>
      </c>
      <c r="E1786" s="460" t="s">
        <v>2611</v>
      </c>
      <c r="F1786" s="460" t="s">
        <v>2612</v>
      </c>
      <c r="G1786" s="460"/>
      <c r="H1786" s="461"/>
      <c r="I1786" s="460"/>
      <c r="J1786" s="460"/>
      <c r="K1786" s="460" t="s">
        <v>2613</v>
      </c>
    </row>
    <row r="1787" spans="1:11" ht="14.4">
      <c r="A1787" s="460" t="s">
        <v>1810</v>
      </c>
      <c r="B1787" s="460" t="s">
        <v>1651</v>
      </c>
      <c r="C1787" s="460"/>
      <c r="D1787" s="460" t="s">
        <v>1816</v>
      </c>
      <c r="E1787" s="460" t="s">
        <v>2611</v>
      </c>
      <c r="F1787" s="460" t="s">
        <v>2612</v>
      </c>
      <c r="G1787" s="460"/>
      <c r="H1787" s="461"/>
      <c r="I1787" s="460"/>
      <c r="J1787" s="460"/>
      <c r="K1787" s="460" t="s">
        <v>2613</v>
      </c>
    </row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</sheetData>
  <autoFilter ref="A1:H7423" xr:uid="{00000000-0009-0000-0000-000007000000}"/>
  <conditionalFormatting sqref="B384:B387">
    <cfRule type="cellIs" dxfId="1" priority="1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44FEF859F5BA4B89A4DC153F9F7047" ma:contentTypeVersion="15" ma:contentTypeDescription="Create a new document." ma:contentTypeScope="" ma:versionID="b5fa590b7f45a361efbe31527972df3a">
  <xsd:schema xmlns:xsd="http://www.w3.org/2001/XMLSchema" xmlns:xs="http://www.w3.org/2001/XMLSchema" xmlns:p="http://schemas.microsoft.com/office/2006/metadata/properties" xmlns:ns2="42d80b5b-9166-41de-9abd-a7089d0244a6" xmlns:ns3="8523a9fe-24b3-4fba-b4b4-99549620bb68" targetNamespace="http://schemas.microsoft.com/office/2006/metadata/properties" ma:root="true" ma:fieldsID="b01e48d6b3b521a7505fc0082122531f" ns2:_="" ns3:_="">
    <xsd:import namespace="42d80b5b-9166-41de-9abd-a7089d0244a6"/>
    <xsd:import namespace="8523a9fe-24b3-4fba-b4b4-99549620bb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d80b5b-9166-41de-9abd-a7089d0244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2edaba5d-021b-47f3-88ae-893c76e4e3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3a9fe-24b3-4fba-b4b4-99549620bb6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ab375bf-7140-4311-8b8b-4d36e8f1518a}" ma:internalName="TaxCatchAll" ma:showField="CatchAllData" ma:web="8523a9fe-24b3-4fba-b4b4-99549620bb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523a9fe-24b3-4fba-b4b4-99549620bb68" xsi:nil="true"/>
    <lcf76f155ced4ddcb4097134ff3c332f xmlns="42d80b5b-9166-41de-9abd-a7089d0244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DFB98F0-9F55-42BC-8096-C5A09BAC0AB7}"/>
</file>

<file path=customXml/itemProps2.xml><?xml version="1.0" encoding="utf-8"?>
<ds:datastoreItem xmlns:ds="http://schemas.openxmlformats.org/officeDocument/2006/customXml" ds:itemID="{4BAB6C28-F430-4CFD-95DE-32EDE3D71EA6}"/>
</file>

<file path=customXml/itemProps3.xml><?xml version="1.0" encoding="utf-8"?>
<ds:datastoreItem xmlns:ds="http://schemas.openxmlformats.org/officeDocument/2006/customXml" ds:itemID="{15578399-7610-440D-A129-579A982BF7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Dispatch &amp; Detention</vt:lpstr>
      <vt:lpstr>Market Study</vt:lpstr>
      <vt:lpstr>Prop Budget Summary</vt:lpstr>
      <vt:lpstr>Prop Budget Calc</vt:lpstr>
      <vt:lpstr>Proposed Step Plans</vt:lpstr>
      <vt:lpstr>Current Step Plans</vt:lpstr>
      <vt:lpstr>Base Pay Report</vt:lpstr>
      <vt:lpstr>Employee Enrollments</vt:lpstr>
      <vt:lpstr>Deduction Valuation</vt:lpstr>
      <vt:lpstr>Health Insurance</vt:lpstr>
      <vt:lpstr>Scenarios</vt:lpstr>
      <vt:lpstr>WKCMP</vt:lpstr>
      <vt:lpstr>YTD Personnel</vt:lpstr>
      <vt:lpstr>YEP Personnel Calc</vt:lpstr>
      <vt:lpstr>YEP Summaries</vt:lpstr>
      <vt:lpstr>PR Calendar</vt:lpstr>
      <vt:lpstr>'Employee Enrollments'!__bookmark_1</vt:lpstr>
      <vt:lpstr>'Prop Budget Calc'!Print_Area</vt:lpstr>
      <vt:lpstr>Scenarios!Print_Area</vt:lpstr>
      <vt:lpstr>WKCMP!Print_Area</vt:lpstr>
      <vt:lpstr>Print_Area_MI</vt:lpstr>
      <vt:lpstr>'Prop Budget Calc'!Print_Titles</vt:lpstr>
      <vt:lpstr>Scenarios!Print_Titles</vt:lpstr>
      <vt:lpstr>Print_Titles_MI</vt:lpstr>
    </vt:vector>
  </TitlesOfParts>
  <Company>City of Keller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Human Resources</dc:creator>
  <cp:lastModifiedBy>Aaron Rector</cp:lastModifiedBy>
  <cp:lastPrinted>2018-03-28T15:54:13Z</cp:lastPrinted>
  <dcterms:created xsi:type="dcterms:W3CDTF">2001-08-08T20:55:51Z</dcterms:created>
  <dcterms:modified xsi:type="dcterms:W3CDTF">2024-10-27T20:38:43Z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0x010100CE44FEF859F5BA4B89A4DC153F9F7047</vt:lpwstr>
  </property>
</Properties>
</file>